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3.xml" ContentType="application/vnd.openxmlformats-officedocument.drawingml.chart+xml"/>
  <Override PartName="/xl/charts/chart2.xml" ContentType="application/vnd.openxmlformats-officedocument.drawingml.chart+xml"/>
  <Override PartName="/xl/charts/chart1.xml" ContentType="application/vnd.openxmlformats-officedocument.drawingml.chart+xml"/>
  <Override PartName="/xl/drawings/drawing13.xml" ContentType="application/vnd.openxmlformats-officedocument.drawing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5.xml" ContentType="application/vnd.openxmlformats-officedocument.drawing+xml"/>
  <Override PartName="/xl/drawings/drawing4.xml" ContentType="application/vnd.openxmlformats-officedocument.drawing+xml"/>
  <Override PartName="/xl/drawings/drawing3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12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drawings/drawing9.xml" ContentType="application/vnd.openxmlformats-officedocument.drawing+xml"/>
  <Override PartName="/xl/drawings/drawing2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drawings/drawing1.xml" ContentType="application/vnd.openxmlformats-officedocument.drawing+xml"/>
  <Override PartName="/xl/worksheets/sheet34.xml" ContentType="application/vnd.openxmlformats-officedocument.spreadsheetml.worksheet+xml"/>
  <Override PartName="/xl/worksheets/sheet33.xml" ContentType="application/vnd.openxmlformats-officedocument.spreadsheetml.worksheet+xml"/>
  <Override PartName="/xl/worksheets/sheet32.xml" ContentType="application/vnd.openxmlformats-officedocument.spreadsheetml.worksheet+xml"/>
  <Override PartName="/xl/worksheets/sheet21.xml" ContentType="application/vnd.openxmlformats-officedocument.spreadsheetml.worksheet+xml"/>
  <Override PartName="/xl/worksheets/sheet19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2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3.xml" ContentType="application/vnd.openxmlformats-officedocument.spreadsheetml.worksheet+xml"/>
  <Override PartName="/xl/worksheets/sheet18.xml" ContentType="application/vnd.openxmlformats-officedocument.spreadsheetml.worksheet+xml"/>
  <Override PartName="/xl/worksheets/sheet12.xml" ContentType="application/vnd.openxmlformats-officedocument.spreadsheetml.worksheet+xml"/>
  <Override PartName="/xl/worksheets/sheet17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6.xml" ContentType="application/vnd.openxmlformats-officedocument.spreadsheetml.worksheet+xml"/>
  <Override PartName="/xl/ctrlProps/ctrlProp22.xml" ContentType="application/vnd.ms-excel.controlproperties+xml"/>
  <Override PartName="/xl/ctrlProps/ctrlProp28.xml" ContentType="application/vnd.ms-excel.controlproperties+xml"/>
  <Override PartName="/xl/ctrlProps/ctrlProp23.xml" ContentType="application/vnd.ms-excel.controlproperties+xml"/>
  <Override PartName="/xl/comments2.xml" ContentType="application/vnd.openxmlformats-officedocument.spreadsheetml.comments+xml"/>
  <Override PartName="/xl/ctrlProps/ctrlProp21.xml" ContentType="application/vnd.ms-excel.controlproperties+xml"/>
  <Override PartName="/xl/ctrlProps/ctrlProp24.xml" ContentType="application/vnd.ms-excel.controlproperties+xml"/>
  <Override PartName="/xl/ctrlProps/ctrlProp26.xml" ContentType="application/vnd.ms-excel.controlproperties+xml"/>
  <Override PartName="/xl/ctrlProps/ctrlProp25.xml" ContentType="application/vnd.ms-excel.controlproperties+xml"/>
  <Override PartName="/xl/comments1.xml" ContentType="application/vnd.openxmlformats-officedocument.spreadsheetml.comments+xml"/>
  <Override PartName="/xl/ctrlProps/ctrlProp20.xml" ContentType="application/vnd.ms-excel.controlproperties+xml"/>
  <Override PartName="/xl/comments3.xml" ContentType="application/vnd.openxmlformats-officedocument.spreadsheetml.comment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174.xml" ContentType="application/vnd.ms-excel.controlproperties+xml"/>
  <Override PartName="/xl/ctrlProps/ctrlProp173.xml" ContentType="application/vnd.ms-excel.controlproperties+xml"/>
  <Override PartName="/xl/ctrlProps/ctrlProp15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2.xml" ContentType="application/vnd.ms-excel.controlproperties+xml"/>
  <Override PartName="/xl/ctrlProps/ctrlProp171.xml" ContentType="application/vnd.ms-excel.controlproperties+xml"/>
  <Override PartName="/xl/ctrlProps/ctrlProp170.xml" ContentType="application/vnd.ms-excel.controlproperties+xml"/>
  <Override PartName="/xl/ctrlProps/ctrlProp169.xml" ContentType="application/vnd.ms-excel.controlproperties+xml"/>
  <Override PartName="/xl/ctrlProps/ctrlProp168.xml" ContentType="application/vnd.ms-excel.controlproperties+xml"/>
  <Override PartName="/xl/ctrlProps/ctrlProp167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85.xml" ContentType="application/vnd.ms-excel.controlproperties+xml"/>
  <Override PartName="/xl/ctrlProps/ctrlProp184.xml" ContentType="application/vnd.ms-excel.controlproperties+xml"/>
  <Override PartName="/xl/ctrlProps/ctrlProp183.xml" ContentType="application/vnd.ms-excel.controlproperties+xml"/>
  <Override PartName="/xl/ctrlProps/ctrlProp182.xml" ContentType="application/vnd.ms-excel.controlproperties+xml"/>
  <Override PartName="/xl/ctrlProps/ctrlProp181.xml" ContentType="application/vnd.ms-excel.controlproperties+xml"/>
  <Override PartName="/xl/ctrlProps/ctrlProp180.xml" ContentType="application/vnd.ms-excel.controlproperties+xml"/>
  <Override PartName="/xl/ctrlProps/ctrlProp8.xml" ContentType="application/vnd.ms-excel.controlproperties+xml"/>
  <Override PartName="/xl/ctrlProps/ctrlProp14.xml" ContentType="application/vnd.ms-excel.controlproperties+xml"/>
  <Override PartName="/xl/ctrlProps/ctrlProp3.xml" ContentType="application/vnd.ms-excel.controlproperties+xml"/>
  <Override PartName="/xl/comments9.xml" ContentType="application/vnd.openxmlformats-officedocument.spreadsheetml.comments+xml"/>
  <Override PartName="/xl/ctrlProps/ctrlProp2.xml" ContentType="application/vnd.ms-excel.controlproperties+xml"/>
  <Override PartName="/xl/comments8.xml" ContentType="application/vnd.openxmlformats-officedocument.spreadsheetml.comments+xml"/>
  <Override PartName="/xl/ctrlProps/ctrlProp4.xml" ContentType="application/vnd.ms-excel.controlproperties+xml"/>
  <Override PartName="/xl/comments10.xml" ContentType="application/vnd.openxmlformats-officedocument.spreadsheetml.comments+xml"/>
  <Override PartName="/xl/ctrlProps/ctrlProp1.xml" ContentType="application/vnd.ms-excel.control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omments12.xml" ContentType="application/vnd.openxmlformats-officedocument.spreadsheetml.comments+xml"/>
  <Override PartName="/xl/comments11.xml" ContentType="application/vnd.openxmlformats-officedocument.spreadsheetml.comments+xml"/>
  <Override PartName="/xl/comments7.xml" ContentType="application/vnd.openxmlformats-officedocument.spreadsheetml.comments+xml"/>
  <Override PartName="/xl/ctrlProps/ctrlProp5.xml" ContentType="application/vnd.ms-excel.controlproperties+xml"/>
  <Override PartName="/xl/ctrlProps/ctrlProp11.xml" ContentType="application/vnd.ms-excel.controlproperties+xml"/>
  <Override PartName="/xl/comments5.xml" ContentType="application/vnd.openxmlformats-officedocument.spreadsheetml.comments+xml"/>
  <Override PartName="/xl/ctrlProps/ctrlProp10.xml" ContentType="application/vnd.ms-excel.controlproperties+xml"/>
  <Override PartName="/xl/comments4.xml" ContentType="application/vnd.openxmlformats-officedocument.spreadsheetml.comments+xml"/>
  <Override PartName="/xl/ctrlProps/ctrlProp12.xml" ContentType="application/vnd.ms-excel.controlproperties+xml"/>
  <Override PartName="/xl/ctrlProps/ctrlProp13.xml" ContentType="application/vnd.ms-excel.controlproperties+xml"/>
  <Override PartName="/xl/comments6.xml" ContentType="application/vnd.openxmlformats-officedocument.spreadsheetml.comment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166.xml" ContentType="application/vnd.ms-excel.controlproperties+xml"/>
  <Override PartName="/xl/ctrlProps/ctrlProp9.xml" ContentType="application/vnd.ms-excel.controlproperties+xml"/>
  <Override PartName="/xl/ctrlProps/ctrlProp165.xml" ContentType="application/vnd.ms-excel.controlproperties+xml"/>
  <Override PartName="/xl/ctrlProps/ctrlProp164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1.xml" ContentType="application/vnd.ms-excel.controlproperties+xml"/>
  <Override PartName="/xl/ctrlProps/ctrlProp70.xml" ContentType="application/vnd.ms-excel.controlproperties+xml"/>
  <Override PartName="/xl/ctrlProps/ctrlProp69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88.xml" ContentType="application/vnd.ms-excel.controlproperties+xml"/>
  <Override PartName="/xl/ctrlProps/ctrlProp87.xml" ContentType="application/vnd.ms-excel.controlproperties+xml"/>
  <Override PartName="/xl/ctrlProps/ctrlProp86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62.xml" ContentType="application/vnd.ms-excel.controlproperties+xml"/>
  <Override PartName="/xl/ctrlProps/ctrlProp61.xml" ContentType="application/vnd.ms-excel.controlproperties+xml"/>
  <Override PartName="/xl/ctrlProps/ctrlProp60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36.xml" ContentType="application/vnd.ms-excel.controlproperties+xml"/>
  <Override PartName="/xl/ctrlProps/ctrlProp35.xml" ContentType="application/vnd.ms-excel.controlproperties+xml"/>
  <Override PartName="/xl/ctrlProps/ctrlProp34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53.xml" ContentType="application/vnd.ms-excel.controlproperties+xml"/>
  <Override PartName="/xl/ctrlProps/ctrlProp52.xml" ContentType="application/vnd.ms-excel.controlproperties+xml"/>
  <Override PartName="/xl/ctrlProps/ctrlProp51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0.xml" ContentType="application/vnd.ms-excel.controlproperties+xml"/>
  <Override PartName="/xl/ctrlProps/ctrlProp139.xml" ContentType="application/vnd.ms-excel.controlproperties+xml"/>
  <Override PartName="/xl/ctrlProps/ctrlProp138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57.xml" ContentType="application/vnd.ms-excel.controlproperties+xml"/>
  <Override PartName="/xl/ctrlProps/ctrlProp156.xml" ContentType="application/vnd.ms-excel.controlproperties+xml"/>
  <Override PartName="/xl/ctrlProps/ctrlProp155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31.xml" ContentType="application/vnd.ms-excel.controlproperties+xml"/>
  <Override PartName="/xl/ctrlProps/ctrlProp130.xml" ContentType="application/vnd.ms-excel.controlproperties+xml"/>
  <Override PartName="/xl/ctrlProps/ctrlProp129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05.xml" ContentType="application/vnd.ms-excel.controlproperties+xml"/>
  <Override PartName="/xl/ctrlProps/ctrlProp104.xml" ContentType="application/vnd.ms-excel.controlproperties+xml"/>
  <Override PartName="/xl/ctrlProps/ctrlProp103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2.xml" ContentType="application/vnd.ms-excel.controlproperties+xml"/>
  <Override PartName="/xl/ctrlProps/ctrlProp121.xml" ContentType="application/vnd.ms-excel.controlproperties+xml"/>
  <Override PartName="/xl/ctrlProps/ctrlProp120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27.xml" ContentType="application/vnd.ms-excel.contro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0" yWindow="0" windowWidth="20490" windowHeight="7755" firstSheet="30" activeTab="30"/>
  </bookViews>
  <sheets>
    <sheet name="WP Data Req Summary" sheetId="40" r:id="rId1"/>
    <sheet name="Print &amp; Input" sheetId="4" r:id="rId2"/>
    <sheet name="Rev req link" sheetId="5" r:id="rId3"/>
    <sheet name="Customer Charge" sheetId="168" r:id="rId4"/>
    <sheet name="FR-16(7)(v)-1 Functional" sheetId="9" r:id="rId5"/>
    <sheet name="FR-16(7)(v)-2 PROD Classified" sheetId="157" r:id="rId6"/>
    <sheet name="FR-16(7)(v)-3 PROD Comm Alloc" sheetId="155" r:id="rId7"/>
    <sheet name="FR-16(7)(v)-4 DISTR Classified" sheetId="159" r:id="rId8"/>
    <sheet name="FR-16(7)(v)-5 DISTR Dem Alloc" sheetId="160" r:id="rId9"/>
    <sheet name="FR-16(7)(v)-6 DISTR Cust Alloc" sheetId="161" r:id="rId10"/>
    <sheet name="FR-16(7)(v)-7 STOR Classified" sheetId="158" state="hidden" r:id="rId11"/>
    <sheet name="FR-16(7)(v)-8 TOT CLASS Alloc" sheetId="162" r:id="rId12"/>
    <sheet name="FR-16(7)(v)-9 RES Classified" sheetId="164" r:id="rId13"/>
    <sheet name="FR-16(7)(v)-10 GS Classified" sheetId="165" r:id="rId14"/>
    <sheet name="FR-16(7)(v)-11 FTL Classified" sheetId="166" r:id="rId15"/>
    <sheet name="FR-16(7)(v)-12 IT Classified" sheetId="167" r:id="rId16"/>
    <sheet name="Alloc Factors Summary" sheetId="25" r:id="rId17"/>
    <sheet name="WP FR-16(7)(v)-Peak &amp; Avg" sheetId="26" r:id="rId18"/>
    <sheet name="WP FR-16(7)(v)-Daily Dem" sheetId="27" r:id="rId19"/>
    <sheet name="WP FR-16(7)(v)-Daily Gas Stats" sheetId="28" r:id="rId20"/>
    <sheet name="WP FR-16(7)(v)-IndustrialM&amp;R" sheetId="31" r:id="rId21"/>
    <sheet name="WP FR-16(7)(v)-Mains (Plastic)" sheetId="32" r:id="rId22"/>
    <sheet name="WP FR-16(7)(v)-Plastic Summary" sheetId="33" r:id="rId23"/>
    <sheet name="WP FR-16(7)(v)-Mains backup" sheetId="34" r:id="rId24"/>
    <sheet name="WP FR-16(7)(v)-Services" sheetId="35" r:id="rId25"/>
    <sheet name="WP FR-16(7)(v)-House Reg DEK" sheetId="169" r:id="rId26"/>
    <sheet name="WP FR-16(7)(v)-METERS 2018" sheetId="170" r:id="rId27"/>
    <sheet name="WP FR-16(7)(v)-CustAcctg" sheetId="38" r:id="rId28"/>
    <sheet name="WP FR-16(7)(v)-A&amp;G WP" sheetId="3" r:id="rId29"/>
    <sheet name="WP FR-16(7)(v) Pres NOI" sheetId="49" r:id="rId30"/>
    <sheet name="WP FR-16(7)(v)Rate Incr (15.0%)" sheetId="6" r:id="rId31"/>
    <sheet name="WP FR-16(7)(v)RateIncr (42.36%)" sheetId="7" r:id="rId32"/>
    <sheet name="WP FR-16(7)(v)Rate Incr (75%)" sheetId="24" r:id="rId33"/>
    <sheet name="WP FR-16(7)(v)Rate Incr (100%)" sheetId="8" r:id="rId34"/>
  </sheets>
  <externalReferences>
    <externalReference r:id="rId35"/>
  </externalReferences>
  <definedNames>
    <definedName name="_Fill" localSheetId="13" hidden="1">#REF!</definedName>
    <definedName name="_Fill" localSheetId="14" hidden="1">#REF!</definedName>
    <definedName name="_Fill" localSheetId="15" hidden="1">#REF!</definedName>
    <definedName name="_Fill" localSheetId="5" hidden="1">#REF!</definedName>
    <definedName name="_Fill" localSheetId="6" hidden="1">#REF!</definedName>
    <definedName name="_Fill" localSheetId="7" hidden="1">#REF!</definedName>
    <definedName name="_Fill" localSheetId="8" hidden="1">#REF!</definedName>
    <definedName name="_Fill" localSheetId="9" hidden="1">#REF!</definedName>
    <definedName name="_Fill" localSheetId="10" hidden="1">#REF!</definedName>
    <definedName name="_Fill" localSheetId="11" hidden="1">#REF!</definedName>
    <definedName name="_Fill" localSheetId="12" hidden="1">#REF!</definedName>
    <definedName name="_Fill" localSheetId="29" hidden="1">#REF!</definedName>
    <definedName name="_Fill" localSheetId="25" hidden="1">#REF!</definedName>
    <definedName name="_Fill" hidden="1">#REF!</definedName>
    <definedName name="_Key1" localSheetId="8" hidden="1">'FR-16(7)(v)-5 DISTR Dem Alloc'!$D$766</definedName>
    <definedName name="_Key1" localSheetId="9" hidden="1">'FR-16(7)(v)-6 DISTR Cust Alloc'!$D$766</definedName>
    <definedName name="_Key1" localSheetId="11" hidden="1">'FR-16(7)(v)-8 TOT CLASS Alloc'!#REF!</definedName>
    <definedName name="_Key1" hidden="1">'FR-16(7)(v)-3 PROD Comm Alloc'!$D$766</definedName>
    <definedName name="_Order1" hidden="1">255</definedName>
    <definedName name="_Regression_Out" hidden="1">#N/A</definedName>
    <definedName name="_Sort" localSheetId="8" hidden="1">'FR-16(7)(v)-5 DISTR Dem Alloc'!$C$766:$L$771</definedName>
    <definedName name="_Sort" localSheetId="9" hidden="1">'FR-16(7)(v)-6 DISTR Cust Alloc'!$C$766:$L$771</definedName>
    <definedName name="_Sort" localSheetId="11" hidden="1">'FR-16(7)(v)-8 TOT CLASS Alloc'!#REF!</definedName>
    <definedName name="_Sort" hidden="1">'FR-16(7)(v)-3 PROD Comm Alloc'!$C$766:$L$771</definedName>
    <definedName name="ACwvu.Alloc._.Factors." localSheetId="16" hidden="1">'Alloc Factors Summary'!$E$30</definedName>
    <definedName name="ACwvu.AverageExcess." localSheetId="16" hidden="1">'Alloc Factors Summary'!$E$30</definedName>
    <definedName name="alloc_factors">'Print &amp; Input'!$A$9</definedName>
    <definedName name="Alloctable_Classified_Distribution">'FR-16(7)(v)-4 DISTR Classified'!$E$707:$I$844</definedName>
    <definedName name="AllocTable_Classified_Production">'FR-16(7)(v)-2 PROD Classified'!$E$707:$I$844</definedName>
    <definedName name="AllocTable_Classified_Storage">'FR-16(7)(v)-7 STOR Classified'!$E$707:$I$844</definedName>
    <definedName name="ALLOCTABLE_DISTR_CUSTOMER" localSheetId="9">'FR-16(7)(v)-6 DISTR Cust Alloc'!$E$707:$L$844</definedName>
    <definedName name="ALLOCTABLE_DISTR_DEMAND" localSheetId="8">'FR-16(7)(v)-5 DISTR Dem Alloc'!$E$707:$L$844</definedName>
    <definedName name="ALLOCTABLE_DISTR_DEMAND" localSheetId="9">'FR-16(7)(v)-6 DISTR Cust Alloc'!$E$707:$L$844</definedName>
    <definedName name="AllocTable_Functional">'FR-16(7)(v)-1 Functional'!$E$706:$I$845</definedName>
    <definedName name="ALLOCTABLE_Prod_Commodity">'FR-16(7)(v)-3 PROD Comm Alloc'!$E$707:$L$844</definedName>
    <definedName name="case_name">'Print &amp; Input'!$A$3</definedName>
    <definedName name="co_name">'Print &amp; Input'!$A$1</definedName>
    <definedName name="Composite_Tax_Rate">'FR-16(7)(v)-1 Functional'!$F$565</definedName>
    <definedName name="coss_type">'Print &amp; Input'!$A$2</definedName>
    <definedName name="custaccttable">'WP FR-16(7)(v)-CustAcctg'!$A$14:$F$67</definedName>
    <definedName name="data_filing">'Print &amp; Input'!$A$5</definedName>
    <definedName name="FIT">'FR-16(7)(v)-1 Functional'!$F$692</definedName>
    <definedName name="Mains">'WP FR-16(7)(v)-Mains backup'!$A$11:$C$19</definedName>
    <definedName name="Pages">'Print &amp; Input'!$D$2</definedName>
    <definedName name="Pages2">'Print &amp; Input'!$D$3</definedName>
    <definedName name="_xlnm.Print_Area" localSheetId="16">'Alloc Factors Summary'!$A$124:$H$177</definedName>
    <definedName name="_xlnm.Print_Area" localSheetId="4">'FR-16(7)(v)-1 Functional'!$A$567:$K$612</definedName>
    <definedName name="_xlnm.Print_Area" localSheetId="13">'FR-16(7)(v)-10 GS Classified'!$A$656:$K$694</definedName>
    <definedName name="_xlnm.Print_Area" localSheetId="14">'FR-16(7)(v)-11 FTL Classified'!$A$656:$K$694</definedName>
    <definedName name="_xlnm.Print_Area" localSheetId="15">'FR-16(7)(v)-12 IT Classified'!$A$656:$K$694</definedName>
    <definedName name="_xlnm.Print_Area" localSheetId="5">'FR-16(7)(v)-2 PROD Classified'!$A$805:$K$844</definedName>
    <definedName name="_xlnm.Print_Area" localSheetId="6">'FR-16(7)(v)-3 PROD Comm Alloc'!$A$805:$L$844</definedName>
    <definedName name="_xlnm.Print_Area" localSheetId="7">'FR-16(7)(v)-4 DISTR Classified'!$A$696:$K$745</definedName>
    <definedName name="_xlnm.Print_Area" localSheetId="8">'FR-16(7)(v)-5 DISTR Dem Alloc'!$A$805:$L$844</definedName>
    <definedName name="_xlnm.Print_Area" localSheetId="9">'FR-16(7)(v)-6 DISTR Cust Alloc'!$A$805:$L$844</definedName>
    <definedName name="_xlnm.Print_Area" localSheetId="11">'FR-16(7)(v)-8 TOT CLASS Alloc'!$A$656:$L$694</definedName>
    <definedName name="_xlnm.Print_Area" localSheetId="12">'FR-16(7)(v)-9 RES Classified'!$A$656:$K$694</definedName>
    <definedName name="_xlnm.Print_Area" localSheetId="29">'WP FR-16(7)(v) Pres NOI'!$A$1:$L$52</definedName>
    <definedName name="_xlnm.Print_Area" localSheetId="28">'WP FR-16(7)(v)-A&amp;G WP'!$A$1:$H$28</definedName>
    <definedName name="_xlnm.Print_Area" localSheetId="27">'WP FR-16(7)(v)-CustAcctg'!$A$1:$G$32</definedName>
    <definedName name="_xlnm.Print_Area" localSheetId="18">'WP FR-16(7)(v)-Daily Dem'!$A$98:$L$146</definedName>
    <definedName name="_xlnm.Print_Area" localSheetId="19">'WP FR-16(7)(v)-Daily Gas Stats'!$A$112:$S$147</definedName>
    <definedName name="_xlnm.Print_Area" localSheetId="25">'WP FR-16(7)(v)-House Reg DEK'!$G$53:$J$125</definedName>
    <definedName name="_xlnm.Print_Area" localSheetId="20">'WP FR-16(7)(v)-IndustrialM&amp;R'!$A$1:$G$19</definedName>
    <definedName name="_xlnm.Print_Area" localSheetId="21">'WP FR-16(7)(v)-Mains (Plastic)'!$A$1:$H$40</definedName>
    <definedName name="_xlnm.Print_Area" localSheetId="23">'WP FR-16(7)(v)-Mains backup'!$A$1:$G$29</definedName>
    <definedName name="_xlnm.Print_Area" localSheetId="26">'WP FR-16(7)(v)-METERS 2018'!$A$1:$M$77</definedName>
    <definedName name="_xlnm.Print_Area" localSheetId="17">'WP FR-16(7)(v)-Peak &amp; Avg'!$A$1:$S$48</definedName>
    <definedName name="_xlnm.Print_Area" localSheetId="22">'WP FR-16(7)(v)-Plastic Summary'!$A$1:$G$30</definedName>
    <definedName name="_xlnm.Print_Area" localSheetId="33">'WP FR-16(7)(v)Rate Incr (100%)'!$A$1:$N$35</definedName>
    <definedName name="_xlnm.Print_Area" localSheetId="30">'WP FR-16(7)(v)Rate Incr (15.0%)'!$A$1:$N$35</definedName>
    <definedName name="_xlnm.Print_Area" localSheetId="32">'WP FR-16(7)(v)Rate Incr (75%)'!$A$1:$N$35</definedName>
    <definedName name="_xlnm.Print_Area" localSheetId="31">'WP FR-16(7)(v)RateIncr (42.36%)'!$A$1:$N$35</definedName>
    <definedName name="_xlnm.Print_Area" localSheetId="24">'WP FR-16(7)(v)-Services'!$A$101:$G$158</definedName>
    <definedName name="Print_Commands">'Print &amp; Input'!$A$18</definedName>
    <definedName name="RegressionConstant">'WP FR-16(7)(v)-Mains (Plastic)'!$D$59</definedName>
    <definedName name="RegressionXcoefficient">'WP FR-16(7)(v)-Mains (Plastic)'!$C$65</definedName>
    <definedName name="RegulatorCost" localSheetId="25">'WP FR-16(7)(v)-House Reg DEK'!$J$62:$J$169</definedName>
    <definedName name="RegulatorCost">#REF!</definedName>
    <definedName name="RegulatorSize" localSheetId="25">'WP FR-16(7)(v)-House Reg DEK'!$K$62:$K$169</definedName>
    <definedName name="RegulatorSize">#REF!</definedName>
    <definedName name="RegulatorUnits" localSheetId="25">'WP FR-16(7)(v)-House Reg DEK'!$I$62:$I$169</definedName>
    <definedName name="RegulatorUnits">#REF!</definedName>
    <definedName name="RevTax">'FR-16(7)(v)-1 Functional'!$F$694</definedName>
    <definedName name="RofR">'FR-16(7)(v)-1 Functional'!$F$688</definedName>
    <definedName name="Sch_E3.1">'Customer Charge'!$A$1:$I$33</definedName>
    <definedName name="SCH_E3.2">'FR-16(7)(v)-1 Functional'!$A$1:$K$844</definedName>
    <definedName name="Sch_E3.2_Alloc_12">'FR-16(7)(v)-1 Functional'!$A$696:$K$745</definedName>
    <definedName name="Sch_E3.2_Alloc_12.1">'FR-16(7)(v)-1 Functional'!$A$747:$K$803</definedName>
    <definedName name="Sch_E3.2_Alloc_12.2">'FR-16(7)(v)-1 Functional'!$A$805:$K$844</definedName>
    <definedName name="Sch_E3.2_COS_Compute_10">'FR-16(7)(v)-1 Functional'!$A$614:$K$654</definedName>
    <definedName name="Sch_E3.2_Depreciation_Expense_7">'FR-16(7)(v)-1 Functional'!$A$435:$K$465</definedName>
    <definedName name="Sch_E3.2_Depreciation_Reserve_3">'FR-16(7)(v)-1 Functional'!$A$103:$K$151</definedName>
    <definedName name="Sch_E3.2_FIT_Return_9">'FR-16(7)(v)-1 Functional'!$A$503:$K$565</definedName>
    <definedName name="Sch_E3.2_FIT_Revenue_13">'FR-16(7)(v)-1 Functional'!$A$863:$K$900</definedName>
    <definedName name="Sch_E3.2_Gross_Plant_2">'FR-16(7)(v)-1 Functional'!$A$46:$K$101</definedName>
    <definedName name="Sch_E3.2_Net_Plant_4">'FR-16(7)(v)-1 Functional'!$A$153:$K$191</definedName>
    <definedName name="Sch_E3.2_OMEXP_6">'FR-16(7)(v)-1 Functional'!$A$336:$K$389</definedName>
    <definedName name="Sch_E3.2_OMEXP_6.1">'FR-16(7)(v)-1 Functional'!$A$391:$K$433</definedName>
    <definedName name="Sch_E3.2_RB_Additive_Adj_5.1">'FR-16(7)(v)-1 Functional'!$A$240:$K$283</definedName>
    <definedName name="Sch_E3.2_RB_Subtractive_Adj_5">'FR-16(7)(v)-1 Functional'!$A$193:$K$238</definedName>
    <definedName name="Sch_E3.2_RB_Total_5.2">'FR-16(7)(v)-1 Functional'!$A$285:$K$334</definedName>
    <definedName name="Sch_E3.2_RofR_11">'FR-16(7)(v)-1 Functional'!$A$656:$K$694</definedName>
    <definedName name="Sch_E3.2_SIT_Return_9.1">'FR-16(7)(v)-1 Functional'!$A$567:$K$612</definedName>
    <definedName name="Sch_E3.2_Summary_1">'FR-16(7)(v)-1 Functional'!$A$1:$K$28</definedName>
    <definedName name="Sch_E3.2_Taxes_Other_Than_Income_8">'FR-16(7)(v)-1 Functional'!$A$467:$K$501</definedName>
    <definedName name="SCH_E3.2a">'FR-16(7)(v)-2 PROD Classified'!$A$1:$K$844</definedName>
    <definedName name="Sch_E3.2a_Alloc_12">'FR-16(7)(v)-2 PROD Classified'!$A$696:$K$745</definedName>
    <definedName name="Sch_E3.2a_Alloc_12.1">'FR-16(7)(v)-2 PROD Classified'!$A$747:$K$803</definedName>
    <definedName name="Sch_E3.2a_Alloc_12.2">'FR-16(7)(v)-2 PROD Classified'!$A$805:$K$844</definedName>
    <definedName name="Sch_E3.2a_COS_Compute_10">'FR-16(7)(v)-2 PROD Classified'!$A$614:$K$654</definedName>
    <definedName name="Sch_E3.2a_Depreciation_Expense_7">'FR-16(7)(v)-2 PROD Classified'!$A$435:$K$465</definedName>
    <definedName name="Sch_E3.2a_Depreciation_Reserve_3">'FR-16(7)(v)-2 PROD Classified'!$A$103:$K$151</definedName>
    <definedName name="Sch_E3.2a_FIT_Return_9">'FR-16(7)(v)-2 PROD Classified'!$A$503:$K$565</definedName>
    <definedName name="Sch_E3.2a_FIT_Revenue_13">'FR-16(7)(v)-2 PROD Classified'!$A$863:$K$900</definedName>
    <definedName name="Sch_E3.2a_Gross_Plant_2">'FR-16(7)(v)-2 PROD Classified'!$A$46:$K$101</definedName>
    <definedName name="Sch_E3.2a_Net_Plant_4">'FR-16(7)(v)-2 PROD Classified'!$A$153:$K$191</definedName>
    <definedName name="Sch_E3.2a_OMEXP_6">'FR-16(7)(v)-2 PROD Classified'!$A$336:$K$389</definedName>
    <definedName name="Sch_E3.2a_OMEXP_6.1">'FR-16(7)(v)-2 PROD Classified'!$A$391:$K$433</definedName>
    <definedName name="Sch_E3.2a_RB_Additive_Adj_5.1">'FR-16(7)(v)-2 PROD Classified'!$A$240:$K$283</definedName>
    <definedName name="Sch_E3.2a_RB_Subtractive_Adj_5">'FR-16(7)(v)-2 PROD Classified'!$A$193:$K$238</definedName>
    <definedName name="Sch_E3.2a_RB_Total_5.2">'FR-16(7)(v)-2 PROD Classified'!$A$285:$K$334</definedName>
    <definedName name="Sch_E3.2a_RofR_11">'FR-16(7)(v)-2 PROD Classified'!$A$656:$K$694</definedName>
    <definedName name="Sch_E3.2a_SIT_Return_9.1">'FR-16(7)(v)-2 PROD Classified'!$A$567:$K$612</definedName>
    <definedName name="Sch_E3.2a_Summary_1">'FR-16(7)(v)-2 PROD Classified'!$A$1:$K$28</definedName>
    <definedName name="Sch_E3.2a_Taxes_Other_Than_Income_8">'FR-16(7)(v)-2 PROD Classified'!$A$467:$K$501</definedName>
    <definedName name="SCH_E3.2b">'FR-16(7)(v)-3 PROD Comm Alloc'!$A$1:$L$844</definedName>
    <definedName name="Sch_E3.2b_Alloc_12">'FR-16(7)(v)-3 PROD Comm Alloc'!$A$696:$L$746</definedName>
    <definedName name="Sch_E3.2b_Alloc_12.1">'FR-16(7)(v)-3 PROD Comm Alloc'!$A$747:$L$803</definedName>
    <definedName name="Sch_E3.2b_Alloc_12.2">'FR-16(7)(v)-3 PROD Comm Alloc'!$A$805:$L$844</definedName>
    <definedName name="Sch_E3.2b_COS_Compute_10">'FR-16(7)(v)-3 PROD Comm Alloc'!$A$614:$L$655</definedName>
    <definedName name="Sch_E3.2b_Depreciation_Expense_7">'FR-16(7)(v)-3 PROD Comm Alloc'!$A$435:$L$465</definedName>
    <definedName name="Sch_E3.2b_Depreciation_Reserve_3">'FR-16(7)(v)-3 PROD Comm Alloc'!$A$103:$L$151</definedName>
    <definedName name="Sch_E3.2b_FIT_Return_9">'FR-16(7)(v)-3 PROD Comm Alloc'!$A$503:$L$565</definedName>
    <definedName name="Sch_E3.2b_FIT_Revenue_13">'FR-16(7)(v)-3 PROD Comm Alloc'!$A$696:$L$900</definedName>
    <definedName name="Sch_E3.2b_Gross_Plant_2">'FR-16(7)(v)-3 PROD Comm Alloc'!$A$46:$L$101</definedName>
    <definedName name="Sch_E3.2b_Net_Plant_4">'FR-16(7)(v)-3 PROD Comm Alloc'!$A$153:$L$191</definedName>
    <definedName name="Sch_E3.2b_OMEXP_6">'FR-16(7)(v)-3 PROD Comm Alloc'!$A$336:$L$389</definedName>
    <definedName name="Sch_E3.2b_OMEXP_6.1">'FR-16(7)(v)-3 PROD Comm Alloc'!$A$391:$L$433</definedName>
    <definedName name="Sch_E3.2b_RB_Additive_Adj_5.1">'FR-16(7)(v)-3 PROD Comm Alloc'!$A$240:$L$283</definedName>
    <definedName name="Sch_E3.2b_RB_Subtractive_Adj_5">'FR-16(7)(v)-3 PROD Comm Alloc'!$A$193:$L$238</definedName>
    <definedName name="Sch_E3.2b_RB_Total_5.2">'FR-16(7)(v)-3 PROD Comm Alloc'!$A$285:$L$334</definedName>
    <definedName name="Sch_E3.2b_RofR_11">'FR-16(7)(v)-3 PROD Comm Alloc'!$A$656:$L$694</definedName>
    <definedName name="Sch_E3.2b_SIT_Return_9.1">'FR-16(7)(v)-3 PROD Comm Alloc'!$A$567:$L$612</definedName>
    <definedName name="Sch_E3.2b_Summary_1">'FR-16(7)(v)-3 PROD Comm Alloc'!$A$1:$L$28</definedName>
    <definedName name="Sch_E3.2b_Taxes_Other_Than_Income_8">'FR-16(7)(v)-3 PROD Comm Alloc'!$A$467:$L$501</definedName>
    <definedName name="SCH_E3.2c">'FR-16(7)(v)-4 DISTR Classified'!$A$1:$K$844</definedName>
    <definedName name="Sch_E3.2c_Alloc_12">'FR-16(7)(v)-4 DISTR Classified'!$A$696:$K$745</definedName>
    <definedName name="Sch_E3.2c_Alloc_12.1">'FR-16(7)(v)-4 DISTR Classified'!$A$747:$K$803</definedName>
    <definedName name="Sch_E3.2c_Alloc_12.2">'FR-16(7)(v)-4 DISTR Classified'!$A$805:$K$844</definedName>
    <definedName name="Sch_E3.2c_COS_Compute_10">'FR-16(7)(v)-4 DISTR Classified'!$A$614:$K$654</definedName>
    <definedName name="Sch_E3.2c_Depreciation_Expense_7">'FR-16(7)(v)-4 DISTR Classified'!$A$435:$K$465</definedName>
    <definedName name="Sch_E3.2c_Depreciation_Reserve_3">'FR-16(7)(v)-4 DISTR Classified'!$A$103:$K$151</definedName>
    <definedName name="Sch_E3.2c_FIT_Return_9">'FR-16(7)(v)-4 DISTR Classified'!$A$503:$K$565</definedName>
    <definedName name="Sch_E3.2c_FIT_Revenues_13">'FR-16(7)(v)-4 DISTR Classified'!$A$696:$K$745</definedName>
    <definedName name="Sch_E3.2c_Gross_Plant_2">'FR-16(7)(v)-4 DISTR Classified'!$A$46:$K$101</definedName>
    <definedName name="Sch_E3.2c_Net_Plant_4">'FR-16(7)(v)-4 DISTR Classified'!$A$153:$K$191</definedName>
    <definedName name="Sch_E3.2c_OMEXP_6">'FR-16(7)(v)-4 DISTR Classified'!$A$336:$K$389</definedName>
    <definedName name="SCH_E3.2c_OMEXP_6.1">'FR-16(7)(v)-4 DISTR Classified'!$A$391:$K$433</definedName>
    <definedName name="Sch_E3.2c_RB_Additive_Adj_5.1">'FR-16(7)(v)-4 DISTR Classified'!$A$240:$K$283</definedName>
    <definedName name="Sch_E3.2c_RB_Subtractive_Adj_5">'FR-16(7)(v)-4 DISTR Classified'!$A$193:$K$238</definedName>
    <definedName name="Sch_E3.2c_RB_Total_5.2">'FR-16(7)(v)-4 DISTR Classified'!$A$285:$K$334</definedName>
    <definedName name="Sch_E3.2c_RofR_11">'FR-16(7)(v)-4 DISTR Classified'!$A$656:$K$694</definedName>
    <definedName name="Sch_E3.2c_SIT_Return_9.1">'FR-16(7)(v)-4 DISTR Classified'!$A$567:$K$612</definedName>
    <definedName name="Sch_E3.2c_Summary_1">'FR-16(7)(v)-4 DISTR Classified'!$A$1:$K$28</definedName>
    <definedName name="Sch_E3.2c_Taxes_Other_Than_Income_8">'FR-16(7)(v)-4 DISTR Classified'!$A$467:$K$501</definedName>
    <definedName name="SCH_E3.2d">'FR-16(7)(v)-5 DISTR Dem Alloc'!$A$1:$L$844</definedName>
    <definedName name="Sch_E3.2d_Alloc_12">'FR-16(7)(v)-5 DISTR Dem Alloc'!$A$696:$L$746</definedName>
    <definedName name="Sch_E3.2d_Alloc_12.1">'FR-16(7)(v)-5 DISTR Dem Alloc'!$A$747:$L$803</definedName>
    <definedName name="Sch_E3.2d_Alloc_12.2">'FR-16(7)(v)-5 DISTR Dem Alloc'!$A$805:$L$844</definedName>
    <definedName name="Sch_E3.2d_COS_Compute_10">'FR-16(7)(v)-5 DISTR Dem Alloc'!$A$614:$L$655</definedName>
    <definedName name="Sch_E3.2d_Depreciation_Expense_7">'FR-16(7)(v)-5 DISTR Dem Alloc'!$A$435:$L$465</definedName>
    <definedName name="Sch_E3.2d_Depreciation_Reserve_3">'FR-16(7)(v)-5 DISTR Dem Alloc'!$A$103:$L$151</definedName>
    <definedName name="Sch_E3.2d_FIT_Return_9">'FR-16(7)(v)-5 DISTR Dem Alloc'!$A$503:$L$565</definedName>
    <definedName name="Sch_E3.2d_FIT_Revenue_13">'FR-16(7)(v)-5 DISTR Dem Alloc'!$A$696:$L$900</definedName>
    <definedName name="Sch_E3.2d_Gross_Plant_2">'FR-16(7)(v)-5 DISTR Dem Alloc'!$A$46:$L$101</definedName>
    <definedName name="Sch_E3.2d_Net_Plant_4">'FR-16(7)(v)-5 DISTR Dem Alloc'!$A$153:$L$191</definedName>
    <definedName name="Sch_E3.2d_OMEXP_6">'FR-16(7)(v)-5 DISTR Dem Alloc'!$A$336:$L$389</definedName>
    <definedName name="Sch_E3.2d_OMEXP_6.1">'FR-16(7)(v)-5 DISTR Dem Alloc'!$A$391:$L$433</definedName>
    <definedName name="Sch_E3.2d_RB_Additive_Adj_5.1">'FR-16(7)(v)-5 DISTR Dem Alloc'!$A$240:$L$283</definedName>
    <definedName name="Sch_E3.2d_RB_Subtractive_Adj_5">'FR-16(7)(v)-5 DISTR Dem Alloc'!$A$193:$L$238</definedName>
    <definedName name="Sch_E3.2d_RB_Total_5.2">'FR-16(7)(v)-5 DISTR Dem Alloc'!$A$285:$L$334</definedName>
    <definedName name="Sch_E3.2d_RofR_11">'FR-16(7)(v)-5 DISTR Dem Alloc'!$A$656:$L$694</definedName>
    <definedName name="Sch_E3.2d_SIT_Return_9.1">'FR-16(7)(v)-5 DISTR Dem Alloc'!$A$567:$L$612</definedName>
    <definedName name="Sch_E3.2d_Summary_1">'FR-16(7)(v)-5 DISTR Dem Alloc'!$A$1:$L$28</definedName>
    <definedName name="Sch_E3.2d_Taxes_Other_Than_Income_8">'FR-16(7)(v)-5 DISTR Dem Alloc'!$A$467:$L$501</definedName>
    <definedName name="SCH_E3.2e">'FR-16(7)(v)-6 DISTR Cust Alloc'!$A$1:$L$844</definedName>
    <definedName name="Sch_E3.2e_Alloc_12">'FR-16(7)(v)-6 DISTR Cust Alloc'!$A$695:$L$746</definedName>
    <definedName name="Sch_E3.2e_Alloc_12.1">'FR-16(7)(v)-6 DISTR Cust Alloc'!$A$747:$L$803</definedName>
    <definedName name="Sch_E3.2e_Alloc_12.2">'FR-16(7)(v)-6 DISTR Cust Alloc'!$A$805:$L$844</definedName>
    <definedName name="Sch_E3.2e_COS_Compute_10">'FR-16(7)(v)-6 DISTR Cust Alloc'!$A$614:$L$655</definedName>
    <definedName name="Sch_E3.2e_Depreciation_Expense_7">'FR-16(7)(v)-6 DISTR Cust Alloc'!$A$435:$L$465</definedName>
    <definedName name="Sch_E3.2e_Depreciation_Reserve_3">'FR-16(7)(v)-6 DISTR Cust Alloc'!$A$103:$L$151</definedName>
    <definedName name="Sch_E3.2e_FIT_Return_9">'FR-16(7)(v)-6 DISTR Cust Alloc'!$A$503:$L$565</definedName>
    <definedName name="Sch_E3.2e_FIT_Revenue_13">'FR-16(7)(v)-6 DISTR Cust Alloc'!$A$696:$L$900</definedName>
    <definedName name="Sch_E3.2e_Gross_Plant_2">'FR-16(7)(v)-6 DISTR Cust Alloc'!$A$46:$L$101</definedName>
    <definedName name="Sch_E3.2e_Net_Plant_4">'FR-16(7)(v)-6 DISTR Cust Alloc'!$A$153:$L$191</definedName>
    <definedName name="Sch_E3.2e_OMEXP_6">'FR-16(7)(v)-6 DISTR Cust Alloc'!$A$336:$L$389</definedName>
    <definedName name="Sch_E3.2e_OMEXP_6.1">'FR-16(7)(v)-6 DISTR Cust Alloc'!$A$391:$L$433</definedName>
    <definedName name="Sch_E3.2e_RB_Additive_Adj_5.1">'FR-16(7)(v)-6 DISTR Cust Alloc'!$A$240:$L$283</definedName>
    <definedName name="Sch_E3.2e_RB_Subtractive_Adj_5">'FR-16(7)(v)-6 DISTR Cust Alloc'!$A$193:$L$238</definedName>
    <definedName name="Sch_E3.2e_RB_Total_5.2">'FR-16(7)(v)-6 DISTR Cust Alloc'!$A$285:$L$334</definedName>
    <definedName name="Sch_E3.2e_RofR_11">'FR-16(7)(v)-6 DISTR Cust Alloc'!$A$656:$L$694</definedName>
    <definedName name="Sch_E3.2e_SIT_Return_9.1">'FR-16(7)(v)-6 DISTR Cust Alloc'!$A$614:$L$654</definedName>
    <definedName name="Sch_E3.2e_Summary_1">'FR-16(7)(v)-6 DISTR Cust Alloc'!$A$1:$L$28</definedName>
    <definedName name="Sch_E3.2e_Taxes_Other_Than_Income_8">'FR-16(7)(v)-6 DISTR Cust Alloc'!$A$467:$L$501</definedName>
    <definedName name="SCH_E3.2f">'FR-16(7)(v)-8 TOT CLASS Alloc'!$A$1:$L$694</definedName>
    <definedName name="Sch_E3.2f_COS_Compute_10">'FR-16(7)(v)-8 TOT CLASS Alloc'!$A$614:$L$655</definedName>
    <definedName name="Sch_E3.2f_Depreciation_Expense_7">'FR-16(7)(v)-8 TOT CLASS Alloc'!$A$435:$L$465</definedName>
    <definedName name="Sch_E3.2f_Depreciation_Reserve_3">'FR-16(7)(v)-8 TOT CLASS Alloc'!$A$103:$L$151</definedName>
    <definedName name="Sch_E3.2f_FIT_Return_9">'FR-16(7)(v)-8 TOT CLASS Alloc'!$A$503:$L$565</definedName>
    <definedName name="Sch_E3.2f_FIT_Revenue_13">'FR-16(7)(v)-8 TOT CLASS Alloc'!$A$861:$L$900</definedName>
    <definedName name="Sch_E3.2f_Gross_Plant_2">'FR-16(7)(v)-8 TOT CLASS Alloc'!$A$46:$L$101</definedName>
    <definedName name="Sch_E3.2f_Net_Plant_4">'FR-16(7)(v)-8 TOT CLASS Alloc'!$A$153:$L$191</definedName>
    <definedName name="Sch_E3.2f_OMEXP_6">'FR-16(7)(v)-8 TOT CLASS Alloc'!$A$336:$L$389</definedName>
    <definedName name="Sch_E3.2f_OMEXP_6.1">'FR-16(7)(v)-8 TOT CLASS Alloc'!$A$391:$L$433</definedName>
    <definedName name="Sch_E3.2f_RB_Additive_Adj_5.1">'FR-16(7)(v)-8 TOT CLASS Alloc'!$A$240:$L$283</definedName>
    <definedName name="Sch_E3.2f_RB_Subtractive_Adj_5">'FR-16(7)(v)-8 TOT CLASS Alloc'!$A$193:$L$238</definedName>
    <definedName name="Sch_E3.2f_RB_Total_5.2">'FR-16(7)(v)-8 TOT CLASS Alloc'!$A$285:$L$334</definedName>
    <definedName name="Sch_E3.2f_RofR_11">'FR-16(7)(v)-8 TOT CLASS Alloc'!$A$656:$L$694</definedName>
    <definedName name="Sch_E3.2f_SIT_Return_9.1">'FR-16(7)(v)-8 TOT CLASS Alloc'!$A$567:$L$612</definedName>
    <definedName name="Sch_E3.2f_Summary_1">'FR-16(7)(v)-8 TOT CLASS Alloc'!$A$1:$L$44</definedName>
    <definedName name="Sch_E3.2f_Taxes_Other_Than_Income_8">'FR-16(7)(v)-8 TOT CLASS Alloc'!$A$467:$L$501</definedName>
    <definedName name="SCH_E3.2g">'FR-16(7)(v)-9 RES Classified'!$A$1:$K$694</definedName>
    <definedName name="Sch_E3.2g_COS_Compute_10">'FR-16(7)(v)-9 RES Classified'!$A$614:$K$654</definedName>
    <definedName name="Sch_E3.2g_Depreciation_Expense_7">'FR-16(7)(v)-9 RES Classified'!$A$435:$K$465</definedName>
    <definedName name="Sch_E3.2g_Depreciation_Reserve_3">'FR-16(7)(v)-9 RES Classified'!$A$103:$K$151</definedName>
    <definedName name="Sch_E3.2g_FIT_Return_9">'FR-16(7)(v)-9 RES Classified'!$A$503:$K$565</definedName>
    <definedName name="Sch_E3.2g_FIT_Revenue_13">'FR-16(7)(v)-9 RES Classified'!$A$863:$K$899</definedName>
    <definedName name="Sch_E3.2g_Gross_Plant_2">'FR-16(7)(v)-9 RES Classified'!$A$46:$K$101</definedName>
    <definedName name="Sch_E3.2g_Net_Plant_4">'FR-16(7)(v)-9 RES Classified'!$A$153:$K$191</definedName>
    <definedName name="Sch_E3.2g_OMEXP_6">'FR-16(7)(v)-9 RES Classified'!$A$336:$K$389</definedName>
    <definedName name="Sch_E3.2g_OMEXP_6.1">'FR-16(7)(v)-9 RES Classified'!$A$391:$K$433</definedName>
    <definedName name="SCH_E3.2g_RB_ADDITIVE_ADJ_5.1">'FR-16(7)(v)-9 RES Classified'!$A$240:$K$283</definedName>
    <definedName name="Sch_E3.2g_RB_Subtractive_Adj_5">'FR-16(7)(v)-9 RES Classified'!$A$193:$K$238</definedName>
    <definedName name="Sch_E3.2g_RB_Total_5.2">'FR-16(7)(v)-9 RES Classified'!$A$285:$K$334</definedName>
    <definedName name="Sch_E3.2g_RofR_11">'FR-16(7)(v)-9 RES Classified'!$A$656:$K$694</definedName>
    <definedName name="Sch_E3.2g_SIT_Return_9.1">'FR-16(7)(v)-9 RES Classified'!$A$567:$K$612</definedName>
    <definedName name="Sch_E3.2g_Summary_1">'FR-16(7)(v)-9 RES Classified'!$A$1:$K$28</definedName>
    <definedName name="Sch_E3.2g_Taxes_Other_Than_Income_8">'FR-16(7)(v)-9 RES Classified'!$A$467:$K$501</definedName>
    <definedName name="SCH_E3.2h">'FR-16(7)(v)-10 GS Classified'!$A$1:$K$694</definedName>
    <definedName name="Sch_E3.2h_COS_Compute_10">'FR-16(7)(v)-10 GS Classified'!$A$614:$K$654</definedName>
    <definedName name="Sch_E3.2h_Depreciation_Expense_7">'FR-16(7)(v)-10 GS Classified'!$A$435:$K$465</definedName>
    <definedName name="Sch_E3.2h_Depreciation_Reserve_3">'FR-16(7)(v)-10 GS Classified'!$A$103:$K$151</definedName>
    <definedName name="Sch_E3.2h_FIT_Return_9">'FR-16(7)(v)-10 GS Classified'!$A$503:$K$565</definedName>
    <definedName name="Sch_E3.2h_FIT_Revenue_13">'FR-16(7)(v)-10 GS Classified'!$A$852:$K$899</definedName>
    <definedName name="Sch_E3.2h_Gross_Plant_2">'FR-16(7)(v)-10 GS Classified'!$A$46:$K$101</definedName>
    <definedName name="Sch_E3.2h_Net_Plant_4">'FR-16(7)(v)-10 GS Classified'!$A$153:$K$191</definedName>
    <definedName name="Sch_E3.2h_OMEXP_6">'FR-16(7)(v)-10 GS Classified'!$A$336:$K$389</definedName>
    <definedName name="Sch_E3.2h_OMEXP_6.1">'FR-16(7)(v)-10 GS Classified'!$A$391:$K$433</definedName>
    <definedName name="Sch_E3.2h_RB_Additive_Adj_5.1">'FR-16(7)(v)-10 GS Classified'!$A$240:$K$283</definedName>
    <definedName name="Sch_E3.2h_RB_Subtractive_Adj_5">'FR-16(7)(v)-10 GS Classified'!$A$193:$K$238</definedName>
    <definedName name="Sch_E3.2h_RB_Total_5.2">'FR-16(7)(v)-10 GS Classified'!$A$285:$K$334</definedName>
    <definedName name="Sch_E3.2h_RofR_11">'FR-16(7)(v)-10 GS Classified'!$A$656:$K$694</definedName>
    <definedName name="Sch_E3.2h_SIT_Return_9.1">'FR-16(7)(v)-10 GS Classified'!$A$567:$K$612</definedName>
    <definedName name="Sch_E3.2h_Summary_1">'FR-16(7)(v)-10 GS Classified'!$A$1:$K$28</definedName>
    <definedName name="Sch_E3.2h_Taxes_Other_Than_Income_8">'FR-16(7)(v)-10 GS Classified'!$A$467:$K$501</definedName>
    <definedName name="SCH_E3.2i">'FR-16(7)(v)-11 FTL Classified'!$A$1:$K$694</definedName>
    <definedName name="Sch_E3.2i_COS_Compute_10">'FR-16(7)(v)-11 FTL Classified'!$A$614:$K$654</definedName>
    <definedName name="Sch_E3.2i_Depreciation_Expense_7">'FR-16(7)(v)-11 FTL Classified'!$A$435:$K$465</definedName>
    <definedName name="Sch_E3.2i_Depreciation_Reserve_3">'FR-16(7)(v)-11 FTL Classified'!$A$103:$K$151</definedName>
    <definedName name="Sch_E3.2i_FIT_Return_9">'FR-16(7)(v)-11 FTL Classified'!$A$503:$K$565</definedName>
    <definedName name="Sch_E3.2i_FIT_Revenue_13">'FR-16(7)(v)-11 FTL Classified'!$A$863:$K$899</definedName>
    <definedName name="Sch_E3.2i_Gross_Plant_2">'FR-16(7)(v)-11 FTL Classified'!$A$46:$K$101</definedName>
    <definedName name="Sch_E3.2i_Net_Plant_4">'FR-16(7)(v)-11 FTL Classified'!$A$153:$K$191</definedName>
    <definedName name="Sch_E3.2i_OMEXP_6">'FR-16(7)(v)-11 FTL Classified'!$A$336:$K$389</definedName>
    <definedName name="Sch_E3.2i_OMEXP_6.1">'FR-16(7)(v)-11 FTL Classified'!$A$391:$K$433</definedName>
    <definedName name="Sch_E3.2i_RB_Additive_Adj_5.1">'FR-16(7)(v)-11 FTL Classified'!$A$240:$K$283</definedName>
    <definedName name="Sch_E3.2i_RB_Subtractive_Adj_5">'FR-16(7)(v)-11 FTL Classified'!$A$193:$K$238</definedName>
    <definedName name="Sch_E3.2i_RB_Total_5.2">'FR-16(7)(v)-11 FTL Classified'!$A$285:$K$334</definedName>
    <definedName name="Sch_E3.2i_RofR_11">'FR-16(7)(v)-11 FTL Classified'!$A$656:$K$694</definedName>
    <definedName name="Sch_E3.2i_SIT_Return_9.1">'FR-16(7)(v)-11 FTL Classified'!$A$567:$K$612</definedName>
    <definedName name="Sch_E3.2i_Summary_1">'FR-16(7)(v)-11 FTL Classified'!$A$1:$K$28</definedName>
    <definedName name="Sch_E3.2i_Taxes_Other_Than_Income_8">'FR-16(7)(v)-11 FTL Classified'!$A$467:$K$501</definedName>
    <definedName name="SCH_E3.2j">'FR-16(7)(v)-12 IT Classified'!$A$1:$K$694</definedName>
    <definedName name="Sch_E3.2j_COS_Compute_10">'FR-16(7)(v)-12 IT Classified'!$A$614:$K$654</definedName>
    <definedName name="Sch_E3.2j_Depreciation_Expense_7">'FR-16(7)(v)-12 IT Classified'!$A$435:$K$465</definedName>
    <definedName name="Sch_E3.2j_Depreciation_Reserve_3">'FR-16(7)(v)-12 IT Classified'!$A$103:$K$151</definedName>
    <definedName name="Sch_E3.2j_FIT_Return_9">'FR-16(7)(v)-12 IT Classified'!$A$503:$K$565</definedName>
    <definedName name="Sch_E3.2j_FIT_Revenue_13">'FR-16(7)(v)-12 IT Classified'!$A$863:$K$899</definedName>
    <definedName name="Sch_E3.2j_Gross_Plant_2">'FR-16(7)(v)-12 IT Classified'!$A$46:$K$101</definedName>
    <definedName name="Sch_E3.2j_Net_Plant_4">'FR-16(7)(v)-12 IT Classified'!$A$153:$K$191</definedName>
    <definedName name="Sch_E3.2j_OMEXP_6">'FR-16(7)(v)-12 IT Classified'!$A$336:$K$389</definedName>
    <definedName name="Sch_E3.2j_OMEXP_6.1">'FR-16(7)(v)-12 IT Classified'!$A$391:$K$433</definedName>
    <definedName name="Sch_E3.2j_RB_Additive_Adj_5.1">'FR-16(7)(v)-12 IT Classified'!$A$240:$K$283</definedName>
    <definedName name="Sch_E3.2j_RB_Subtractive_Adj_5">'FR-16(7)(v)-12 IT Classified'!$A$193:$K$238</definedName>
    <definedName name="Sch_E3.2j_RB_Total_5.2">'FR-16(7)(v)-12 IT Classified'!$A$285:$K$334</definedName>
    <definedName name="Sch_E3.2j_RofR_11">'FR-16(7)(v)-12 IT Classified'!$A$656:$K$694</definedName>
    <definedName name="Sch_E3.2j_SIT_Return_9.1">'FR-16(7)(v)-12 IT Classified'!$A$567:$K$612</definedName>
    <definedName name="Sch_E3.2j_Summary_1">'FR-16(7)(v)-12 IT Classified'!$A$1:$K$28</definedName>
    <definedName name="Sch_E3.2j_Taxes_Other_Than_Income_8">'FR-16(7)(v)-12 IT Classified'!$A$467:$K$501</definedName>
    <definedName name="Services_Cost">'WP FR-16(7)(v)-Services'!$D$109:$D$158</definedName>
    <definedName name="Services_Kind">'WP FR-16(7)(v)-Services'!$A$109:$A$158</definedName>
    <definedName name="Services_Quantity">'WP FR-16(7)(v)-Services'!$C$109:$C$158</definedName>
    <definedName name="Services_Size">'WP FR-16(7)(v)-Services'!$B$109:$B$158</definedName>
    <definedName name="Services_Type">'WP FR-16(7)(v)-Services'!$E$109:$E$158</definedName>
    <definedName name="SIT">'FR-16(7)(v)-1 Functional'!$F$693</definedName>
    <definedName name="solver_adj" localSheetId="4" hidden="1">'FR-16(7)(v)-1 Functional'!$F$528</definedName>
    <definedName name="solver_cvg" localSheetId="4" hidden="1">0.0001</definedName>
    <definedName name="solver_drv" localSheetId="4" hidden="1">1</definedName>
    <definedName name="solver_est" localSheetId="4" hidden="1">1</definedName>
    <definedName name="solver_itr" localSheetId="4" hidden="1">100</definedName>
    <definedName name="solver_lin" localSheetId="4" hidden="1">2</definedName>
    <definedName name="solver_neg" localSheetId="4" hidden="1">2</definedName>
    <definedName name="solver_num" localSheetId="4" hidden="1">0</definedName>
    <definedName name="solver_nwt" localSheetId="4" hidden="1">1</definedName>
    <definedName name="solver_opt" localSheetId="4" hidden="1">'FR-16(7)(v)-1 Functional'!$F$557</definedName>
    <definedName name="solver_pre" localSheetId="4" hidden="1">0.000001</definedName>
    <definedName name="solver_scl" localSheetId="4" hidden="1">2</definedName>
    <definedName name="solver_sho" localSheetId="4" hidden="1">2</definedName>
    <definedName name="solver_tim" localSheetId="4" hidden="1">100</definedName>
    <definedName name="solver_tol" localSheetId="4" hidden="1">0.05</definedName>
    <definedName name="solver_typ" localSheetId="4" hidden="1">3</definedName>
    <definedName name="solver_val" localSheetId="4" hidden="1">11876343</definedName>
    <definedName name="Swvu.Alloc._.Factors." localSheetId="16" hidden="1">'Alloc Factors Summary'!$E$30</definedName>
    <definedName name="Swvu.AverageExcess." localSheetId="16" hidden="1">'Alloc Factors Summary'!$E$30</definedName>
    <definedName name="test_period">'Print &amp; Input'!$A$4</definedName>
    <definedName name="time_period">'Print &amp; Input'!$A$10</definedName>
    <definedName name="type">'Print &amp; Input'!$A$8</definedName>
    <definedName name="Witness">'Print &amp; Input'!$A$6</definedName>
    <definedName name="Witness1">'Print &amp; Input'!$A$7</definedName>
    <definedName name="WorkingCap">'Print &amp; Input'!$D$1</definedName>
    <definedName name="WPE_3.2a_P1">'Alloc Factors Summary'!$A$1:$H$48</definedName>
    <definedName name="WPE_3.2a_P2">'Alloc Factors Summary'!$A$49:$H$122</definedName>
    <definedName name="WPE_3.2a_P3">'Alloc Factors Summary'!$A$124:$H$176</definedName>
    <definedName name="WPE_3.2b_P1">'WP FR-16(7)(v)-Peak &amp; Avg'!$A$1:$S$48</definedName>
    <definedName name="WPE_3.2c_P1">'WP FR-16(7)(v)-Daily Dem'!$A$1:$L$47</definedName>
    <definedName name="WPE_3.2c_P2">'WP FR-16(7)(v)-Daily Dem'!$A$49:$L$96</definedName>
    <definedName name="WPE_3.2c_P3">'WP FR-16(7)(v)-Daily Dem'!$A$98:$L$146</definedName>
    <definedName name="WPE_3.2c_P4">'WP FR-16(7)(v)-Daily Gas Stats'!$A$1:$S$35</definedName>
    <definedName name="WPE_3.2c_P5">'WP FR-16(7)(v)-Daily Gas Stats'!$A$38:$S$72</definedName>
    <definedName name="WPE_3.2c_P6">'WP FR-16(7)(v)-Daily Gas Stats'!$A$75:$S$110</definedName>
    <definedName name="WPE_3.2c_P7">'WP FR-16(7)(v)-Daily Gas Stats'!$A$112:$S$147</definedName>
    <definedName name="WPE_3.2d_P1">'WP FR-16(7)(v)-IndustrialM&amp;R'!$A$1:$G$19</definedName>
    <definedName name="WPE_3.2e_P1">'WP FR-16(7)(v)-Mains (Plastic)'!$A$1:$H$40</definedName>
    <definedName name="WPE_3.2e_P2">'WP FR-16(7)(v)-Plastic Summary'!$A$1:$G$30</definedName>
    <definedName name="WPE_3.2e_P3">'WP FR-16(7)(v)-Mains backup'!$A$1:$E$25</definedName>
    <definedName name="WPE_3.2f_P1">'WP FR-16(7)(v)-Services'!$A$1:$M$44</definedName>
    <definedName name="WPE_3.2f_P2">'WP FR-16(7)(v)-Services'!$A$46:$M$82</definedName>
    <definedName name="WPE_3.2f_P3">'WP FR-16(7)(v)-Services'!$A$84:$G$99</definedName>
    <definedName name="WPE_3.2f_P4">'WP FR-16(7)(v)-Services'!$A$101:$G$159</definedName>
    <definedName name="WPE_3.2g_P1" localSheetId="25">'WP FR-16(7)(v)-House Reg DEK'!$A$1:$E$50</definedName>
    <definedName name="WPE_3.2g_P1">#REF!</definedName>
    <definedName name="WPE_3.2g_P2" localSheetId="25">'WP FR-16(7)(v)-House Reg DEK'!$G$53:$J$125</definedName>
    <definedName name="WPE_3.2g_P2">#REF!</definedName>
    <definedName name="WPE_3.2i_P1">'WP FR-16(7)(v)-CustAcctg'!$A$1:$G$32</definedName>
    <definedName name="WPE_3.2j_P1">'WP FR-16(7)(v)-A&amp;G WP'!$A$1:$H$26</definedName>
    <definedName name="WPE_3.2k_P1">'WP FR-16(7)(v) Pres NOI'!$A$1:$L$52</definedName>
    <definedName name="WPE_3.2l_P1">'WP FR-16(7)(v)Rate Incr (15.0%)'!$A$1:$N$35</definedName>
    <definedName name="WPE_3.2l_P2">'WP FR-16(7)(v)RateIncr (42.36%)'!$A$1:$N$35</definedName>
    <definedName name="WPE_3.2l_P3">'WP FR-16(7)(v)Rate Incr (75%)'!$A$1:$N$35</definedName>
    <definedName name="WPE_3.2l_P4">'WP FR-16(7)(v)Rate Incr (100%)'!$A$1:$N$35</definedName>
    <definedName name="wrn.Allocation._.Factors." localSheetId="21" hidden="1">{#N/A,#N/A,FALSE,"Alloc Factors";#N/A,#N/A,FALSE,"AverageExcess";#N/A,#N/A,FALSE,"Monthly Data";#N/A,#N/A,FALSE,"HighPressure";#N/A,#N/A,FALSE,"IndustrialM&amp;R";#N/A,#N/A,FALSE,"Mains";#N/A,#N/A,FALSE,"Services"}</definedName>
    <definedName name="wrn.Allocation._.Factors." hidden="1">{#N/A,#N/A,FALSE,"Alloc Factors";#N/A,#N/A,FALSE,"AverageExcess";#N/A,#N/A,FALSE,"Monthly Data";#N/A,#N/A,FALSE,"HighPressure";#N/A,#N/A,FALSE,"IndustrialM&amp;R";#N/A,#N/A,FALSE,"Mains";#N/A,#N/A,FALSE,"Services"}</definedName>
    <definedName name="wvu.Alloc._.Factors." localSheetId="16" hidden="1">{TRUE,TRUE,-2.75,-17,484.5,254.25,FALSE,TRUE,TRUE,TRUE,0,1,#N/A,20,#N/A,8.30357142857143,18.5333333333333,1,FALSE,FALSE,3,TRUE,1,FALSE,100,"Swvu.Alloc._.Factors.","ACwvu.Alloc._.Factors.",#N/A,FALSE,FALSE,0.75,0.75,1,0.5,1,"","",TRUE,FALSE,FALSE,FALSE,1,86,#N/A,#N/A,"=R1C1:R188C8",FALSE,#N/A,#N/A,FALSE,FALSE,TRUE,1,600,600,FALSE,FALSE,TRUE,TRUE,TRUE}</definedName>
    <definedName name="wvu.AverageExcess." localSheetId="16" hidden="1">{TRUE,TRUE,-2.75,-17,484.5,254.25,FALSE,TRUE,TRUE,TRUE,0,1,#N/A,20,#N/A,8.30357142857143,18.5333333333333,1,FALSE,FALSE,3,TRUE,1,FALSE,100,"Swvu.AverageExcess.","ACwvu.AverageExcess.",#N/A,FALSE,FALSE,0.75,0.75,1,0.5,1,"","",TRUE,FALSE,FALSE,FALSE,1,86,#N/A,#N/A,"=R1C1:R188C8",FALSE,#N/A,#N/A,FALSE,FALSE,TRUE,1,600,600,FALSE,FALSE,TRUE,TRUE,TRUE}</definedName>
    <definedName name="Z_8C513297_24D7_11D4_A146_00508B02F8B2_.wvu.PrintArea" localSheetId="16" hidden="1">'Alloc Factors Summary'!$A$1:$H$161</definedName>
    <definedName name="Z_8C513298_24D7_11D4_A146_00508B02F8B2_.wvu.PrintArea" localSheetId="16" hidden="1">'Alloc Factors Summary'!$A$1:$H$161</definedName>
  </definedNames>
  <calcPr calcId="145621" iterate="1"/>
</workbook>
</file>

<file path=xl/calcChain.xml><?xml version="1.0" encoding="utf-8"?>
<calcChain xmlns="http://schemas.openxmlformats.org/spreadsheetml/2006/main">
  <c r="F679" i="9" l="1"/>
  <c r="F678" i="9"/>
  <c r="F676" i="9"/>
  <c r="F671" i="9"/>
  <c r="F670" i="9"/>
  <c r="F668" i="9"/>
  <c r="F385" i="9"/>
  <c r="F316" i="9"/>
  <c r="F307" i="9"/>
  <c r="F302" i="9"/>
  <c r="F301" i="9"/>
  <c r="F461" i="9"/>
  <c r="F457" i="9"/>
  <c r="F453" i="9"/>
  <c r="F446" i="9"/>
  <c r="G19" i="3"/>
  <c r="E19" i="3"/>
  <c r="F130" i="9"/>
  <c r="F129" i="9"/>
  <c r="F128" i="9"/>
  <c r="F127" i="9"/>
  <c r="F126" i="9"/>
  <c r="F124" i="9"/>
  <c r="F123" i="9"/>
  <c r="F122" i="9"/>
  <c r="F114" i="9"/>
  <c r="F19" i="3"/>
  <c r="D19" i="3"/>
  <c r="F77" i="9"/>
  <c r="F76" i="9"/>
  <c r="F75" i="9"/>
  <c r="F74" i="9"/>
  <c r="F73" i="9"/>
  <c r="F72" i="9"/>
  <c r="F71" i="9"/>
  <c r="F70" i="9"/>
  <c r="F69" i="9"/>
  <c r="F68" i="9"/>
  <c r="F57" i="9"/>
  <c r="F578" i="9"/>
  <c r="F535" i="9"/>
  <c r="F531" i="9"/>
  <c r="F530" i="9"/>
  <c r="F521" i="9"/>
  <c r="F520" i="9"/>
  <c r="D57" i="5"/>
  <c r="F491" i="9"/>
  <c r="D41" i="5"/>
  <c r="F382" i="9"/>
  <c r="F381" i="9"/>
  <c r="F484" i="9"/>
  <c r="F377" i="9"/>
  <c r="F373" i="9"/>
  <c r="F372" i="9"/>
  <c r="F371" i="9"/>
  <c r="F370" i="9"/>
  <c r="F369" i="9"/>
  <c r="F368" i="9"/>
  <c r="F367" i="9"/>
  <c r="F421" i="9"/>
  <c r="D31" i="5"/>
  <c r="D30" i="5"/>
  <c r="F479" i="9"/>
  <c r="F419" i="9"/>
  <c r="F418" i="9"/>
  <c r="F417" i="9"/>
  <c r="F280" i="9"/>
  <c r="D38" i="5"/>
  <c r="D39" i="5" s="1"/>
  <c r="F235" i="9"/>
  <c r="F274" i="9"/>
  <c r="F228" i="9"/>
  <c r="F220" i="9"/>
  <c r="F214" i="9"/>
  <c r="F206" i="9"/>
  <c r="D22" i="5"/>
  <c r="D19" i="5"/>
  <c r="D18" i="5"/>
  <c r="F232" i="9"/>
  <c r="D17" i="5"/>
  <c r="D14" i="5"/>
  <c r="F693" i="9"/>
  <c r="D3" i="5"/>
  <c r="C19" i="27"/>
  <c r="E13" i="8" l="1"/>
  <c r="D13" i="8"/>
  <c r="C13" i="8"/>
  <c r="E13" i="24"/>
  <c r="D13" i="24"/>
  <c r="C13" i="24"/>
  <c r="E13" i="7"/>
  <c r="D13" i="7"/>
  <c r="C13" i="7"/>
  <c r="K570" i="162" l="1"/>
  <c r="K506" i="162"/>
  <c r="K470" i="162"/>
  <c r="K438" i="162"/>
  <c r="K394" i="162"/>
  <c r="K339" i="162"/>
  <c r="K288" i="162"/>
  <c r="K243" i="162"/>
  <c r="K196" i="162"/>
  <c r="K156" i="162"/>
  <c r="K106" i="162"/>
  <c r="K49" i="162"/>
  <c r="K4" i="162"/>
  <c r="K750" i="160"/>
  <c r="K750" i="161"/>
  <c r="K750" i="155"/>
  <c r="K699" i="160"/>
  <c r="K699" i="161"/>
  <c r="K699" i="155"/>
  <c r="K659" i="160"/>
  <c r="K659" i="161"/>
  <c r="K659" i="155"/>
  <c r="K617" i="160"/>
  <c r="K617" i="161"/>
  <c r="K617" i="155"/>
  <c r="K570" i="160"/>
  <c r="K570" i="161"/>
  <c r="K570" i="155"/>
  <c r="K506" i="160"/>
  <c r="K506" i="161"/>
  <c r="K506" i="155"/>
  <c r="K470" i="160"/>
  <c r="K470" i="161"/>
  <c r="K470" i="155"/>
  <c r="K438" i="160"/>
  <c r="K438" i="161"/>
  <c r="K438" i="155"/>
  <c r="K394" i="160"/>
  <c r="K394" i="161"/>
  <c r="K394" i="155"/>
  <c r="K339" i="160"/>
  <c r="K339" i="161"/>
  <c r="K339" i="155"/>
  <c r="K288" i="160"/>
  <c r="K288" i="161"/>
  <c r="K288" i="155"/>
  <c r="K243" i="160"/>
  <c r="K243" i="161"/>
  <c r="K243" i="155"/>
  <c r="K196" i="160"/>
  <c r="K196" i="161"/>
  <c r="K196" i="155"/>
  <c r="K156" i="160"/>
  <c r="K156" i="161"/>
  <c r="K156" i="155"/>
  <c r="K106" i="160"/>
  <c r="K106" i="161"/>
  <c r="K106" i="155"/>
  <c r="K49" i="160"/>
  <c r="K49" i="161"/>
  <c r="K49" i="155"/>
  <c r="K4" i="160"/>
  <c r="K4" i="161"/>
  <c r="K4" i="155"/>
  <c r="J750" i="157"/>
  <c r="J750" i="159"/>
  <c r="J750" i="9"/>
  <c r="J699" i="157"/>
  <c r="J699" i="159"/>
  <c r="J699" i="9"/>
  <c r="J659" i="157"/>
  <c r="J659" i="159"/>
  <c r="J659" i="9"/>
  <c r="J617" i="157"/>
  <c r="J617" i="159"/>
  <c r="J617" i="9"/>
  <c r="J570" i="157"/>
  <c r="J570" i="159"/>
  <c r="J570" i="9"/>
  <c r="J506" i="157"/>
  <c r="J506" i="159"/>
  <c r="J506" i="9"/>
  <c r="J470" i="157"/>
  <c r="J470" i="159"/>
  <c r="J470" i="9"/>
  <c r="J438" i="157"/>
  <c r="J438" i="159"/>
  <c r="J438" i="9"/>
  <c r="J394" i="157"/>
  <c r="J394" i="159"/>
  <c r="J394" i="9"/>
  <c r="J339" i="157"/>
  <c r="J339" i="159"/>
  <c r="J339" i="9"/>
  <c r="J288" i="157"/>
  <c r="J288" i="159"/>
  <c r="J288" i="9"/>
  <c r="J243" i="157"/>
  <c r="J243" i="159"/>
  <c r="J243" i="9"/>
  <c r="J196" i="157"/>
  <c r="J196" i="159"/>
  <c r="J196" i="9"/>
  <c r="J156" i="157"/>
  <c r="J156" i="159"/>
  <c r="J156" i="9"/>
  <c r="J106" i="157"/>
  <c r="J106" i="159"/>
  <c r="J106" i="9"/>
  <c r="J49" i="157"/>
  <c r="J49" i="159"/>
  <c r="J49" i="9"/>
  <c r="J4" i="157"/>
  <c r="J4" i="159"/>
  <c r="J4" i="9"/>
  <c r="J570" i="158"/>
  <c r="J570" i="164"/>
  <c r="J570" i="165"/>
  <c r="J570" i="166"/>
  <c r="J570" i="167"/>
  <c r="J506" i="158"/>
  <c r="J506" i="164"/>
  <c r="J506" i="165"/>
  <c r="J506" i="166"/>
  <c r="J506" i="167"/>
  <c r="J470" i="158"/>
  <c r="J470" i="164"/>
  <c r="J470" i="165"/>
  <c r="J470" i="166"/>
  <c r="J470" i="167"/>
  <c r="J438" i="158"/>
  <c r="J438" i="164"/>
  <c r="J438" i="165"/>
  <c r="J438" i="166"/>
  <c r="J438" i="167"/>
  <c r="J394" i="158"/>
  <c r="J394" i="164"/>
  <c r="J394" i="165"/>
  <c r="J394" i="166"/>
  <c r="J394" i="167"/>
  <c r="J339" i="158"/>
  <c r="J339" i="164"/>
  <c r="J339" i="165"/>
  <c r="J339" i="166"/>
  <c r="J339" i="167"/>
  <c r="J288" i="158"/>
  <c r="J288" i="164"/>
  <c r="J288" i="165"/>
  <c r="J288" i="166"/>
  <c r="J288" i="167"/>
  <c r="J243" i="158"/>
  <c r="J243" i="164"/>
  <c r="J243" i="165"/>
  <c r="J243" i="166"/>
  <c r="J243" i="167"/>
  <c r="J196" i="158"/>
  <c r="J196" i="164"/>
  <c r="J196" i="165"/>
  <c r="J196" i="166"/>
  <c r="J196" i="167"/>
  <c r="J156" i="158"/>
  <c r="J156" i="164"/>
  <c r="J156" i="165"/>
  <c r="J156" i="166"/>
  <c r="J156" i="167"/>
  <c r="J106" i="158"/>
  <c r="J106" i="164"/>
  <c r="J106" i="165"/>
  <c r="J106" i="166"/>
  <c r="J106" i="167"/>
  <c r="J49" i="158"/>
  <c r="J49" i="164"/>
  <c r="J49" i="165"/>
  <c r="J49" i="166"/>
  <c r="J49" i="167"/>
  <c r="J4" i="158"/>
  <c r="J4" i="164"/>
  <c r="J4" i="165"/>
  <c r="J4" i="166"/>
  <c r="J4" i="167"/>
  <c r="D33" i="8" l="1"/>
  <c r="K32" i="8"/>
  <c r="D31" i="8"/>
  <c r="K31" i="8" s="1"/>
  <c r="K30" i="8"/>
  <c r="D29" i="8"/>
  <c r="K29" i="8" s="1"/>
  <c r="K28" i="8"/>
  <c r="K27" i="8"/>
  <c r="K26" i="8"/>
  <c r="D26" i="8"/>
  <c r="D33" i="24"/>
  <c r="K32" i="24"/>
  <c r="D31" i="24"/>
  <c r="K31" i="24" s="1"/>
  <c r="K30" i="24"/>
  <c r="D29" i="24"/>
  <c r="K29" i="24" s="1"/>
  <c r="K28" i="24"/>
  <c r="K27" i="24"/>
  <c r="K26" i="24"/>
  <c r="D26" i="24"/>
  <c r="D33" i="7"/>
  <c r="K32" i="7"/>
  <c r="D31" i="7"/>
  <c r="K31" i="7" s="1"/>
  <c r="K30" i="7"/>
  <c r="D29" i="7"/>
  <c r="K29" i="7" s="1"/>
  <c r="K28" i="7"/>
  <c r="K27" i="7"/>
  <c r="K26" i="7"/>
  <c r="D26" i="7"/>
  <c r="K33" i="8" l="1"/>
  <c r="K33" i="24"/>
  <c r="K33" i="7"/>
  <c r="D31" i="6"/>
  <c r="D26" i="6"/>
  <c r="F625" i="9"/>
  <c r="K763" i="155" l="1"/>
  <c r="L763" i="155" s="1"/>
  <c r="K32" i="6" l="1"/>
  <c r="F101" i="35" l="1"/>
  <c r="K46" i="35"/>
  <c r="Q112" i="28"/>
  <c r="Q75" i="28"/>
  <c r="Q38" i="28"/>
  <c r="F692" i="167" l="1"/>
  <c r="F680" i="167"/>
  <c r="F677" i="167"/>
  <c r="F672" i="167"/>
  <c r="F669" i="167"/>
  <c r="F692" i="166"/>
  <c r="F680" i="166"/>
  <c r="F677" i="166"/>
  <c r="F672" i="166"/>
  <c r="F669" i="166"/>
  <c r="F692" i="165"/>
  <c r="F680" i="165"/>
  <c r="F677" i="165"/>
  <c r="F672" i="165"/>
  <c r="F669" i="165"/>
  <c r="F692" i="164"/>
  <c r="F680" i="164"/>
  <c r="F677" i="164"/>
  <c r="F672" i="164"/>
  <c r="F669" i="164"/>
  <c r="D140" i="25"/>
  <c r="D139" i="25"/>
  <c r="D138" i="25"/>
  <c r="D137" i="25"/>
  <c r="L5" i="170"/>
  <c r="A5" i="170"/>
  <c r="A4" i="170"/>
  <c r="L3" i="170"/>
  <c r="A3" i="170"/>
  <c r="L2" i="170"/>
  <c r="A2" i="170"/>
  <c r="A1" i="170"/>
  <c r="M13" i="170" l="1"/>
  <c r="M11" i="170"/>
  <c r="M12" i="170"/>
  <c r="M14" i="170"/>
  <c r="L609" i="162"/>
  <c r="K609" i="162"/>
  <c r="J609" i="162"/>
  <c r="I609" i="162"/>
  <c r="H609" i="162"/>
  <c r="G609" i="162"/>
  <c r="F609" i="162"/>
  <c r="F692" i="162"/>
  <c r="F680" i="162"/>
  <c r="F677" i="162"/>
  <c r="F672" i="162"/>
  <c r="F669" i="162"/>
  <c r="F588" i="162"/>
  <c r="F579" i="162"/>
  <c r="F680" i="161"/>
  <c r="F677" i="161"/>
  <c r="F672" i="161"/>
  <c r="F669" i="161"/>
  <c r="F692" i="161"/>
  <c r="F680" i="160"/>
  <c r="F677" i="160"/>
  <c r="F672" i="160"/>
  <c r="F669" i="160"/>
  <c r="F692" i="160"/>
  <c r="F692" i="159"/>
  <c r="M15" i="170" l="1"/>
  <c r="F588" i="159" l="1"/>
  <c r="F588" i="158"/>
  <c r="F588" i="157"/>
  <c r="C57" i="5" l="1"/>
  <c r="F554" i="9"/>
  <c r="F693" i="167" l="1"/>
  <c r="F693" i="165"/>
  <c r="F693" i="166"/>
  <c r="F693" i="164"/>
  <c r="F693" i="162"/>
  <c r="I612" i="161"/>
  <c r="H602" i="155"/>
  <c r="G602" i="155"/>
  <c r="K612" i="162"/>
  <c r="J602" i="162"/>
  <c r="K612" i="161"/>
  <c r="J602" i="161"/>
  <c r="L602" i="160"/>
  <c r="K612" i="155"/>
  <c r="J602" i="155"/>
  <c r="H602" i="161"/>
  <c r="I612" i="155"/>
  <c r="H612" i="162"/>
  <c r="G602" i="161"/>
  <c r="J612" i="160"/>
  <c r="G612" i="162"/>
  <c r="F602" i="155"/>
  <c r="J612" i="162"/>
  <c r="I602" i="162"/>
  <c r="J612" i="161"/>
  <c r="I602" i="161"/>
  <c r="L612" i="160"/>
  <c r="K602" i="160"/>
  <c r="J612" i="155"/>
  <c r="I602" i="155"/>
  <c r="F693" i="159"/>
  <c r="J602" i="160"/>
  <c r="H612" i="161"/>
  <c r="I602" i="160"/>
  <c r="F602" i="162"/>
  <c r="F602" i="161"/>
  <c r="I612" i="160"/>
  <c r="G612" i="155"/>
  <c r="F612" i="162"/>
  <c r="F612" i="161"/>
  <c r="H612" i="160"/>
  <c r="G602" i="160"/>
  <c r="F612" i="155"/>
  <c r="L602" i="162"/>
  <c r="L602" i="161"/>
  <c r="G612" i="160"/>
  <c r="F602" i="160"/>
  <c r="L602" i="155"/>
  <c r="L612" i="162"/>
  <c r="K602" i="162"/>
  <c r="L612" i="161"/>
  <c r="K602" i="161"/>
  <c r="F693" i="161"/>
  <c r="F612" i="160"/>
  <c r="L612" i="155"/>
  <c r="K602" i="155"/>
  <c r="F693" i="160"/>
  <c r="I612" i="162"/>
  <c r="H602" i="162"/>
  <c r="K612" i="160"/>
  <c r="G602" i="162"/>
  <c r="H612" i="155"/>
  <c r="G612" i="161"/>
  <c r="H602" i="160"/>
  <c r="F693" i="155"/>
  <c r="F578" i="162"/>
  <c r="F580" i="162" s="1"/>
  <c r="F598" i="162" s="1"/>
  <c r="F578" i="158" l="1"/>
  <c r="K612" i="167"/>
  <c r="J612" i="167"/>
  <c r="I612" i="167"/>
  <c r="H612" i="167"/>
  <c r="G612" i="167"/>
  <c r="F612" i="167"/>
  <c r="K602" i="167"/>
  <c r="J602" i="167"/>
  <c r="I602" i="167"/>
  <c r="H602" i="167"/>
  <c r="G602" i="167"/>
  <c r="F602" i="167"/>
  <c r="I576" i="167"/>
  <c r="H576" i="167"/>
  <c r="G576" i="167"/>
  <c r="F575" i="167"/>
  <c r="A571" i="167"/>
  <c r="A570" i="167"/>
  <c r="J569" i="167"/>
  <c r="A569" i="167"/>
  <c r="J568" i="167"/>
  <c r="A568" i="167"/>
  <c r="J567" i="167"/>
  <c r="A567" i="167"/>
  <c r="K612" i="166"/>
  <c r="J612" i="166"/>
  <c r="I612" i="166"/>
  <c r="H612" i="166"/>
  <c r="G612" i="166"/>
  <c r="F612" i="166"/>
  <c r="K602" i="166"/>
  <c r="J602" i="166"/>
  <c r="I602" i="166"/>
  <c r="H602" i="166"/>
  <c r="G602" i="166"/>
  <c r="F602" i="166"/>
  <c r="I576" i="166"/>
  <c r="H576" i="166"/>
  <c r="G576" i="166"/>
  <c r="F575" i="166"/>
  <c r="A571" i="166"/>
  <c r="A570" i="166"/>
  <c r="J569" i="166"/>
  <c r="A569" i="166"/>
  <c r="J568" i="166"/>
  <c r="A568" i="166"/>
  <c r="J567" i="166"/>
  <c r="A567" i="166"/>
  <c r="K612" i="165"/>
  <c r="J612" i="165"/>
  <c r="I612" i="165"/>
  <c r="H612" i="165"/>
  <c r="G612" i="165"/>
  <c r="F612" i="165"/>
  <c r="K602" i="165"/>
  <c r="J602" i="165"/>
  <c r="I602" i="165"/>
  <c r="H602" i="165"/>
  <c r="G602" i="165"/>
  <c r="F602" i="165"/>
  <c r="I576" i="165"/>
  <c r="H576" i="165"/>
  <c r="G576" i="165"/>
  <c r="F575" i="165"/>
  <c r="A571" i="165"/>
  <c r="A570" i="165"/>
  <c r="J569" i="165"/>
  <c r="A569" i="165"/>
  <c r="J568" i="165"/>
  <c r="A568" i="165"/>
  <c r="J567" i="165"/>
  <c r="A567" i="165"/>
  <c r="K612" i="164"/>
  <c r="J612" i="164"/>
  <c r="I612" i="164"/>
  <c r="H612" i="164"/>
  <c r="G612" i="164"/>
  <c r="F612" i="164"/>
  <c r="K602" i="164"/>
  <c r="J602" i="164"/>
  <c r="I602" i="164"/>
  <c r="H602" i="164"/>
  <c r="G602" i="164"/>
  <c r="F602" i="164"/>
  <c r="I576" i="164"/>
  <c r="H576" i="164"/>
  <c r="G576" i="164"/>
  <c r="F575" i="164"/>
  <c r="A571" i="164"/>
  <c r="A570" i="164"/>
  <c r="J569" i="164"/>
  <c r="A569" i="164"/>
  <c r="J568" i="164"/>
  <c r="A568" i="164"/>
  <c r="J567" i="164"/>
  <c r="A567" i="164"/>
  <c r="J576" i="162"/>
  <c r="I576" i="162"/>
  <c r="H576" i="162"/>
  <c r="G576" i="162"/>
  <c r="F575" i="162"/>
  <c r="F574" i="162"/>
  <c r="F573" i="162"/>
  <c r="A571" i="162"/>
  <c r="A570" i="162"/>
  <c r="K569" i="162"/>
  <c r="A569" i="162"/>
  <c r="K568" i="162"/>
  <c r="A568" i="162"/>
  <c r="K567" i="162"/>
  <c r="A567" i="162"/>
  <c r="K612" i="158"/>
  <c r="J612" i="158"/>
  <c r="I612" i="158"/>
  <c r="H612" i="158"/>
  <c r="G612" i="158"/>
  <c r="F612" i="158"/>
  <c r="K602" i="158"/>
  <c r="J602" i="158"/>
  <c r="I602" i="158"/>
  <c r="H602" i="158"/>
  <c r="G602" i="158"/>
  <c r="F602" i="158"/>
  <c r="F589" i="158"/>
  <c r="F609" i="158" s="1"/>
  <c r="F580" i="158"/>
  <c r="F598" i="158" s="1"/>
  <c r="I576" i="158"/>
  <c r="H576" i="158"/>
  <c r="G576" i="158"/>
  <c r="F575" i="158"/>
  <c r="A571" i="158"/>
  <c r="A570" i="158"/>
  <c r="J569" i="158"/>
  <c r="A569" i="158"/>
  <c r="J568" i="158"/>
  <c r="A568" i="158"/>
  <c r="J567" i="158"/>
  <c r="A567" i="158"/>
  <c r="J576" i="161"/>
  <c r="I576" i="161"/>
  <c r="H576" i="161"/>
  <c r="G576" i="161"/>
  <c r="F575" i="161"/>
  <c r="F574" i="161"/>
  <c r="F573" i="161"/>
  <c r="A571" i="161"/>
  <c r="A570" i="161"/>
  <c r="K569" i="161"/>
  <c r="A569" i="161"/>
  <c r="K568" i="161"/>
  <c r="A568" i="161"/>
  <c r="K567" i="161"/>
  <c r="A567" i="161"/>
  <c r="J576" i="160"/>
  <c r="I576" i="160"/>
  <c r="H576" i="160"/>
  <c r="G576" i="160"/>
  <c r="F575" i="160"/>
  <c r="F574" i="160"/>
  <c r="F573" i="160"/>
  <c r="A571" i="160"/>
  <c r="A570" i="160"/>
  <c r="K569" i="160"/>
  <c r="A569" i="160"/>
  <c r="K568" i="160"/>
  <c r="A568" i="160"/>
  <c r="K567" i="160"/>
  <c r="A567" i="160"/>
  <c r="K612" i="159"/>
  <c r="J612" i="159"/>
  <c r="I612" i="159"/>
  <c r="H612" i="159"/>
  <c r="G612" i="159"/>
  <c r="F612" i="159"/>
  <c r="K602" i="159"/>
  <c r="J602" i="159"/>
  <c r="I602" i="159"/>
  <c r="H602" i="159"/>
  <c r="G602" i="159"/>
  <c r="F602" i="159"/>
  <c r="F589" i="159"/>
  <c r="F609" i="159" s="1"/>
  <c r="I576" i="159"/>
  <c r="H576" i="159"/>
  <c r="G576" i="159"/>
  <c r="F575" i="159"/>
  <c r="A571" i="159"/>
  <c r="A570" i="159"/>
  <c r="J569" i="159"/>
  <c r="A569" i="159"/>
  <c r="J568" i="159"/>
  <c r="A568" i="159"/>
  <c r="J567" i="159"/>
  <c r="A567" i="159"/>
  <c r="J576" i="155"/>
  <c r="I576" i="155"/>
  <c r="H576" i="155"/>
  <c r="G576" i="155"/>
  <c r="F575" i="155"/>
  <c r="F574" i="155"/>
  <c r="F573" i="155"/>
  <c r="A571" i="155"/>
  <c r="A570" i="155"/>
  <c r="K569" i="155"/>
  <c r="A569" i="155"/>
  <c r="K568" i="155"/>
  <c r="A568" i="155"/>
  <c r="K567" i="155"/>
  <c r="A567" i="155"/>
  <c r="K612" i="157"/>
  <c r="J612" i="157"/>
  <c r="I612" i="157"/>
  <c r="H612" i="157"/>
  <c r="G612" i="157"/>
  <c r="F612" i="157"/>
  <c r="K602" i="157"/>
  <c r="J602" i="157"/>
  <c r="I602" i="157"/>
  <c r="H602" i="157"/>
  <c r="G602" i="157"/>
  <c r="F602" i="157"/>
  <c r="F589" i="157"/>
  <c r="F609" i="157" s="1"/>
  <c r="I576" i="157"/>
  <c r="H576" i="157"/>
  <c r="G576" i="157"/>
  <c r="F575" i="157"/>
  <c r="A571" i="157"/>
  <c r="A570" i="157"/>
  <c r="J569" i="157"/>
  <c r="A569" i="157"/>
  <c r="J568" i="157"/>
  <c r="A568" i="157"/>
  <c r="J567" i="157"/>
  <c r="A567" i="157"/>
  <c r="K612" i="9"/>
  <c r="J612" i="9"/>
  <c r="I612" i="9"/>
  <c r="H612" i="9"/>
  <c r="G612" i="9"/>
  <c r="F612" i="9"/>
  <c r="K602" i="9"/>
  <c r="J602" i="9"/>
  <c r="I602" i="9"/>
  <c r="H602" i="9"/>
  <c r="G602" i="9"/>
  <c r="F602" i="9"/>
  <c r="F589" i="9"/>
  <c r="F609" i="9" s="1"/>
  <c r="F580" i="9"/>
  <c r="F598" i="9" s="1"/>
  <c r="I576" i="9"/>
  <c r="H576" i="9"/>
  <c r="G576" i="9"/>
  <c r="F575" i="9"/>
  <c r="A614" i="9"/>
  <c r="J614" i="9"/>
  <c r="A615" i="9"/>
  <c r="J615" i="9"/>
  <c r="A571" i="9"/>
  <c r="A570" i="9"/>
  <c r="J569" i="9"/>
  <c r="A569" i="9"/>
  <c r="J568" i="9"/>
  <c r="A568" i="9"/>
  <c r="J567" i="9"/>
  <c r="A567" i="9"/>
  <c r="B511" i="167" l="1"/>
  <c r="B511" i="166"/>
  <c r="B511" i="165"/>
  <c r="B511" i="164"/>
  <c r="B511" i="162"/>
  <c r="B511" i="158"/>
  <c r="B511" i="161"/>
  <c r="B511" i="160"/>
  <c r="B511" i="159"/>
  <c r="B511" i="155"/>
  <c r="B511" i="157"/>
  <c r="F668" i="166" l="1"/>
  <c r="F668" i="164"/>
  <c r="F668" i="167"/>
  <c r="F668" i="165"/>
  <c r="F668" i="161"/>
  <c r="F668" i="160"/>
  <c r="F668" i="162"/>
  <c r="F678" i="166"/>
  <c r="F678" i="164"/>
  <c r="F678" i="167"/>
  <c r="F678" i="165"/>
  <c r="F678" i="162"/>
  <c r="F678" i="161"/>
  <c r="F678" i="160"/>
  <c r="F670" i="166"/>
  <c r="F670" i="167"/>
  <c r="F670" i="165"/>
  <c r="F670" i="164"/>
  <c r="F670" i="162"/>
  <c r="F670" i="161"/>
  <c r="F670" i="160"/>
  <c r="F671" i="167"/>
  <c r="F671" i="165"/>
  <c r="F671" i="166"/>
  <c r="F671" i="164"/>
  <c r="F671" i="160"/>
  <c r="F671" i="162"/>
  <c r="F671" i="161"/>
  <c r="F676" i="167"/>
  <c r="F676" i="165"/>
  <c r="F676" i="166"/>
  <c r="F676" i="164"/>
  <c r="F676" i="161"/>
  <c r="F676" i="160"/>
  <c r="F676" i="162"/>
  <c r="F679" i="166"/>
  <c r="F679" i="164"/>
  <c r="F679" i="167"/>
  <c r="F679" i="165"/>
  <c r="F679" i="162"/>
  <c r="F679" i="161"/>
  <c r="F679" i="160"/>
  <c r="F673" i="160" l="1"/>
  <c r="G672" i="160" s="1"/>
  <c r="F687" i="160" s="1"/>
  <c r="F673" i="162"/>
  <c r="G671" i="162" s="1"/>
  <c r="F686" i="162" s="1"/>
  <c r="F673" i="161"/>
  <c r="G672" i="161" s="1"/>
  <c r="F687" i="161" s="1"/>
  <c r="F673" i="167"/>
  <c r="F673" i="164"/>
  <c r="F673" i="165"/>
  <c r="F673" i="166"/>
  <c r="G669" i="160" l="1"/>
  <c r="F684" i="160" s="1"/>
  <c r="G671" i="160"/>
  <c r="F686" i="160" s="1"/>
  <c r="G668" i="160"/>
  <c r="F683" i="160" s="1"/>
  <c r="G668" i="162"/>
  <c r="F683" i="162" s="1"/>
  <c r="G672" i="162"/>
  <c r="F687" i="162" s="1"/>
  <c r="G669" i="162"/>
  <c r="F684" i="162" s="1"/>
  <c r="G669" i="161"/>
  <c r="F684" i="161" s="1"/>
  <c r="G671" i="161"/>
  <c r="F686" i="161" s="1"/>
  <c r="G668" i="161"/>
  <c r="G672" i="166"/>
  <c r="F687" i="166" s="1"/>
  <c r="G671" i="166"/>
  <c r="F686" i="166" s="1"/>
  <c r="G669" i="166"/>
  <c r="F684" i="166" s="1"/>
  <c r="G668" i="166"/>
  <c r="G668" i="165"/>
  <c r="G669" i="165"/>
  <c r="F684" i="165" s="1"/>
  <c r="G671" i="165"/>
  <c r="F686" i="165" s="1"/>
  <c r="G672" i="165"/>
  <c r="F687" i="165" s="1"/>
  <c r="G672" i="164"/>
  <c r="F687" i="164" s="1"/>
  <c r="G668" i="164"/>
  <c r="G671" i="164"/>
  <c r="F686" i="164" s="1"/>
  <c r="G669" i="164"/>
  <c r="F684" i="164" s="1"/>
  <c r="G668" i="167"/>
  <c r="G671" i="167"/>
  <c r="F686" i="167" s="1"/>
  <c r="G672" i="167"/>
  <c r="F687" i="167" s="1"/>
  <c r="G669" i="167"/>
  <c r="F684" i="167" s="1"/>
  <c r="G670" i="162" l="1"/>
  <c r="F685" i="162" s="1"/>
  <c r="G670" i="160"/>
  <c r="F685" i="160" s="1"/>
  <c r="F688" i="160" s="1"/>
  <c r="G670" i="161"/>
  <c r="F685" i="161" s="1"/>
  <c r="F683" i="161"/>
  <c r="F683" i="165"/>
  <c r="G670" i="165"/>
  <c r="F685" i="165" s="1"/>
  <c r="F683" i="164"/>
  <c r="G670" i="164"/>
  <c r="F685" i="164" s="1"/>
  <c r="F683" i="167"/>
  <c r="G670" i="167"/>
  <c r="F685" i="167" s="1"/>
  <c r="F688" i="162"/>
  <c r="F683" i="166"/>
  <c r="G670" i="166"/>
  <c r="F685" i="166" s="1"/>
  <c r="G673" i="162"/>
  <c r="G673" i="160" l="1"/>
  <c r="F688" i="161"/>
  <c r="G673" i="161"/>
  <c r="F688" i="167"/>
  <c r="G673" i="164"/>
  <c r="G673" i="167"/>
  <c r="G673" i="166"/>
  <c r="G673" i="165"/>
  <c r="F688" i="166"/>
  <c r="F688" i="164"/>
  <c r="F688" i="165"/>
  <c r="B22" i="169" l="1"/>
  <c r="E22" i="169" s="1"/>
  <c r="B21" i="169"/>
  <c r="D21" i="169" s="1"/>
  <c r="E21" i="169" s="1"/>
  <c r="B20" i="169"/>
  <c r="B19" i="169"/>
  <c r="B18" i="169"/>
  <c r="B15" i="169"/>
  <c r="B12" i="169"/>
  <c r="B11" i="169"/>
  <c r="B10" i="169"/>
  <c r="B9" i="169"/>
  <c r="B13" i="169"/>
  <c r="N32" i="169"/>
  <c r="N31" i="169"/>
  <c r="E13" i="169" l="1"/>
  <c r="D13" i="169" s="1"/>
  <c r="D22" i="169"/>
  <c r="C9" i="169" l="1"/>
  <c r="B24" i="169" a="1"/>
  <c r="B24" i="169" s="1"/>
  <c r="B23" i="169" s="1"/>
  <c r="J57" i="169"/>
  <c r="G57" i="169"/>
  <c r="G56" i="169"/>
  <c r="G55" i="169"/>
  <c r="G54" i="169"/>
  <c r="G53" i="169"/>
  <c r="B46" i="169"/>
  <c r="B45" i="169"/>
  <c r="B44" i="169"/>
  <c r="B43" i="169"/>
  <c r="D5" i="169"/>
  <c r="A5" i="169"/>
  <c r="A4" i="169"/>
  <c r="A3" i="169"/>
  <c r="D2" i="169"/>
  <c r="J54" i="169" s="1"/>
  <c r="A2" i="169"/>
  <c r="A1" i="169"/>
  <c r="B47" i="169" l="1"/>
  <c r="C18" i="169"/>
  <c r="C25" i="169" s="1"/>
  <c r="D20" i="169"/>
  <c r="B32" i="169" a="1"/>
  <c r="B32" i="169" s="1"/>
  <c r="B30" i="169" a="1"/>
  <c r="B30" i="169" s="1"/>
  <c r="D10" i="169"/>
  <c r="D12" i="169"/>
  <c r="D11" i="169"/>
  <c r="D19" i="169" l="1"/>
  <c r="D25" i="169" s="1"/>
  <c r="E20" i="169"/>
  <c r="E12" i="169"/>
  <c r="B14" i="169"/>
  <c r="B36" i="169"/>
  <c r="E11" i="169"/>
  <c r="B38" i="169"/>
  <c r="D125" i="160"/>
  <c r="D125" i="161"/>
  <c r="E19" i="169" l="1"/>
  <c r="E25" i="169" s="1"/>
  <c r="E16" i="169"/>
  <c r="E14" i="169" s="1"/>
  <c r="E15" i="169" s="1"/>
  <c r="C16" i="169"/>
  <c r="D16" i="169"/>
  <c r="D14" i="169" s="1"/>
  <c r="D15" i="169" s="1"/>
  <c r="E23" i="169"/>
  <c r="D14" i="31"/>
  <c r="D41" i="25"/>
  <c r="D40" i="25"/>
  <c r="D39" i="25"/>
  <c r="D32" i="169" l="1"/>
  <c r="D23" i="169"/>
  <c r="D24" i="169" s="1"/>
  <c r="D26" i="169" s="1"/>
  <c r="E32" i="169"/>
  <c r="E24" i="169"/>
  <c r="E26" i="169" s="1"/>
  <c r="B16" i="169"/>
  <c r="C30" i="169"/>
  <c r="C14" i="169"/>
  <c r="C15" i="169" s="1"/>
  <c r="B25" i="169"/>
  <c r="C32" i="169"/>
  <c r="C23" i="169"/>
  <c r="C24" i="169" s="1"/>
  <c r="D38" i="169" l="1"/>
  <c r="C26" i="169"/>
  <c r="D27" i="169" s="1"/>
  <c r="C38" i="169"/>
  <c r="C34" i="169"/>
  <c r="C36" i="169"/>
  <c r="E38" i="169"/>
  <c r="D30" i="169" l="1"/>
  <c r="D34" i="169" s="1"/>
  <c r="E27" i="169"/>
  <c r="C39" i="169"/>
  <c r="C40" i="169" s="1"/>
  <c r="C43" i="169" s="1"/>
  <c r="D43" i="169" s="1"/>
  <c r="D147" i="25" s="1"/>
  <c r="E30" i="169" l="1"/>
  <c r="E36" i="169" s="1"/>
  <c r="E39" i="169" s="1"/>
  <c r="E40" i="169" s="1"/>
  <c r="D36" i="169"/>
  <c r="D39" i="169" s="1"/>
  <c r="D40" i="169" s="1"/>
  <c r="C44" i="169" s="1"/>
  <c r="D44" i="169" s="1"/>
  <c r="D148" i="25" s="1"/>
  <c r="G19" i="40"/>
  <c r="G18" i="40"/>
  <c r="E34" i="169" l="1"/>
  <c r="C46" i="169"/>
  <c r="D46" i="169" s="1"/>
  <c r="D150" i="25" s="1"/>
  <c r="C45" i="169"/>
  <c r="D45" i="169" s="1"/>
  <c r="D149" i="25" s="1"/>
  <c r="F229" i="9" l="1"/>
  <c r="D47" i="169"/>
  <c r="E44" i="169" s="1"/>
  <c r="F275" i="9"/>
  <c r="G10" i="168"/>
  <c r="E46" i="169" l="1"/>
  <c r="E45" i="169"/>
  <c r="B31" i="49"/>
  <c r="K659" i="162"/>
  <c r="K617" i="162"/>
  <c r="J659" i="164"/>
  <c r="J659" i="165"/>
  <c r="J659" i="166"/>
  <c r="J617" i="164"/>
  <c r="J617" i="165"/>
  <c r="J617" i="166"/>
  <c r="J659" i="167"/>
  <c r="J617" i="167"/>
  <c r="F662" i="160"/>
  <c r="F662" i="155"/>
  <c r="J808" i="157"/>
  <c r="K808" i="155"/>
  <c r="J808" i="159"/>
  <c r="K808" i="160"/>
  <c r="K808" i="161"/>
  <c r="J808" i="158"/>
  <c r="J808" i="9"/>
  <c r="J750" i="158"/>
  <c r="J699" i="158"/>
  <c r="J659" i="158"/>
  <c r="J617" i="158"/>
  <c r="A809" i="157"/>
  <c r="A808" i="157"/>
  <c r="J807" i="157"/>
  <c r="A807" i="157"/>
  <c r="J806" i="157"/>
  <c r="A806" i="157"/>
  <c r="J805" i="157"/>
  <c r="A805" i="157"/>
  <c r="A751" i="157"/>
  <c r="A750" i="157"/>
  <c r="J749" i="157"/>
  <c r="A749" i="157"/>
  <c r="J748" i="157"/>
  <c r="A748" i="157"/>
  <c r="J747" i="157"/>
  <c r="A747" i="157"/>
  <c r="A700" i="157"/>
  <c r="A699" i="157"/>
  <c r="J698" i="157"/>
  <c r="A698" i="157"/>
  <c r="J697" i="157"/>
  <c r="A697" i="157"/>
  <c r="J696" i="157"/>
  <c r="A696" i="157"/>
  <c r="A660" i="157"/>
  <c r="A659" i="157"/>
  <c r="J658" i="157"/>
  <c r="A658" i="157"/>
  <c r="J657" i="157"/>
  <c r="A657" i="157"/>
  <c r="J656" i="157"/>
  <c r="A656" i="157"/>
  <c r="A618" i="157"/>
  <c r="A617" i="157"/>
  <c r="J616" i="157"/>
  <c r="A616" i="157"/>
  <c r="J615" i="157"/>
  <c r="A615" i="157"/>
  <c r="J614" i="157"/>
  <c r="A614" i="157"/>
  <c r="A507" i="157"/>
  <c r="A506" i="157"/>
  <c r="J505" i="157"/>
  <c r="A505" i="157"/>
  <c r="J504" i="157"/>
  <c r="A504" i="157"/>
  <c r="J503" i="157"/>
  <c r="A503" i="157"/>
  <c r="A471" i="157"/>
  <c r="A470" i="157"/>
  <c r="J469" i="157"/>
  <c r="A469" i="157"/>
  <c r="J468" i="157"/>
  <c r="A468" i="157"/>
  <c r="J467" i="157"/>
  <c r="A467" i="157"/>
  <c r="A439" i="157"/>
  <c r="A438" i="157"/>
  <c r="J437" i="157"/>
  <c r="A437" i="157"/>
  <c r="J436" i="157"/>
  <c r="A436" i="157"/>
  <c r="J435" i="157"/>
  <c r="A435" i="157"/>
  <c r="A395" i="157"/>
  <c r="A394" i="157"/>
  <c r="J393" i="157"/>
  <c r="A393" i="157"/>
  <c r="J392" i="157"/>
  <c r="A392" i="157"/>
  <c r="J391" i="157"/>
  <c r="A391" i="157"/>
  <c r="A340" i="157"/>
  <c r="A339" i="157"/>
  <c r="J338" i="157"/>
  <c r="A338" i="157"/>
  <c r="J337" i="157"/>
  <c r="A337" i="157"/>
  <c r="J336" i="157"/>
  <c r="A336" i="157"/>
  <c r="A289" i="157"/>
  <c r="A288" i="157"/>
  <c r="J287" i="157"/>
  <c r="A287" i="157"/>
  <c r="J286" i="157"/>
  <c r="A286" i="157"/>
  <c r="J285" i="157"/>
  <c r="A285" i="157"/>
  <c r="A244" i="157"/>
  <c r="A243" i="157"/>
  <c r="J242" i="157"/>
  <c r="A242" i="157"/>
  <c r="J241" i="157"/>
  <c r="A241" i="157"/>
  <c r="J240" i="157"/>
  <c r="A240" i="157"/>
  <c r="A197" i="157"/>
  <c r="A196" i="157"/>
  <c r="J195" i="157"/>
  <c r="A195" i="157"/>
  <c r="J194" i="157"/>
  <c r="A194" i="157"/>
  <c r="J193" i="157"/>
  <c r="A193" i="157"/>
  <c r="A157" i="157"/>
  <c r="A156" i="157"/>
  <c r="J155" i="157"/>
  <c r="A155" i="157"/>
  <c r="J154" i="157"/>
  <c r="A154" i="157"/>
  <c r="J153" i="157"/>
  <c r="A153" i="157"/>
  <c r="A107" i="157"/>
  <c r="A106" i="157"/>
  <c r="J105" i="157"/>
  <c r="A105" i="157"/>
  <c r="J104" i="157"/>
  <c r="A104" i="157"/>
  <c r="J103" i="157"/>
  <c r="A103" i="157"/>
  <c r="A809" i="155"/>
  <c r="A808" i="155"/>
  <c r="K807" i="155"/>
  <c r="A807" i="155"/>
  <c r="K806" i="155"/>
  <c r="A806" i="155"/>
  <c r="K805" i="155"/>
  <c r="A805" i="155"/>
  <c r="A751" i="155"/>
  <c r="A750" i="155"/>
  <c r="K749" i="155"/>
  <c r="A749" i="155"/>
  <c r="K748" i="155"/>
  <c r="A748" i="155"/>
  <c r="K747" i="155"/>
  <c r="A747" i="155"/>
  <c r="A700" i="155"/>
  <c r="A699" i="155"/>
  <c r="K698" i="155"/>
  <c r="A698" i="155"/>
  <c r="K697" i="155"/>
  <c r="A697" i="155"/>
  <c r="K696" i="155"/>
  <c r="A696" i="155"/>
  <c r="A660" i="155"/>
  <c r="A659" i="155"/>
  <c r="K658" i="155"/>
  <c r="A658" i="155"/>
  <c r="K657" i="155"/>
  <c r="A657" i="155"/>
  <c r="K656" i="155"/>
  <c r="A656" i="155"/>
  <c r="A618" i="155"/>
  <c r="A617" i="155"/>
  <c r="K616" i="155"/>
  <c r="A616" i="155"/>
  <c r="K615" i="155"/>
  <c r="A615" i="155"/>
  <c r="K614" i="155"/>
  <c r="A614" i="155"/>
  <c r="A507" i="155"/>
  <c r="A506" i="155"/>
  <c r="K505" i="155"/>
  <c r="A505" i="155"/>
  <c r="K504" i="155"/>
  <c r="A504" i="155"/>
  <c r="K503" i="155"/>
  <c r="A503" i="155"/>
  <c r="A471" i="155"/>
  <c r="A470" i="155"/>
  <c r="K469" i="155"/>
  <c r="A469" i="155"/>
  <c r="K468" i="155"/>
  <c r="A468" i="155"/>
  <c r="K467" i="155"/>
  <c r="A467" i="155"/>
  <c r="A439" i="155"/>
  <c r="A438" i="155"/>
  <c r="K437" i="155"/>
  <c r="A437" i="155"/>
  <c r="K436" i="155"/>
  <c r="A436" i="155"/>
  <c r="K435" i="155"/>
  <c r="A435" i="155"/>
  <c r="A395" i="155"/>
  <c r="A394" i="155"/>
  <c r="K393" i="155"/>
  <c r="A393" i="155"/>
  <c r="K392" i="155"/>
  <c r="A392" i="155"/>
  <c r="K391" i="155"/>
  <c r="A391" i="155"/>
  <c r="A340" i="155"/>
  <c r="A339" i="155"/>
  <c r="K338" i="155"/>
  <c r="A338" i="155"/>
  <c r="K337" i="155"/>
  <c r="A337" i="155"/>
  <c r="K336" i="155"/>
  <c r="A336" i="155"/>
  <c r="A289" i="155"/>
  <c r="A288" i="155"/>
  <c r="K287" i="155"/>
  <c r="A287" i="155"/>
  <c r="K286" i="155"/>
  <c r="A286" i="155"/>
  <c r="K285" i="155"/>
  <c r="A285" i="155"/>
  <c r="A244" i="155"/>
  <c r="A243" i="155"/>
  <c r="K242" i="155"/>
  <c r="A242" i="155"/>
  <c r="K241" i="155"/>
  <c r="A241" i="155"/>
  <c r="K240" i="155"/>
  <c r="A240" i="155"/>
  <c r="A197" i="155"/>
  <c r="A196" i="155"/>
  <c r="K195" i="155"/>
  <c r="A195" i="155"/>
  <c r="K194" i="155"/>
  <c r="A194" i="155"/>
  <c r="K193" i="155"/>
  <c r="A193" i="155"/>
  <c r="A157" i="155"/>
  <c r="A156" i="155"/>
  <c r="K155" i="155"/>
  <c r="A155" i="155"/>
  <c r="K154" i="155"/>
  <c r="A154" i="155"/>
  <c r="K153" i="155"/>
  <c r="A153" i="155"/>
  <c r="A107" i="155"/>
  <c r="A106" i="155"/>
  <c r="K105" i="155"/>
  <c r="A105" i="155"/>
  <c r="K104" i="155"/>
  <c r="A104" i="155"/>
  <c r="K103" i="155"/>
  <c r="A103" i="155"/>
  <c r="A809" i="159"/>
  <c r="A808" i="159"/>
  <c r="J807" i="159"/>
  <c r="A807" i="159"/>
  <c r="J806" i="159"/>
  <c r="A806" i="159"/>
  <c r="J805" i="159"/>
  <c r="A805" i="159"/>
  <c r="A751" i="159"/>
  <c r="A750" i="159"/>
  <c r="J749" i="159"/>
  <c r="A749" i="159"/>
  <c r="J748" i="159"/>
  <c r="A748" i="159"/>
  <c r="J747" i="159"/>
  <c r="A747" i="159"/>
  <c r="A700" i="159"/>
  <c r="A699" i="159"/>
  <c r="J698" i="159"/>
  <c r="A698" i="159"/>
  <c r="J697" i="159"/>
  <c r="A697" i="159"/>
  <c r="J696" i="159"/>
  <c r="A696" i="159"/>
  <c r="A660" i="159"/>
  <c r="A659" i="159"/>
  <c r="J658" i="159"/>
  <c r="A658" i="159"/>
  <c r="J657" i="159"/>
  <c r="A657" i="159"/>
  <c r="J656" i="159"/>
  <c r="A656" i="159"/>
  <c r="A618" i="159"/>
  <c r="A617" i="159"/>
  <c r="J616" i="159"/>
  <c r="A616" i="159"/>
  <c r="J615" i="159"/>
  <c r="A615" i="159"/>
  <c r="J614" i="159"/>
  <c r="A614" i="159"/>
  <c r="A507" i="159"/>
  <c r="A506" i="159"/>
  <c r="J505" i="159"/>
  <c r="A505" i="159"/>
  <c r="J504" i="159"/>
  <c r="A504" i="159"/>
  <c r="J503" i="159"/>
  <c r="A503" i="159"/>
  <c r="A471" i="159"/>
  <c r="A470" i="159"/>
  <c r="J469" i="159"/>
  <c r="A469" i="159"/>
  <c r="J468" i="159"/>
  <c r="A468" i="159"/>
  <c r="J467" i="159"/>
  <c r="A467" i="159"/>
  <c r="A439" i="159"/>
  <c r="A438" i="159"/>
  <c r="J437" i="159"/>
  <c r="A437" i="159"/>
  <c r="J436" i="159"/>
  <c r="A436" i="159"/>
  <c r="J435" i="159"/>
  <c r="A435" i="159"/>
  <c r="A395" i="159"/>
  <c r="A394" i="159"/>
  <c r="J393" i="159"/>
  <c r="A393" i="159"/>
  <c r="J392" i="159"/>
  <c r="A392" i="159"/>
  <c r="J391" i="159"/>
  <c r="A391" i="159"/>
  <c r="A340" i="159"/>
  <c r="A339" i="159"/>
  <c r="J338" i="159"/>
  <c r="A338" i="159"/>
  <c r="J337" i="159"/>
  <c r="A337" i="159"/>
  <c r="J336" i="159"/>
  <c r="A336" i="159"/>
  <c r="A289" i="159"/>
  <c r="A288" i="159"/>
  <c r="J287" i="159"/>
  <c r="A287" i="159"/>
  <c r="J286" i="159"/>
  <c r="A286" i="159"/>
  <c r="J285" i="159"/>
  <c r="A285" i="159"/>
  <c r="A244" i="159"/>
  <c r="A243" i="159"/>
  <c r="J242" i="159"/>
  <c r="A242" i="159"/>
  <c r="J241" i="159"/>
  <c r="A241" i="159"/>
  <c r="J240" i="159"/>
  <c r="A240" i="159"/>
  <c r="A197" i="159"/>
  <c r="A196" i="159"/>
  <c r="J195" i="159"/>
  <c r="A195" i="159"/>
  <c r="J194" i="159"/>
  <c r="A194" i="159"/>
  <c r="J193" i="159"/>
  <c r="A193" i="159"/>
  <c r="A157" i="159"/>
  <c r="A156" i="159"/>
  <c r="J155" i="159"/>
  <c r="A155" i="159"/>
  <c r="J154" i="159"/>
  <c r="A154" i="159"/>
  <c r="J153" i="159"/>
  <c r="A153" i="159"/>
  <c r="A107" i="159"/>
  <c r="A106" i="159"/>
  <c r="J105" i="159"/>
  <c r="A105" i="159"/>
  <c r="J104" i="159"/>
  <c r="A104" i="159"/>
  <c r="J103" i="159"/>
  <c r="A103" i="159"/>
  <c r="A809" i="160"/>
  <c r="A808" i="160"/>
  <c r="K807" i="160"/>
  <c r="A807" i="160"/>
  <c r="K806" i="160"/>
  <c r="A806" i="160"/>
  <c r="K805" i="160"/>
  <c r="A805" i="160"/>
  <c r="A751" i="160"/>
  <c r="A750" i="160"/>
  <c r="K749" i="160"/>
  <c r="A749" i="160"/>
  <c r="K748" i="160"/>
  <c r="A748" i="160"/>
  <c r="K747" i="160"/>
  <c r="A747" i="160"/>
  <c r="A700" i="160"/>
  <c r="A699" i="160"/>
  <c r="K698" i="160"/>
  <c r="A698" i="160"/>
  <c r="K697" i="160"/>
  <c r="A697" i="160"/>
  <c r="K696" i="160"/>
  <c r="A696" i="160"/>
  <c r="A660" i="160"/>
  <c r="A659" i="160"/>
  <c r="K658" i="160"/>
  <c r="A658" i="160"/>
  <c r="K657" i="160"/>
  <c r="A657" i="160"/>
  <c r="K656" i="160"/>
  <c r="A656" i="160"/>
  <c r="A618" i="160"/>
  <c r="A617" i="160"/>
  <c r="K616" i="160"/>
  <c r="A616" i="160"/>
  <c r="K615" i="160"/>
  <c r="A615" i="160"/>
  <c r="K614" i="160"/>
  <c r="A614" i="160"/>
  <c r="A507" i="160"/>
  <c r="A506" i="160"/>
  <c r="K505" i="160"/>
  <c r="A505" i="160"/>
  <c r="K504" i="160"/>
  <c r="A504" i="160"/>
  <c r="K503" i="160"/>
  <c r="A503" i="160"/>
  <c r="A471" i="160"/>
  <c r="A470" i="160"/>
  <c r="K469" i="160"/>
  <c r="A469" i="160"/>
  <c r="K468" i="160"/>
  <c r="A468" i="160"/>
  <c r="K467" i="160"/>
  <c r="A467" i="160"/>
  <c r="A439" i="160"/>
  <c r="A438" i="160"/>
  <c r="K437" i="160"/>
  <c r="A437" i="160"/>
  <c r="K436" i="160"/>
  <c r="A436" i="160"/>
  <c r="K435" i="160"/>
  <c r="A435" i="160"/>
  <c r="A395" i="160"/>
  <c r="A394" i="160"/>
  <c r="K393" i="160"/>
  <c r="A393" i="160"/>
  <c r="K392" i="160"/>
  <c r="A392" i="160"/>
  <c r="K391" i="160"/>
  <c r="A391" i="160"/>
  <c r="A340" i="160"/>
  <c r="A339" i="160"/>
  <c r="K338" i="160"/>
  <c r="A338" i="160"/>
  <c r="K337" i="160"/>
  <c r="A337" i="160"/>
  <c r="K336" i="160"/>
  <c r="A336" i="160"/>
  <c r="A289" i="160"/>
  <c r="A288" i="160"/>
  <c r="K287" i="160"/>
  <c r="A287" i="160"/>
  <c r="K286" i="160"/>
  <c r="A286" i="160"/>
  <c r="K285" i="160"/>
  <c r="A285" i="160"/>
  <c r="A244" i="160"/>
  <c r="A243" i="160"/>
  <c r="K242" i="160"/>
  <c r="A242" i="160"/>
  <c r="K241" i="160"/>
  <c r="A241" i="160"/>
  <c r="K240" i="160"/>
  <c r="A240" i="160"/>
  <c r="A197" i="160"/>
  <c r="A196" i="160"/>
  <c r="K195" i="160"/>
  <c r="A195" i="160"/>
  <c r="K194" i="160"/>
  <c r="A194" i="160"/>
  <c r="K193" i="160"/>
  <c r="A193" i="160"/>
  <c r="A157" i="160"/>
  <c r="A156" i="160"/>
  <c r="K155" i="160"/>
  <c r="A155" i="160"/>
  <c r="K154" i="160"/>
  <c r="A154" i="160"/>
  <c r="K153" i="160"/>
  <c r="A153" i="160"/>
  <c r="A107" i="160"/>
  <c r="A106" i="160"/>
  <c r="K105" i="160"/>
  <c r="A105" i="160"/>
  <c r="K104" i="160"/>
  <c r="A104" i="160"/>
  <c r="K103" i="160"/>
  <c r="A103" i="160"/>
  <c r="A809" i="161"/>
  <c r="A808" i="161"/>
  <c r="K807" i="161"/>
  <c r="A807" i="161"/>
  <c r="K806" i="161"/>
  <c r="A806" i="161"/>
  <c r="K805" i="161"/>
  <c r="A805" i="161"/>
  <c r="A751" i="161"/>
  <c r="A750" i="161"/>
  <c r="K749" i="161"/>
  <c r="A749" i="161"/>
  <c r="K748" i="161"/>
  <c r="A748" i="161"/>
  <c r="K747" i="161"/>
  <c r="A747" i="161"/>
  <c r="A700" i="161"/>
  <c r="A699" i="161"/>
  <c r="K698" i="161"/>
  <c r="A698" i="161"/>
  <c r="K697" i="161"/>
  <c r="A697" i="161"/>
  <c r="K696" i="161"/>
  <c r="A696" i="161"/>
  <c r="A660" i="161"/>
  <c r="A659" i="161"/>
  <c r="K658" i="161"/>
  <c r="A658" i="161"/>
  <c r="K657" i="161"/>
  <c r="A657" i="161"/>
  <c r="K656" i="161"/>
  <c r="A656" i="161"/>
  <c r="A618" i="161"/>
  <c r="A617" i="161"/>
  <c r="K616" i="161"/>
  <c r="A616" i="161"/>
  <c r="K615" i="161"/>
  <c r="A615" i="161"/>
  <c r="K614" i="161"/>
  <c r="A614" i="161"/>
  <c r="A507" i="161"/>
  <c r="A506" i="161"/>
  <c r="K505" i="161"/>
  <c r="A505" i="161"/>
  <c r="K504" i="161"/>
  <c r="A504" i="161"/>
  <c r="K503" i="161"/>
  <c r="A503" i="161"/>
  <c r="A471" i="161"/>
  <c r="A470" i="161"/>
  <c r="K469" i="161"/>
  <c r="A469" i="161"/>
  <c r="K468" i="161"/>
  <c r="A468" i="161"/>
  <c r="K467" i="161"/>
  <c r="A467" i="161"/>
  <c r="A439" i="161"/>
  <c r="A438" i="161"/>
  <c r="K437" i="161"/>
  <c r="A437" i="161"/>
  <c r="K436" i="161"/>
  <c r="A436" i="161"/>
  <c r="K435" i="161"/>
  <c r="A435" i="161"/>
  <c r="A395" i="161"/>
  <c r="A394" i="161"/>
  <c r="K393" i="161"/>
  <c r="A393" i="161"/>
  <c r="K392" i="161"/>
  <c r="A392" i="161"/>
  <c r="K391" i="161"/>
  <c r="A391" i="161"/>
  <c r="A340" i="161"/>
  <c r="A339" i="161"/>
  <c r="K338" i="161"/>
  <c r="A338" i="161"/>
  <c r="K337" i="161"/>
  <c r="A337" i="161"/>
  <c r="K336" i="161"/>
  <c r="A336" i="161"/>
  <c r="A289" i="161"/>
  <c r="A288" i="161"/>
  <c r="K287" i="161"/>
  <c r="A287" i="161"/>
  <c r="K286" i="161"/>
  <c r="A286" i="161"/>
  <c r="K285" i="161"/>
  <c r="A285" i="161"/>
  <c r="A244" i="161"/>
  <c r="A243" i="161"/>
  <c r="K242" i="161"/>
  <c r="A242" i="161"/>
  <c r="K241" i="161"/>
  <c r="A241" i="161"/>
  <c r="K240" i="161"/>
  <c r="A240" i="161"/>
  <c r="A197" i="161"/>
  <c r="A196" i="161"/>
  <c r="K195" i="161"/>
  <c r="A195" i="161"/>
  <c r="K194" i="161"/>
  <c r="A194" i="161"/>
  <c r="K193" i="161"/>
  <c r="A193" i="161"/>
  <c r="A157" i="161"/>
  <c r="A156" i="161"/>
  <c r="K155" i="161"/>
  <c r="A155" i="161"/>
  <c r="K154" i="161"/>
  <c r="A154" i="161"/>
  <c r="K153" i="161"/>
  <c r="A153" i="161"/>
  <c r="A107" i="161"/>
  <c r="A106" i="161"/>
  <c r="K105" i="161"/>
  <c r="A105" i="161"/>
  <c r="K104" i="161"/>
  <c r="A104" i="161"/>
  <c r="K103" i="161"/>
  <c r="A103" i="161"/>
  <c r="A809" i="158"/>
  <c r="A808" i="158"/>
  <c r="J807" i="158"/>
  <c r="A807" i="158"/>
  <c r="J806" i="158"/>
  <c r="A806" i="158"/>
  <c r="J805" i="158"/>
  <c r="A805" i="158"/>
  <c r="A751" i="158"/>
  <c r="A750" i="158"/>
  <c r="J749" i="158"/>
  <c r="A749" i="158"/>
  <c r="J748" i="158"/>
  <c r="A748" i="158"/>
  <c r="J747" i="158"/>
  <c r="A747" i="158"/>
  <c r="A700" i="158"/>
  <c r="A699" i="158"/>
  <c r="J698" i="158"/>
  <c r="A698" i="158"/>
  <c r="J697" i="158"/>
  <c r="A697" i="158"/>
  <c r="J696" i="158"/>
  <c r="A696" i="158"/>
  <c r="A660" i="158"/>
  <c r="A659" i="158"/>
  <c r="J658" i="158"/>
  <c r="A658" i="158"/>
  <c r="J657" i="158"/>
  <c r="A657" i="158"/>
  <c r="J656" i="158"/>
  <c r="A656" i="158"/>
  <c r="A618" i="158"/>
  <c r="A617" i="158"/>
  <c r="J616" i="158"/>
  <c r="A616" i="158"/>
  <c r="J615" i="158"/>
  <c r="A615" i="158"/>
  <c r="J614" i="158"/>
  <c r="A614" i="158"/>
  <c r="A507" i="158"/>
  <c r="A506" i="158"/>
  <c r="J505" i="158"/>
  <c r="A505" i="158"/>
  <c r="J504" i="158"/>
  <c r="A504" i="158"/>
  <c r="J503" i="158"/>
  <c r="A503" i="158"/>
  <c r="A471" i="158"/>
  <c r="A470" i="158"/>
  <c r="J469" i="158"/>
  <c r="A469" i="158"/>
  <c r="J468" i="158"/>
  <c r="A468" i="158"/>
  <c r="J467" i="158"/>
  <c r="A467" i="158"/>
  <c r="A439" i="158"/>
  <c r="A438" i="158"/>
  <c r="J437" i="158"/>
  <c r="A437" i="158"/>
  <c r="J436" i="158"/>
  <c r="A436" i="158"/>
  <c r="J435" i="158"/>
  <c r="A435" i="158"/>
  <c r="A395" i="158"/>
  <c r="A394" i="158"/>
  <c r="J393" i="158"/>
  <c r="A393" i="158"/>
  <c r="J392" i="158"/>
  <c r="A392" i="158"/>
  <c r="J391" i="158"/>
  <c r="A391" i="158"/>
  <c r="A340" i="158"/>
  <c r="A339" i="158"/>
  <c r="J338" i="158"/>
  <c r="A338" i="158"/>
  <c r="J337" i="158"/>
  <c r="A337" i="158"/>
  <c r="J336" i="158"/>
  <c r="A336" i="158"/>
  <c r="A289" i="158"/>
  <c r="A288" i="158"/>
  <c r="J287" i="158"/>
  <c r="A287" i="158"/>
  <c r="J286" i="158"/>
  <c r="A286" i="158"/>
  <c r="J285" i="158"/>
  <c r="A285" i="158"/>
  <c r="A244" i="158"/>
  <c r="A243" i="158"/>
  <c r="J242" i="158"/>
  <c r="A242" i="158"/>
  <c r="J241" i="158"/>
  <c r="A241" i="158"/>
  <c r="J240" i="158"/>
  <c r="A240" i="158"/>
  <c r="A197" i="158"/>
  <c r="A196" i="158"/>
  <c r="J195" i="158"/>
  <c r="A195" i="158"/>
  <c r="J194" i="158"/>
  <c r="A194" i="158"/>
  <c r="J193" i="158"/>
  <c r="A193" i="158"/>
  <c r="A157" i="158"/>
  <c r="A156" i="158"/>
  <c r="J155" i="158"/>
  <c r="A155" i="158"/>
  <c r="J154" i="158"/>
  <c r="A154" i="158"/>
  <c r="J153" i="158"/>
  <c r="A153" i="158"/>
  <c r="A107" i="158"/>
  <c r="A106" i="158"/>
  <c r="J105" i="158"/>
  <c r="A105" i="158"/>
  <c r="J104" i="158"/>
  <c r="A104" i="158"/>
  <c r="J103" i="158"/>
  <c r="A103" i="158"/>
  <c r="A660" i="162"/>
  <c r="A659" i="162"/>
  <c r="K658" i="162"/>
  <c r="A658" i="162"/>
  <c r="K657" i="162"/>
  <c r="A657" i="162"/>
  <c r="K656" i="162"/>
  <c r="A656" i="162"/>
  <c r="A618" i="162"/>
  <c r="A617" i="162"/>
  <c r="K616" i="162"/>
  <c r="A616" i="162"/>
  <c r="K615" i="162"/>
  <c r="A615" i="162"/>
  <c r="K614" i="162"/>
  <c r="A614" i="162"/>
  <c r="A507" i="162"/>
  <c r="A506" i="162"/>
  <c r="K505" i="162"/>
  <c r="A505" i="162"/>
  <c r="K504" i="162"/>
  <c r="A504" i="162"/>
  <c r="K503" i="162"/>
  <c r="A503" i="162"/>
  <c r="A471" i="162"/>
  <c r="A470" i="162"/>
  <c r="K469" i="162"/>
  <c r="A469" i="162"/>
  <c r="K468" i="162"/>
  <c r="A468" i="162"/>
  <c r="K467" i="162"/>
  <c r="A467" i="162"/>
  <c r="A439" i="162"/>
  <c r="A438" i="162"/>
  <c r="K437" i="162"/>
  <c r="A437" i="162"/>
  <c r="K436" i="162"/>
  <c r="A436" i="162"/>
  <c r="K435" i="162"/>
  <c r="A435" i="162"/>
  <c r="A395" i="162"/>
  <c r="A394" i="162"/>
  <c r="K393" i="162"/>
  <c r="A393" i="162"/>
  <c r="K392" i="162"/>
  <c r="A392" i="162"/>
  <c r="K391" i="162"/>
  <c r="A391" i="162"/>
  <c r="A340" i="162"/>
  <c r="A339" i="162"/>
  <c r="K338" i="162"/>
  <c r="A338" i="162"/>
  <c r="K337" i="162"/>
  <c r="A337" i="162"/>
  <c r="K336" i="162"/>
  <c r="A336" i="162"/>
  <c r="A289" i="162"/>
  <c r="A288" i="162"/>
  <c r="K287" i="162"/>
  <c r="A287" i="162"/>
  <c r="K286" i="162"/>
  <c r="A286" i="162"/>
  <c r="K285" i="162"/>
  <c r="A285" i="162"/>
  <c r="A244" i="162"/>
  <c r="A243" i="162"/>
  <c r="K242" i="162"/>
  <c r="A242" i="162"/>
  <c r="K241" i="162"/>
  <c r="A241" i="162"/>
  <c r="K240" i="162"/>
  <c r="A240" i="162"/>
  <c r="A197" i="162"/>
  <c r="A196" i="162"/>
  <c r="K195" i="162"/>
  <c r="A195" i="162"/>
  <c r="K194" i="162"/>
  <c r="A194" i="162"/>
  <c r="K193" i="162"/>
  <c r="A193" i="162"/>
  <c r="A157" i="162"/>
  <c r="A156" i="162"/>
  <c r="K155" i="162"/>
  <c r="A155" i="162"/>
  <c r="K154" i="162"/>
  <c r="A154" i="162"/>
  <c r="K153" i="162"/>
  <c r="A153" i="162"/>
  <c r="A107" i="162"/>
  <c r="A106" i="162"/>
  <c r="K105" i="162"/>
  <c r="A105" i="162"/>
  <c r="K104" i="162"/>
  <c r="A104" i="162"/>
  <c r="K103" i="162"/>
  <c r="A103" i="162"/>
  <c r="A660" i="164"/>
  <c r="A659" i="164"/>
  <c r="J658" i="164"/>
  <c r="A658" i="164"/>
  <c r="J657" i="164"/>
  <c r="A657" i="164"/>
  <c r="J656" i="164"/>
  <c r="A656" i="164"/>
  <c r="A618" i="164"/>
  <c r="A617" i="164"/>
  <c r="J616" i="164"/>
  <c r="A616" i="164"/>
  <c r="J615" i="164"/>
  <c r="A615" i="164"/>
  <c r="J614" i="164"/>
  <c r="A614" i="164"/>
  <c r="A507" i="164"/>
  <c r="A506" i="164"/>
  <c r="J505" i="164"/>
  <c r="A505" i="164"/>
  <c r="J504" i="164"/>
  <c r="A504" i="164"/>
  <c r="J503" i="164"/>
  <c r="A503" i="164"/>
  <c r="A471" i="164"/>
  <c r="A470" i="164"/>
  <c r="J469" i="164"/>
  <c r="A469" i="164"/>
  <c r="J468" i="164"/>
  <c r="A468" i="164"/>
  <c r="J467" i="164"/>
  <c r="A467" i="164"/>
  <c r="A439" i="164"/>
  <c r="A438" i="164"/>
  <c r="J437" i="164"/>
  <c r="A437" i="164"/>
  <c r="J436" i="164"/>
  <c r="A436" i="164"/>
  <c r="J435" i="164"/>
  <c r="A435" i="164"/>
  <c r="A395" i="164"/>
  <c r="A394" i="164"/>
  <c r="J393" i="164"/>
  <c r="A393" i="164"/>
  <c r="J392" i="164"/>
  <c r="A392" i="164"/>
  <c r="J391" i="164"/>
  <c r="A391" i="164"/>
  <c r="A340" i="164"/>
  <c r="A339" i="164"/>
  <c r="J338" i="164"/>
  <c r="A338" i="164"/>
  <c r="J337" i="164"/>
  <c r="A337" i="164"/>
  <c r="J336" i="164"/>
  <c r="A336" i="164"/>
  <c r="A289" i="164"/>
  <c r="A288" i="164"/>
  <c r="J287" i="164"/>
  <c r="A287" i="164"/>
  <c r="J286" i="164"/>
  <c r="A286" i="164"/>
  <c r="J285" i="164"/>
  <c r="A285" i="164"/>
  <c r="A244" i="164"/>
  <c r="A243" i="164"/>
  <c r="J242" i="164"/>
  <c r="A242" i="164"/>
  <c r="J241" i="164"/>
  <c r="A241" i="164"/>
  <c r="J240" i="164"/>
  <c r="A240" i="164"/>
  <c r="A197" i="164"/>
  <c r="A196" i="164"/>
  <c r="J195" i="164"/>
  <c r="A195" i="164"/>
  <c r="J194" i="164"/>
  <c r="A194" i="164"/>
  <c r="J193" i="164"/>
  <c r="A193" i="164"/>
  <c r="A157" i="164"/>
  <c r="A156" i="164"/>
  <c r="J155" i="164"/>
  <c r="A155" i="164"/>
  <c r="J154" i="164"/>
  <c r="A154" i="164"/>
  <c r="J153" i="164"/>
  <c r="A153" i="164"/>
  <c r="A107" i="164"/>
  <c r="A106" i="164"/>
  <c r="J105" i="164"/>
  <c r="A105" i="164"/>
  <c r="J104" i="164"/>
  <c r="A104" i="164"/>
  <c r="J103" i="164"/>
  <c r="A103" i="164"/>
  <c r="A660" i="165"/>
  <c r="A659" i="165"/>
  <c r="J658" i="165"/>
  <c r="A658" i="165"/>
  <c r="J657" i="165"/>
  <c r="A657" i="165"/>
  <c r="J656" i="165"/>
  <c r="A656" i="165"/>
  <c r="A618" i="165"/>
  <c r="A617" i="165"/>
  <c r="J616" i="165"/>
  <c r="A616" i="165"/>
  <c r="J615" i="165"/>
  <c r="A615" i="165"/>
  <c r="J614" i="165"/>
  <c r="A614" i="165"/>
  <c r="A507" i="165"/>
  <c r="A506" i="165"/>
  <c r="J505" i="165"/>
  <c r="A505" i="165"/>
  <c r="J504" i="165"/>
  <c r="A504" i="165"/>
  <c r="J503" i="165"/>
  <c r="A503" i="165"/>
  <c r="A471" i="165"/>
  <c r="A470" i="165"/>
  <c r="J469" i="165"/>
  <c r="A469" i="165"/>
  <c r="J468" i="165"/>
  <c r="A468" i="165"/>
  <c r="J467" i="165"/>
  <c r="A467" i="165"/>
  <c r="A439" i="165"/>
  <c r="A438" i="165"/>
  <c r="J437" i="165"/>
  <c r="A437" i="165"/>
  <c r="J436" i="165"/>
  <c r="A436" i="165"/>
  <c r="J435" i="165"/>
  <c r="A435" i="165"/>
  <c r="A395" i="165"/>
  <c r="A394" i="165"/>
  <c r="J393" i="165"/>
  <c r="A393" i="165"/>
  <c r="J392" i="165"/>
  <c r="A392" i="165"/>
  <c r="J391" i="165"/>
  <c r="A391" i="165"/>
  <c r="A340" i="165"/>
  <c r="A339" i="165"/>
  <c r="J338" i="165"/>
  <c r="A338" i="165"/>
  <c r="J337" i="165"/>
  <c r="A337" i="165"/>
  <c r="J336" i="165"/>
  <c r="A336" i="165"/>
  <c r="A289" i="165"/>
  <c r="A288" i="165"/>
  <c r="J287" i="165"/>
  <c r="A287" i="165"/>
  <c r="J286" i="165"/>
  <c r="A286" i="165"/>
  <c r="J285" i="165"/>
  <c r="A285" i="165"/>
  <c r="A244" i="165"/>
  <c r="A243" i="165"/>
  <c r="J242" i="165"/>
  <c r="A242" i="165"/>
  <c r="J241" i="165"/>
  <c r="A241" i="165"/>
  <c r="J240" i="165"/>
  <c r="A240" i="165"/>
  <c r="A197" i="165"/>
  <c r="A196" i="165"/>
  <c r="J195" i="165"/>
  <c r="A195" i="165"/>
  <c r="J194" i="165"/>
  <c r="A194" i="165"/>
  <c r="J193" i="165"/>
  <c r="A193" i="165"/>
  <c r="A157" i="165"/>
  <c r="A156" i="165"/>
  <c r="J155" i="165"/>
  <c r="A155" i="165"/>
  <c r="J154" i="165"/>
  <c r="A154" i="165"/>
  <c r="J153" i="165"/>
  <c r="A153" i="165"/>
  <c r="A107" i="165"/>
  <c r="A106" i="165"/>
  <c r="J105" i="165"/>
  <c r="A105" i="165"/>
  <c r="J104" i="165"/>
  <c r="A104" i="165"/>
  <c r="J103" i="165"/>
  <c r="A103" i="165"/>
  <c r="A660" i="166"/>
  <c r="A659" i="166"/>
  <c r="J658" i="166"/>
  <c r="A658" i="166"/>
  <c r="J657" i="166"/>
  <c r="A657" i="166"/>
  <c r="J656" i="166"/>
  <c r="A656" i="166"/>
  <c r="A618" i="166"/>
  <c r="A617" i="166"/>
  <c r="J616" i="166"/>
  <c r="A616" i="166"/>
  <c r="J615" i="166"/>
  <c r="A615" i="166"/>
  <c r="J614" i="166"/>
  <c r="A614" i="166"/>
  <c r="A507" i="166"/>
  <c r="A506" i="166"/>
  <c r="J505" i="166"/>
  <c r="A505" i="166"/>
  <c r="J504" i="166"/>
  <c r="A504" i="166"/>
  <c r="J503" i="166"/>
  <c r="A503" i="166"/>
  <c r="A471" i="166"/>
  <c r="A470" i="166"/>
  <c r="J469" i="166"/>
  <c r="A469" i="166"/>
  <c r="J468" i="166"/>
  <c r="A468" i="166"/>
  <c r="J467" i="166"/>
  <c r="A467" i="166"/>
  <c r="A439" i="166"/>
  <c r="A438" i="166"/>
  <c r="J437" i="166"/>
  <c r="A437" i="166"/>
  <c r="J436" i="166"/>
  <c r="A436" i="166"/>
  <c r="J435" i="166"/>
  <c r="A435" i="166"/>
  <c r="A395" i="166"/>
  <c r="A394" i="166"/>
  <c r="J393" i="166"/>
  <c r="A393" i="166"/>
  <c r="J392" i="166"/>
  <c r="A392" i="166"/>
  <c r="J391" i="166"/>
  <c r="A391" i="166"/>
  <c r="A340" i="166"/>
  <c r="A339" i="166"/>
  <c r="J338" i="166"/>
  <c r="A338" i="166"/>
  <c r="J337" i="166"/>
  <c r="A337" i="166"/>
  <c r="J336" i="166"/>
  <c r="A336" i="166"/>
  <c r="A289" i="166"/>
  <c r="A288" i="166"/>
  <c r="J287" i="166"/>
  <c r="A287" i="166"/>
  <c r="J286" i="166"/>
  <c r="A286" i="166"/>
  <c r="J285" i="166"/>
  <c r="A285" i="166"/>
  <c r="A244" i="166"/>
  <c r="A243" i="166"/>
  <c r="J242" i="166"/>
  <c r="A242" i="166"/>
  <c r="J241" i="166"/>
  <c r="A241" i="166"/>
  <c r="J240" i="166"/>
  <c r="A240" i="166"/>
  <c r="A197" i="166"/>
  <c r="A196" i="166"/>
  <c r="J195" i="166"/>
  <c r="A195" i="166"/>
  <c r="J194" i="166"/>
  <c r="A194" i="166"/>
  <c r="J193" i="166"/>
  <c r="A193" i="166"/>
  <c r="A157" i="166"/>
  <c r="A156" i="166"/>
  <c r="J155" i="166"/>
  <c r="A155" i="166"/>
  <c r="J154" i="166"/>
  <c r="A154" i="166"/>
  <c r="J153" i="166"/>
  <c r="A153" i="166"/>
  <c r="A107" i="166"/>
  <c r="A106" i="166"/>
  <c r="J105" i="166"/>
  <c r="A105" i="166"/>
  <c r="J104" i="166"/>
  <c r="A104" i="166"/>
  <c r="J103" i="166"/>
  <c r="A103" i="166"/>
  <c r="A660" i="167"/>
  <c r="A659" i="167"/>
  <c r="J658" i="167"/>
  <c r="A658" i="167"/>
  <c r="J657" i="167"/>
  <c r="A657" i="167"/>
  <c r="J656" i="167"/>
  <c r="A656" i="167"/>
  <c r="A618" i="167"/>
  <c r="A617" i="167"/>
  <c r="J616" i="167"/>
  <c r="A616" i="167"/>
  <c r="J615" i="167"/>
  <c r="A615" i="167"/>
  <c r="J614" i="167"/>
  <c r="A614" i="167"/>
  <c r="A507" i="167"/>
  <c r="A506" i="167"/>
  <c r="J505" i="167"/>
  <c r="A505" i="167"/>
  <c r="J504" i="167"/>
  <c r="A504" i="167"/>
  <c r="J503" i="167"/>
  <c r="A503" i="167"/>
  <c r="A471" i="167"/>
  <c r="A470" i="167"/>
  <c r="J469" i="167"/>
  <c r="A469" i="167"/>
  <c r="J468" i="167"/>
  <c r="A468" i="167"/>
  <c r="J467" i="167"/>
  <c r="A467" i="167"/>
  <c r="A439" i="167"/>
  <c r="A438" i="167"/>
  <c r="J437" i="167"/>
  <c r="A437" i="167"/>
  <c r="J436" i="167"/>
  <c r="A436" i="167"/>
  <c r="J435" i="167"/>
  <c r="A435" i="167"/>
  <c r="A395" i="167"/>
  <c r="A394" i="167"/>
  <c r="J393" i="167"/>
  <c r="A393" i="167"/>
  <c r="J392" i="167"/>
  <c r="A392" i="167"/>
  <c r="J391" i="167"/>
  <c r="A391" i="167"/>
  <c r="A340" i="167"/>
  <c r="A339" i="167"/>
  <c r="J338" i="167"/>
  <c r="A338" i="167"/>
  <c r="J337" i="167"/>
  <c r="A337" i="167"/>
  <c r="J336" i="167"/>
  <c r="A336" i="167"/>
  <c r="A289" i="167"/>
  <c r="A288" i="167"/>
  <c r="J287" i="167"/>
  <c r="A287" i="167"/>
  <c r="J286" i="167"/>
  <c r="A286" i="167"/>
  <c r="J285" i="167"/>
  <c r="A285" i="167"/>
  <c r="A244" i="167"/>
  <c r="A243" i="167"/>
  <c r="J242" i="167"/>
  <c r="A242" i="167"/>
  <c r="J241" i="167"/>
  <c r="A241" i="167"/>
  <c r="J240" i="167"/>
  <c r="A240" i="167"/>
  <c r="A197" i="167"/>
  <c r="A196" i="167"/>
  <c r="J195" i="167"/>
  <c r="A195" i="167"/>
  <c r="J194" i="167"/>
  <c r="A194" i="167"/>
  <c r="J193" i="167"/>
  <c r="A193" i="167"/>
  <c r="A157" i="167"/>
  <c r="A156" i="167"/>
  <c r="J155" i="167"/>
  <c r="A155" i="167"/>
  <c r="J154" i="167"/>
  <c r="A154" i="167"/>
  <c r="J153" i="167"/>
  <c r="A153" i="167"/>
  <c r="A107" i="167"/>
  <c r="A106" i="167"/>
  <c r="J105" i="167"/>
  <c r="A105" i="167"/>
  <c r="J104" i="167"/>
  <c r="A104" i="167"/>
  <c r="J103" i="167"/>
  <c r="A103" i="167"/>
  <c r="A809" i="9"/>
  <c r="A808" i="9"/>
  <c r="J807" i="9"/>
  <c r="A807" i="9"/>
  <c r="J806" i="9"/>
  <c r="A806" i="9"/>
  <c r="J805" i="9"/>
  <c r="A805" i="9"/>
  <c r="A751" i="9"/>
  <c r="A750" i="9"/>
  <c r="J749" i="9"/>
  <c r="A749" i="9"/>
  <c r="J748" i="9"/>
  <c r="A748" i="9"/>
  <c r="J747" i="9"/>
  <c r="A747" i="9"/>
  <c r="A700" i="9"/>
  <c r="A699" i="9"/>
  <c r="J698" i="9"/>
  <c r="A698" i="9"/>
  <c r="J697" i="9"/>
  <c r="A697" i="9"/>
  <c r="J696" i="9"/>
  <c r="A696" i="9"/>
  <c r="A660" i="9"/>
  <c r="A659" i="9"/>
  <c r="J658" i="9"/>
  <c r="A658" i="9"/>
  <c r="J657" i="9"/>
  <c r="A657" i="9"/>
  <c r="J656" i="9"/>
  <c r="A656" i="9"/>
  <c r="A618" i="9"/>
  <c r="A617" i="9"/>
  <c r="J616" i="9"/>
  <c r="A616" i="9"/>
  <c r="A507" i="9"/>
  <c r="A506" i="9"/>
  <c r="J505" i="9"/>
  <c r="A505" i="9"/>
  <c r="J504" i="9"/>
  <c r="A504" i="9"/>
  <c r="J503" i="9"/>
  <c r="A503" i="9"/>
  <c r="A471" i="9"/>
  <c r="A470" i="9"/>
  <c r="J469" i="9"/>
  <c r="A469" i="9"/>
  <c r="J468" i="9"/>
  <c r="A468" i="9"/>
  <c r="J467" i="9"/>
  <c r="A467" i="9"/>
  <c r="A439" i="9"/>
  <c r="A438" i="9"/>
  <c r="J437" i="9"/>
  <c r="A437" i="9"/>
  <c r="J436" i="9"/>
  <c r="A436" i="9"/>
  <c r="J435" i="9"/>
  <c r="A435" i="9"/>
  <c r="A395" i="9"/>
  <c r="A394" i="9"/>
  <c r="J393" i="9"/>
  <c r="A393" i="9"/>
  <c r="J392" i="9"/>
  <c r="A392" i="9"/>
  <c r="J391" i="9"/>
  <c r="A391" i="9"/>
  <c r="A340" i="9"/>
  <c r="A339" i="9"/>
  <c r="J338" i="9"/>
  <c r="A338" i="9"/>
  <c r="J337" i="9"/>
  <c r="A337" i="9"/>
  <c r="J336" i="9"/>
  <c r="A336" i="9"/>
  <c r="A289" i="9"/>
  <c r="A288" i="9"/>
  <c r="J287" i="9"/>
  <c r="A287" i="9"/>
  <c r="J286" i="9"/>
  <c r="A286" i="9"/>
  <c r="J285" i="9"/>
  <c r="A285" i="9"/>
  <c r="A244" i="9"/>
  <c r="A243" i="9"/>
  <c r="J242" i="9"/>
  <c r="A242" i="9"/>
  <c r="J241" i="9"/>
  <c r="A241" i="9"/>
  <c r="J240" i="9"/>
  <c r="A240" i="9"/>
  <c r="A197" i="9"/>
  <c r="A196" i="9"/>
  <c r="J195" i="9"/>
  <c r="A195" i="9"/>
  <c r="J194" i="9"/>
  <c r="A194" i="9"/>
  <c r="J193" i="9"/>
  <c r="A193" i="9"/>
  <c r="A157" i="9"/>
  <c r="A156" i="9"/>
  <c r="J155" i="9"/>
  <c r="A155" i="9"/>
  <c r="J154" i="9"/>
  <c r="A154" i="9"/>
  <c r="J153" i="9"/>
  <c r="A153" i="9"/>
  <c r="A107" i="9"/>
  <c r="A106" i="9"/>
  <c r="J105" i="9"/>
  <c r="A105" i="9"/>
  <c r="J104" i="9"/>
  <c r="A104" i="9"/>
  <c r="J103" i="9"/>
  <c r="A103" i="9"/>
  <c r="J48" i="157"/>
  <c r="K48" i="155"/>
  <c r="J48" i="159"/>
  <c r="K48" i="160"/>
  <c r="K48" i="161"/>
  <c r="J48" i="158"/>
  <c r="K48" i="162"/>
  <c r="J48" i="164"/>
  <c r="J48" i="165"/>
  <c r="J48" i="166"/>
  <c r="J48" i="167"/>
  <c r="J48" i="9"/>
  <c r="J47" i="157"/>
  <c r="K47" i="155"/>
  <c r="J47" i="159"/>
  <c r="K47" i="160"/>
  <c r="K47" i="161"/>
  <c r="J47" i="158"/>
  <c r="K47" i="162"/>
  <c r="J47" i="164"/>
  <c r="J47" i="165"/>
  <c r="J47" i="166"/>
  <c r="J47" i="167"/>
  <c r="J47" i="9"/>
  <c r="J46" i="157"/>
  <c r="K46" i="155"/>
  <c r="J46" i="159"/>
  <c r="K46" i="160"/>
  <c r="K46" i="161"/>
  <c r="J46" i="158"/>
  <c r="K46" i="162"/>
  <c r="J46" i="164"/>
  <c r="J46" i="165"/>
  <c r="J46" i="166"/>
  <c r="J46" i="167"/>
  <c r="J46" i="9"/>
  <c r="A50" i="157"/>
  <c r="A50" i="155"/>
  <c r="A50" i="159"/>
  <c r="A50" i="160"/>
  <c r="A50" i="161"/>
  <c r="A50" i="158"/>
  <c r="A50" i="162"/>
  <c r="A50" i="164"/>
  <c r="A50" i="165"/>
  <c r="A50" i="166"/>
  <c r="A50" i="167"/>
  <c r="A50" i="9"/>
  <c r="A49" i="157"/>
  <c r="A49" i="155"/>
  <c r="A49" i="159"/>
  <c r="A49" i="160"/>
  <c r="A49" i="161"/>
  <c r="A49" i="158"/>
  <c r="A49" i="162"/>
  <c r="A49" i="164"/>
  <c r="A49" i="165"/>
  <c r="A49" i="166"/>
  <c r="A49" i="167"/>
  <c r="A49" i="9"/>
  <c r="A48" i="157"/>
  <c r="A48" i="155"/>
  <c r="A48" i="159"/>
  <c r="A48" i="160"/>
  <c r="A48" i="161"/>
  <c r="A48" i="158"/>
  <c r="A48" i="162"/>
  <c r="A48" i="164"/>
  <c r="A48" i="165"/>
  <c r="A48" i="166"/>
  <c r="A48" i="167"/>
  <c r="A48" i="9"/>
  <c r="A47" i="157"/>
  <c r="A47" i="155"/>
  <c r="A47" i="159"/>
  <c r="A47" i="160"/>
  <c r="A47" i="161"/>
  <c r="A47" i="158"/>
  <c r="A47" i="162"/>
  <c r="A47" i="164"/>
  <c r="A47" i="165"/>
  <c r="A47" i="166"/>
  <c r="A47" i="167"/>
  <c r="A47" i="9"/>
  <c r="A46" i="157"/>
  <c r="A46" i="155"/>
  <c r="A46" i="159"/>
  <c r="A46" i="160"/>
  <c r="A46" i="161"/>
  <c r="A46" i="158"/>
  <c r="A46" i="162"/>
  <c r="A46" i="164"/>
  <c r="A46" i="165"/>
  <c r="A46" i="166"/>
  <c r="A46" i="167"/>
  <c r="A46" i="9"/>
  <c r="F52" i="162"/>
  <c r="F52" i="161"/>
  <c r="F52" i="160"/>
  <c r="F52" i="155"/>
  <c r="J3" i="157"/>
  <c r="K3" i="155"/>
  <c r="J3" i="159"/>
  <c r="K3" i="160"/>
  <c r="K3" i="161"/>
  <c r="J3" i="158"/>
  <c r="K3" i="162"/>
  <c r="J3" i="164"/>
  <c r="J3" i="165"/>
  <c r="J3" i="166"/>
  <c r="J3" i="167"/>
  <c r="J3" i="9"/>
  <c r="A5" i="157"/>
  <c r="A5" i="155"/>
  <c r="A5" i="159"/>
  <c r="A5" i="160"/>
  <c r="A5" i="161"/>
  <c r="A5" i="158"/>
  <c r="A5" i="162"/>
  <c r="A5" i="164"/>
  <c r="A5" i="165"/>
  <c r="A5" i="166"/>
  <c r="A5" i="167"/>
  <c r="A5" i="9"/>
  <c r="A4" i="157"/>
  <c r="A4" i="155"/>
  <c r="A4" i="159"/>
  <c r="A4" i="160"/>
  <c r="A4" i="161"/>
  <c r="A4" i="158"/>
  <c r="A4" i="162"/>
  <c r="A4" i="164"/>
  <c r="A4" i="165"/>
  <c r="A4" i="166"/>
  <c r="A4" i="167"/>
  <c r="A4" i="9"/>
  <c r="A3" i="157"/>
  <c r="A3" i="155"/>
  <c r="A3" i="159"/>
  <c r="A3" i="160"/>
  <c r="A3" i="161"/>
  <c r="A3" i="158"/>
  <c r="A3" i="162"/>
  <c r="A3" i="164"/>
  <c r="A3" i="165"/>
  <c r="A3" i="166"/>
  <c r="A3" i="167"/>
  <c r="A3" i="9"/>
  <c r="A1" i="157"/>
  <c r="A1" i="155"/>
  <c r="A1" i="159"/>
  <c r="A1" i="160"/>
  <c r="A1" i="161"/>
  <c r="A1" i="158"/>
  <c r="A1" i="162"/>
  <c r="A1" i="164"/>
  <c r="A1" i="165"/>
  <c r="A1" i="166"/>
  <c r="A1" i="167"/>
  <c r="A1" i="9"/>
  <c r="E53" i="8"/>
  <c r="F53" i="8" s="1"/>
  <c r="G53" i="8" s="1"/>
  <c r="E52" i="8"/>
  <c r="F52" i="8" s="1"/>
  <c r="G52" i="8" s="1"/>
  <c r="E43" i="169" l="1"/>
  <c r="E47" i="169" s="1"/>
  <c r="E51" i="8"/>
  <c r="F51" i="8" s="1"/>
  <c r="G51" i="8" s="1"/>
  <c r="E50" i="8"/>
  <c r="E55" i="8" s="1"/>
  <c r="F50" i="8" l="1"/>
  <c r="G50" i="8" s="1"/>
  <c r="I13" i="8"/>
  <c r="K10" i="8"/>
  <c r="M4" i="8"/>
  <c r="A3" i="8"/>
  <c r="A2" i="8"/>
  <c r="A1" i="8"/>
  <c r="I13" i="24" l="1"/>
  <c r="K10" i="24"/>
  <c r="M4" i="24"/>
  <c r="A3" i="24"/>
  <c r="A2" i="24"/>
  <c r="A1" i="24"/>
  <c r="I13" i="7" l="1"/>
  <c r="K10" i="7"/>
  <c r="M4" i="7"/>
  <c r="A3" i="7"/>
  <c r="A2" i="7"/>
  <c r="A1" i="7"/>
  <c r="K28" i="6" l="1"/>
  <c r="K27" i="6"/>
  <c r="K30" i="6" l="1"/>
  <c r="K26" i="6"/>
  <c r="P19" i="6"/>
  <c r="I13" i="6"/>
  <c r="K10" i="6"/>
  <c r="M4" i="6"/>
  <c r="A3" i="6"/>
  <c r="A2" i="6"/>
  <c r="A1" i="6"/>
  <c r="K5" i="49" l="1"/>
  <c r="A6" i="49"/>
  <c r="K4" i="49"/>
  <c r="A5" i="49"/>
  <c r="K3" i="49"/>
  <c r="A4" i="49"/>
  <c r="A2" i="49"/>
  <c r="A1" i="49"/>
  <c r="B19" i="3" l="1"/>
  <c r="B21" i="3" s="1"/>
  <c r="D17" i="3"/>
  <c r="E16" i="3"/>
  <c r="F15" i="3"/>
  <c r="G14" i="3"/>
  <c r="C14" i="3"/>
  <c r="F13" i="3"/>
  <c r="D13" i="3"/>
  <c r="G5" i="3"/>
  <c r="E13" i="3" l="1"/>
  <c r="D14" i="3"/>
  <c r="C15" i="3"/>
  <c r="G15" i="3"/>
  <c r="F16" i="3"/>
  <c r="E17" i="3"/>
  <c r="E14" i="3"/>
  <c r="D15" i="3"/>
  <c r="C16" i="3"/>
  <c r="C12" i="3" s="1"/>
  <c r="C19" i="3" s="1"/>
  <c r="G16" i="3"/>
  <c r="F17" i="3"/>
  <c r="C13" i="3"/>
  <c r="G13" i="3"/>
  <c r="F14" i="3"/>
  <c r="E15" i="3"/>
  <c r="D16" i="3"/>
  <c r="C17" i="3"/>
  <c r="G17" i="3"/>
  <c r="C18" i="3"/>
  <c r="D18" i="3"/>
  <c r="E18" i="3"/>
  <c r="F18" i="3"/>
  <c r="G18" i="3"/>
  <c r="A5" i="3"/>
  <c r="A4" i="3"/>
  <c r="A3" i="3"/>
  <c r="G2" i="3"/>
  <c r="A2" i="3"/>
  <c r="A1" i="3"/>
  <c r="F12" i="3" l="1"/>
  <c r="F20" i="3" s="1"/>
  <c r="G12" i="3"/>
  <c r="G20" i="3" s="1"/>
  <c r="E12" i="3"/>
  <c r="D12" i="3" s="1"/>
  <c r="F28" i="38"/>
  <c r="E20" i="3" l="1"/>
  <c r="D20" i="3"/>
  <c r="F5" i="38"/>
  <c r="A5" i="38"/>
  <c r="A4" i="38"/>
  <c r="A3" i="38"/>
  <c r="F2" i="38"/>
  <c r="A2" i="38"/>
  <c r="A1" i="38"/>
  <c r="D156" i="35" l="1"/>
  <c r="C156" i="35"/>
  <c r="D139" i="35"/>
  <c r="C139" i="35"/>
  <c r="D125" i="35"/>
  <c r="C125" i="35"/>
  <c r="D114" i="35"/>
  <c r="C114" i="35"/>
  <c r="F105" i="35"/>
  <c r="A105" i="35"/>
  <c r="A104" i="35"/>
  <c r="A103" i="35"/>
  <c r="A102" i="35"/>
  <c r="A101" i="35"/>
  <c r="D158" i="35" l="1"/>
  <c r="C158" i="35"/>
  <c r="C97" i="35"/>
  <c r="F88" i="35" l="1"/>
  <c r="A88" i="35"/>
  <c r="A87" i="35"/>
  <c r="A86" i="35"/>
  <c r="A85" i="35"/>
  <c r="F84" i="35"/>
  <c r="A84" i="35"/>
  <c r="E76" i="35" a="1"/>
  <c r="D76" i="35" a="1"/>
  <c r="D76" i="35" s="1"/>
  <c r="E75" i="35" a="1"/>
  <c r="D75" i="35" a="1"/>
  <c r="E74" i="35" a="1"/>
  <c r="D74" i="35" a="1"/>
  <c r="D74" i="35" s="1"/>
  <c r="E73" i="35" a="1"/>
  <c r="D73" i="35" a="1"/>
  <c r="E72" i="35" a="1"/>
  <c r="D72" i="35" a="1"/>
  <c r="D72" i="35" s="1"/>
  <c r="E71" i="35" a="1"/>
  <c r="D71" i="35" a="1"/>
  <c r="E70" i="35" a="1"/>
  <c r="D70" i="35" a="1"/>
  <c r="D70" i="35" s="1"/>
  <c r="E69" i="35" a="1"/>
  <c r="D69" i="35" a="1"/>
  <c r="E68" i="35" a="1"/>
  <c r="D68" i="35" a="1"/>
  <c r="D68" i="35" s="1"/>
  <c r="E67" i="35" a="1"/>
  <c r="D67" i="35" a="1"/>
  <c r="E66" i="35" a="1"/>
  <c r="D66" i="35" a="1"/>
  <c r="E65" i="35" a="1"/>
  <c r="D65" i="35" a="1"/>
  <c r="E64" i="35" a="1"/>
  <c r="D64" i="35" a="1"/>
  <c r="D64" i="35" s="1"/>
  <c r="E63" i="35" a="1"/>
  <c r="D63" i="35" a="1"/>
  <c r="E62" i="35" a="1"/>
  <c r="D62" i="35" a="1"/>
  <c r="D62" i="35" s="1"/>
  <c r="E61" i="35" a="1"/>
  <c r="D61" i="35" a="1"/>
  <c r="E60" i="35" a="1"/>
  <c r="E60" i="35" s="1"/>
  <c r="D71" i="35" l="1"/>
  <c r="D65" i="35"/>
  <c r="D61" i="35"/>
  <c r="D63" i="35"/>
  <c r="E65" i="35"/>
  <c r="M65" i="35" s="1"/>
  <c r="D73" i="35"/>
  <c r="D66" i="35"/>
  <c r="D67" i="35"/>
  <c r="D69" i="35"/>
  <c r="D75" i="35"/>
  <c r="D60" i="35" a="1"/>
  <c r="D60" i="35" s="1"/>
  <c r="E59" i="35" a="1"/>
  <c r="E59" i="35" s="1"/>
  <c r="D59" i="35" a="1"/>
  <c r="D59" i="35" s="1"/>
  <c r="K50" i="35"/>
  <c r="A50" i="35"/>
  <c r="A49" i="35"/>
  <c r="A48" i="35"/>
  <c r="K47" i="35"/>
  <c r="A47" i="35"/>
  <c r="A46" i="35"/>
  <c r="E44" i="35" a="1"/>
  <c r="D44" i="35" a="1"/>
  <c r="E43" i="35" a="1"/>
  <c r="E43" i="35" s="1"/>
  <c r="D43" i="35" a="1"/>
  <c r="D43" i="35" s="1"/>
  <c r="H43" i="35" s="1"/>
  <c r="E42" i="35" a="1"/>
  <c r="E42" i="35" s="1"/>
  <c r="D42" i="35" a="1"/>
  <c r="E41" i="35" a="1"/>
  <c r="E41" i="35" s="1"/>
  <c r="D41" i="35" a="1"/>
  <c r="D41" i="35" s="1"/>
  <c r="D44" i="35" l="1"/>
  <c r="H44" i="35" s="1"/>
  <c r="J44" i="35" s="1"/>
  <c r="H60" i="35"/>
  <c r="J60" i="35" s="1"/>
  <c r="I60" i="35" s="1"/>
  <c r="K60" i="35" s="1"/>
  <c r="H41" i="35"/>
  <c r="H59" i="35"/>
  <c r="I59" i="35" s="1"/>
  <c r="K59" i="35" s="1"/>
  <c r="L65" i="35"/>
  <c r="J43" i="35"/>
  <c r="I43" i="35" s="1"/>
  <c r="K43" i="35" s="1"/>
  <c r="D42" i="35"/>
  <c r="H42" i="35" s="1"/>
  <c r="E44" i="35"/>
  <c r="E35" i="35" a="1"/>
  <c r="D35" i="35" a="1"/>
  <c r="I44" i="35" l="1"/>
  <c r="K44" i="35" s="1"/>
  <c r="D35" i="35"/>
  <c r="F35" i="35" s="1"/>
  <c r="E35" i="35" s="1"/>
  <c r="G35" i="35" s="1"/>
  <c r="D78" i="35"/>
  <c r="J59" i="35"/>
  <c r="E34" i="35" a="1"/>
  <c r="D34" i="35" a="1"/>
  <c r="D34" i="35" s="1"/>
  <c r="E33" i="35" a="1"/>
  <c r="D33" i="35" a="1"/>
  <c r="D33" i="35" s="1"/>
  <c r="E32" i="35" a="1"/>
  <c r="D32" i="35" a="1"/>
  <c r="D32" i="35" s="1"/>
  <c r="E31" i="35" a="1"/>
  <c r="D31" i="35" a="1"/>
  <c r="E28" i="35" a="1"/>
  <c r="E28" i="35" s="1"/>
  <c r="D28" i="35" a="1"/>
  <c r="E23" i="35" a="1"/>
  <c r="D23" i="35" a="1"/>
  <c r="E22" i="35" a="1"/>
  <c r="D22" i="35" a="1"/>
  <c r="D22" i="35" s="1"/>
  <c r="E21" i="35" a="1"/>
  <c r="D21" i="35" a="1"/>
  <c r="E20" i="35" a="1"/>
  <c r="D20" i="35" a="1"/>
  <c r="D20" i="35" s="1"/>
  <c r="E19" i="35" a="1"/>
  <c r="D19" i="35" a="1"/>
  <c r="D19" i="35" s="1"/>
  <c r="E18" i="35" a="1"/>
  <c r="D18" i="35" a="1"/>
  <c r="D18" i="35" s="1"/>
  <c r="E17" i="35" a="1"/>
  <c r="D17" i="35" a="1"/>
  <c r="E16" i="35" a="1"/>
  <c r="D16" i="35" a="1"/>
  <c r="D16" i="35" s="1"/>
  <c r="E15" i="35" a="1"/>
  <c r="D15" i="35" a="1"/>
  <c r="D15" i="35" s="1"/>
  <c r="E14" i="35" a="1"/>
  <c r="E14" i="35" s="1"/>
  <c r="D14" i="35" a="1"/>
  <c r="D14" i="35" s="1"/>
  <c r="K5" i="35"/>
  <c r="A5" i="35"/>
  <c r="A4" i="35"/>
  <c r="A3" i="35"/>
  <c r="K2" i="35"/>
  <c r="A2" i="35"/>
  <c r="A1" i="35"/>
  <c r="C20" i="34"/>
  <c r="B20" i="34" s="1"/>
  <c r="G5" i="34"/>
  <c r="A5" i="34"/>
  <c r="A4" i="34"/>
  <c r="A3" i="34"/>
  <c r="G2" i="34"/>
  <c r="A2" i="34"/>
  <c r="A1" i="34"/>
  <c r="H35" i="35" l="1"/>
  <c r="I35" i="35"/>
  <c r="K35" i="35"/>
  <c r="J35" i="35" s="1"/>
  <c r="K28" i="35"/>
  <c r="G28" i="35"/>
  <c r="F32" i="35"/>
  <c r="E32" i="35" s="1"/>
  <c r="J32" i="35"/>
  <c r="F34" i="35"/>
  <c r="E34" i="35" s="1"/>
  <c r="H34" i="35"/>
  <c r="F33" i="35"/>
  <c r="E33" i="35" s="1"/>
  <c r="H33" i="35"/>
  <c r="G14" i="35"/>
  <c r="F14" i="35" s="1"/>
  <c r="F102" i="35"/>
  <c r="F85" i="35"/>
  <c r="D23" i="35"/>
  <c r="D28" i="35"/>
  <c r="D31" i="35"/>
  <c r="D17" i="35"/>
  <c r="D21" i="35"/>
  <c r="D25" i="35" l="1"/>
  <c r="F28" i="35"/>
  <c r="H28" i="35"/>
  <c r="J28" i="35"/>
  <c r="I28" i="35" s="1"/>
  <c r="K33" i="35"/>
  <c r="J33" i="35" s="1"/>
  <c r="G33" i="35"/>
  <c r="I33" i="35"/>
  <c r="K32" i="35"/>
  <c r="G32" i="35"/>
  <c r="I32" i="35"/>
  <c r="H32" i="35" s="1"/>
  <c r="D37" i="35"/>
  <c r="H31" i="35"/>
  <c r="J31" i="35"/>
  <c r="F31" i="35"/>
  <c r="E31" i="35" s="1"/>
  <c r="I34" i="35"/>
  <c r="K34" i="35"/>
  <c r="J34" i="35" s="1"/>
  <c r="G34" i="35"/>
  <c r="C18" i="33"/>
  <c r="B18" i="33"/>
  <c r="C17" i="33"/>
  <c r="B17" i="33"/>
  <c r="C16" i="33"/>
  <c r="B16" i="33"/>
  <c r="C15" i="33"/>
  <c r="B15" i="33"/>
  <c r="C14" i="33"/>
  <c r="B14" i="33"/>
  <c r="D16" i="33" l="1"/>
  <c r="D80" i="35"/>
  <c r="D15" i="33"/>
  <c r="E37" i="35"/>
  <c r="K31" i="35"/>
  <c r="G31" i="35"/>
  <c r="I31" i="35"/>
  <c r="D14" i="33"/>
  <c r="D18" i="33"/>
  <c r="D17" i="33"/>
  <c r="C13" i="33"/>
  <c r="B13" i="33"/>
  <c r="C12" i="33"/>
  <c r="B12" i="33"/>
  <c r="C11" i="33"/>
  <c r="B11" i="33"/>
  <c r="F5" i="33"/>
  <c r="A5" i="33"/>
  <c r="A4" i="33"/>
  <c r="A3" i="33"/>
  <c r="F2" i="33"/>
  <c r="A2" i="33"/>
  <c r="A1" i="33"/>
  <c r="D13" i="33" l="1"/>
  <c r="B19" i="33"/>
  <c r="D24" i="33" s="1"/>
  <c r="D11" i="33"/>
  <c r="D12" i="33"/>
  <c r="D25" i="32"/>
  <c r="C25" i="32"/>
  <c r="D24" i="32"/>
  <c r="C24" i="32"/>
  <c r="D23" i="32"/>
  <c r="C23" i="32"/>
  <c r="D22" i="32"/>
  <c r="C22" i="32"/>
  <c r="D21" i="32"/>
  <c r="C21" i="32"/>
  <c r="D20" i="32"/>
  <c r="C20" i="32"/>
  <c r="D19" i="32"/>
  <c r="C19" i="32"/>
  <c r="D18" i="32"/>
  <c r="C18" i="32"/>
  <c r="D17" i="32"/>
  <c r="C17" i="32"/>
  <c r="D16" i="32"/>
  <c r="C16" i="32"/>
  <c r="F17" i="32" l="1"/>
  <c r="B53" i="32" s="1"/>
  <c r="F19" i="32"/>
  <c r="F22" i="32"/>
  <c r="F24" i="32"/>
  <c r="F20" i="32"/>
  <c r="D22" i="33"/>
  <c r="C19" i="33" s="1"/>
  <c r="F16" i="32"/>
  <c r="B52" i="32" s="1"/>
  <c r="F18" i="32"/>
  <c r="B54" i="32" s="1"/>
  <c r="F21" i="32"/>
  <c r="F23" i="32"/>
  <c r="D15" i="32"/>
  <c r="C15" i="32"/>
  <c r="D14" i="32"/>
  <c r="C14" i="32"/>
  <c r="D13" i="32"/>
  <c r="C13" i="32"/>
  <c r="D12" i="32"/>
  <c r="C12" i="32"/>
  <c r="D11" i="32"/>
  <c r="C11" i="32"/>
  <c r="A5" i="32"/>
  <c r="H4" i="32"/>
  <c r="A4" i="32"/>
  <c r="A3" i="32"/>
  <c r="H2" i="32"/>
  <c r="A2" i="32"/>
  <c r="A1" i="32"/>
  <c r="F5" i="31"/>
  <c r="A5" i="31"/>
  <c r="A4" i="31"/>
  <c r="A3" i="31"/>
  <c r="F2" i="31"/>
  <c r="A2" i="31"/>
  <c r="A1" i="31"/>
  <c r="Q116" i="28"/>
  <c r="A116" i="28"/>
  <c r="A115" i="28"/>
  <c r="A114" i="28"/>
  <c r="Q113" i="28"/>
  <c r="A113" i="28"/>
  <c r="A112" i="28"/>
  <c r="Q79" i="28"/>
  <c r="A79" i="28"/>
  <c r="A78" i="28"/>
  <c r="A77" i="28"/>
  <c r="Q76" i="28"/>
  <c r="A76" i="28"/>
  <c r="A75" i="28"/>
  <c r="Q42" i="28"/>
  <c r="A42" i="28"/>
  <c r="A41" i="28"/>
  <c r="A40" i="28"/>
  <c r="Q39" i="28"/>
  <c r="A39" i="28"/>
  <c r="A38" i="28"/>
  <c r="U29" i="28"/>
  <c r="U28" i="28"/>
  <c r="U27" i="28"/>
  <c r="U26" i="28"/>
  <c r="U25" i="28"/>
  <c r="U24" i="28"/>
  <c r="U23" i="28"/>
  <c r="U22" i="28"/>
  <c r="U21" i="28"/>
  <c r="U20" i="28"/>
  <c r="U19" i="28"/>
  <c r="U18" i="28"/>
  <c r="A5" i="28"/>
  <c r="A4" i="28"/>
  <c r="A3" i="28"/>
  <c r="Q2" i="28"/>
  <c r="A2" i="28"/>
  <c r="A1" i="28"/>
  <c r="E141" i="27"/>
  <c r="B141" i="27"/>
  <c r="A141" i="27"/>
  <c r="E140" i="27"/>
  <c r="B140" i="27"/>
  <c r="A140" i="27"/>
  <c r="E139" i="27"/>
  <c r="B139" i="27"/>
  <c r="A139" i="27"/>
  <c r="E138" i="27"/>
  <c r="B138" i="27"/>
  <c r="A138" i="27"/>
  <c r="E137" i="27"/>
  <c r="B137" i="27"/>
  <c r="A137" i="27"/>
  <c r="E136" i="27"/>
  <c r="B136" i="27"/>
  <c r="A136" i="27"/>
  <c r="E135" i="27"/>
  <c r="B135" i="27"/>
  <c r="A135" i="27"/>
  <c r="E134" i="27"/>
  <c r="B134" i="27"/>
  <c r="A134" i="27"/>
  <c r="E133" i="27"/>
  <c r="B133" i="27"/>
  <c r="A133" i="27"/>
  <c r="E132" i="27"/>
  <c r="B132" i="27"/>
  <c r="A132" i="27"/>
  <c r="E131" i="27"/>
  <c r="B131" i="27"/>
  <c r="A131" i="27"/>
  <c r="E130" i="27"/>
  <c r="B130" i="27"/>
  <c r="A130" i="27"/>
  <c r="J102" i="27"/>
  <c r="E142" i="27" l="1"/>
  <c r="U30" i="28"/>
  <c r="F10" i="32"/>
  <c r="B47" i="32" s="1"/>
  <c r="F12" i="32"/>
  <c r="B49" i="32" s="1"/>
  <c r="F15" i="32"/>
  <c r="B51" i="32" s="1"/>
  <c r="F14" i="32"/>
  <c r="F13" i="32"/>
  <c r="B50" i="32" s="1"/>
  <c r="D27" i="32"/>
  <c r="F11" i="32"/>
  <c r="C27" i="32"/>
  <c r="A102" i="27"/>
  <c r="A101" i="27"/>
  <c r="A100" i="27"/>
  <c r="J99" i="27"/>
  <c r="A99" i="27"/>
  <c r="A98" i="27"/>
  <c r="E92" i="27"/>
  <c r="K91" i="27"/>
  <c r="I91" i="27"/>
  <c r="G91" i="27"/>
  <c r="B91" i="27"/>
  <c r="F91" i="27" s="1"/>
  <c r="A91" i="27"/>
  <c r="K90" i="27"/>
  <c r="I90" i="27"/>
  <c r="G90" i="27"/>
  <c r="B90" i="27"/>
  <c r="F90" i="27" s="1"/>
  <c r="A90" i="27"/>
  <c r="K89" i="27"/>
  <c r="I89" i="27"/>
  <c r="G89" i="27"/>
  <c r="F89" i="27"/>
  <c r="B89" i="27"/>
  <c r="A89" i="27"/>
  <c r="K88" i="27"/>
  <c r="I88" i="27"/>
  <c r="G88" i="27"/>
  <c r="B88" i="27"/>
  <c r="F88" i="27" s="1"/>
  <c r="A88" i="27"/>
  <c r="K87" i="27"/>
  <c r="I87" i="27"/>
  <c r="G87" i="27"/>
  <c r="B87" i="27"/>
  <c r="F87" i="27" s="1"/>
  <c r="A87" i="27"/>
  <c r="K86" i="27"/>
  <c r="I86" i="27"/>
  <c r="G86" i="27"/>
  <c r="B86" i="27"/>
  <c r="F86" i="27" s="1"/>
  <c r="A86" i="27"/>
  <c r="K85" i="27"/>
  <c r="I85" i="27"/>
  <c r="G85" i="27"/>
  <c r="B85" i="27"/>
  <c r="F85" i="27" s="1"/>
  <c r="A85" i="27"/>
  <c r="K84" i="27"/>
  <c r="I84" i="27"/>
  <c r="G84" i="27"/>
  <c r="B84" i="27"/>
  <c r="F84" i="27" s="1"/>
  <c r="A84" i="27"/>
  <c r="K83" i="27"/>
  <c r="I83" i="27"/>
  <c r="G83" i="27"/>
  <c r="B83" i="27"/>
  <c r="F83" i="27" s="1"/>
  <c r="L83" i="27" s="1"/>
  <c r="A83" i="27"/>
  <c r="K82" i="27"/>
  <c r="I82" i="27"/>
  <c r="G82" i="27"/>
  <c r="B82" i="27"/>
  <c r="F82" i="27" s="1"/>
  <c r="A82" i="27"/>
  <c r="K81" i="27"/>
  <c r="I81" i="27"/>
  <c r="G81" i="27"/>
  <c r="B81" i="27"/>
  <c r="F81" i="27" s="1"/>
  <c r="A81" i="27"/>
  <c r="K80" i="27"/>
  <c r="I80" i="27"/>
  <c r="G80" i="27"/>
  <c r="B80" i="27"/>
  <c r="F80" i="27" s="1"/>
  <c r="A80" i="27"/>
  <c r="E72" i="27"/>
  <c r="K71" i="27"/>
  <c r="I71" i="27"/>
  <c r="G71" i="27"/>
  <c r="B71" i="27"/>
  <c r="F71" i="27" s="1"/>
  <c r="A71" i="27"/>
  <c r="K70" i="27"/>
  <c r="I70" i="27"/>
  <c r="G70" i="27"/>
  <c r="B70" i="27"/>
  <c r="F70" i="27" s="1"/>
  <c r="A70" i="27"/>
  <c r="K69" i="27"/>
  <c r="I69" i="27"/>
  <c r="G69" i="27"/>
  <c r="B69" i="27"/>
  <c r="F69" i="27" s="1"/>
  <c r="L69" i="27" s="1"/>
  <c r="A69" i="27"/>
  <c r="K68" i="27"/>
  <c r="I68" i="27"/>
  <c r="G68" i="27"/>
  <c r="B68" i="27"/>
  <c r="F68" i="27" s="1"/>
  <c r="A68" i="27"/>
  <c r="K67" i="27"/>
  <c r="I67" i="27"/>
  <c r="G67" i="27"/>
  <c r="B67" i="27"/>
  <c r="F67" i="27" s="1"/>
  <c r="A67" i="27"/>
  <c r="K66" i="27"/>
  <c r="I66" i="27"/>
  <c r="G66" i="27"/>
  <c r="B66" i="27"/>
  <c r="F66" i="27" s="1"/>
  <c r="A66" i="27"/>
  <c r="K65" i="27"/>
  <c r="I65" i="27"/>
  <c r="G65" i="27"/>
  <c r="B65" i="27"/>
  <c r="F65" i="27" s="1"/>
  <c r="A65" i="27"/>
  <c r="K64" i="27"/>
  <c r="I64" i="27"/>
  <c r="G64" i="27"/>
  <c r="B64" i="27"/>
  <c r="F64" i="27" s="1"/>
  <c r="A64" i="27"/>
  <c r="K63" i="27"/>
  <c r="I63" i="27"/>
  <c r="G63" i="27"/>
  <c r="B63" i="27"/>
  <c r="F63" i="27" s="1"/>
  <c r="A63" i="27"/>
  <c r="K62" i="27"/>
  <c r="I62" i="27"/>
  <c r="G62" i="27"/>
  <c r="B62" i="27"/>
  <c r="F62" i="27" s="1"/>
  <c r="A62" i="27"/>
  <c r="K61" i="27"/>
  <c r="I61" i="27"/>
  <c r="G61" i="27"/>
  <c r="B61" i="27"/>
  <c r="F61" i="27" s="1"/>
  <c r="A61" i="27"/>
  <c r="K60" i="27"/>
  <c r="I60" i="27"/>
  <c r="G60" i="27"/>
  <c r="B60" i="27"/>
  <c r="F60" i="27" s="1"/>
  <c r="A60" i="27"/>
  <c r="J53" i="27"/>
  <c r="A53" i="27"/>
  <c r="A52" i="27"/>
  <c r="A51" i="27"/>
  <c r="J50" i="27"/>
  <c r="A50" i="27"/>
  <c r="A49" i="27"/>
  <c r="P43" i="27"/>
  <c r="E43" i="27"/>
  <c r="K42" i="27"/>
  <c r="I42" i="27"/>
  <c r="G42" i="27"/>
  <c r="B42" i="27"/>
  <c r="F42" i="27" s="1"/>
  <c r="A42" i="27"/>
  <c r="Q41" i="27"/>
  <c r="K41" i="27"/>
  <c r="I41" i="27"/>
  <c r="G41" i="27"/>
  <c r="B41" i="27"/>
  <c r="F41" i="27" s="1"/>
  <c r="A41" i="27"/>
  <c r="Q40" i="27"/>
  <c r="K40" i="27"/>
  <c r="I40" i="27"/>
  <c r="G40" i="27"/>
  <c r="B40" i="27"/>
  <c r="F40" i="27" s="1"/>
  <c r="A40" i="27"/>
  <c r="K39" i="27"/>
  <c r="I39" i="27"/>
  <c r="G39" i="27"/>
  <c r="B39" i="27"/>
  <c r="F39" i="27" s="1"/>
  <c r="A39" i="27"/>
  <c r="Q38" i="27"/>
  <c r="K38" i="27"/>
  <c r="I38" i="27"/>
  <c r="G38" i="27"/>
  <c r="B38" i="27"/>
  <c r="F38" i="27" s="1"/>
  <c r="A38" i="27"/>
  <c r="K37" i="27"/>
  <c r="I37" i="27"/>
  <c r="G37" i="27"/>
  <c r="B37" i="27"/>
  <c r="F37" i="27" s="1"/>
  <c r="A37" i="27"/>
  <c r="K36" i="27"/>
  <c r="I36" i="27"/>
  <c r="G36" i="27"/>
  <c r="B36" i="27"/>
  <c r="F36" i="27" s="1"/>
  <c r="A36" i="27"/>
  <c r="L37" i="27" l="1"/>
  <c r="J64" i="27"/>
  <c r="H80" i="27"/>
  <c r="H84" i="27"/>
  <c r="J85" i="27"/>
  <c r="H88" i="27"/>
  <c r="J40" i="27"/>
  <c r="J84" i="27"/>
  <c r="J88" i="27"/>
  <c r="L38" i="27"/>
  <c r="L88" i="27"/>
  <c r="J86" i="27"/>
  <c r="H42" i="27"/>
  <c r="J60" i="27"/>
  <c r="L81" i="27"/>
  <c r="H40" i="27"/>
  <c r="J80" i="27"/>
  <c r="L89" i="27"/>
  <c r="L36" i="27"/>
  <c r="J62" i="27"/>
  <c r="J66" i="27"/>
  <c r="H82" i="27"/>
  <c r="J42" i="27"/>
  <c r="J68" i="27"/>
  <c r="L39" i="27"/>
  <c r="L70" i="27"/>
  <c r="J82" i="27"/>
  <c r="H86" i="27"/>
  <c r="L87" i="27"/>
  <c r="H90" i="27"/>
  <c r="L91" i="27"/>
  <c r="J71" i="27"/>
  <c r="L42" i="27"/>
  <c r="J61" i="27"/>
  <c r="J63" i="27"/>
  <c r="J65" i="27"/>
  <c r="J67" i="27"/>
  <c r="H36" i="27"/>
  <c r="H38" i="27"/>
  <c r="H41" i="27"/>
  <c r="J90" i="27"/>
  <c r="J83" i="27"/>
  <c r="L86" i="27"/>
  <c r="H87" i="27"/>
  <c r="H37" i="27"/>
  <c r="J69" i="27"/>
  <c r="L80" i="27"/>
  <c r="H85" i="27"/>
  <c r="J89" i="27"/>
  <c r="L90" i="27"/>
  <c r="J41" i="27"/>
  <c r="H61" i="27"/>
  <c r="H63" i="27"/>
  <c r="J70" i="27"/>
  <c r="L71" i="27"/>
  <c r="H60" i="27"/>
  <c r="H62" i="27"/>
  <c r="H64" i="27"/>
  <c r="J91" i="27"/>
  <c r="D35" i="32"/>
  <c r="D29" i="32"/>
  <c r="C29" i="32" s="1"/>
  <c r="H65" i="27"/>
  <c r="H66" i="27"/>
  <c r="H67" i="27"/>
  <c r="H68" i="27"/>
  <c r="H69" i="27"/>
  <c r="H70" i="27"/>
  <c r="H71" i="27"/>
  <c r="J81" i="27"/>
  <c r="H83" i="27"/>
  <c r="L84" i="27"/>
  <c r="H89" i="27"/>
  <c r="H91" i="27"/>
  <c r="F25" i="32"/>
  <c r="F33" i="32"/>
  <c r="B48" i="32"/>
  <c r="F31" i="32"/>
  <c r="J39" i="27"/>
  <c r="H81" i="27"/>
  <c r="L82" i="27"/>
  <c r="L85" i="27"/>
  <c r="J87" i="27"/>
  <c r="J36" i="27"/>
  <c r="J37" i="27"/>
  <c r="J38" i="27"/>
  <c r="H39" i="27"/>
  <c r="L40" i="27"/>
  <c r="L41" i="27"/>
  <c r="L60" i="27"/>
  <c r="L61" i="27"/>
  <c r="L62" i="27"/>
  <c r="L63" i="27"/>
  <c r="L64" i="27"/>
  <c r="L65" i="27"/>
  <c r="L66" i="27"/>
  <c r="L67" i="27"/>
  <c r="L68" i="27"/>
  <c r="K35" i="27"/>
  <c r="I35" i="27"/>
  <c r="G35" i="27"/>
  <c r="B35" i="27"/>
  <c r="F35" i="27" s="1"/>
  <c r="A35" i="27"/>
  <c r="K34" i="27"/>
  <c r="I34" i="27"/>
  <c r="G34" i="27"/>
  <c r="B34" i="27"/>
  <c r="F34" i="27" s="1"/>
  <c r="A34" i="27"/>
  <c r="K33" i="27"/>
  <c r="I33" i="27"/>
  <c r="G33" i="27"/>
  <c r="B33" i="27"/>
  <c r="F33" i="27" s="1"/>
  <c r="A33" i="27"/>
  <c r="K32" i="27"/>
  <c r="I32" i="27"/>
  <c r="G32" i="27"/>
  <c r="B32" i="27"/>
  <c r="F32" i="27" s="1"/>
  <c r="L32" i="27" s="1"/>
  <c r="A32" i="27"/>
  <c r="AD31" i="27"/>
  <c r="AB31" i="27"/>
  <c r="AA31" i="27"/>
  <c r="Z31" i="27"/>
  <c r="Y31" i="27"/>
  <c r="X31" i="27"/>
  <c r="W31" i="27"/>
  <c r="V31" i="27"/>
  <c r="U31" i="27"/>
  <c r="T31" i="27"/>
  <c r="S31" i="27"/>
  <c r="R31" i="27"/>
  <c r="Q31" i="27"/>
  <c r="P31" i="27"/>
  <c r="K31" i="27"/>
  <c r="I31" i="27"/>
  <c r="G31" i="27"/>
  <c r="B31" i="27"/>
  <c r="F31" i="27" s="1"/>
  <c r="A31" i="27"/>
  <c r="AD30" i="27"/>
  <c r="AB30" i="27"/>
  <c r="AA30" i="27"/>
  <c r="Z30" i="27"/>
  <c r="Y30" i="27"/>
  <c r="X30" i="27"/>
  <c r="W30" i="27"/>
  <c r="V30" i="27"/>
  <c r="U30" i="27"/>
  <c r="T30" i="27"/>
  <c r="S30" i="27"/>
  <c r="R30" i="27"/>
  <c r="Q30" i="27"/>
  <c r="P30" i="27"/>
  <c r="AD29" i="27"/>
  <c r="AB29" i="27"/>
  <c r="AA29" i="27"/>
  <c r="Z29" i="27"/>
  <c r="Y29" i="27"/>
  <c r="X29" i="27"/>
  <c r="X32" i="27" s="1"/>
  <c r="W29" i="27"/>
  <c r="V29" i="27"/>
  <c r="U29" i="27"/>
  <c r="U32" i="27" s="1"/>
  <c r="T29" i="27"/>
  <c r="S29" i="27"/>
  <c r="R29" i="27"/>
  <c r="Q29" i="27"/>
  <c r="P29" i="27"/>
  <c r="AD28" i="27"/>
  <c r="AB28" i="27"/>
  <c r="AD27" i="27"/>
  <c r="AD32" i="27" s="1"/>
  <c r="AB27" i="27"/>
  <c r="E24" i="27"/>
  <c r="K23" i="27"/>
  <c r="I23" i="27"/>
  <c r="G23" i="27"/>
  <c r="F23" i="27"/>
  <c r="F141" i="27" s="1"/>
  <c r="C23" i="27"/>
  <c r="K22" i="27"/>
  <c r="I22" i="27"/>
  <c r="G22" i="27"/>
  <c r="F22" i="27"/>
  <c r="F140" i="27" s="1"/>
  <c r="C22" i="27"/>
  <c r="K21" i="27"/>
  <c r="I21" i="27"/>
  <c r="G21" i="27"/>
  <c r="F21" i="27"/>
  <c r="F139" i="27" s="1"/>
  <c r="C21" i="27"/>
  <c r="K20" i="27"/>
  <c r="I20" i="27"/>
  <c r="G20" i="27"/>
  <c r="F20" i="27"/>
  <c r="F138" i="27" s="1"/>
  <c r="C20" i="27"/>
  <c r="K19" i="27"/>
  <c r="I19" i="27"/>
  <c r="G19" i="27"/>
  <c r="F19" i="27"/>
  <c r="F137" i="27" s="1"/>
  <c r="K18" i="27"/>
  <c r="I18" i="27"/>
  <c r="J18" i="27" s="1"/>
  <c r="G18" i="27"/>
  <c r="F18" i="27"/>
  <c r="F136" i="27" s="1"/>
  <c r="C18" i="27"/>
  <c r="K17" i="27"/>
  <c r="I17" i="27"/>
  <c r="G17" i="27"/>
  <c r="F17" i="27"/>
  <c r="F135" i="27" s="1"/>
  <c r="C17" i="27"/>
  <c r="K16" i="27"/>
  <c r="I16" i="27"/>
  <c r="G16" i="27"/>
  <c r="F16" i="27"/>
  <c r="C16" i="27"/>
  <c r="K15" i="27"/>
  <c r="I15" i="27"/>
  <c r="G15" i="27"/>
  <c r="F15" i="27"/>
  <c r="C15" i="27"/>
  <c r="K14" i="27"/>
  <c r="I14" i="27"/>
  <c r="G14" i="27"/>
  <c r="F14" i="27"/>
  <c r="C14" i="27"/>
  <c r="K13" i="27"/>
  <c r="I13" i="27"/>
  <c r="H18" i="27" l="1"/>
  <c r="Q32" i="27"/>
  <c r="Y32" i="27"/>
  <c r="S32" i="27"/>
  <c r="AA32" i="27"/>
  <c r="P32" i="27"/>
  <c r="R32" i="27"/>
  <c r="Z32" i="27"/>
  <c r="T32" i="27"/>
  <c r="AB32" i="27"/>
  <c r="F132" i="27"/>
  <c r="V32" i="27"/>
  <c r="J21" i="27"/>
  <c r="W32" i="27"/>
  <c r="H20" i="27"/>
  <c r="J20" i="27"/>
  <c r="F133" i="27"/>
  <c r="H15" i="27"/>
  <c r="H23" i="27"/>
  <c r="L34" i="27"/>
  <c r="H22" i="27"/>
  <c r="F134" i="27"/>
  <c r="H19" i="27"/>
  <c r="J22" i="27"/>
  <c r="L15" i="27"/>
  <c r="H17" i="27"/>
  <c r="L23" i="27"/>
  <c r="H16" i="27"/>
  <c r="L31" i="27"/>
  <c r="L33" i="27"/>
  <c r="H14" i="27"/>
  <c r="J17" i="27"/>
  <c r="J14" i="27"/>
  <c r="J16" i="27"/>
  <c r="L19" i="27"/>
  <c r="H21" i="27"/>
  <c r="L35" i="27"/>
  <c r="H31" i="27"/>
  <c r="J72" i="27"/>
  <c r="J92" i="27"/>
  <c r="J32" i="27"/>
  <c r="H33" i="27"/>
  <c r="H35" i="27"/>
  <c r="H92" i="27"/>
  <c r="H34" i="27"/>
  <c r="L72" i="27"/>
  <c r="H72" i="27"/>
  <c r="L22" i="27"/>
  <c r="L92" i="27"/>
  <c r="D33" i="32"/>
  <c r="L16" i="27"/>
  <c r="C135" i="27"/>
  <c r="C65" i="27"/>
  <c r="C85" i="27"/>
  <c r="C36" i="27"/>
  <c r="L21" i="27"/>
  <c r="C140" i="27"/>
  <c r="C90" i="27"/>
  <c r="C70" i="27"/>
  <c r="C41" i="27"/>
  <c r="J15" i="27"/>
  <c r="C137" i="27"/>
  <c r="C67" i="27"/>
  <c r="C38" i="27"/>
  <c r="C87" i="27"/>
  <c r="C132" i="27"/>
  <c r="C62" i="27"/>
  <c r="C82" i="27"/>
  <c r="C133" i="27"/>
  <c r="C83" i="27"/>
  <c r="C63" i="27"/>
  <c r="C138" i="27"/>
  <c r="C68" i="27"/>
  <c r="C88" i="27"/>
  <c r="C39" i="27"/>
  <c r="H33" i="32"/>
  <c r="D37" i="32" s="1"/>
  <c r="F37" i="32"/>
  <c r="L18" i="27"/>
  <c r="H32" i="27"/>
  <c r="C134" i="27"/>
  <c r="C84" i="27"/>
  <c r="C64" i="27"/>
  <c r="L20" i="27"/>
  <c r="C139" i="27"/>
  <c r="C89" i="27"/>
  <c r="C69" i="27"/>
  <c r="C40" i="27"/>
  <c r="J23" i="27"/>
  <c r="L14" i="27"/>
  <c r="J31" i="27"/>
  <c r="C33" i="27"/>
  <c r="J33" i="27"/>
  <c r="C34" i="27"/>
  <c r="J34" i="27"/>
  <c r="C35" i="27"/>
  <c r="J35" i="27"/>
  <c r="J19" i="27"/>
  <c r="C141" i="27"/>
  <c r="C91" i="27"/>
  <c r="C71" i="27"/>
  <c r="C42" i="27"/>
  <c r="L17" i="27"/>
  <c r="C136" i="27"/>
  <c r="C66" i="27"/>
  <c r="C86" i="27"/>
  <c r="C37" i="27"/>
  <c r="G13" i="27"/>
  <c r="F13" i="27"/>
  <c r="F131" i="27" s="1"/>
  <c r="C13" i="27"/>
  <c r="K12" i="27"/>
  <c r="I12" i="27"/>
  <c r="L43" i="27" l="1"/>
  <c r="L140" i="27"/>
  <c r="H13" i="27"/>
  <c r="L13" i="27"/>
  <c r="L131" i="27" s="1"/>
  <c r="J13" i="27"/>
  <c r="L135" i="27"/>
  <c r="L136" i="27"/>
  <c r="L132" i="27"/>
  <c r="L138" i="27"/>
  <c r="L134" i="27"/>
  <c r="C131" i="27"/>
  <c r="C61" i="27"/>
  <c r="C81" i="27"/>
  <c r="C32" i="27"/>
  <c r="L137" i="27"/>
  <c r="L141" i="27"/>
  <c r="L133" i="27"/>
  <c r="L139" i="27"/>
  <c r="J43" i="27"/>
  <c r="H43" i="27" s="1"/>
  <c r="G12" i="27"/>
  <c r="F12" i="27"/>
  <c r="F130" i="27" s="1"/>
  <c r="C12" i="27"/>
  <c r="J5" i="27"/>
  <c r="A5" i="27"/>
  <c r="A4" i="27"/>
  <c r="A3" i="27"/>
  <c r="J2" i="27"/>
  <c r="A2" i="27"/>
  <c r="A1" i="27"/>
  <c r="E41" i="26"/>
  <c r="K41" i="26" s="1"/>
  <c r="C22" i="26"/>
  <c r="E22" i="26" s="1"/>
  <c r="I21" i="26"/>
  <c r="I20" i="26"/>
  <c r="O5" i="26"/>
  <c r="A5" i="26"/>
  <c r="A4" i="26"/>
  <c r="A3" i="26"/>
  <c r="O2" i="26"/>
  <c r="A2" i="26"/>
  <c r="A1" i="26"/>
  <c r="D158" i="25"/>
  <c r="H12" i="27" l="1"/>
  <c r="L12" i="27"/>
  <c r="L130" i="27" s="1"/>
  <c r="L142" i="27" s="1"/>
  <c r="J12" i="27"/>
  <c r="J24" i="27" s="1"/>
  <c r="I19" i="26"/>
  <c r="I23" i="26" s="1"/>
  <c r="A11" i="26" s="1"/>
  <c r="H24" i="27"/>
  <c r="C130" i="27"/>
  <c r="C80" i="27"/>
  <c r="C60" i="27"/>
  <c r="C31" i="27"/>
  <c r="L24" i="27"/>
  <c r="I38" i="26" l="1"/>
  <c r="C11" i="26"/>
  <c r="A128" i="25"/>
  <c r="G125" i="25"/>
  <c r="G124" i="25"/>
  <c r="D75" i="25"/>
  <c r="E72" i="25" l="1"/>
  <c r="G61" i="25"/>
  <c r="A53" i="25"/>
  <c r="E28" i="38" l="1"/>
  <c r="C96" i="35"/>
  <c r="D74" i="25" s="1"/>
  <c r="D64" i="25"/>
  <c r="E61" i="25" s="1"/>
  <c r="G62" i="25"/>
  <c r="D28" i="38"/>
  <c r="C95" i="35"/>
  <c r="D73" i="25" s="1"/>
  <c r="C28" i="38"/>
  <c r="C94" i="35"/>
  <c r="E94" i="35" s="1"/>
  <c r="E63" i="25" l="1"/>
  <c r="D170" i="25" s="1"/>
  <c r="E62" i="25"/>
  <c r="D169" i="25" s="1"/>
  <c r="D168" i="25"/>
  <c r="G28" i="38"/>
  <c r="D29" i="38" s="1"/>
  <c r="D72" i="25"/>
  <c r="G50" i="25"/>
  <c r="G49" i="25"/>
  <c r="E60" i="25" l="1"/>
  <c r="C29" i="38"/>
  <c r="D21" i="38"/>
  <c r="E115" i="25" s="1"/>
  <c r="D20" i="38"/>
  <c r="D19" i="38"/>
  <c r="D115" i="25" s="1"/>
  <c r="D16" i="38"/>
  <c r="E105" i="25" s="1"/>
  <c r="D17" i="38"/>
  <c r="F105" i="25" s="1"/>
  <c r="D18" i="38"/>
  <c r="D12" i="38"/>
  <c r="E85" i="25" s="1"/>
  <c r="D14" i="38"/>
  <c r="D95" i="25" s="1"/>
  <c r="D11" i="38"/>
  <c r="D13" i="38"/>
  <c r="D167" i="25"/>
  <c r="D171" i="25" s="1"/>
  <c r="E64" i="25"/>
  <c r="E29" i="38"/>
  <c r="G29" i="38"/>
  <c r="F29" i="38"/>
  <c r="D43" i="25"/>
  <c r="E40" i="25" s="1"/>
  <c r="D76" i="25"/>
  <c r="F72" i="25"/>
  <c r="D32" i="25"/>
  <c r="D13" i="31" s="1"/>
  <c r="D31" i="25"/>
  <c r="D30" i="25"/>
  <c r="G5" i="25"/>
  <c r="A5" i="25"/>
  <c r="A4" i="25"/>
  <c r="G3" i="25"/>
  <c r="D3" i="169" s="1"/>
  <c r="J55" i="169" s="1"/>
  <c r="A3" i="25"/>
  <c r="A2" i="25"/>
  <c r="A1" i="25"/>
  <c r="C899" i="167"/>
  <c r="C897" i="167"/>
  <c r="C896" i="167"/>
  <c r="C895" i="167"/>
  <c r="C892" i="167"/>
  <c r="C891" i="167"/>
  <c r="C890" i="167"/>
  <c r="C887" i="167"/>
  <c r="C886" i="167"/>
  <c r="C885" i="167"/>
  <c r="C884" i="167"/>
  <c r="D16" i="31" l="1"/>
  <c r="F14" i="31" s="1"/>
  <c r="F13" i="31" s="1"/>
  <c r="F16" i="31" s="1"/>
  <c r="D157" i="25"/>
  <c r="F115" i="25"/>
  <c r="C19" i="26"/>
  <c r="C38" i="26"/>
  <c r="D34" i="25"/>
  <c r="E33" i="25" s="1"/>
  <c r="C39" i="26"/>
  <c r="E39" i="26" s="1"/>
  <c r="C20" i="26"/>
  <c r="E20" i="26" s="1"/>
  <c r="K20" i="26" s="1"/>
  <c r="F21" i="38"/>
  <c r="E117" i="25" s="1"/>
  <c r="F20" i="38"/>
  <c r="F19" i="38"/>
  <c r="D117" i="25" s="1"/>
  <c r="F18" i="38"/>
  <c r="F11" i="38"/>
  <c r="F13" i="38"/>
  <c r="F87" i="25" s="1"/>
  <c r="F15" i="38"/>
  <c r="F12" i="38"/>
  <c r="E87" i="25" s="1"/>
  <c r="F14" i="38"/>
  <c r="D97" i="25" s="1"/>
  <c r="F16" i="38"/>
  <c r="E107" i="25" s="1"/>
  <c r="F17" i="38"/>
  <c r="C21" i="26"/>
  <c r="E21" i="26" s="1"/>
  <c r="C40" i="26"/>
  <c r="E40" i="26" s="1"/>
  <c r="D16" i="25"/>
  <c r="E42" i="25"/>
  <c r="E41" i="25"/>
  <c r="D85" i="25"/>
  <c r="C13" i="38"/>
  <c r="F85" i="25"/>
  <c r="E39" i="25"/>
  <c r="E21" i="38"/>
  <c r="E116" i="25" s="1"/>
  <c r="E20" i="38"/>
  <c r="E19" i="38"/>
  <c r="D116" i="25" s="1"/>
  <c r="E18" i="38"/>
  <c r="E12" i="38"/>
  <c r="E86" i="25" s="1"/>
  <c r="E14" i="38"/>
  <c r="D96" i="25" s="1"/>
  <c r="E11" i="38"/>
  <c r="E13" i="38"/>
  <c r="F86" i="25" s="1"/>
  <c r="E16" i="38"/>
  <c r="E106" i="25" s="1"/>
  <c r="E15" i="38"/>
  <c r="C21" i="38"/>
  <c r="E114" i="25" s="1"/>
  <c r="C20" i="38"/>
  <c r="C19" i="38"/>
  <c r="C14" i="38"/>
  <c r="C12" i="38"/>
  <c r="C16" i="38"/>
  <c r="C15" i="38"/>
  <c r="C17" i="38"/>
  <c r="C18" i="38"/>
  <c r="C11" i="38"/>
  <c r="K2" i="32"/>
  <c r="A125" i="25"/>
  <c r="A50" i="25"/>
  <c r="A124" i="25"/>
  <c r="A49" i="25"/>
  <c r="A127" i="25"/>
  <c r="A52" i="25"/>
  <c r="G3" i="3"/>
  <c r="F3" i="38"/>
  <c r="K48" i="35"/>
  <c r="K3" i="35"/>
  <c r="G3" i="34"/>
  <c r="F3" i="33"/>
  <c r="F3" i="31"/>
  <c r="Q114" i="28"/>
  <c r="Q77" i="28"/>
  <c r="Q40" i="28"/>
  <c r="Q3" i="28"/>
  <c r="J100" i="27"/>
  <c r="J51" i="27"/>
  <c r="O3" i="26"/>
  <c r="J3" i="27"/>
  <c r="G126" i="25"/>
  <c r="G51" i="25"/>
  <c r="A126" i="25"/>
  <c r="A51" i="25"/>
  <c r="Q5" i="28"/>
  <c r="G128" i="25"/>
  <c r="G53" i="25"/>
  <c r="F883" i="167"/>
  <c r="C883" i="167"/>
  <c r="C882" i="167"/>
  <c r="C881" i="167"/>
  <c r="C877" i="167"/>
  <c r="C876" i="167"/>
  <c r="C875" i="167"/>
  <c r="C872" i="167"/>
  <c r="C871" i="167"/>
  <c r="C870" i="167"/>
  <c r="C869" i="167"/>
  <c r="C868" i="167"/>
  <c r="C867" i="167"/>
  <c r="I865" i="167"/>
  <c r="H865" i="167"/>
  <c r="G865" i="167"/>
  <c r="F864" i="167"/>
  <c r="K694" i="167"/>
  <c r="J694" i="167"/>
  <c r="I694" i="167"/>
  <c r="H694" i="167"/>
  <c r="G694" i="167"/>
  <c r="C694" i="167"/>
  <c r="K693" i="167"/>
  <c r="J693" i="167"/>
  <c r="I693" i="167"/>
  <c r="H693" i="167"/>
  <c r="G693" i="167"/>
  <c r="C693" i="167"/>
  <c r="K692" i="167"/>
  <c r="J692" i="167"/>
  <c r="I692" i="167"/>
  <c r="H692" i="167"/>
  <c r="H883" i="167" s="1"/>
  <c r="G692" i="167"/>
  <c r="C692" i="167"/>
  <c r="K691" i="167"/>
  <c r="J691" i="167"/>
  <c r="I691" i="167"/>
  <c r="H691" i="167"/>
  <c r="G691" i="167"/>
  <c r="C691" i="167"/>
  <c r="C688" i="167"/>
  <c r="C687" i="167"/>
  <c r="C686" i="167"/>
  <c r="C685" i="167"/>
  <c r="C684" i="167"/>
  <c r="E43" i="25" l="1"/>
  <c r="D159" i="25"/>
  <c r="E158" i="25" s="1"/>
  <c r="E157" i="25"/>
  <c r="E159" i="25" s="1"/>
  <c r="G16" i="38"/>
  <c r="E104" i="25"/>
  <c r="E108" i="25" s="1"/>
  <c r="G12" i="38"/>
  <c r="E84" i="25"/>
  <c r="D86" i="25"/>
  <c r="E17" i="38"/>
  <c r="F106" i="25" s="1"/>
  <c r="F107" i="25"/>
  <c r="F117" i="25"/>
  <c r="G14" i="38"/>
  <c r="D94" i="25"/>
  <c r="G20" i="38"/>
  <c r="E31" i="25"/>
  <c r="G18" i="38"/>
  <c r="E118" i="25"/>
  <c r="E13" i="25"/>
  <c r="E15" i="25"/>
  <c r="E14" i="25"/>
  <c r="C42" i="26"/>
  <c r="C29" i="26" s="1"/>
  <c r="G19" i="38"/>
  <c r="D114" i="25"/>
  <c r="D118" i="25" s="1"/>
  <c r="G11" i="38"/>
  <c r="C23" i="38"/>
  <c r="G21" i="38" s="1"/>
  <c r="G17" i="38"/>
  <c r="F104" i="25"/>
  <c r="F108" i="25" s="1"/>
  <c r="D15" i="38"/>
  <c r="D106" i="25"/>
  <c r="E32" i="25"/>
  <c r="C23" i="26"/>
  <c r="C10" i="26" s="1"/>
  <c r="G15" i="38"/>
  <c r="D104" i="25"/>
  <c r="G13" i="38"/>
  <c r="F84" i="25"/>
  <c r="F88" i="25" s="1"/>
  <c r="F23" i="38"/>
  <c r="D87" i="25"/>
  <c r="F103" i="35"/>
  <c r="F86" i="35"/>
  <c r="G883" i="167"/>
  <c r="C683" i="167"/>
  <c r="C680" i="167"/>
  <c r="C679" i="167"/>
  <c r="C678" i="167"/>
  <c r="C677" i="167"/>
  <c r="C676" i="167"/>
  <c r="C673" i="167"/>
  <c r="C672" i="167"/>
  <c r="C671" i="167"/>
  <c r="C670" i="167"/>
  <c r="C669" i="167"/>
  <c r="C668" i="167"/>
  <c r="I665" i="167"/>
  <c r="H665" i="167"/>
  <c r="G665" i="167"/>
  <c r="F664" i="167"/>
  <c r="C647" i="167"/>
  <c r="C646" i="167"/>
  <c r="C645" i="167"/>
  <c r="C644" i="167"/>
  <c r="K643" i="167"/>
  <c r="J643" i="167" s="1"/>
  <c r="I643" i="167"/>
  <c r="H643" i="167" s="1"/>
  <c r="G643" i="167"/>
  <c r="F643" i="167"/>
  <c r="C643" i="167"/>
  <c r="C641" i="167"/>
  <c r="C640" i="167"/>
  <c r="C639" i="167"/>
  <c r="C637" i="167"/>
  <c r="C636" i="167"/>
  <c r="C635" i="167"/>
  <c r="C634" i="167"/>
  <c r="C633" i="167"/>
  <c r="C630" i="167"/>
  <c r="C629" i="167"/>
  <c r="D628" i="167"/>
  <c r="C628" i="167"/>
  <c r="D627" i="167"/>
  <c r="C627" i="167"/>
  <c r="C626" i="167"/>
  <c r="D625" i="167"/>
  <c r="C625" i="167"/>
  <c r="I623" i="167"/>
  <c r="H623" i="167"/>
  <c r="G623" i="167"/>
  <c r="F622" i="167"/>
  <c r="K565" i="167"/>
  <c r="K652" i="167" s="1"/>
  <c r="J652" i="167" s="1"/>
  <c r="I565" i="167"/>
  <c r="I652" i="167" s="1"/>
  <c r="H565" i="167"/>
  <c r="H652" i="167" s="1"/>
  <c r="G565" i="167"/>
  <c r="G652" i="167" s="1"/>
  <c r="F565" i="167"/>
  <c r="F652" i="167" s="1"/>
  <c r="C563" i="167"/>
  <c r="C562" i="167"/>
  <c r="C561" i="167"/>
  <c r="C557" i="167"/>
  <c r="C556" i="167"/>
  <c r="C555" i="167"/>
  <c r="K554" i="167"/>
  <c r="I554" i="167"/>
  <c r="H554" i="167"/>
  <c r="G554" i="167"/>
  <c r="F554" i="167"/>
  <c r="C554" i="167"/>
  <c r="C552" i="167"/>
  <c r="C551" i="167"/>
  <c r="C549" i="167"/>
  <c r="C548" i="167"/>
  <c r="C545" i="167"/>
  <c r="C544" i="167"/>
  <c r="C543" i="167"/>
  <c r="C540" i="167"/>
  <c r="C539" i="167"/>
  <c r="C536" i="167"/>
  <c r="D535" i="167"/>
  <c r="C535" i="167"/>
  <c r="C532" i="167"/>
  <c r="D531" i="167"/>
  <c r="D530" i="167"/>
  <c r="C530" i="167"/>
  <c r="D529" i="167"/>
  <c r="C529" i="167"/>
  <c r="D528" i="167"/>
  <c r="C528" i="167"/>
  <c r="D527" i="167"/>
  <c r="C527" i="167"/>
  <c r="C522" i="167"/>
  <c r="D521" i="167"/>
  <c r="C521" i="167"/>
  <c r="D520" i="167"/>
  <c r="C520" i="167"/>
  <c r="D519" i="167"/>
  <c r="C519" i="167"/>
  <c r="C516" i="167"/>
  <c r="D515" i="167"/>
  <c r="C515" i="167"/>
  <c r="I512" i="167"/>
  <c r="H512" i="167"/>
  <c r="G512" i="167"/>
  <c r="F511" i="167"/>
  <c r="C501" i="167"/>
  <c r="C500" i="167"/>
  <c r="C499" i="167"/>
  <c r="C498" i="167"/>
  <c r="C493" i="167"/>
  <c r="E23" i="38" l="1"/>
  <c r="D84" i="25"/>
  <c r="E88" i="25"/>
  <c r="E12" i="25"/>
  <c r="E16" i="25" s="1"/>
  <c r="G23" i="38"/>
  <c r="D105" i="25"/>
  <c r="D108" i="25" s="1"/>
  <c r="D23" i="38"/>
  <c r="E30" i="25"/>
  <c r="E34" i="25" s="1"/>
  <c r="C492" i="167"/>
  <c r="D491" i="167"/>
  <c r="C491" i="167"/>
  <c r="C488" i="167"/>
  <c r="D487" i="167"/>
  <c r="C487" i="167"/>
  <c r="D486" i="167"/>
  <c r="C486" i="167"/>
  <c r="D485" i="167"/>
  <c r="C485" i="167"/>
  <c r="D484" i="167"/>
  <c r="C484" i="167"/>
  <c r="C481" i="167"/>
  <c r="D480" i="167"/>
  <c r="C480" i="167"/>
  <c r="D479" i="167"/>
  <c r="C479" i="167"/>
  <c r="I476" i="167"/>
  <c r="H476" i="167"/>
  <c r="G476" i="167"/>
  <c r="F475" i="167"/>
  <c r="C462" i="167"/>
  <c r="D461" i="167"/>
  <c r="C461" i="167"/>
  <c r="C458" i="167"/>
  <c r="D457" i="167"/>
  <c r="C457" i="167"/>
  <c r="C454" i="167"/>
  <c r="D453" i="167"/>
  <c r="C453" i="167"/>
  <c r="K450" i="167"/>
  <c r="J450" i="167"/>
  <c r="I450" i="167"/>
  <c r="H450" i="167"/>
  <c r="G450" i="167"/>
  <c r="F450" i="167"/>
  <c r="C450" i="167"/>
  <c r="C447" i="167"/>
  <c r="D446" i="167"/>
  <c r="C446" i="167"/>
  <c r="I444" i="167"/>
  <c r="H444" i="167"/>
  <c r="G444" i="167"/>
  <c r="F443" i="167"/>
  <c r="C433" i="167"/>
  <c r="C431" i="167"/>
  <c r="D430" i="167"/>
  <c r="C430" i="167"/>
  <c r="D429" i="167"/>
  <c r="C429" i="167"/>
  <c r="D428" i="167"/>
  <c r="C428" i="167"/>
  <c r="D427" i="167"/>
  <c r="C427" i="167"/>
  <c r="D426" i="167"/>
  <c r="C426" i="167"/>
  <c r="D425" i="167"/>
  <c r="C425" i="167"/>
  <c r="D424" i="167"/>
  <c r="C424" i="167"/>
  <c r="D423" i="167"/>
  <c r="C423" i="167"/>
  <c r="D422" i="167"/>
  <c r="C422" i="167"/>
  <c r="D421" i="167"/>
  <c r="C421" i="167"/>
  <c r="D420" i="167"/>
  <c r="C420" i="167"/>
  <c r="D419" i="167"/>
  <c r="C419" i="167"/>
  <c r="D418" i="167"/>
  <c r="C418" i="167"/>
  <c r="D417" i="167"/>
  <c r="C417" i="167"/>
  <c r="C416" i="167"/>
  <c r="D415" i="167"/>
  <c r="C415" i="167"/>
  <c r="D414" i="167"/>
  <c r="C414" i="167"/>
  <c r="D413" i="167"/>
  <c r="C413" i="167"/>
  <c r="D412" i="167"/>
  <c r="C412" i="167"/>
  <c r="D411" i="167"/>
  <c r="C411" i="167"/>
  <c r="D410" i="167"/>
  <c r="C410" i="167"/>
  <c r="C407" i="167"/>
  <c r="D406" i="167"/>
  <c r="C406" i="167"/>
  <c r="C403" i="167"/>
  <c r="D402" i="167"/>
  <c r="C402" i="167"/>
  <c r="I400" i="167"/>
  <c r="H400" i="167"/>
  <c r="G400" i="167"/>
  <c r="F399" i="167"/>
  <c r="C389" i="167"/>
  <c r="D388" i="167"/>
  <c r="C388" i="167"/>
  <c r="D387" i="167"/>
  <c r="C387" i="167"/>
  <c r="D386" i="167"/>
  <c r="C386" i="167"/>
  <c r="D385" i="167"/>
  <c r="C385" i="167"/>
  <c r="D384" i="167"/>
  <c r="C384" i="167"/>
  <c r="D383" i="167"/>
  <c r="C383" i="167"/>
  <c r="D382" i="167"/>
  <c r="C382" i="167"/>
  <c r="D381" i="167"/>
  <c r="C381" i="167"/>
  <c r="C378" i="167"/>
  <c r="D377" i="167"/>
  <c r="C377" i="167"/>
  <c r="D376" i="167"/>
  <c r="C376" i="167"/>
  <c r="D375" i="167"/>
  <c r="C375" i="167"/>
  <c r="D374" i="167"/>
  <c r="C374" i="167"/>
  <c r="D373" i="167"/>
  <c r="C373" i="167"/>
  <c r="D372" i="167"/>
  <c r="C372" i="167"/>
  <c r="D371" i="167"/>
  <c r="C371" i="167"/>
  <c r="D370" i="167"/>
  <c r="C370" i="167"/>
  <c r="D369" i="167"/>
  <c r="C369" i="167"/>
  <c r="D368" i="167"/>
  <c r="C368" i="167"/>
  <c r="D367" i="167"/>
  <c r="C367" i="167"/>
  <c r="K364" i="167"/>
  <c r="J364" i="167"/>
  <c r="I364" i="167"/>
  <c r="H364" i="167"/>
  <c r="G364" i="167"/>
  <c r="F364" i="167"/>
  <c r="C364" i="167"/>
  <c r="C363" i="167"/>
  <c r="C358" i="167"/>
  <c r="D357" i="167"/>
  <c r="C357" i="167"/>
  <c r="C354" i="167"/>
  <c r="D88" i="25" l="1"/>
  <c r="G84" i="25"/>
  <c r="C353" i="167"/>
  <c r="C350" i="167"/>
  <c r="D349" i="167"/>
  <c r="C349" i="167"/>
  <c r="D348" i="167"/>
  <c r="C348" i="167"/>
  <c r="I345" i="167"/>
  <c r="H345" i="167"/>
  <c r="G345" i="167"/>
  <c r="F344" i="167"/>
  <c r="C331" i="167"/>
  <c r="C330" i="167"/>
  <c r="C329" i="167"/>
  <c r="C326" i="167"/>
  <c r="C325" i="167"/>
  <c r="C324" i="167"/>
  <c r="C323" i="167"/>
  <c r="C319" i="167"/>
  <c r="D318" i="167"/>
  <c r="C318" i="167"/>
  <c r="D317" i="167"/>
  <c r="C317" i="167"/>
  <c r="D316" i="167"/>
  <c r="C316" i="167"/>
  <c r="C310" i="167" l="1"/>
  <c r="D309" i="167"/>
  <c r="C309" i="167"/>
  <c r="D308" i="167"/>
  <c r="C308" i="167"/>
  <c r="D307" i="167"/>
  <c r="C307" i="167"/>
  <c r="C303" i="167"/>
  <c r="D302" i="167"/>
  <c r="C302" i="167"/>
  <c r="D301" i="167"/>
  <c r="C301" i="167"/>
  <c r="I294" i="167" l="1"/>
  <c r="H294" i="167"/>
  <c r="G294" i="167"/>
  <c r="F293" i="167"/>
  <c r="C281" i="167"/>
  <c r="D280" i="167"/>
  <c r="C280" i="167"/>
  <c r="D279" i="167"/>
  <c r="C279" i="167"/>
  <c r="D278" i="167"/>
  <c r="C278" i="167"/>
  <c r="C275" i="167"/>
  <c r="D274" i="167"/>
  <c r="C274" i="167"/>
  <c r="D273" i="167"/>
  <c r="C273" i="167"/>
  <c r="D272" i="167"/>
  <c r="C272" i="167"/>
  <c r="D271" i="167"/>
  <c r="C271" i="167"/>
  <c r="D270" i="167"/>
  <c r="C270" i="167"/>
  <c r="D269" i="167"/>
  <c r="C269" i="167"/>
  <c r="D268" i="167"/>
  <c r="C268" i="167"/>
  <c r="D267" i="167"/>
  <c r="C267" i="167"/>
  <c r="D266" i="167"/>
  <c r="C266" i="167"/>
  <c r="D265" i="167"/>
  <c r="C265" i="167"/>
  <c r="D264" i="167"/>
  <c r="C264" i="167"/>
  <c r="D263" i="167"/>
  <c r="C263" i="167"/>
  <c r="D262" i="167"/>
  <c r="C262" i="167"/>
  <c r="D261" i="167"/>
  <c r="C261" i="167"/>
  <c r="D260" i="167"/>
  <c r="C260" i="167"/>
  <c r="D259" i="167"/>
  <c r="C259" i="167"/>
  <c r="D258" i="167"/>
  <c r="C258" i="167"/>
  <c r="D257" i="167"/>
  <c r="C257" i="167"/>
  <c r="D256" i="167"/>
  <c r="C256" i="167"/>
  <c r="D255" i="167"/>
  <c r="C255" i="167"/>
  <c r="D254" i="167"/>
  <c r="C254" i="167"/>
  <c r="D253" i="167"/>
  <c r="C253" i="167"/>
  <c r="D252" i="167"/>
  <c r="C252" i="167"/>
  <c r="I249" i="167"/>
  <c r="H249" i="167"/>
  <c r="G249" i="167"/>
  <c r="F248" i="167"/>
  <c r="C236" i="167"/>
  <c r="D235" i="167"/>
  <c r="C235" i="167"/>
  <c r="D234" i="167"/>
  <c r="C234" i="167"/>
  <c r="D233" i="167"/>
  <c r="C233" i="167"/>
  <c r="C232" i="167"/>
  <c r="C229" i="167"/>
  <c r="D228" i="167"/>
  <c r="C228" i="167"/>
  <c r="D227" i="167"/>
  <c r="C227" i="167"/>
  <c r="D226" i="167"/>
  <c r="C226" i="167"/>
  <c r="D225" i="167"/>
  <c r="C225" i="167"/>
  <c r="D224" i="167"/>
  <c r="C224" i="167"/>
  <c r="D223" i="167"/>
  <c r="C223" i="167"/>
  <c r="D222" i="167"/>
  <c r="C222" i="167"/>
  <c r="D221" i="167"/>
  <c r="C221" i="167"/>
  <c r="D220" i="167"/>
  <c r="C220" i="167"/>
  <c r="D219" i="167" l="1"/>
  <c r="C219" i="167"/>
  <c r="D218" i="167"/>
  <c r="C218" i="167"/>
  <c r="C215" i="167"/>
  <c r="D214" i="167"/>
  <c r="C214" i="167"/>
  <c r="D213" i="167"/>
  <c r="C213" i="167"/>
  <c r="D212" i="167"/>
  <c r="C212" i="167"/>
  <c r="D211" i="167"/>
  <c r="C211" i="167"/>
  <c r="D210" i="167"/>
  <c r="C210" i="167"/>
  <c r="D209" i="167"/>
  <c r="C209" i="167"/>
  <c r="D208" i="167"/>
  <c r="C208" i="167"/>
  <c r="D207" i="167"/>
  <c r="C207" i="167"/>
  <c r="D206" i="167"/>
  <c r="C206" i="167"/>
  <c r="I202" i="167"/>
  <c r="H202" i="167"/>
  <c r="G202" i="167"/>
  <c r="F201" i="167"/>
  <c r="C189" i="167"/>
  <c r="C188" i="167"/>
  <c r="C187" i="167"/>
  <c r="C184" i="167"/>
  <c r="C183" i="167"/>
  <c r="C182" i="167"/>
  <c r="C176" i="167"/>
  <c r="C175" i="167"/>
  <c r="C174" i="167"/>
  <c r="C171" i="167"/>
  <c r="C170" i="167"/>
  <c r="C169" i="167"/>
  <c r="C166" i="167"/>
  <c r="C165" i="167"/>
  <c r="C164" i="167"/>
  <c r="I162" i="167"/>
  <c r="H162" i="167"/>
  <c r="G162" i="167"/>
  <c r="F161" i="167"/>
  <c r="B161" i="167"/>
  <c r="C149" i="167"/>
  <c r="D148" i="167"/>
  <c r="C148" i="167"/>
  <c r="D147" i="167"/>
  <c r="C147" i="167"/>
  <c r="D146" i="167"/>
  <c r="C146" i="167"/>
  <c r="D145" i="167"/>
  <c r="C145" i="167"/>
  <c r="D144" i="167"/>
  <c r="C144" i="167"/>
  <c r="D143" i="167" l="1"/>
  <c r="C143" i="167"/>
  <c r="C140" i="167"/>
  <c r="D139" i="167"/>
  <c r="C139" i="167"/>
  <c r="D138" i="167"/>
  <c r="C138" i="167"/>
  <c r="D137" i="167"/>
  <c r="C137" i="167"/>
  <c r="D136" i="167"/>
  <c r="C136" i="167"/>
  <c r="D135" i="167"/>
  <c r="C135" i="167"/>
  <c r="D134" i="167"/>
  <c r="C134" i="167"/>
  <c r="C131" i="167"/>
  <c r="D130" i="167"/>
  <c r="C130" i="167"/>
  <c r="D129" i="167"/>
  <c r="C129" i="167"/>
  <c r="D128" i="167"/>
  <c r="C128" i="167"/>
  <c r="D127" i="167"/>
  <c r="C127" i="167"/>
  <c r="D126" i="167"/>
  <c r="C126" i="167"/>
  <c r="D125" i="167"/>
  <c r="C125" i="167"/>
  <c r="D124" i="167"/>
  <c r="C124" i="167"/>
  <c r="D123" i="167"/>
  <c r="C123" i="167"/>
  <c r="D122" i="167"/>
  <c r="C122" i="167"/>
  <c r="K119" i="167"/>
  <c r="J119" i="167"/>
  <c r="J170" i="167" s="1"/>
  <c r="I119" i="167"/>
  <c r="I170" i="167" s="1"/>
  <c r="H119" i="167"/>
  <c r="H170" i="167" s="1"/>
  <c r="G119" i="167"/>
  <c r="G170" i="167" s="1"/>
  <c r="F119" i="167"/>
  <c r="F170" i="167" s="1"/>
  <c r="C119" i="167"/>
  <c r="C118" i="167"/>
  <c r="C115" i="167"/>
  <c r="D114" i="167"/>
  <c r="C114" i="167"/>
  <c r="I112" i="167"/>
  <c r="H112" i="167"/>
  <c r="G112" i="167"/>
  <c r="F111" i="167"/>
  <c r="C99" i="167"/>
  <c r="D98" i="167"/>
  <c r="C98" i="167"/>
  <c r="D97" i="167"/>
  <c r="C97" i="167"/>
  <c r="D96" i="167"/>
  <c r="C96" i="167"/>
  <c r="D95" i="167"/>
  <c r="C95" i="167"/>
  <c r="D94" i="167"/>
  <c r="C94" i="167"/>
  <c r="D93" i="167"/>
  <c r="C93" i="167"/>
  <c r="C90" i="167"/>
  <c r="D89" i="167"/>
  <c r="C89" i="167"/>
  <c r="D88" i="167"/>
  <c r="C88" i="167"/>
  <c r="D87" i="167"/>
  <c r="C87" i="167"/>
  <c r="D86" i="167"/>
  <c r="C86" i="167"/>
  <c r="D85" i="167"/>
  <c r="C85" i="167"/>
  <c r="D84" i="167"/>
  <c r="C84" i="167"/>
  <c r="C78" i="167"/>
  <c r="D77" i="167"/>
  <c r="C77" i="167"/>
  <c r="D76" i="167"/>
  <c r="C76" i="167"/>
  <c r="D75" i="167"/>
  <c r="C75" i="167"/>
  <c r="D74" i="167"/>
  <c r="C74" i="167"/>
  <c r="D73" i="167"/>
  <c r="C73" i="167"/>
  <c r="D72" i="167"/>
  <c r="C72" i="167"/>
  <c r="D71" i="167"/>
  <c r="C71" i="167"/>
  <c r="D70" i="167"/>
  <c r="C70" i="167"/>
  <c r="D69" i="167"/>
  <c r="C69" i="167"/>
  <c r="D68" i="167"/>
  <c r="C68" i="167"/>
  <c r="K63" i="167"/>
  <c r="J63" i="167"/>
  <c r="J169" i="167" s="1"/>
  <c r="I63" i="167"/>
  <c r="I169" i="167" s="1"/>
  <c r="H63" i="167"/>
  <c r="H169" i="167" s="1"/>
  <c r="G63" i="167"/>
  <c r="G169" i="167" s="1"/>
  <c r="F63" i="167"/>
  <c r="F169" i="167" s="1"/>
  <c r="C63" i="167"/>
  <c r="C62" i="167"/>
  <c r="C59" i="167"/>
  <c r="D58" i="167"/>
  <c r="C58" i="167"/>
  <c r="D57" i="167"/>
  <c r="C57" i="167"/>
  <c r="I55" i="167"/>
  <c r="H55" i="167"/>
  <c r="G55" i="167"/>
  <c r="F54" i="167"/>
  <c r="K29" i="167"/>
  <c r="D29" i="167"/>
  <c r="C28" i="167"/>
  <c r="C24" i="167"/>
  <c r="C23" i="167"/>
  <c r="C22" i="167"/>
  <c r="C21" i="167"/>
  <c r="C20" i="167"/>
  <c r="C19" i="167"/>
  <c r="C18" i="167"/>
  <c r="C15" i="167"/>
  <c r="C14" i="167"/>
  <c r="C13" i="167"/>
  <c r="C12" i="167"/>
  <c r="C899" i="166"/>
  <c r="C897" i="166"/>
  <c r="C896" i="166"/>
  <c r="C895" i="166"/>
  <c r="C892" i="166"/>
  <c r="C891" i="166"/>
  <c r="C890" i="166"/>
  <c r="C887" i="166"/>
  <c r="C886" i="166"/>
  <c r="C885" i="166"/>
  <c r="C884" i="166"/>
  <c r="F883" i="166"/>
  <c r="C883" i="166"/>
  <c r="C882" i="166"/>
  <c r="C881" i="166"/>
  <c r="C877" i="166"/>
  <c r="C876" i="166"/>
  <c r="C875" i="166"/>
  <c r="C872" i="166"/>
  <c r="C871" i="166"/>
  <c r="C870" i="166"/>
  <c r="C869" i="166"/>
  <c r="C868" i="166"/>
  <c r="C867" i="166"/>
  <c r="I865" i="166"/>
  <c r="H865" i="166"/>
  <c r="G865" i="166"/>
  <c r="F864" i="166"/>
  <c r="K694" i="166"/>
  <c r="J694" i="166"/>
  <c r="I694" i="166"/>
  <c r="H694" i="166"/>
  <c r="G694" i="166"/>
  <c r="C694" i="166"/>
  <c r="K693" i="166"/>
  <c r="J693" i="166"/>
  <c r="I693" i="166"/>
  <c r="H693" i="166"/>
  <c r="G693" i="166"/>
  <c r="C693" i="166"/>
  <c r="K692" i="166"/>
  <c r="J692" i="166"/>
  <c r="I692" i="166"/>
  <c r="H692" i="166"/>
  <c r="G692" i="166"/>
  <c r="C692" i="166"/>
  <c r="K691" i="166"/>
  <c r="J691" i="166"/>
  <c r="I691" i="166"/>
  <c r="H691" i="166"/>
  <c r="G691" i="166"/>
  <c r="C691" i="166"/>
  <c r="C688" i="166"/>
  <c r="C687" i="166"/>
  <c r="C686" i="166"/>
  <c r="C685" i="166"/>
  <c r="C684" i="166"/>
  <c r="C683" i="166"/>
  <c r="C680" i="166"/>
  <c r="C679" i="166"/>
  <c r="C678" i="166"/>
  <c r="C677" i="166"/>
  <c r="C676" i="166"/>
  <c r="C673" i="166"/>
  <c r="C672" i="166"/>
  <c r="K170" i="167" l="1"/>
  <c r="I171" i="167"/>
  <c r="H171" i="167" s="1"/>
  <c r="G171" i="167" s="1"/>
  <c r="K169" i="167"/>
  <c r="K171" i="167" s="1"/>
  <c r="J171" i="167" s="1"/>
  <c r="F171" i="167"/>
  <c r="C671" i="166"/>
  <c r="C670" i="166" l="1"/>
  <c r="C669" i="166"/>
  <c r="C668" i="166"/>
  <c r="I665" i="166"/>
  <c r="H665" i="166"/>
  <c r="G665" i="166"/>
  <c r="F664" i="166"/>
  <c r="C647" i="166"/>
  <c r="C646" i="166"/>
  <c r="C645" i="166"/>
  <c r="C644" i="166"/>
  <c r="K643" i="166" s="1"/>
  <c r="J643" i="166" s="1"/>
  <c r="I643" i="166" s="1"/>
  <c r="H643" i="166"/>
  <c r="G643" i="166"/>
  <c r="F643" i="166"/>
  <c r="C643" i="166"/>
  <c r="C641" i="166"/>
  <c r="C640" i="166"/>
  <c r="C639" i="166"/>
  <c r="C637" i="166"/>
  <c r="C636" i="166"/>
  <c r="C635" i="166"/>
  <c r="C634" i="166"/>
  <c r="C633" i="166"/>
  <c r="C630" i="166"/>
  <c r="C629" i="166"/>
  <c r="D628" i="166"/>
  <c r="C628" i="166"/>
  <c r="D627" i="166"/>
  <c r="C627" i="166"/>
  <c r="C626" i="166"/>
  <c r="D625" i="166"/>
  <c r="C625" i="166"/>
  <c r="I623" i="166"/>
  <c r="H623" i="166"/>
  <c r="G623" i="166"/>
  <c r="F622" i="166"/>
  <c r="K565" i="166"/>
  <c r="K652" i="166" s="1"/>
  <c r="J652" i="166" s="1"/>
  <c r="I565" i="166" l="1"/>
  <c r="I652" i="166" s="1"/>
  <c r="H565" i="166"/>
  <c r="H652" i="166" s="1"/>
  <c r="G565" i="166"/>
  <c r="G652" i="166" s="1"/>
  <c r="F565" i="166"/>
  <c r="F652" i="166" s="1"/>
  <c r="C563" i="166"/>
  <c r="C562" i="166"/>
  <c r="C561" i="166"/>
  <c r="C557" i="166"/>
  <c r="C556" i="166"/>
  <c r="C555" i="166"/>
  <c r="K554" i="166"/>
  <c r="I554" i="166" s="1"/>
  <c r="H554" i="166" s="1"/>
  <c r="G554" i="166"/>
  <c r="F554" i="166"/>
  <c r="C554" i="166"/>
  <c r="C552" i="166"/>
  <c r="C551" i="166"/>
  <c r="C549" i="166"/>
  <c r="C548" i="166"/>
  <c r="C545" i="166"/>
  <c r="C544" i="166"/>
  <c r="C543" i="166"/>
  <c r="C540" i="166"/>
  <c r="C539" i="166"/>
  <c r="C536" i="166"/>
  <c r="D535" i="166"/>
  <c r="C535" i="166"/>
  <c r="C532" i="166"/>
  <c r="D531" i="166"/>
  <c r="D530" i="166"/>
  <c r="C530" i="166"/>
  <c r="D529" i="166"/>
  <c r="C529" i="166"/>
  <c r="D528" i="166"/>
  <c r="C528" i="166"/>
  <c r="D527" i="166"/>
  <c r="C527" i="166"/>
  <c r="C522" i="166"/>
  <c r="D521" i="166" l="1"/>
  <c r="C521" i="166"/>
  <c r="D520" i="166"/>
  <c r="C520" i="166"/>
  <c r="D519" i="166"/>
  <c r="C519" i="166"/>
  <c r="C516" i="166"/>
  <c r="D515" i="166"/>
  <c r="C515" i="166"/>
  <c r="I512" i="166"/>
  <c r="H512" i="166"/>
  <c r="G512" i="166"/>
  <c r="F511" i="166"/>
  <c r="C501" i="166"/>
  <c r="C500" i="166"/>
  <c r="C499" i="166"/>
  <c r="C498" i="166"/>
  <c r="C493" i="166"/>
  <c r="C492" i="166"/>
  <c r="D491" i="166"/>
  <c r="C491" i="166"/>
  <c r="C488" i="166"/>
  <c r="D487" i="166"/>
  <c r="C487" i="166"/>
  <c r="D486" i="166"/>
  <c r="C486" i="166"/>
  <c r="D485" i="166"/>
  <c r="C485" i="166"/>
  <c r="D484" i="166"/>
  <c r="C484" i="166"/>
  <c r="C481" i="166"/>
  <c r="D480" i="166"/>
  <c r="C480" i="166"/>
  <c r="D479" i="166"/>
  <c r="C479" i="166"/>
  <c r="I476" i="166"/>
  <c r="H476" i="166"/>
  <c r="G476" i="166"/>
  <c r="F475" i="166"/>
  <c r="C462" i="166"/>
  <c r="D461" i="166"/>
  <c r="C461" i="166"/>
  <c r="C458" i="166"/>
  <c r="D457" i="166"/>
  <c r="C457" i="166"/>
  <c r="C454" i="166"/>
  <c r="D453" i="166"/>
  <c r="C453" i="166"/>
  <c r="K450" i="166"/>
  <c r="J450" i="166"/>
  <c r="I450" i="166"/>
  <c r="H450" i="166"/>
  <c r="G450" i="166"/>
  <c r="F450" i="166"/>
  <c r="C450" i="166"/>
  <c r="C447" i="166"/>
  <c r="D446" i="166"/>
  <c r="C446" i="166"/>
  <c r="I444" i="166"/>
  <c r="H444" i="166"/>
  <c r="G444" i="166"/>
  <c r="F443" i="166"/>
  <c r="C433" i="166"/>
  <c r="C431" i="166"/>
  <c r="D430" i="166"/>
  <c r="C430" i="166"/>
  <c r="D429" i="166"/>
  <c r="C429" i="166"/>
  <c r="D428" i="166"/>
  <c r="C428" i="166"/>
  <c r="D427" i="166"/>
  <c r="C427" i="166"/>
  <c r="D426" i="166"/>
  <c r="C426" i="166"/>
  <c r="D425" i="166"/>
  <c r="C425" i="166"/>
  <c r="D424" i="166"/>
  <c r="C424" i="166"/>
  <c r="D423" i="166"/>
  <c r="C423" i="166"/>
  <c r="D422" i="166"/>
  <c r="C422" i="166"/>
  <c r="D421" i="166"/>
  <c r="C421" i="166"/>
  <c r="D420" i="166"/>
  <c r="C420" i="166"/>
  <c r="D419" i="166"/>
  <c r="C419" i="166"/>
  <c r="D418" i="166"/>
  <c r="C418" i="166"/>
  <c r="D417" i="166"/>
  <c r="C417" i="166"/>
  <c r="C416" i="166"/>
  <c r="D415" i="166"/>
  <c r="C415" i="166"/>
  <c r="D414" i="166"/>
  <c r="C414" i="166"/>
  <c r="D413" i="166"/>
  <c r="C413" i="166"/>
  <c r="D412" i="166"/>
  <c r="C412" i="166"/>
  <c r="D411" i="166"/>
  <c r="C411" i="166"/>
  <c r="D410" i="166"/>
  <c r="C410" i="166"/>
  <c r="C407" i="166"/>
  <c r="D406" i="166"/>
  <c r="C406" i="166"/>
  <c r="C403" i="166"/>
  <c r="D402" i="166"/>
  <c r="C402" i="166"/>
  <c r="I400" i="166"/>
  <c r="H400" i="166"/>
  <c r="G400" i="166"/>
  <c r="F399" i="166"/>
  <c r="C389" i="166"/>
  <c r="D388" i="166"/>
  <c r="C388" i="166"/>
  <c r="D387" i="166"/>
  <c r="C387" i="166"/>
  <c r="D386" i="166"/>
  <c r="C386" i="166"/>
  <c r="D385" i="166"/>
  <c r="C385" i="166"/>
  <c r="D384" i="166"/>
  <c r="C384" i="166"/>
  <c r="D383" i="166"/>
  <c r="C383" i="166"/>
  <c r="D382" i="166"/>
  <c r="C382" i="166"/>
  <c r="D381" i="166"/>
  <c r="C381" i="166"/>
  <c r="C378" i="166"/>
  <c r="D377" i="166"/>
  <c r="C377" i="166"/>
  <c r="D376" i="166"/>
  <c r="C376" i="166"/>
  <c r="D375" i="166"/>
  <c r="C375" i="166"/>
  <c r="D374" i="166"/>
  <c r="C374" i="166"/>
  <c r="D373" i="166"/>
  <c r="C373" i="166"/>
  <c r="D372" i="166"/>
  <c r="C372" i="166"/>
  <c r="D371" i="166"/>
  <c r="C371" i="166"/>
  <c r="D370" i="166"/>
  <c r="C370" i="166"/>
  <c r="D369" i="166"/>
  <c r="C369" i="166"/>
  <c r="D368" i="166"/>
  <c r="C368" i="166"/>
  <c r="D367" i="166"/>
  <c r="C367" i="166"/>
  <c r="K364" i="166"/>
  <c r="J364" i="166"/>
  <c r="I364" i="166"/>
  <c r="H364" i="166"/>
  <c r="G364" i="166"/>
  <c r="F364" i="166"/>
  <c r="C364" i="166"/>
  <c r="C363" i="166"/>
  <c r="C358" i="166"/>
  <c r="D357" i="166"/>
  <c r="C357" i="166"/>
  <c r="C354" i="166"/>
  <c r="C353" i="166"/>
  <c r="C350" i="166"/>
  <c r="D349" i="166"/>
  <c r="C349" i="166"/>
  <c r="D348" i="166"/>
  <c r="C348" i="166"/>
  <c r="I345" i="166"/>
  <c r="H345" i="166"/>
  <c r="G345" i="166"/>
  <c r="F344" i="166"/>
  <c r="C331" i="166"/>
  <c r="C330" i="166"/>
  <c r="C329" i="166"/>
  <c r="C326" i="166"/>
  <c r="C325" i="166"/>
  <c r="C324" i="166"/>
  <c r="C323" i="166"/>
  <c r="C319" i="166"/>
  <c r="D318" i="166"/>
  <c r="C318" i="166"/>
  <c r="D317" i="166"/>
  <c r="C317" i="166"/>
  <c r="D316" i="166"/>
  <c r="C316" i="166"/>
  <c r="C310" i="166"/>
  <c r="D309" i="166"/>
  <c r="C309" i="166"/>
  <c r="D308" i="166"/>
  <c r="C308" i="166"/>
  <c r="D307" i="166"/>
  <c r="C307" i="166"/>
  <c r="C303" i="166"/>
  <c r="D302" i="166"/>
  <c r="C302" i="166"/>
  <c r="D301" i="166"/>
  <c r="C301" i="166"/>
  <c r="I294" i="166"/>
  <c r="H294" i="166"/>
  <c r="G294" i="166"/>
  <c r="F293" i="166"/>
  <c r="C281" i="166"/>
  <c r="D280" i="166"/>
  <c r="C280" i="166"/>
  <c r="D279" i="166"/>
  <c r="C279" i="166"/>
  <c r="D278" i="166"/>
  <c r="C278" i="166"/>
  <c r="C275" i="166"/>
  <c r="D274" i="166"/>
  <c r="C274" i="166"/>
  <c r="D273" i="166"/>
  <c r="C273" i="166"/>
  <c r="D272" i="166"/>
  <c r="C272" i="166"/>
  <c r="D271" i="166"/>
  <c r="C271" i="166"/>
  <c r="D270" i="166"/>
  <c r="C270" i="166"/>
  <c r="D269" i="166"/>
  <c r="C269" i="166"/>
  <c r="D268" i="166"/>
  <c r="C268" i="166"/>
  <c r="D267" i="166"/>
  <c r="C267" i="166"/>
  <c r="D266" i="166"/>
  <c r="C266" i="166"/>
  <c r="D265" i="166"/>
  <c r="C265" i="166"/>
  <c r="D264" i="166"/>
  <c r="C264" i="166"/>
  <c r="D263" i="166"/>
  <c r="C263" i="166"/>
  <c r="D262" i="166"/>
  <c r="C262" i="166"/>
  <c r="D261" i="166"/>
  <c r="C261" i="166"/>
  <c r="D260" i="166"/>
  <c r="C260" i="166"/>
  <c r="D259" i="166"/>
  <c r="C259" i="166"/>
  <c r="D258" i="166"/>
  <c r="C258" i="166"/>
  <c r="D257" i="166" l="1"/>
  <c r="C257" i="166"/>
  <c r="D256" i="166"/>
  <c r="C256" i="166"/>
  <c r="D255" i="166"/>
  <c r="C255" i="166"/>
  <c r="D254" i="166"/>
  <c r="C254" i="166"/>
  <c r="D253" i="166"/>
  <c r="C253" i="166"/>
  <c r="D252" i="166"/>
  <c r="C252" i="166"/>
  <c r="I249" i="166"/>
  <c r="H249" i="166"/>
  <c r="G249" i="166"/>
  <c r="F248" i="166"/>
  <c r="C236" i="166"/>
  <c r="D235" i="166" l="1"/>
  <c r="C235" i="166"/>
  <c r="D234" i="166"/>
  <c r="C234" i="166"/>
  <c r="D233" i="166"/>
  <c r="C233" i="166"/>
  <c r="C232" i="166"/>
  <c r="C229" i="166"/>
  <c r="D228" i="166"/>
  <c r="C228" i="166"/>
  <c r="D227" i="166"/>
  <c r="C227" i="166"/>
  <c r="D226" i="166"/>
  <c r="C226" i="166"/>
  <c r="D225" i="166"/>
  <c r="C225" i="166"/>
  <c r="D224" i="166"/>
  <c r="C224" i="166"/>
  <c r="D223" i="166"/>
  <c r="C223" i="166"/>
  <c r="D222" i="166"/>
  <c r="C222" i="166"/>
  <c r="D221" i="166"/>
  <c r="C221" i="166"/>
  <c r="D220" i="166"/>
  <c r="C220" i="166"/>
  <c r="D219" i="166"/>
  <c r="C219" i="166"/>
  <c r="D218" i="166"/>
  <c r="C218" i="166"/>
  <c r="C215" i="166"/>
  <c r="D214" i="166"/>
  <c r="C214" i="166"/>
  <c r="D213" i="166"/>
  <c r="C213" i="166"/>
  <c r="D212" i="166"/>
  <c r="C212" i="166"/>
  <c r="D211" i="166"/>
  <c r="C211" i="166"/>
  <c r="D210" i="166"/>
  <c r="C210" i="166"/>
  <c r="D209" i="166"/>
  <c r="C209" i="166"/>
  <c r="D208" i="166"/>
  <c r="C208" i="166"/>
  <c r="D207" i="166"/>
  <c r="C207" i="166"/>
  <c r="D206" i="166"/>
  <c r="C206" i="166"/>
  <c r="I202" i="166"/>
  <c r="H202" i="166"/>
  <c r="G202" i="166"/>
  <c r="F201" i="166"/>
  <c r="C189" i="166"/>
  <c r="C188" i="166"/>
  <c r="C187" i="166"/>
  <c r="C184" i="166"/>
  <c r="C183" i="166"/>
  <c r="C182" i="166"/>
  <c r="C176" i="166"/>
  <c r="C175" i="166"/>
  <c r="C174" i="166"/>
  <c r="C171" i="166"/>
  <c r="C170" i="166"/>
  <c r="C169" i="166"/>
  <c r="C166" i="166"/>
  <c r="C165" i="166"/>
  <c r="C164" i="166"/>
  <c r="I162" i="166"/>
  <c r="H162" i="166"/>
  <c r="G162" i="166"/>
  <c r="F161" i="166"/>
  <c r="B161" i="166"/>
  <c r="C149" i="166"/>
  <c r="D148" i="166"/>
  <c r="C148" i="166"/>
  <c r="D147" i="166"/>
  <c r="C147" i="166"/>
  <c r="D146" i="166"/>
  <c r="C146" i="166"/>
  <c r="D145" i="166" l="1"/>
  <c r="C145" i="166"/>
  <c r="D144" i="166"/>
  <c r="C144" i="166"/>
  <c r="D143" i="166"/>
  <c r="C143" i="166"/>
  <c r="C140" i="166"/>
  <c r="D139" i="166"/>
  <c r="C139" i="166"/>
  <c r="D138" i="166"/>
  <c r="C138" i="166"/>
  <c r="D137" i="166"/>
  <c r="C137" i="166"/>
  <c r="D136" i="166"/>
  <c r="C136" i="166"/>
  <c r="D135" i="166"/>
  <c r="C135" i="166"/>
  <c r="D134" i="166"/>
  <c r="C134" i="166"/>
  <c r="C131" i="166"/>
  <c r="D130" i="166"/>
  <c r="C130" i="166"/>
  <c r="D129" i="166"/>
  <c r="C129" i="166"/>
  <c r="D128" i="166"/>
  <c r="C128" i="166"/>
  <c r="D127" i="166" l="1"/>
  <c r="C127" i="166"/>
  <c r="D126" i="166"/>
  <c r="C126" i="166"/>
  <c r="D125" i="166"/>
  <c r="C125" i="166"/>
  <c r="D124" i="166"/>
  <c r="C124" i="166"/>
  <c r="D123" i="166"/>
  <c r="C123" i="166"/>
  <c r="D122" i="166"/>
  <c r="C122" i="166"/>
  <c r="K119" i="166"/>
  <c r="J119" i="166"/>
  <c r="J170" i="166" s="1"/>
  <c r="I119" i="166"/>
  <c r="I170" i="166" s="1"/>
  <c r="H119" i="166"/>
  <c r="H170" i="166" s="1"/>
  <c r="G119" i="166"/>
  <c r="G170" i="166" s="1"/>
  <c r="F119" i="166"/>
  <c r="F170" i="166" s="1"/>
  <c r="C119" i="166"/>
  <c r="C118" i="166"/>
  <c r="C115" i="166"/>
  <c r="D114" i="166"/>
  <c r="C114" i="166"/>
  <c r="I112" i="166"/>
  <c r="H112" i="166"/>
  <c r="G112" i="166"/>
  <c r="F111" i="166"/>
  <c r="C99" i="166"/>
  <c r="D98" i="166"/>
  <c r="C98" i="166"/>
  <c r="D97" i="166"/>
  <c r="C97" i="166"/>
  <c r="D96" i="166"/>
  <c r="C96" i="166"/>
  <c r="D95" i="166"/>
  <c r="C95" i="166"/>
  <c r="D94" i="166"/>
  <c r="C94" i="166"/>
  <c r="D93" i="166"/>
  <c r="C93" i="166"/>
  <c r="C90" i="166"/>
  <c r="D89" i="166"/>
  <c r="C89" i="166"/>
  <c r="D88" i="166"/>
  <c r="C88" i="166"/>
  <c r="D87" i="166"/>
  <c r="C87" i="166"/>
  <c r="D86" i="166"/>
  <c r="C86" i="166"/>
  <c r="D85" i="166"/>
  <c r="C85" i="166"/>
  <c r="D84" i="166"/>
  <c r="C84" i="166"/>
  <c r="C78" i="166"/>
  <c r="D77" i="166"/>
  <c r="C77" i="166"/>
  <c r="D76" i="166"/>
  <c r="C76" i="166"/>
  <c r="D75" i="166"/>
  <c r="C75" i="166"/>
  <c r="D74" i="166"/>
  <c r="C74" i="166"/>
  <c r="D73" i="166"/>
  <c r="C73" i="166"/>
  <c r="D72" i="166"/>
  <c r="C72" i="166"/>
  <c r="D71" i="166"/>
  <c r="C71" i="166"/>
  <c r="D70" i="166"/>
  <c r="C70" i="166"/>
  <c r="D69" i="166"/>
  <c r="C69" i="166"/>
  <c r="D68" i="166"/>
  <c r="C68" i="166"/>
  <c r="K63" i="166"/>
  <c r="J63" i="166"/>
  <c r="J169" i="166" s="1"/>
  <c r="I63" i="166"/>
  <c r="I169" i="166" s="1"/>
  <c r="H63" i="166"/>
  <c r="H169" i="166" s="1"/>
  <c r="G63" i="166"/>
  <c r="G169" i="166" s="1"/>
  <c r="F63" i="166"/>
  <c r="C63" i="166"/>
  <c r="C62" i="166"/>
  <c r="C59" i="166"/>
  <c r="D58" i="166"/>
  <c r="C58" i="166"/>
  <c r="D57" i="166"/>
  <c r="C57" i="166"/>
  <c r="I55" i="166"/>
  <c r="H55" i="166"/>
  <c r="G55" i="166"/>
  <c r="F54" i="166"/>
  <c r="K29" i="166"/>
  <c r="D29" i="166"/>
  <c r="C28" i="166"/>
  <c r="C24" i="166"/>
  <c r="C23" i="166"/>
  <c r="C22" i="166"/>
  <c r="C21" i="166"/>
  <c r="C20" i="166"/>
  <c r="C19" i="166"/>
  <c r="C18" i="166"/>
  <c r="C15" i="166"/>
  <c r="C14" i="166"/>
  <c r="C13" i="166"/>
  <c r="C12" i="166"/>
  <c r="C899" i="165"/>
  <c r="C897" i="165"/>
  <c r="C896" i="165"/>
  <c r="C895" i="165"/>
  <c r="C892" i="165"/>
  <c r="C891" i="165"/>
  <c r="C890" i="165"/>
  <c r="C887" i="165"/>
  <c r="C886" i="165"/>
  <c r="C885" i="165"/>
  <c r="C884" i="165"/>
  <c r="F883" i="165"/>
  <c r="C883" i="165"/>
  <c r="C882" i="165"/>
  <c r="C881" i="165"/>
  <c r="C877" i="165"/>
  <c r="C876" i="165"/>
  <c r="C875" i="165"/>
  <c r="C872" i="165"/>
  <c r="C871" i="165"/>
  <c r="C870" i="165"/>
  <c r="C869" i="165"/>
  <c r="C868" i="165"/>
  <c r="C867" i="165"/>
  <c r="I865" i="165"/>
  <c r="H865" i="165"/>
  <c r="G865" i="165"/>
  <c r="F864" i="165"/>
  <c r="K694" i="165"/>
  <c r="J694" i="165"/>
  <c r="I694" i="165"/>
  <c r="H694" i="165"/>
  <c r="G694" i="165"/>
  <c r="C694" i="165"/>
  <c r="K693" i="165"/>
  <c r="J693" i="165"/>
  <c r="I693" i="165"/>
  <c r="H693" i="165"/>
  <c r="G693" i="165"/>
  <c r="C693" i="165"/>
  <c r="K692" i="165"/>
  <c r="J692" i="165"/>
  <c r="I692" i="165"/>
  <c r="H692" i="165"/>
  <c r="G692" i="165"/>
  <c r="C692" i="165"/>
  <c r="K691" i="165"/>
  <c r="J691" i="165"/>
  <c r="I691" i="165"/>
  <c r="H691" i="165"/>
  <c r="G691" i="165"/>
  <c r="C691" i="165"/>
  <c r="C688" i="165"/>
  <c r="C687" i="165"/>
  <c r="C686" i="165"/>
  <c r="C685" i="165"/>
  <c r="C684" i="165"/>
  <c r="C683" i="165"/>
  <c r="C680" i="165"/>
  <c r="C679" i="165"/>
  <c r="C678" i="165"/>
  <c r="C677" i="165"/>
  <c r="C676" i="165"/>
  <c r="C673" i="165"/>
  <c r="C672" i="165"/>
  <c r="C671" i="165"/>
  <c r="H171" i="166" l="1"/>
  <c r="I171" i="166"/>
  <c r="K170" i="166"/>
  <c r="J171" i="166"/>
  <c r="F169" i="166"/>
  <c r="G171" i="166"/>
  <c r="C670" i="165"/>
  <c r="F171" i="166" l="1"/>
  <c r="K169" i="166"/>
  <c r="K171" i="166" s="1"/>
  <c r="C669" i="165"/>
  <c r="C668" i="165"/>
  <c r="I665" i="165"/>
  <c r="H665" i="165"/>
  <c r="G665" i="165"/>
  <c r="F664" i="165"/>
  <c r="C647" i="165"/>
  <c r="C646" i="165"/>
  <c r="C645" i="165"/>
  <c r="C644" i="165"/>
  <c r="K643" i="165" s="1"/>
  <c r="J643" i="165" s="1"/>
  <c r="I643" i="165" s="1"/>
  <c r="H643" i="165" l="1"/>
  <c r="G643" i="165" s="1"/>
  <c r="F643" i="165"/>
  <c r="C643" i="165"/>
  <c r="C641" i="165"/>
  <c r="C640" i="165" l="1"/>
  <c r="C639" i="165"/>
  <c r="C637" i="165"/>
  <c r="C636" i="165"/>
  <c r="C635" i="165"/>
  <c r="C634" i="165"/>
  <c r="C633" i="165"/>
  <c r="C630" i="165"/>
  <c r="C629" i="165"/>
  <c r="D628" i="165"/>
  <c r="C628" i="165"/>
  <c r="D627" i="165"/>
  <c r="C627" i="165"/>
  <c r="C626" i="165"/>
  <c r="D625" i="165"/>
  <c r="C625" i="165"/>
  <c r="I623" i="165"/>
  <c r="H623" i="165"/>
  <c r="G623" i="165"/>
  <c r="F622" i="165"/>
  <c r="K565" i="165"/>
  <c r="K652" i="165" s="1"/>
  <c r="J652" i="165" s="1"/>
  <c r="I565" i="165"/>
  <c r="I652" i="165" s="1"/>
  <c r="H565" i="165"/>
  <c r="H652" i="165" s="1"/>
  <c r="G565" i="165"/>
  <c r="G652" i="165" s="1"/>
  <c r="F565" i="165"/>
  <c r="F652" i="165" s="1"/>
  <c r="C563" i="165"/>
  <c r="C562" i="165"/>
  <c r="C561" i="165"/>
  <c r="C557" i="165"/>
  <c r="C556" i="165"/>
  <c r="C555" i="165"/>
  <c r="K554" i="165"/>
  <c r="I554" i="165"/>
  <c r="H554" i="165"/>
  <c r="G554" i="165"/>
  <c r="F554" i="165"/>
  <c r="C554" i="165"/>
  <c r="C552" i="165"/>
  <c r="C551" i="165"/>
  <c r="C549" i="165"/>
  <c r="C548" i="165"/>
  <c r="C545" i="165"/>
  <c r="C544" i="165"/>
  <c r="C543" i="165"/>
  <c r="C540" i="165"/>
  <c r="C539" i="165"/>
  <c r="C536" i="165"/>
  <c r="D535" i="165"/>
  <c r="C535" i="165"/>
  <c r="C532" i="165"/>
  <c r="D531" i="165"/>
  <c r="D530" i="165"/>
  <c r="C530" i="165"/>
  <c r="D529" i="165"/>
  <c r="C529" i="165"/>
  <c r="D528" i="165"/>
  <c r="C528" i="165"/>
  <c r="D527" i="165"/>
  <c r="C527" i="165"/>
  <c r="C522" i="165"/>
  <c r="D521" i="165"/>
  <c r="C521" i="165"/>
  <c r="D520" i="165"/>
  <c r="C520" i="165"/>
  <c r="D519" i="165"/>
  <c r="C519" i="165"/>
  <c r="C516" i="165"/>
  <c r="D515" i="165"/>
  <c r="C515" i="165"/>
  <c r="I512" i="165"/>
  <c r="H512" i="165"/>
  <c r="G512" i="165"/>
  <c r="F511" i="165"/>
  <c r="C501" i="165"/>
  <c r="C500" i="165"/>
  <c r="C499" i="165"/>
  <c r="C498" i="165"/>
  <c r="C493" i="165"/>
  <c r="C492" i="165"/>
  <c r="D491" i="165"/>
  <c r="C491" i="165"/>
  <c r="C488" i="165"/>
  <c r="D487" i="165"/>
  <c r="C487" i="165"/>
  <c r="D486" i="165"/>
  <c r="C486" i="165"/>
  <c r="D485" i="165"/>
  <c r="C485" i="165"/>
  <c r="D484" i="165"/>
  <c r="C484" i="165"/>
  <c r="C481" i="165"/>
  <c r="D480" i="165"/>
  <c r="C480" i="165"/>
  <c r="D479" i="165"/>
  <c r="C479" i="165"/>
  <c r="I476" i="165"/>
  <c r="H476" i="165"/>
  <c r="G476" i="165"/>
  <c r="F475" i="165"/>
  <c r="C462" i="165"/>
  <c r="D461" i="165"/>
  <c r="C461" i="165"/>
  <c r="C458" i="165"/>
  <c r="D457" i="165"/>
  <c r="C457" i="165"/>
  <c r="C454" i="165"/>
  <c r="D453" i="165"/>
  <c r="C453" i="165"/>
  <c r="K450" i="165"/>
  <c r="J450" i="165"/>
  <c r="I450" i="165"/>
  <c r="H450" i="165"/>
  <c r="G450" i="165"/>
  <c r="F450" i="165"/>
  <c r="C450" i="165"/>
  <c r="C447" i="165"/>
  <c r="D446" i="165"/>
  <c r="C446" i="165"/>
  <c r="I444" i="165"/>
  <c r="H444" i="165"/>
  <c r="G444" i="165"/>
  <c r="F443" i="165"/>
  <c r="C433" i="165"/>
  <c r="C431" i="165"/>
  <c r="D430" i="165" l="1"/>
  <c r="C430" i="165"/>
  <c r="D429" i="165"/>
  <c r="C429" i="165"/>
  <c r="D428" i="165"/>
  <c r="C428" i="165"/>
  <c r="D427" i="165"/>
  <c r="C427" i="165"/>
  <c r="D426" i="165"/>
  <c r="C426" i="165"/>
  <c r="D425" i="165"/>
  <c r="C425" i="165"/>
  <c r="D424" i="165"/>
  <c r="C424" i="165"/>
  <c r="D423" i="165"/>
  <c r="C423" i="165"/>
  <c r="D422" i="165"/>
  <c r="C422" i="165"/>
  <c r="D421" i="165"/>
  <c r="C421" i="165"/>
  <c r="D420" i="165"/>
  <c r="C420" i="165"/>
  <c r="D419" i="165"/>
  <c r="C419" i="165"/>
  <c r="D418" i="165"/>
  <c r="C418" i="165"/>
  <c r="D417" i="165"/>
  <c r="C417" i="165"/>
  <c r="C416" i="165"/>
  <c r="D415" i="165"/>
  <c r="C415" i="165"/>
  <c r="D414" i="165" l="1"/>
  <c r="C414" i="165"/>
  <c r="D413" i="165"/>
  <c r="C413" i="165"/>
  <c r="D412" i="165" l="1"/>
  <c r="C412" i="165"/>
  <c r="D411" i="165"/>
  <c r="C411" i="165"/>
  <c r="D410" i="165"/>
  <c r="C410" i="165"/>
  <c r="C407" i="165"/>
  <c r="D406" i="165"/>
  <c r="C406" i="165"/>
  <c r="C403" i="165"/>
  <c r="D402" i="165"/>
  <c r="C402" i="165"/>
  <c r="I400" i="165"/>
  <c r="H400" i="165"/>
  <c r="G400" i="165"/>
  <c r="F399" i="165"/>
  <c r="C389" i="165"/>
  <c r="D388" i="165"/>
  <c r="C388" i="165"/>
  <c r="D387" i="165"/>
  <c r="C387" i="165"/>
  <c r="D386" i="165"/>
  <c r="C386" i="165"/>
  <c r="D385" i="165"/>
  <c r="C385" i="165"/>
  <c r="D384" i="165"/>
  <c r="C384" i="165"/>
  <c r="D383" i="165"/>
  <c r="C383" i="165"/>
  <c r="D382" i="165"/>
  <c r="C382" i="165"/>
  <c r="D381" i="165"/>
  <c r="C381" i="165"/>
  <c r="C378" i="165"/>
  <c r="D377" i="165"/>
  <c r="C377" i="165"/>
  <c r="D376" i="165"/>
  <c r="C376" i="165"/>
  <c r="D375" i="165"/>
  <c r="C375" i="165"/>
  <c r="D374" i="165"/>
  <c r="C374" i="165"/>
  <c r="D373" i="165"/>
  <c r="C373" i="165"/>
  <c r="D372" i="165"/>
  <c r="C372" i="165"/>
  <c r="D371" i="165"/>
  <c r="C371" i="165"/>
  <c r="D370" i="165"/>
  <c r="C370" i="165"/>
  <c r="D369" i="165"/>
  <c r="C369" i="165"/>
  <c r="D368" i="165"/>
  <c r="C368" i="165"/>
  <c r="D367" i="165"/>
  <c r="C367" i="165"/>
  <c r="K364" i="165"/>
  <c r="J364" i="165"/>
  <c r="I364" i="165"/>
  <c r="H364" i="165"/>
  <c r="G364" i="165"/>
  <c r="F364" i="165"/>
  <c r="C364" i="165"/>
  <c r="C363" i="165"/>
  <c r="C358" i="165"/>
  <c r="D357" i="165"/>
  <c r="C357" i="165"/>
  <c r="C354" i="165"/>
  <c r="C353" i="165"/>
  <c r="C350" i="165"/>
  <c r="D349" i="165"/>
  <c r="C349" i="165"/>
  <c r="D348" i="165"/>
  <c r="C348" i="165"/>
  <c r="I345" i="165"/>
  <c r="H345" i="165"/>
  <c r="G345" i="165"/>
  <c r="F344" i="165"/>
  <c r="C331" i="165"/>
  <c r="C330" i="165"/>
  <c r="C329" i="165"/>
  <c r="C326" i="165"/>
  <c r="C325" i="165"/>
  <c r="C324" i="165"/>
  <c r="C323" i="165"/>
  <c r="C319" i="165"/>
  <c r="D318" i="165"/>
  <c r="C318" i="165"/>
  <c r="D317" i="165"/>
  <c r="C317" i="165"/>
  <c r="D316" i="165"/>
  <c r="C316" i="165"/>
  <c r="C310" i="165" l="1"/>
  <c r="D309" i="165" l="1"/>
  <c r="C309" i="165"/>
  <c r="D308" i="165"/>
  <c r="C308" i="165"/>
  <c r="D307" i="165"/>
  <c r="C307" i="165"/>
  <c r="C303" i="165"/>
  <c r="D302" i="165"/>
  <c r="C302" i="165"/>
  <c r="D301" i="165"/>
  <c r="C301" i="165"/>
  <c r="I294" i="165"/>
  <c r="H294" i="165"/>
  <c r="G294" i="165"/>
  <c r="F293" i="165"/>
  <c r="C281" i="165"/>
  <c r="D280" i="165"/>
  <c r="C280" i="165"/>
  <c r="D279" i="165"/>
  <c r="C279" i="165"/>
  <c r="D278" i="165" l="1"/>
  <c r="C278" i="165"/>
  <c r="C275" i="165"/>
  <c r="D274" i="165"/>
  <c r="C274" i="165"/>
  <c r="D273" i="165"/>
  <c r="C273" i="165"/>
  <c r="D272" i="165" l="1"/>
  <c r="C272" i="165"/>
  <c r="D271" i="165"/>
  <c r="C271" i="165"/>
  <c r="D270" i="165"/>
  <c r="C270" i="165"/>
  <c r="D269" i="165"/>
  <c r="C269" i="165"/>
  <c r="D268" i="165"/>
  <c r="C268" i="165"/>
  <c r="D267" i="165"/>
  <c r="C267" i="165"/>
  <c r="D266" i="165"/>
  <c r="C266" i="165"/>
  <c r="D265" i="165"/>
  <c r="C265" i="165"/>
  <c r="D264" i="165"/>
  <c r="C264" i="165"/>
  <c r="D263" i="165"/>
  <c r="C263" i="165"/>
  <c r="D262" i="165"/>
  <c r="C262" i="165"/>
  <c r="D261" i="165"/>
  <c r="C261" i="165"/>
  <c r="D260" i="165"/>
  <c r="C260" i="165"/>
  <c r="D259" i="165"/>
  <c r="C259" i="165"/>
  <c r="D258" i="165"/>
  <c r="C258" i="165"/>
  <c r="D257" i="165"/>
  <c r="C257" i="165"/>
  <c r="D256" i="165"/>
  <c r="C256" i="165"/>
  <c r="D255" i="165"/>
  <c r="C255" i="165"/>
  <c r="D254" i="165"/>
  <c r="C254" i="165"/>
  <c r="D253" i="165"/>
  <c r="C253" i="165"/>
  <c r="D252" i="165"/>
  <c r="C252" i="165"/>
  <c r="I249" i="165"/>
  <c r="H249" i="165"/>
  <c r="G249" i="165"/>
  <c r="F248" i="165"/>
  <c r="C236" i="165"/>
  <c r="D235" i="165" l="1"/>
  <c r="C235" i="165"/>
  <c r="D234" i="165"/>
  <c r="C234" i="165"/>
  <c r="D233" i="165" l="1"/>
  <c r="C233" i="165"/>
  <c r="C232" i="165"/>
  <c r="C229" i="165"/>
  <c r="D228" i="165"/>
  <c r="C228" i="165"/>
  <c r="D227" i="165"/>
  <c r="C227" i="165"/>
  <c r="D226" i="165"/>
  <c r="C226" i="165"/>
  <c r="D225" i="165"/>
  <c r="C225" i="165"/>
  <c r="D224" i="165"/>
  <c r="C224" i="165"/>
  <c r="D223" i="165"/>
  <c r="C223" i="165"/>
  <c r="D222" i="165"/>
  <c r="C222" i="165"/>
  <c r="D221" i="165"/>
  <c r="C221" i="165"/>
  <c r="D220" i="165"/>
  <c r="C220" i="165"/>
  <c r="D219" i="165"/>
  <c r="C219" i="165"/>
  <c r="D218" i="165"/>
  <c r="C218" i="165"/>
  <c r="C215" i="165"/>
  <c r="D214" i="165"/>
  <c r="C214" i="165"/>
  <c r="D213" i="165"/>
  <c r="C213" i="165"/>
  <c r="D212" i="165"/>
  <c r="C212" i="165"/>
  <c r="D211" i="165"/>
  <c r="C211" i="165"/>
  <c r="D210" i="165"/>
  <c r="C210" i="165"/>
  <c r="D209" i="165"/>
  <c r="C209" i="165"/>
  <c r="D208" i="165"/>
  <c r="C208" i="165"/>
  <c r="D207" i="165"/>
  <c r="C207" i="165"/>
  <c r="D206" i="165"/>
  <c r="C206" i="165"/>
  <c r="I202" i="165"/>
  <c r="H202" i="165"/>
  <c r="G202" i="165"/>
  <c r="F201" i="165"/>
  <c r="C189" i="165"/>
  <c r="C188" i="165"/>
  <c r="C187" i="165"/>
  <c r="C184" i="165"/>
  <c r="C183" i="165"/>
  <c r="C182" i="165"/>
  <c r="C176" i="165"/>
  <c r="C175" i="165"/>
  <c r="C174" i="165"/>
  <c r="C171" i="165"/>
  <c r="C170" i="165"/>
  <c r="C169" i="165"/>
  <c r="C166" i="165"/>
  <c r="C165" i="165"/>
  <c r="C164" i="165"/>
  <c r="I162" i="165"/>
  <c r="H162" i="165"/>
  <c r="G162" i="165"/>
  <c r="F161" i="165"/>
  <c r="B161" i="165"/>
  <c r="C149" i="165"/>
  <c r="D148" i="165" l="1"/>
  <c r="C148" i="165"/>
  <c r="D147" i="165"/>
  <c r="C147" i="165"/>
  <c r="D146" i="165"/>
  <c r="C146" i="165"/>
  <c r="D145" i="165"/>
  <c r="C145" i="165"/>
  <c r="D144" i="165"/>
  <c r="C144" i="165"/>
  <c r="D143" i="165"/>
  <c r="C143" i="165"/>
  <c r="C140" i="165"/>
  <c r="D139" i="165"/>
  <c r="C139" i="165"/>
  <c r="D138" i="165" l="1"/>
  <c r="C138" i="165"/>
  <c r="D137" i="165"/>
  <c r="C137" i="165"/>
  <c r="D136" i="165"/>
  <c r="C136" i="165"/>
  <c r="D135" i="165"/>
  <c r="C135" i="165"/>
  <c r="D134" i="165"/>
  <c r="C134" i="165"/>
  <c r="C131" i="165"/>
  <c r="D130" i="165"/>
  <c r="C130" i="165"/>
  <c r="D129" i="165"/>
  <c r="C129" i="165"/>
  <c r="D128" i="165"/>
  <c r="C128" i="165"/>
  <c r="D127" i="165" l="1"/>
  <c r="C127" i="165"/>
  <c r="D126" i="165"/>
  <c r="C126" i="165"/>
  <c r="D125" i="165"/>
  <c r="C125" i="165"/>
  <c r="D124" i="165"/>
  <c r="C124" i="165"/>
  <c r="D123" i="165"/>
  <c r="C123" i="165"/>
  <c r="D122" i="165"/>
  <c r="C122" i="165"/>
  <c r="K119" i="165"/>
  <c r="J119" i="165"/>
  <c r="J170" i="165" s="1"/>
  <c r="I119" i="165"/>
  <c r="I170" i="165" s="1"/>
  <c r="H119" i="165"/>
  <c r="H170" i="165" s="1"/>
  <c r="G119" i="165"/>
  <c r="G170" i="165" s="1"/>
  <c r="F119" i="165"/>
  <c r="F170" i="165" s="1"/>
  <c r="C119" i="165"/>
  <c r="C118" i="165"/>
  <c r="C115" i="165"/>
  <c r="D114" i="165"/>
  <c r="C114" i="165"/>
  <c r="I112" i="165"/>
  <c r="H112" i="165"/>
  <c r="G112" i="165"/>
  <c r="F111" i="165"/>
  <c r="C99" i="165"/>
  <c r="D98" i="165"/>
  <c r="C98" i="165"/>
  <c r="D97" i="165"/>
  <c r="C97" i="165"/>
  <c r="D96" i="165"/>
  <c r="C96" i="165"/>
  <c r="K170" i="165" l="1"/>
  <c r="D95" i="165"/>
  <c r="C95" i="165"/>
  <c r="D94" i="165"/>
  <c r="C94" i="165"/>
  <c r="D93" i="165"/>
  <c r="C93" i="165"/>
  <c r="C90" i="165"/>
  <c r="D89" i="165" l="1"/>
  <c r="C89" i="165"/>
  <c r="D88" i="165"/>
  <c r="C88" i="165"/>
  <c r="D87" i="165"/>
  <c r="C87" i="165"/>
  <c r="D86" i="165"/>
  <c r="C86" i="165"/>
  <c r="D85" i="165"/>
  <c r="C85" i="165"/>
  <c r="D84" i="165"/>
  <c r="C84" i="165"/>
  <c r="C78" i="165"/>
  <c r="D77" i="165"/>
  <c r="C77" i="165"/>
  <c r="D76" i="165"/>
  <c r="C76" i="165"/>
  <c r="D75" i="165"/>
  <c r="C75" i="165"/>
  <c r="D74" i="165"/>
  <c r="C74" i="165"/>
  <c r="D73" i="165" l="1"/>
  <c r="C73" i="165"/>
  <c r="D72" i="165"/>
  <c r="C72" i="165"/>
  <c r="D71" i="165"/>
  <c r="C71" i="165"/>
  <c r="D70" i="165"/>
  <c r="C70" i="165"/>
  <c r="D69" i="165"/>
  <c r="C69" i="165"/>
  <c r="D68" i="165"/>
  <c r="C68" i="165"/>
  <c r="K63" i="165"/>
  <c r="J63" i="165"/>
  <c r="J169" i="165" s="1"/>
  <c r="J171" i="165" s="1"/>
  <c r="I63" i="165"/>
  <c r="I169" i="165" s="1"/>
  <c r="H63" i="165"/>
  <c r="H169" i="165" s="1"/>
  <c r="G63" i="165"/>
  <c r="F63" i="165"/>
  <c r="C63" i="165"/>
  <c r="C62" i="165"/>
  <c r="C59" i="165"/>
  <c r="D58" i="165"/>
  <c r="C58" i="165"/>
  <c r="D57" i="165"/>
  <c r="C57" i="165"/>
  <c r="I55" i="165"/>
  <c r="H55" i="165"/>
  <c r="G55" i="165"/>
  <c r="F54" i="165"/>
  <c r="D29" i="165"/>
  <c r="C28" i="165"/>
  <c r="C24" i="165"/>
  <c r="C23" i="165"/>
  <c r="C22" i="165"/>
  <c r="C21" i="165"/>
  <c r="C20" i="165"/>
  <c r="C19" i="165"/>
  <c r="C18" i="165"/>
  <c r="C15" i="165"/>
  <c r="C14" i="165"/>
  <c r="C13" i="165"/>
  <c r="C12" i="165"/>
  <c r="C899" i="164"/>
  <c r="C897" i="164"/>
  <c r="C896" i="164"/>
  <c r="C895" i="164"/>
  <c r="C892" i="164"/>
  <c r="C891" i="164"/>
  <c r="C890" i="164"/>
  <c r="C887" i="164"/>
  <c r="C886" i="164"/>
  <c r="C885" i="164"/>
  <c r="C884" i="164"/>
  <c r="F883" i="164"/>
  <c r="C883" i="164"/>
  <c r="C882" i="164"/>
  <c r="C881" i="164"/>
  <c r="C877" i="164"/>
  <c r="C876" i="164"/>
  <c r="C875" i="164"/>
  <c r="C872" i="164"/>
  <c r="C871" i="164"/>
  <c r="C870" i="164"/>
  <c r="C869" i="164"/>
  <c r="C868" i="164"/>
  <c r="C867" i="164"/>
  <c r="I865" i="164"/>
  <c r="H865" i="164"/>
  <c r="G865" i="164"/>
  <c r="F864" i="164"/>
  <c r="K694" i="164"/>
  <c r="J694" i="164"/>
  <c r="I694" i="164"/>
  <c r="H694" i="164"/>
  <c r="G694" i="164"/>
  <c r="C694" i="164"/>
  <c r="K693" i="164"/>
  <c r="J693" i="164"/>
  <c r="I693" i="164"/>
  <c r="H693" i="164"/>
  <c r="G693" i="164"/>
  <c r="C693" i="164"/>
  <c r="K692" i="164"/>
  <c r="J692" i="164"/>
  <c r="I692" i="164"/>
  <c r="H692" i="164"/>
  <c r="G692" i="164"/>
  <c r="C692" i="164"/>
  <c r="K691" i="164"/>
  <c r="J691" i="164"/>
  <c r="I691" i="164"/>
  <c r="H691" i="164"/>
  <c r="G691" i="164"/>
  <c r="C691" i="164"/>
  <c r="C688" i="164"/>
  <c r="C687" i="164"/>
  <c r="C686" i="164"/>
  <c r="C685" i="164"/>
  <c r="C684" i="164"/>
  <c r="C683" i="164"/>
  <c r="C680" i="164"/>
  <c r="C679" i="164"/>
  <c r="C678" i="164"/>
  <c r="C677" i="164"/>
  <c r="C676" i="164"/>
  <c r="G169" i="165" l="1"/>
  <c r="I171" i="165"/>
  <c r="F169" i="165"/>
  <c r="K169" i="165" s="1"/>
  <c r="K171" i="165" s="1"/>
  <c r="H171" i="165"/>
  <c r="C673" i="164"/>
  <c r="C672" i="164"/>
  <c r="C671" i="164"/>
  <c r="C670" i="164"/>
  <c r="G171" i="165" l="1"/>
  <c r="F171" i="165" s="1"/>
  <c r="C669" i="164"/>
  <c r="C668" i="164"/>
  <c r="I665" i="164"/>
  <c r="H665" i="164"/>
  <c r="G665" i="164"/>
  <c r="F664" i="164"/>
  <c r="C647" i="164"/>
  <c r="C646" i="164"/>
  <c r="C645" i="164"/>
  <c r="C644" i="164"/>
  <c r="K643" i="164" s="1"/>
  <c r="J643" i="164" s="1"/>
  <c r="I643" i="164" s="1"/>
  <c r="H643" i="164"/>
  <c r="G643" i="164" s="1"/>
  <c r="F643" i="164"/>
  <c r="C643" i="164"/>
  <c r="C641" i="164"/>
  <c r="C640" i="164"/>
  <c r="C639" i="164"/>
  <c r="C637" i="164"/>
  <c r="C636" i="164"/>
  <c r="C635" i="164"/>
  <c r="C634" i="164"/>
  <c r="C633" i="164"/>
  <c r="C630" i="164"/>
  <c r="C629" i="164"/>
  <c r="D628" i="164"/>
  <c r="C628" i="164"/>
  <c r="D627" i="164"/>
  <c r="C627" i="164"/>
  <c r="C626" i="164"/>
  <c r="D625" i="164"/>
  <c r="C625" i="164"/>
  <c r="I623" i="164"/>
  <c r="H623" i="164"/>
  <c r="G623" i="164"/>
  <c r="F622" i="164"/>
  <c r="K565" i="164"/>
  <c r="K652" i="164" s="1"/>
  <c r="J652" i="164" s="1"/>
  <c r="I565" i="164"/>
  <c r="I652" i="164" s="1"/>
  <c r="H565" i="164" l="1"/>
  <c r="F565" i="164"/>
  <c r="F652" i="164" s="1"/>
  <c r="C563" i="164"/>
  <c r="C562" i="164"/>
  <c r="C561" i="164"/>
  <c r="C557" i="164"/>
  <c r="C556" i="164"/>
  <c r="C555" i="164"/>
  <c r="K554" i="164"/>
  <c r="I554" i="164" s="1"/>
  <c r="H554" i="164"/>
  <c r="G554" i="164"/>
  <c r="F554" i="164"/>
  <c r="C554" i="164"/>
  <c r="C552" i="164"/>
  <c r="C551" i="164"/>
  <c r="C549" i="164"/>
  <c r="C548" i="164"/>
  <c r="C545" i="164"/>
  <c r="C544" i="164"/>
  <c r="C543" i="164"/>
  <c r="C540" i="164"/>
  <c r="C539" i="164"/>
  <c r="C536" i="164"/>
  <c r="D535" i="164"/>
  <c r="C535" i="164"/>
  <c r="C532" i="164"/>
  <c r="D531" i="164"/>
  <c r="G565" i="164" l="1"/>
  <c r="G652" i="164" s="1"/>
  <c r="H652" i="164"/>
  <c r="D530" i="164"/>
  <c r="C530" i="164"/>
  <c r="D529" i="164"/>
  <c r="C529" i="164"/>
  <c r="D528" i="164"/>
  <c r="C528" i="164"/>
  <c r="D527" i="164"/>
  <c r="C527" i="164"/>
  <c r="C522" i="164" l="1"/>
  <c r="D521" i="164"/>
  <c r="C521" i="164"/>
  <c r="D520" i="164"/>
  <c r="C520" i="164"/>
  <c r="D519" i="164"/>
  <c r="C519" i="164"/>
  <c r="C516" i="164"/>
  <c r="D515" i="164"/>
  <c r="C515" i="164"/>
  <c r="I512" i="164"/>
  <c r="H512" i="164"/>
  <c r="G512" i="164"/>
  <c r="F511" i="164"/>
  <c r="C501" i="164"/>
  <c r="C500" i="164"/>
  <c r="C499" i="164"/>
  <c r="C498" i="164"/>
  <c r="C493" i="164"/>
  <c r="C492" i="164"/>
  <c r="D491" i="164"/>
  <c r="C491" i="164"/>
  <c r="C488" i="164"/>
  <c r="D487" i="164"/>
  <c r="C487" i="164"/>
  <c r="D486" i="164"/>
  <c r="C486" i="164"/>
  <c r="D485" i="164"/>
  <c r="C485" i="164"/>
  <c r="D484" i="164"/>
  <c r="C484" i="164"/>
  <c r="C481" i="164"/>
  <c r="D480" i="164"/>
  <c r="C480" i="164"/>
  <c r="D479" i="164"/>
  <c r="C479" i="164"/>
  <c r="I476" i="164"/>
  <c r="H476" i="164"/>
  <c r="G476" i="164"/>
  <c r="F475" i="164"/>
  <c r="C462" i="164" l="1"/>
  <c r="D461" i="164"/>
  <c r="C461" i="164"/>
  <c r="C458" i="164"/>
  <c r="D457" i="164"/>
  <c r="C457" i="164"/>
  <c r="C454" i="164"/>
  <c r="D453" i="164"/>
  <c r="C453" i="164"/>
  <c r="K450" i="164"/>
  <c r="J450" i="164"/>
  <c r="I450" i="164"/>
  <c r="H450" i="164"/>
  <c r="G450" i="164"/>
  <c r="F450" i="164"/>
  <c r="C450" i="164"/>
  <c r="C447" i="164"/>
  <c r="D446" i="164"/>
  <c r="C446" i="164"/>
  <c r="I444" i="164"/>
  <c r="H444" i="164"/>
  <c r="G444" i="164"/>
  <c r="F443" i="164"/>
  <c r="C433" i="164"/>
  <c r="C431" i="164"/>
  <c r="D430" i="164"/>
  <c r="C430" i="164"/>
  <c r="D429" i="164"/>
  <c r="C429" i="164"/>
  <c r="D428" i="164"/>
  <c r="C428" i="164"/>
  <c r="D427" i="164"/>
  <c r="C427" i="164"/>
  <c r="D426" i="164"/>
  <c r="C426" i="164"/>
  <c r="D425" i="164"/>
  <c r="C425" i="164"/>
  <c r="D424" i="164"/>
  <c r="C424" i="164"/>
  <c r="D423" i="164"/>
  <c r="C423" i="164"/>
  <c r="D422" i="164"/>
  <c r="C422" i="164"/>
  <c r="D421" i="164"/>
  <c r="C421" i="164"/>
  <c r="D420" i="164"/>
  <c r="C420" i="164"/>
  <c r="D419" i="164"/>
  <c r="C419" i="164"/>
  <c r="D418" i="164"/>
  <c r="C418" i="164"/>
  <c r="D417" i="164"/>
  <c r="C417" i="164"/>
  <c r="C416" i="164"/>
  <c r="D415" i="164"/>
  <c r="C415" i="164"/>
  <c r="D414" i="164"/>
  <c r="C414" i="164"/>
  <c r="D413" i="164"/>
  <c r="C413" i="164"/>
  <c r="D412" i="164"/>
  <c r="C412" i="164"/>
  <c r="D411" i="164" l="1"/>
  <c r="C411" i="164"/>
  <c r="D410" i="164"/>
  <c r="C410" i="164"/>
  <c r="C407" i="164"/>
  <c r="D406" i="164"/>
  <c r="C406" i="164"/>
  <c r="C403" i="164"/>
  <c r="D402" i="164"/>
  <c r="C402" i="164"/>
  <c r="I400" i="164"/>
  <c r="H400" i="164"/>
  <c r="G400" i="164"/>
  <c r="F399" i="164"/>
  <c r="C389" i="164"/>
  <c r="D388" i="164"/>
  <c r="C388" i="164"/>
  <c r="D387" i="164"/>
  <c r="C387" i="164"/>
  <c r="D386" i="164"/>
  <c r="C386" i="164"/>
  <c r="D385" i="164"/>
  <c r="C385" i="164"/>
  <c r="D384" i="164"/>
  <c r="C384" i="164"/>
  <c r="D383" i="164"/>
  <c r="C383" i="164"/>
  <c r="D382" i="164"/>
  <c r="C382" i="164"/>
  <c r="D381" i="164"/>
  <c r="C381" i="164"/>
  <c r="C378" i="164"/>
  <c r="D377" i="164"/>
  <c r="C377" i="164"/>
  <c r="D376" i="164"/>
  <c r="C376" i="164"/>
  <c r="D375" i="164"/>
  <c r="C375" i="164"/>
  <c r="D374" i="164"/>
  <c r="C374" i="164"/>
  <c r="D373" i="164"/>
  <c r="C373" i="164"/>
  <c r="D372" i="164"/>
  <c r="C372" i="164"/>
  <c r="D371" i="164" l="1"/>
  <c r="C371" i="164"/>
  <c r="D370" i="164"/>
  <c r="C370" i="164"/>
  <c r="D369" i="164"/>
  <c r="C369" i="164"/>
  <c r="D368" i="164"/>
  <c r="C368" i="164"/>
  <c r="D367" i="164"/>
  <c r="C367" i="164"/>
  <c r="K364" i="164"/>
  <c r="J364" i="164"/>
  <c r="I364" i="164"/>
  <c r="H364" i="164"/>
  <c r="G364" i="164"/>
  <c r="F364" i="164"/>
  <c r="C364" i="164"/>
  <c r="C363" i="164"/>
  <c r="C358" i="164"/>
  <c r="D357" i="164"/>
  <c r="C357" i="164"/>
  <c r="C354" i="164"/>
  <c r="C353" i="164" l="1"/>
  <c r="C350" i="164"/>
  <c r="D349" i="164"/>
  <c r="C349" i="164"/>
  <c r="D348" i="164"/>
  <c r="C348" i="164"/>
  <c r="I345" i="164"/>
  <c r="H345" i="164"/>
  <c r="G345" i="164"/>
  <c r="F344" i="164"/>
  <c r="C331" i="164"/>
  <c r="C330" i="164"/>
  <c r="C329" i="164"/>
  <c r="C326" i="164"/>
  <c r="C325" i="164"/>
  <c r="C324" i="164"/>
  <c r="C323" i="164"/>
  <c r="C319" i="164"/>
  <c r="D318" i="164"/>
  <c r="C318" i="164"/>
  <c r="D317" i="164"/>
  <c r="C317" i="164"/>
  <c r="D316" i="164"/>
  <c r="C316" i="164"/>
  <c r="C310" i="164" l="1"/>
  <c r="D309" i="164"/>
  <c r="C309" i="164"/>
  <c r="D308" i="164"/>
  <c r="C308" i="164"/>
  <c r="D307" i="164"/>
  <c r="C307" i="164"/>
  <c r="C303" i="164"/>
  <c r="D302" i="164"/>
  <c r="C302" i="164"/>
  <c r="D301" i="164"/>
  <c r="C301" i="164"/>
  <c r="I294" i="164"/>
  <c r="H294" i="164"/>
  <c r="G294" i="164"/>
  <c r="F293" i="164"/>
  <c r="C281" i="164" l="1"/>
  <c r="D280" i="164"/>
  <c r="C280" i="164"/>
  <c r="D279" i="164"/>
  <c r="C279" i="164"/>
  <c r="D278" i="164"/>
  <c r="C278" i="164"/>
  <c r="C275" i="164"/>
  <c r="D274" i="164"/>
  <c r="C274" i="164"/>
  <c r="D273" i="164"/>
  <c r="C273" i="164"/>
  <c r="D272" i="164"/>
  <c r="C272" i="164"/>
  <c r="D271" i="164"/>
  <c r="C271" i="164"/>
  <c r="D270" i="164"/>
  <c r="C270" i="164"/>
  <c r="D269" i="164"/>
  <c r="C269" i="164"/>
  <c r="D268" i="164"/>
  <c r="C268" i="164"/>
  <c r="D267" i="164"/>
  <c r="C267" i="164"/>
  <c r="D266" i="164"/>
  <c r="C266" i="164"/>
  <c r="D265" i="164"/>
  <c r="C265" i="164"/>
  <c r="D264" i="164"/>
  <c r="C264" i="164"/>
  <c r="D263" i="164"/>
  <c r="C263" i="164"/>
  <c r="D262" i="164"/>
  <c r="C262" i="164"/>
  <c r="D261" i="164"/>
  <c r="C261" i="164"/>
  <c r="D260" i="164"/>
  <c r="C260" i="164"/>
  <c r="D259" i="164"/>
  <c r="C259" i="164"/>
  <c r="D258" i="164"/>
  <c r="C258" i="164"/>
  <c r="D257" i="164"/>
  <c r="C257" i="164"/>
  <c r="D256" i="164"/>
  <c r="C256" i="164"/>
  <c r="D255" i="164"/>
  <c r="C255" i="164"/>
  <c r="D254" i="164"/>
  <c r="C254" i="164"/>
  <c r="D253" i="164"/>
  <c r="C253" i="164"/>
  <c r="D252" i="164"/>
  <c r="C252" i="164"/>
  <c r="I249" i="164"/>
  <c r="H249" i="164"/>
  <c r="G249" i="164"/>
  <c r="F248" i="164"/>
  <c r="C236" i="164"/>
  <c r="D235" i="164"/>
  <c r="C235" i="164"/>
  <c r="D234" i="164"/>
  <c r="C234" i="164"/>
  <c r="D233" i="164"/>
  <c r="C233" i="164"/>
  <c r="C232" i="164"/>
  <c r="C229" i="164"/>
  <c r="D228" i="164"/>
  <c r="C228" i="164"/>
  <c r="D227" i="164"/>
  <c r="C227" i="164"/>
  <c r="D226" i="164"/>
  <c r="C226" i="164"/>
  <c r="D225" i="164"/>
  <c r="C225" i="164"/>
  <c r="D224" i="164"/>
  <c r="C224" i="164"/>
  <c r="D223" i="164"/>
  <c r="C223" i="164"/>
  <c r="D222" i="164"/>
  <c r="C222" i="164"/>
  <c r="D221" i="164"/>
  <c r="C221" i="164"/>
  <c r="D220" i="164"/>
  <c r="C220" i="164"/>
  <c r="D219" i="164"/>
  <c r="C219" i="164"/>
  <c r="D218" i="164"/>
  <c r="C218" i="164"/>
  <c r="C215" i="164"/>
  <c r="D214" i="164"/>
  <c r="C214" i="164"/>
  <c r="D213" i="164"/>
  <c r="C213" i="164"/>
  <c r="D212" i="164"/>
  <c r="C212" i="164"/>
  <c r="D211" i="164" l="1"/>
  <c r="C211" i="164"/>
  <c r="D210" i="164"/>
  <c r="C210" i="164"/>
  <c r="D209" i="164"/>
  <c r="C209" i="164"/>
  <c r="D208" i="164"/>
  <c r="C208" i="164"/>
  <c r="D207" i="164"/>
  <c r="C207" i="164"/>
  <c r="D206" i="164"/>
  <c r="C206" i="164"/>
  <c r="I202" i="164"/>
  <c r="H202" i="164"/>
  <c r="G202" i="164"/>
  <c r="F201" i="164"/>
  <c r="C189" i="164"/>
  <c r="C188" i="164"/>
  <c r="C187" i="164"/>
  <c r="C184" i="164"/>
  <c r="C183" i="164"/>
  <c r="C182" i="164"/>
  <c r="C176" i="164"/>
  <c r="C175" i="164"/>
  <c r="C174" i="164"/>
  <c r="C171" i="164"/>
  <c r="C170" i="164"/>
  <c r="C169" i="164"/>
  <c r="C166" i="164"/>
  <c r="C165" i="164"/>
  <c r="C164" i="164"/>
  <c r="I162" i="164"/>
  <c r="H162" i="164"/>
  <c r="G162" i="164"/>
  <c r="F161" i="164"/>
  <c r="B161" i="164"/>
  <c r="C149" i="164"/>
  <c r="D148" i="164"/>
  <c r="C148" i="164"/>
  <c r="D147" i="164"/>
  <c r="C147" i="164"/>
  <c r="D146" i="164"/>
  <c r="C146" i="164"/>
  <c r="D145" i="164"/>
  <c r="C145" i="164"/>
  <c r="D144" i="164"/>
  <c r="C144" i="164"/>
  <c r="D143" i="164"/>
  <c r="C143" i="164"/>
  <c r="C140" i="164"/>
  <c r="D139" i="164"/>
  <c r="C139" i="164"/>
  <c r="D138" i="164"/>
  <c r="C138" i="164"/>
  <c r="D137" i="164"/>
  <c r="C137" i="164"/>
  <c r="D136" i="164" l="1"/>
  <c r="C136" i="164"/>
  <c r="D135" i="164"/>
  <c r="C135" i="164"/>
  <c r="D134" i="164" l="1"/>
  <c r="C134" i="164"/>
  <c r="C131" i="164"/>
  <c r="D130" i="164"/>
  <c r="C130" i="164"/>
  <c r="D129" i="164"/>
  <c r="C129" i="164"/>
  <c r="D128" i="164"/>
  <c r="C128" i="164"/>
  <c r="D127" i="164"/>
  <c r="C127" i="164"/>
  <c r="D126" i="164"/>
  <c r="C126" i="164"/>
  <c r="D125" i="164"/>
  <c r="C125" i="164"/>
  <c r="D124" i="164"/>
  <c r="C124" i="164"/>
  <c r="D123" i="164"/>
  <c r="C123" i="164"/>
  <c r="D122" i="164"/>
  <c r="C122" i="164"/>
  <c r="K119" i="164"/>
  <c r="J119" i="164"/>
  <c r="J170" i="164" s="1"/>
  <c r="I119" i="164"/>
  <c r="I170" i="164" s="1"/>
  <c r="H119" i="164"/>
  <c r="H170" i="164" s="1"/>
  <c r="G119" i="164"/>
  <c r="G170" i="164" s="1"/>
  <c r="F119" i="164"/>
  <c r="F170" i="164" s="1"/>
  <c r="C119" i="164"/>
  <c r="C118" i="164"/>
  <c r="C115" i="164"/>
  <c r="D114" i="164"/>
  <c r="C114" i="164"/>
  <c r="I112" i="164"/>
  <c r="H112" i="164"/>
  <c r="G112" i="164"/>
  <c r="F111" i="164"/>
  <c r="C99" i="164"/>
  <c r="D98" i="164"/>
  <c r="C98" i="164"/>
  <c r="D97" i="164"/>
  <c r="C97" i="164"/>
  <c r="D96" i="164"/>
  <c r="C96" i="164"/>
  <c r="D95" i="164"/>
  <c r="C95" i="164"/>
  <c r="D94" i="164"/>
  <c r="C94" i="164"/>
  <c r="D93" i="164"/>
  <c r="C93" i="164"/>
  <c r="C90" i="164"/>
  <c r="D89" i="164"/>
  <c r="C89" i="164"/>
  <c r="D88" i="164"/>
  <c r="C88" i="164"/>
  <c r="D87" i="164"/>
  <c r="C87" i="164"/>
  <c r="K170" i="164" l="1"/>
  <c r="D86" i="164"/>
  <c r="C86" i="164"/>
  <c r="D85" i="164"/>
  <c r="C85" i="164"/>
  <c r="D84" i="164"/>
  <c r="C84" i="164"/>
  <c r="C78" i="164"/>
  <c r="D77" i="164"/>
  <c r="C77" i="164"/>
  <c r="D76" i="164"/>
  <c r="C76" i="164"/>
  <c r="D75" i="164"/>
  <c r="C75" i="164"/>
  <c r="D74" i="164"/>
  <c r="C74" i="164"/>
  <c r="D73" i="164"/>
  <c r="C73" i="164"/>
  <c r="D72" i="164" l="1"/>
  <c r="C72" i="164"/>
  <c r="D71" i="164"/>
  <c r="C71" i="164"/>
  <c r="D70" i="164"/>
  <c r="C70" i="164"/>
  <c r="D69" i="164"/>
  <c r="C69" i="164"/>
  <c r="D68" i="164"/>
  <c r="C68" i="164"/>
  <c r="K63" i="164"/>
  <c r="J63" i="164"/>
  <c r="J169" i="164" s="1"/>
  <c r="I63" i="164"/>
  <c r="I169" i="164" s="1"/>
  <c r="I171" i="164" s="1"/>
  <c r="H63" i="164"/>
  <c r="H169" i="164" s="1"/>
  <c r="G63" i="164"/>
  <c r="G169" i="164" s="1"/>
  <c r="G171" i="164" s="1"/>
  <c r="F63" i="164"/>
  <c r="F169" i="164" s="1"/>
  <c r="K169" i="164" s="1"/>
  <c r="K171" i="164" s="1"/>
  <c r="J171" i="164" s="1"/>
  <c r="C63" i="164"/>
  <c r="C62" i="164"/>
  <c r="C59" i="164"/>
  <c r="D58" i="164"/>
  <c r="C58" i="164"/>
  <c r="H171" i="164" l="1"/>
  <c r="F171" i="164"/>
  <c r="D57" i="164"/>
  <c r="C57" i="164"/>
  <c r="I55" i="164"/>
  <c r="H55" i="164"/>
  <c r="G55" i="164"/>
  <c r="F54" i="164"/>
  <c r="D29" i="164" l="1"/>
  <c r="C28" i="164"/>
  <c r="C24" i="164"/>
  <c r="C23" i="164"/>
  <c r="C22" i="164"/>
  <c r="C21" i="164"/>
  <c r="C20" i="164"/>
  <c r="C19" i="164"/>
  <c r="C18" i="164"/>
  <c r="C15" i="164"/>
  <c r="C14" i="164"/>
  <c r="C13" i="164"/>
  <c r="C12" i="164"/>
  <c r="C899" i="162"/>
  <c r="C897" i="162"/>
  <c r="C896" i="162"/>
  <c r="C895" i="162" l="1"/>
  <c r="C892" i="162"/>
  <c r="C891" i="162" l="1"/>
  <c r="C890" i="162"/>
  <c r="C887" i="162" l="1"/>
  <c r="C886" i="162"/>
  <c r="C885" i="162"/>
  <c r="C884" i="162"/>
  <c r="F883" i="162" l="1"/>
  <c r="C883" i="162"/>
  <c r="C882" i="162"/>
  <c r="C881" i="162"/>
  <c r="C877" i="162"/>
  <c r="C876" i="162"/>
  <c r="C875" i="162"/>
  <c r="C872" i="162" l="1"/>
  <c r="C871" i="162" l="1"/>
  <c r="C870" i="162"/>
  <c r="C869" i="162"/>
  <c r="C868" i="162"/>
  <c r="C867" i="162"/>
  <c r="J865" i="162" l="1"/>
  <c r="I865" i="162"/>
  <c r="H865" i="162"/>
  <c r="G865" i="162"/>
  <c r="F864" i="162"/>
  <c r="F863" i="162"/>
  <c r="L694" i="162"/>
  <c r="K694" i="162"/>
  <c r="J694" i="162"/>
  <c r="I694" i="162"/>
  <c r="H694" i="162"/>
  <c r="G694" i="162"/>
  <c r="C694" i="162"/>
  <c r="L693" i="162"/>
  <c r="K693" i="162"/>
  <c r="J693" i="162"/>
  <c r="I693" i="162"/>
  <c r="H693" i="162"/>
  <c r="G693" i="162"/>
  <c r="C693" i="162"/>
  <c r="L692" i="162"/>
  <c r="K692" i="162"/>
  <c r="J692" i="162"/>
  <c r="I692" i="162"/>
  <c r="H692" i="162"/>
  <c r="G692" i="162"/>
  <c r="C692" i="162"/>
  <c r="L691" i="162"/>
  <c r="K691" i="162"/>
  <c r="J691" i="162"/>
  <c r="I691" i="162"/>
  <c r="H691" i="162"/>
  <c r="G691" i="162"/>
  <c r="C691" i="162"/>
  <c r="C688" i="162"/>
  <c r="C687" i="162"/>
  <c r="C686" i="162"/>
  <c r="C685" i="162"/>
  <c r="C684" i="162"/>
  <c r="C683" i="162"/>
  <c r="C680" i="162"/>
  <c r="C679" i="162"/>
  <c r="C678" i="162"/>
  <c r="C677" i="162"/>
  <c r="C676" i="162"/>
  <c r="C673" i="162"/>
  <c r="C672" i="162"/>
  <c r="C671" i="162" l="1"/>
  <c r="C670" i="162"/>
  <c r="C669" i="162"/>
  <c r="C668" i="162"/>
  <c r="J665" i="162"/>
  <c r="I665" i="162"/>
  <c r="H665" i="162"/>
  <c r="G665" i="162"/>
  <c r="F664" i="162"/>
  <c r="F663" i="162"/>
  <c r="C647" i="162"/>
  <c r="C646" i="162"/>
  <c r="C645" i="162"/>
  <c r="C644" i="162"/>
  <c r="L643" i="162"/>
  <c r="K643" i="162" s="1"/>
  <c r="J643" i="162" s="1"/>
  <c r="I643" i="162" s="1"/>
  <c r="H643" i="162" s="1"/>
  <c r="G643" i="162" s="1"/>
  <c r="F643" i="162"/>
  <c r="C643" i="162"/>
  <c r="C641" i="162"/>
  <c r="C640" i="162"/>
  <c r="C639" i="162"/>
  <c r="C637" i="162"/>
  <c r="C636" i="162"/>
  <c r="C635" i="162"/>
  <c r="C634" i="162"/>
  <c r="C633" i="162"/>
  <c r="C630" i="162"/>
  <c r="F629" i="162" l="1"/>
  <c r="C629" i="162"/>
  <c r="D628" i="162"/>
  <c r="C628" i="162"/>
  <c r="D627" i="162"/>
  <c r="C627" i="162"/>
  <c r="F626" i="162" l="1"/>
  <c r="C626" i="162"/>
  <c r="D625" i="162"/>
  <c r="C625" i="162"/>
  <c r="J623" i="162"/>
  <c r="I623" i="162"/>
  <c r="H623" i="162"/>
  <c r="G623" i="162"/>
  <c r="F622" i="162"/>
  <c r="F621" i="162"/>
  <c r="F620" i="162"/>
  <c r="L565" i="162"/>
  <c r="L652" i="162" s="1"/>
  <c r="K652" i="162" s="1"/>
  <c r="J565" i="162"/>
  <c r="J652" i="162" s="1"/>
  <c r="I565" i="162"/>
  <c r="I652" i="162" s="1"/>
  <c r="H565" i="162"/>
  <c r="H652" i="162" s="1"/>
  <c r="G565" i="162"/>
  <c r="G652" i="162" s="1"/>
  <c r="F565" i="162"/>
  <c r="F652" i="162" s="1"/>
  <c r="C563" i="162"/>
  <c r="C562" i="162"/>
  <c r="C561" i="162"/>
  <c r="C557" i="162"/>
  <c r="C556" i="162"/>
  <c r="C555" i="162"/>
  <c r="L554" i="162"/>
  <c r="J554" i="162" l="1"/>
  <c r="I554" i="162"/>
  <c r="H554" i="162"/>
  <c r="G554" i="162"/>
  <c r="F554" i="162"/>
  <c r="C554" i="162"/>
  <c r="C552" i="162"/>
  <c r="C551" i="162"/>
  <c r="C549" i="162"/>
  <c r="C548" i="162"/>
  <c r="C545" i="162"/>
  <c r="C544" i="162"/>
  <c r="C543" i="162"/>
  <c r="C540" i="162" l="1"/>
  <c r="F539" i="162" l="1"/>
  <c r="C539" i="162"/>
  <c r="C536" i="162"/>
  <c r="D535" i="162"/>
  <c r="C535" i="162"/>
  <c r="C532" i="162"/>
  <c r="D531" i="162"/>
  <c r="D530" i="162"/>
  <c r="C530" i="162"/>
  <c r="D529" i="162"/>
  <c r="C529" i="162"/>
  <c r="F528" i="162"/>
  <c r="D528" i="162"/>
  <c r="C528" i="162"/>
  <c r="D527" i="162"/>
  <c r="C527" i="162"/>
  <c r="C522" i="162"/>
  <c r="F540" i="162" l="1"/>
  <c r="D521" i="162"/>
  <c r="C521" i="162"/>
  <c r="D520" i="162"/>
  <c r="C520" i="162"/>
  <c r="D519" i="162"/>
  <c r="C519" i="162"/>
  <c r="C516" i="162"/>
  <c r="D515" i="162"/>
  <c r="C515" i="162"/>
  <c r="J512" i="162"/>
  <c r="I512" i="162"/>
  <c r="H512" i="162"/>
  <c r="G512" i="162"/>
  <c r="F511" i="162"/>
  <c r="F510" i="162"/>
  <c r="F509" i="162"/>
  <c r="C501" i="162"/>
  <c r="C500" i="162"/>
  <c r="C499" i="162"/>
  <c r="C498" i="162"/>
  <c r="C493" i="162"/>
  <c r="C492" i="162"/>
  <c r="F891" i="162" l="1"/>
  <c r="F562" i="162"/>
  <c r="D491" i="162"/>
  <c r="C491" i="162"/>
  <c r="C488" i="162"/>
  <c r="D487" i="162"/>
  <c r="C487" i="162"/>
  <c r="D486" i="162"/>
  <c r="C486" i="162"/>
  <c r="D485" i="162"/>
  <c r="C485" i="162"/>
  <c r="D484" i="162"/>
  <c r="C484" i="162"/>
  <c r="C481" i="162"/>
  <c r="D480" i="162"/>
  <c r="C480" i="162"/>
  <c r="D479" i="162"/>
  <c r="C479" i="162"/>
  <c r="J476" i="162"/>
  <c r="I476" i="162"/>
  <c r="H476" i="162"/>
  <c r="G476" i="162"/>
  <c r="F475" i="162"/>
  <c r="F474" i="162"/>
  <c r="F473" i="162"/>
  <c r="C462" i="162"/>
  <c r="D461" i="162"/>
  <c r="C461" i="162"/>
  <c r="C458" i="162"/>
  <c r="D457" i="162"/>
  <c r="C457" i="162"/>
  <c r="C454" i="162"/>
  <c r="D453" i="162"/>
  <c r="C453" i="162"/>
  <c r="L450" i="162"/>
  <c r="K450" i="162"/>
  <c r="J450" i="162"/>
  <c r="I450" i="162"/>
  <c r="H450" i="162"/>
  <c r="G450" i="162"/>
  <c r="F450" i="162"/>
  <c r="C450" i="162"/>
  <c r="C447" i="162"/>
  <c r="D446" i="162"/>
  <c r="C446" i="162"/>
  <c r="J444" i="162"/>
  <c r="I444" i="162"/>
  <c r="H444" i="162"/>
  <c r="G444" i="162"/>
  <c r="F443" i="162"/>
  <c r="F442" i="162"/>
  <c r="F441" i="162"/>
  <c r="C433" i="162"/>
  <c r="C431" i="162"/>
  <c r="D430" i="162"/>
  <c r="C430" i="162"/>
  <c r="D429" i="162"/>
  <c r="C429" i="162"/>
  <c r="D428" i="162"/>
  <c r="C428" i="162"/>
  <c r="D427" i="162"/>
  <c r="C427" i="162"/>
  <c r="D426" i="162"/>
  <c r="C426" i="162"/>
  <c r="D425" i="162"/>
  <c r="C425" i="162"/>
  <c r="D424" i="162"/>
  <c r="C424" i="162"/>
  <c r="D423" i="162"/>
  <c r="C423" i="162"/>
  <c r="D422" i="162"/>
  <c r="C422" i="162"/>
  <c r="D421" i="162"/>
  <c r="C421" i="162"/>
  <c r="D420" i="162"/>
  <c r="C420" i="162"/>
  <c r="F419" i="162"/>
  <c r="D419" i="162"/>
  <c r="C419" i="162"/>
  <c r="D418" i="162" l="1"/>
  <c r="C418" i="162"/>
  <c r="D417" i="162"/>
  <c r="C417" i="162"/>
  <c r="C416" i="162"/>
  <c r="D415" i="162"/>
  <c r="C415" i="162"/>
  <c r="D414" i="162"/>
  <c r="C414" i="162"/>
  <c r="D413" i="162"/>
  <c r="C413" i="162"/>
  <c r="D412" i="162"/>
  <c r="C412" i="162"/>
  <c r="D411" i="162"/>
  <c r="C411" i="162"/>
  <c r="D410" i="162"/>
  <c r="C410" i="162"/>
  <c r="C407" i="162"/>
  <c r="D406" i="162"/>
  <c r="C406" i="162"/>
  <c r="C403" i="162"/>
  <c r="D402" i="162"/>
  <c r="C402" i="162"/>
  <c r="J400" i="162"/>
  <c r="I400" i="162"/>
  <c r="H400" i="162"/>
  <c r="G400" i="162"/>
  <c r="F399" i="162"/>
  <c r="F398" i="162"/>
  <c r="F397" i="162"/>
  <c r="C389" i="162"/>
  <c r="D388" i="162"/>
  <c r="C388" i="162"/>
  <c r="D387" i="162"/>
  <c r="C387" i="162"/>
  <c r="D386" i="162" l="1"/>
  <c r="C386" i="162"/>
  <c r="D385" i="162"/>
  <c r="C385" i="162"/>
  <c r="D384" i="162"/>
  <c r="C384" i="162"/>
  <c r="D383" i="162"/>
  <c r="C383" i="162"/>
  <c r="D382" i="162"/>
  <c r="C382" i="162"/>
  <c r="D381" i="162"/>
  <c r="C381" i="162"/>
  <c r="C378" i="162"/>
  <c r="D377" i="162"/>
  <c r="C377" i="162"/>
  <c r="F376" i="162" l="1"/>
  <c r="D376" i="162"/>
  <c r="C376" i="162"/>
  <c r="D375" i="162"/>
  <c r="C375" i="162"/>
  <c r="D374" i="162"/>
  <c r="C374" i="162"/>
  <c r="D373" i="162"/>
  <c r="C373" i="162"/>
  <c r="D372" i="162"/>
  <c r="C372" i="162"/>
  <c r="D371" i="162"/>
  <c r="C371" i="162"/>
  <c r="D370" i="162"/>
  <c r="C370" i="162"/>
  <c r="D369" i="162"/>
  <c r="C369" i="162"/>
  <c r="D368" i="162"/>
  <c r="C368" i="162"/>
  <c r="D367" i="162"/>
  <c r="C367" i="162"/>
  <c r="L364" i="162"/>
  <c r="K364" i="162"/>
  <c r="J364" i="162"/>
  <c r="I364" i="162"/>
  <c r="H364" i="162"/>
  <c r="G364" i="162"/>
  <c r="F364" i="162"/>
  <c r="C364" i="162"/>
  <c r="C363" i="162"/>
  <c r="C358" i="162"/>
  <c r="D357" i="162"/>
  <c r="C357" i="162"/>
  <c r="C354" i="162" l="1"/>
  <c r="F353" i="162"/>
  <c r="F354" i="162" s="1"/>
  <c r="C353" i="162"/>
  <c r="C350" i="162"/>
  <c r="D349" i="162"/>
  <c r="C349" i="162"/>
  <c r="D348" i="162"/>
  <c r="C348" i="162"/>
  <c r="J345" i="162"/>
  <c r="I345" i="162"/>
  <c r="H345" i="162"/>
  <c r="G345" i="162"/>
  <c r="F344" i="162"/>
  <c r="F343" i="162"/>
  <c r="F342" i="162"/>
  <c r="C331" i="162"/>
  <c r="C330" i="162"/>
  <c r="C329" i="162"/>
  <c r="C326" i="162"/>
  <c r="C325" i="162"/>
  <c r="C324" i="162"/>
  <c r="C323" i="162"/>
  <c r="C319" i="162" l="1"/>
  <c r="F318" i="162" l="1"/>
  <c r="D318" i="162"/>
  <c r="C318" i="162"/>
  <c r="F317" i="162"/>
  <c r="D317" i="162"/>
  <c r="C317" i="162"/>
  <c r="F316" i="162"/>
  <c r="F319" i="162" s="1"/>
  <c r="D316" i="162"/>
  <c r="C316" i="162"/>
  <c r="C310" i="162" l="1"/>
  <c r="F309" i="162"/>
  <c r="D309" i="162"/>
  <c r="C309" i="162"/>
  <c r="F308" i="162"/>
  <c r="D308" i="162"/>
  <c r="C308" i="162"/>
  <c r="F307" i="162"/>
  <c r="D307" i="162"/>
  <c r="C307" i="162"/>
  <c r="C303" i="162"/>
  <c r="D302" i="162"/>
  <c r="C302" i="162"/>
  <c r="D301" i="162"/>
  <c r="C301" i="162"/>
  <c r="J294" i="162"/>
  <c r="I294" i="162"/>
  <c r="H294" i="162"/>
  <c r="G294" i="162"/>
  <c r="F293" i="162"/>
  <c r="F292" i="162"/>
  <c r="F291" i="162"/>
  <c r="C281" i="162"/>
  <c r="F280" i="162"/>
  <c r="D280" i="162"/>
  <c r="C280" i="162"/>
  <c r="D279" i="162"/>
  <c r="C279" i="162"/>
  <c r="D278" i="162"/>
  <c r="C278" i="162"/>
  <c r="C275" i="162" l="1"/>
  <c r="F274" i="162"/>
  <c r="D274" i="162"/>
  <c r="C274" i="162"/>
  <c r="F273" i="162"/>
  <c r="D273" i="162"/>
  <c r="C273" i="162"/>
  <c r="D272" i="162"/>
  <c r="C272" i="162"/>
  <c r="D271" i="162"/>
  <c r="C271" i="162"/>
  <c r="D270" i="162"/>
  <c r="C270" i="162"/>
  <c r="D269" i="162"/>
  <c r="C269" i="162"/>
  <c r="D268" i="162"/>
  <c r="C268" i="162"/>
  <c r="D267" i="162"/>
  <c r="C267" i="162"/>
  <c r="D266" i="162"/>
  <c r="C266" i="162"/>
  <c r="D265" i="162"/>
  <c r="C265" i="162"/>
  <c r="D264" i="162"/>
  <c r="C264" i="162"/>
  <c r="F263" i="162"/>
  <c r="D263" i="162"/>
  <c r="C263" i="162"/>
  <c r="D262" i="162"/>
  <c r="C262" i="162"/>
  <c r="F261" i="162"/>
  <c r="D261" i="162"/>
  <c r="C261" i="162"/>
  <c r="D260" i="162"/>
  <c r="C260" i="162"/>
  <c r="D259" i="162"/>
  <c r="C259" i="162"/>
  <c r="D258" i="162"/>
  <c r="C258" i="162"/>
  <c r="D257" i="162"/>
  <c r="C257" i="162"/>
  <c r="D256" i="162"/>
  <c r="C256" i="162"/>
  <c r="D255" i="162"/>
  <c r="C255" i="162"/>
  <c r="D254" i="162"/>
  <c r="C254" i="162"/>
  <c r="D253" i="162"/>
  <c r="C253" i="162"/>
  <c r="D252" i="162"/>
  <c r="C252" i="162"/>
  <c r="J249" i="162"/>
  <c r="I249" i="162"/>
  <c r="H249" i="162"/>
  <c r="G249" i="162"/>
  <c r="F248" i="162"/>
  <c r="F247" i="162"/>
  <c r="F246" i="162"/>
  <c r="C236" i="162" l="1"/>
  <c r="D235" i="162"/>
  <c r="C235" i="162"/>
  <c r="D234" i="162"/>
  <c r="C234" i="162"/>
  <c r="D233" i="162"/>
  <c r="C233" i="162"/>
  <c r="C232" i="162"/>
  <c r="C229" i="162"/>
  <c r="D228" i="162"/>
  <c r="C228" i="162"/>
  <c r="D227" i="162"/>
  <c r="C227" i="162"/>
  <c r="D226" i="162"/>
  <c r="C226" i="162"/>
  <c r="D225" i="162"/>
  <c r="C225" i="162"/>
  <c r="D224" i="162"/>
  <c r="C224" i="162"/>
  <c r="D223" i="162"/>
  <c r="C223" i="162"/>
  <c r="D222" i="162"/>
  <c r="C222" i="162"/>
  <c r="D221" i="162"/>
  <c r="C221" i="162"/>
  <c r="D220" i="162"/>
  <c r="C220" i="162"/>
  <c r="D219" i="162"/>
  <c r="C219" i="162"/>
  <c r="D218" i="162"/>
  <c r="C218" i="162"/>
  <c r="C215" i="162"/>
  <c r="D214" i="162"/>
  <c r="C214" i="162"/>
  <c r="F213" i="162"/>
  <c r="D213" i="162"/>
  <c r="C213" i="162"/>
  <c r="D212" i="162"/>
  <c r="C212" i="162"/>
  <c r="D211" i="162"/>
  <c r="C211" i="162"/>
  <c r="D210" i="162"/>
  <c r="C210" i="162"/>
  <c r="D209" i="162"/>
  <c r="C209" i="162"/>
  <c r="D208" i="162"/>
  <c r="C208" i="162"/>
  <c r="D207" i="162"/>
  <c r="C207" i="162"/>
  <c r="D206" i="162"/>
  <c r="C206" i="162"/>
  <c r="J202" i="162"/>
  <c r="I202" i="162"/>
  <c r="H202" i="162"/>
  <c r="G202" i="162"/>
  <c r="F201" i="162"/>
  <c r="F200" i="162"/>
  <c r="F199" i="162"/>
  <c r="C189" i="162"/>
  <c r="C188" i="162"/>
  <c r="C187" i="162"/>
  <c r="C184" i="162"/>
  <c r="C183" i="162"/>
  <c r="C182" i="162"/>
  <c r="C176" i="162"/>
  <c r="C175" i="162"/>
  <c r="C174" i="162"/>
  <c r="C171" i="162"/>
  <c r="C170" i="162"/>
  <c r="C169" i="162" l="1"/>
  <c r="C166" i="162"/>
  <c r="C165" i="162"/>
  <c r="C164" i="162"/>
  <c r="J162" i="162" l="1"/>
  <c r="I162" i="162"/>
  <c r="H162" i="162"/>
  <c r="G162" i="162"/>
  <c r="F161" i="162"/>
  <c r="B161" i="162"/>
  <c r="F160" i="162"/>
  <c r="F159" i="162"/>
  <c r="C149" i="162"/>
  <c r="D148" i="162"/>
  <c r="C148" i="162"/>
  <c r="D147" i="162"/>
  <c r="C147" i="162"/>
  <c r="D146" i="162"/>
  <c r="C146" i="162"/>
  <c r="D145" i="162" l="1"/>
  <c r="C145" i="162"/>
  <c r="D144" i="162"/>
  <c r="C144" i="162"/>
  <c r="D143" i="162"/>
  <c r="C143" i="162"/>
  <c r="C140" i="162"/>
  <c r="D139" i="162"/>
  <c r="C139" i="162"/>
  <c r="D138" i="162" l="1"/>
  <c r="C138" i="162"/>
  <c r="D137" i="162"/>
  <c r="C137" i="162"/>
  <c r="D136" i="162"/>
  <c r="C136" i="162"/>
  <c r="D135" i="162"/>
  <c r="C135" i="162"/>
  <c r="D134" i="162"/>
  <c r="C134" i="162"/>
  <c r="C131" i="162"/>
  <c r="D130" i="162"/>
  <c r="C130" i="162"/>
  <c r="D129" i="162"/>
  <c r="C129" i="162"/>
  <c r="D128" i="162"/>
  <c r="C128" i="162"/>
  <c r="D127" i="162" l="1"/>
  <c r="C127" i="162"/>
  <c r="D126" i="162"/>
  <c r="C126" i="162"/>
  <c r="D125" i="162"/>
  <c r="C125" i="162"/>
  <c r="D124" i="162"/>
  <c r="C124" i="162"/>
  <c r="D123" i="162"/>
  <c r="C123" i="162"/>
  <c r="D122" i="162"/>
  <c r="C122" i="162"/>
  <c r="L119" i="162"/>
  <c r="K119" i="162"/>
  <c r="K170" i="162" s="1"/>
  <c r="J119" i="162"/>
  <c r="J170" i="162" s="1"/>
  <c r="I119" i="162"/>
  <c r="I170" i="162" s="1"/>
  <c r="H119" i="162"/>
  <c r="H170" i="162" s="1"/>
  <c r="G119" i="162"/>
  <c r="G170" i="162" s="1"/>
  <c r="F119" i="162"/>
  <c r="F170" i="162" s="1"/>
  <c r="C119" i="162"/>
  <c r="C118" i="162"/>
  <c r="C115" i="162"/>
  <c r="D114" i="162"/>
  <c r="C114" i="162"/>
  <c r="J112" i="162"/>
  <c r="I112" i="162"/>
  <c r="H112" i="162"/>
  <c r="G112" i="162"/>
  <c r="F111" i="162"/>
  <c r="F110" i="162"/>
  <c r="F109" i="162"/>
  <c r="C99" i="162"/>
  <c r="D98" i="162"/>
  <c r="C98" i="162"/>
  <c r="D97" i="162"/>
  <c r="C97" i="162"/>
  <c r="D96" i="162"/>
  <c r="C96" i="162"/>
  <c r="D95" i="162"/>
  <c r="C95" i="162"/>
  <c r="D94" i="162"/>
  <c r="C94" i="162"/>
  <c r="D93" i="162"/>
  <c r="C93" i="162"/>
  <c r="C90" i="162"/>
  <c r="D89" i="162"/>
  <c r="C89" i="162"/>
  <c r="D88" i="162"/>
  <c r="C88" i="162"/>
  <c r="D87" i="162"/>
  <c r="C87" i="162"/>
  <c r="D86" i="162"/>
  <c r="C86" i="162"/>
  <c r="D85" i="162"/>
  <c r="C85" i="162"/>
  <c r="D84" i="162"/>
  <c r="C84" i="162"/>
  <c r="C78" i="162"/>
  <c r="F77" i="162"/>
  <c r="D77" i="162"/>
  <c r="C77" i="162"/>
  <c r="D76" i="162"/>
  <c r="C76" i="162"/>
  <c r="D75" i="162"/>
  <c r="C75" i="162"/>
  <c r="D74" i="162"/>
  <c r="C74" i="162"/>
  <c r="D73" i="162"/>
  <c r="C73" i="162"/>
  <c r="L170" i="162" l="1"/>
  <c r="D72" i="162"/>
  <c r="C72" i="162"/>
  <c r="D71" i="162"/>
  <c r="C71" i="162"/>
  <c r="D70" i="162"/>
  <c r="C70" i="162"/>
  <c r="D69" i="162"/>
  <c r="C69" i="162"/>
  <c r="D68" i="162"/>
  <c r="C68" i="162"/>
  <c r="L63" i="162"/>
  <c r="K63" i="162"/>
  <c r="J63" i="162"/>
  <c r="J169" i="162" s="1"/>
  <c r="I63" i="162"/>
  <c r="H63" i="162"/>
  <c r="H169" i="162" s="1"/>
  <c r="H171" i="162" s="1"/>
  <c r="G63" i="162"/>
  <c r="G169" i="162" s="1"/>
  <c r="F63" i="162"/>
  <c r="F169" i="162" s="1"/>
  <c r="C63" i="162"/>
  <c r="C62" i="162"/>
  <c r="C59" i="162"/>
  <c r="F58" i="162"/>
  <c r="D58" i="162"/>
  <c r="C58" i="162"/>
  <c r="D57" i="162"/>
  <c r="C57" i="162"/>
  <c r="J55" i="162"/>
  <c r="I55" i="162"/>
  <c r="H55" i="162"/>
  <c r="G55" i="162"/>
  <c r="F54" i="162"/>
  <c r="F53" i="162"/>
  <c r="J40" i="162"/>
  <c r="I40" i="162"/>
  <c r="H40" i="162"/>
  <c r="G40" i="162"/>
  <c r="D29" i="162"/>
  <c r="C28" i="162"/>
  <c r="C24" i="162"/>
  <c r="C23" i="162"/>
  <c r="C22" i="162"/>
  <c r="C21" i="162"/>
  <c r="C20" i="162"/>
  <c r="C19" i="162"/>
  <c r="C18" i="162"/>
  <c r="C15" i="162"/>
  <c r="C14" i="162"/>
  <c r="C13" i="162"/>
  <c r="C12" i="162"/>
  <c r="C899" i="158"/>
  <c r="C897" i="158"/>
  <c r="C896" i="158"/>
  <c r="C895" i="158"/>
  <c r="C892" i="158"/>
  <c r="C891" i="158"/>
  <c r="C890" i="158"/>
  <c r="C887" i="158"/>
  <c r="C886" i="158"/>
  <c r="C885" i="158"/>
  <c r="C884" i="158"/>
  <c r="F883" i="158"/>
  <c r="C883" i="158"/>
  <c r="C882" i="158"/>
  <c r="C881" i="158"/>
  <c r="C877" i="158"/>
  <c r="C876" i="158"/>
  <c r="C875" i="158"/>
  <c r="C872" i="158"/>
  <c r="C871" i="158"/>
  <c r="C870" i="158"/>
  <c r="C869" i="158"/>
  <c r="C868" i="158"/>
  <c r="C867" i="158"/>
  <c r="I865" i="158"/>
  <c r="H865" i="158"/>
  <c r="G865" i="158"/>
  <c r="F864" i="158"/>
  <c r="F863" i="158"/>
  <c r="F849" i="158"/>
  <c r="E844" i="158"/>
  <c r="E841" i="158"/>
  <c r="E840" i="158"/>
  <c r="E839" i="158"/>
  <c r="E838" i="158"/>
  <c r="E835" i="158"/>
  <c r="E834" i="158"/>
  <c r="E833" i="158"/>
  <c r="E832" i="158"/>
  <c r="E831" i="158"/>
  <c r="E828" i="158"/>
  <c r="E827" i="158"/>
  <c r="E826" i="158"/>
  <c r="E825" i="158"/>
  <c r="E824" i="158"/>
  <c r="E823" i="158"/>
  <c r="E822" i="158"/>
  <c r="E821" i="158"/>
  <c r="O818" i="158"/>
  <c r="G171" i="162" l="1"/>
  <c r="I169" i="162"/>
  <c r="J171" i="162"/>
  <c r="I171" i="162" s="1"/>
  <c r="H47" i="49"/>
  <c r="D16" i="6"/>
  <c r="H40" i="49"/>
  <c r="F40" i="165"/>
  <c r="D15" i="6"/>
  <c r="G47" i="49"/>
  <c r="G40" i="49"/>
  <c r="F40" i="164"/>
  <c r="K40" i="162"/>
  <c r="K40" i="49" s="1"/>
  <c r="D18" i="6"/>
  <c r="J47" i="49"/>
  <c r="J40" i="49"/>
  <c r="F40" i="167"/>
  <c r="F171" i="162"/>
  <c r="F40" i="162"/>
  <c r="D17" i="6"/>
  <c r="I47" i="49"/>
  <c r="I40" i="49"/>
  <c r="F40" i="166"/>
  <c r="J818" i="158"/>
  <c r="K818" i="158" s="1"/>
  <c r="E818" i="158"/>
  <c r="E817" i="158"/>
  <c r="E816" i="158"/>
  <c r="I814" i="158"/>
  <c r="H814" i="158"/>
  <c r="G814" i="158"/>
  <c r="F813" i="158"/>
  <c r="F812" i="158"/>
  <c r="E803" i="158"/>
  <c r="E802" i="158"/>
  <c r="D17" i="8" l="1"/>
  <c r="D17" i="24"/>
  <c r="D17" i="7"/>
  <c r="F47" i="49"/>
  <c r="F40" i="49"/>
  <c r="L40" i="162"/>
  <c r="D16" i="8"/>
  <c r="D16" i="24"/>
  <c r="D16" i="7"/>
  <c r="K169" i="162"/>
  <c r="D18" i="8"/>
  <c r="D18" i="24"/>
  <c r="D18" i="7"/>
  <c r="D15" i="8"/>
  <c r="D15" i="24"/>
  <c r="D15" i="7"/>
  <c r="D20" i="6"/>
  <c r="G20" i="6" s="1"/>
  <c r="K171" i="162" l="1"/>
  <c r="L169" i="162"/>
  <c r="L171" i="162" s="1"/>
  <c r="L47" i="49"/>
  <c r="K47" i="49" s="1"/>
  <c r="L40" i="49"/>
  <c r="L42" i="162"/>
  <c r="L44" i="162"/>
  <c r="D20" i="24"/>
  <c r="D35" i="24" s="1"/>
  <c r="D20" i="8"/>
  <c r="D35" i="8" s="1"/>
  <c r="E801" i="158"/>
  <c r="E800" i="158"/>
  <c r="E799" i="158"/>
  <c r="E796" i="158"/>
  <c r="G20" i="24" l="1"/>
  <c r="L42" i="49"/>
  <c r="L44" i="49"/>
  <c r="G20" i="8"/>
  <c r="E795" i="158"/>
  <c r="E794" i="158"/>
  <c r="E793" i="158"/>
  <c r="E792" i="158"/>
  <c r="E789" i="158"/>
  <c r="E788" i="158"/>
  <c r="E787" i="158"/>
  <c r="E786" i="158"/>
  <c r="E785" i="158"/>
  <c r="E784" i="158"/>
  <c r="E783" i="158"/>
  <c r="E782" i="158"/>
  <c r="E762" i="158"/>
  <c r="E760" i="158"/>
  <c r="E758" i="158"/>
  <c r="I756" i="158"/>
  <c r="H756" i="158"/>
  <c r="G756" i="158"/>
  <c r="F755" i="158"/>
  <c r="F754" i="158"/>
  <c r="E745" i="158"/>
  <c r="D745" i="158"/>
  <c r="E744" i="158"/>
  <c r="D744" i="158"/>
  <c r="I742" i="158"/>
  <c r="H742" i="158"/>
  <c r="G742" i="158"/>
  <c r="E742" i="158"/>
  <c r="J741" i="158"/>
  <c r="K741" i="158" s="1"/>
  <c r="I740" i="158"/>
  <c r="H740" i="158"/>
  <c r="G740" i="158"/>
  <c r="E740" i="158"/>
  <c r="J739" i="158"/>
  <c r="K739" i="158" s="1"/>
  <c r="E738" i="158"/>
  <c r="H737" i="158"/>
  <c r="G738" i="158" s="1"/>
  <c r="F737" i="158"/>
  <c r="E736" i="158"/>
  <c r="C736" i="158"/>
  <c r="F735" i="158"/>
  <c r="G735" i="158" s="1"/>
  <c r="E734" i="158"/>
  <c r="E732" i="158"/>
  <c r="E730" i="158"/>
  <c r="E728" i="158"/>
  <c r="E726" i="158"/>
  <c r="E724" i="158"/>
  <c r="E722" i="158"/>
  <c r="E720" i="158"/>
  <c r="E718" i="158"/>
  <c r="G717" i="158"/>
  <c r="G718" i="158" s="1"/>
  <c r="F717" i="158"/>
  <c r="J742" i="158" l="1"/>
  <c r="K742" i="158" s="1"/>
  <c r="O742" i="158"/>
  <c r="J740" i="158"/>
  <c r="K740" i="158" s="1"/>
  <c r="O740" i="158"/>
  <c r="G736" i="158"/>
  <c r="H736" i="158"/>
  <c r="I736" i="158"/>
  <c r="J717" i="158"/>
  <c r="K717" i="158" s="1"/>
  <c r="H718" i="158"/>
  <c r="J737" i="158"/>
  <c r="K737" i="158" s="1"/>
  <c r="H738" i="158"/>
  <c r="E716" i="158"/>
  <c r="G715" i="158"/>
  <c r="G716" i="158" s="1"/>
  <c r="F715" i="158"/>
  <c r="E714" i="158"/>
  <c r="G713" i="158"/>
  <c r="H714" i="158" s="1"/>
  <c r="G714" i="158" s="1"/>
  <c r="F713" i="158"/>
  <c r="E712" i="158"/>
  <c r="E710" i="158"/>
  <c r="I716" i="158" l="1"/>
  <c r="H716" i="158" s="1"/>
  <c r="O716" i="158" s="1"/>
  <c r="J715" i="158"/>
  <c r="K715" i="158" s="1"/>
  <c r="J713" i="158"/>
  <c r="K713" i="158" s="1"/>
  <c r="I714" i="158"/>
  <c r="O714" i="158" s="1"/>
  <c r="O736" i="158"/>
  <c r="E708" i="158"/>
  <c r="F707" i="158"/>
  <c r="I705" i="158"/>
  <c r="H705" i="158"/>
  <c r="G705" i="158"/>
  <c r="F704" i="158"/>
  <c r="F703" i="158"/>
  <c r="K694" i="158"/>
  <c r="K643" i="158" s="1"/>
  <c r="J694" i="158"/>
  <c r="I694" i="158"/>
  <c r="H694" i="158"/>
  <c r="G694" i="158"/>
  <c r="C694" i="158"/>
  <c r="K693" i="158"/>
  <c r="J693" i="158"/>
  <c r="I693" i="158"/>
  <c r="H693" i="158"/>
  <c r="G693" i="158"/>
  <c r="C693" i="158"/>
  <c r="K692" i="158"/>
  <c r="J692" i="158"/>
  <c r="I692" i="158"/>
  <c r="H692" i="158"/>
  <c r="G692" i="158"/>
  <c r="C692" i="158"/>
  <c r="K691" i="158"/>
  <c r="J691" i="158"/>
  <c r="I691" i="158"/>
  <c r="H691" i="158"/>
  <c r="G691" i="158"/>
  <c r="C691" i="158"/>
  <c r="C688" i="158"/>
  <c r="C687" i="158"/>
  <c r="C686" i="158"/>
  <c r="C685" i="158"/>
  <c r="C684" i="158"/>
  <c r="C683" i="158"/>
  <c r="F680" i="158"/>
  <c r="C680" i="158"/>
  <c r="F679" i="158"/>
  <c r="C679" i="158"/>
  <c r="C678" i="158"/>
  <c r="F677" i="158"/>
  <c r="C677" i="158"/>
  <c r="C676" i="158"/>
  <c r="C673" i="158"/>
  <c r="F672" i="158"/>
  <c r="C672" i="158"/>
  <c r="F671" i="158"/>
  <c r="C671" i="158"/>
  <c r="C670" i="158"/>
  <c r="F669" i="158"/>
  <c r="C669" i="158"/>
  <c r="C668" i="158"/>
  <c r="I665" i="158"/>
  <c r="H665" i="158"/>
  <c r="G665" i="158"/>
  <c r="F664" i="158"/>
  <c r="F663" i="158"/>
  <c r="K649" i="158"/>
  <c r="C647" i="158"/>
  <c r="C646" i="158"/>
  <c r="C645" i="158"/>
  <c r="C644" i="158"/>
  <c r="J643" i="158" l="1"/>
  <c r="J716" i="158"/>
  <c r="K716" i="158" s="1"/>
  <c r="G852" i="158"/>
  <c r="H849" i="158"/>
  <c r="H852" i="158"/>
  <c r="I849" i="158"/>
  <c r="I852" i="158"/>
  <c r="G849" i="158"/>
  <c r="I643" i="158"/>
  <c r="H643" i="158"/>
  <c r="G643" i="158" s="1"/>
  <c r="F643" i="158"/>
  <c r="C643" i="158"/>
  <c r="C641" i="158"/>
  <c r="C640" i="158"/>
  <c r="C639" i="158"/>
  <c r="C637" i="158"/>
  <c r="C636" i="158"/>
  <c r="C635" i="158"/>
  <c r="C634" i="158"/>
  <c r="C633" i="158"/>
  <c r="C630" i="158"/>
  <c r="C629" i="158"/>
  <c r="D628" i="158"/>
  <c r="C628" i="158"/>
  <c r="D627" i="158"/>
  <c r="C627" i="158"/>
  <c r="C626" i="158"/>
  <c r="D625" i="158"/>
  <c r="C625" i="158"/>
  <c r="I623" i="158"/>
  <c r="H623" i="158"/>
  <c r="G623" i="158"/>
  <c r="F622" i="158"/>
  <c r="F621" i="158"/>
  <c r="K565" i="158"/>
  <c r="K652" i="158" s="1"/>
  <c r="J652" i="158" s="1"/>
  <c r="I565" i="158"/>
  <c r="I652" i="158" s="1"/>
  <c r="H565" i="158"/>
  <c r="H652" i="158" s="1"/>
  <c r="G565" i="158"/>
  <c r="G652" i="158" s="1"/>
  <c r="F565" i="158"/>
  <c r="F652" i="158" s="1"/>
  <c r="C563" i="158"/>
  <c r="C562" i="158"/>
  <c r="C561" i="158"/>
  <c r="C557" i="158"/>
  <c r="C556" i="158"/>
  <c r="C555" i="158"/>
  <c r="K554" i="158"/>
  <c r="I554" i="158"/>
  <c r="H554" i="158"/>
  <c r="G554" i="158"/>
  <c r="F554" i="158"/>
  <c r="C554" i="158"/>
  <c r="C552" i="158"/>
  <c r="C551" i="158"/>
  <c r="C549" i="158"/>
  <c r="C548" i="158"/>
  <c r="C545" i="158"/>
  <c r="C544" i="158"/>
  <c r="C543" i="158"/>
  <c r="F540" i="158"/>
  <c r="F562" i="158" s="1"/>
  <c r="C540" i="158"/>
  <c r="C539" i="158"/>
  <c r="C536" i="158"/>
  <c r="D535" i="158"/>
  <c r="C535" i="158"/>
  <c r="C532" i="158"/>
  <c r="D531" i="158"/>
  <c r="J849" i="158" l="1"/>
  <c r="K849" i="158" s="1"/>
  <c r="J852" i="158"/>
  <c r="K852" i="158" s="1"/>
  <c r="D530" i="158"/>
  <c r="C530" i="158"/>
  <c r="D529" i="158"/>
  <c r="C529" i="158"/>
  <c r="D528" i="158"/>
  <c r="C528" i="158"/>
  <c r="D527" i="158"/>
  <c r="C527" i="158"/>
  <c r="C522" i="158"/>
  <c r="D521" i="158"/>
  <c r="C521" i="158"/>
  <c r="D520" i="158"/>
  <c r="C520" i="158"/>
  <c r="D519" i="158"/>
  <c r="C519" i="158"/>
  <c r="C516" i="158"/>
  <c r="D515" i="158"/>
  <c r="C515" i="158"/>
  <c r="I512" i="158"/>
  <c r="H512" i="158"/>
  <c r="G512" i="158"/>
  <c r="F511" i="158"/>
  <c r="F510" i="158"/>
  <c r="C501" i="158"/>
  <c r="C500" i="158"/>
  <c r="C499" i="158"/>
  <c r="C498" i="158"/>
  <c r="C493" i="158"/>
  <c r="C492" i="158"/>
  <c r="D491" i="158"/>
  <c r="C491" i="158"/>
  <c r="C488" i="158"/>
  <c r="D487" i="158"/>
  <c r="C487" i="158"/>
  <c r="D486" i="158"/>
  <c r="C486" i="158"/>
  <c r="D485" i="158"/>
  <c r="C485" i="158"/>
  <c r="D484" i="158"/>
  <c r="C484" i="158"/>
  <c r="C481" i="158"/>
  <c r="D480" i="158"/>
  <c r="C480" i="158"/>
  <c r="D479" i="158"/>
  <c r="C479" i="158"/>
  <c r="I476" i="158"/>
  <c r="H476" i="158"/>
  <c r="G476" i="158"/>
  <c r="F475" i="158"/>
  <c r="F474" i="158"/>
  <c r="C462" i="158"/>
  <c r="D461" i="158"/>
  <c r="C461" i="158"/>
  <c r="C458" i="158"/>
  <c r="D457" i="158"/>
  <c r="C457" i="158"/>
  <c r="C454" i="158"/>
  <c r="D453" i="158"/>
  <c r="C453" i="158"/>
  <c r="K450" i="158"/>
  <c r="J450" i="158"/>
  <c r="I450" i="158"/>
  <c r="H450" i="158"/>
  <c r="G450" i="158"/>
  <c r="F450" i="158"/>
  <c r="C450" i="158"/>
  <c r="C447" i="158"/>
  <c r="D446" i="158"/>
  <c r="C446" i="158"/>
  <c r="I444" i="158"/>
  <c r="H444" i="158"/>
  <c r="G444" i="158"/>
  <c r="F443" i="158"/>
  <c r="F442" i="158"/>
  <c r="C433" i="158"/>
  <c r="C431" i="158"/>
  <c r="D430" i="158"/>
  <c r="C430" i="158"/>
  <c r="D429" i="158"/>
  <c r="C429" i="158"/>
  <c r="D428" i="158"/>
  <c r="C428" i="158"/>
  <c r="D427" i="158" l="1"/>
  <c r="C427" i="158"/>
  <c r="D426" i="158"/>
  <c r="C426" i="158"/>
  <c r="D425" i="158"/>
  <c r="C425" i="158"/>
  <c r="D424" i="158"/>
  <c r="C424" i="158"/>
  <c r="D423" i="158"/>
  <c r="C423" i="158"/>
  <c r="D422" i="158"/>
  <c r="C422" i="158"/>
  <c r="D421" i="158"/>
  <c r="C421" i="158"/>
  <c r="D420" i="158"/>
  <c r="C420" i="158"/>
  <c r="D419" i="158"/>
  <c r="C419" i="158"/>
  <c r="D418" i="158"/>
  <c r="C418" i="158"/>
  <c r="D417" i="158"/>
  <c r="C417" i="158"/>
  <c r="C416" i="158"/>
  <c r="D415" i="158"/>
  <c r="C415" i="158"/>
  <c r="D414" i="158"/>
  <c r="C414" i="158"/>
  <c r="D413" i="158" l="1"/>
  <c r="C413" i="158"/>
  <c r="D412" i="158"/>
  <c r="C412" i="158"/>
  <c r="D411" i="158" l="1"/>
  <c r="C411" i="158"/>
  <c r="D410" i="158"/>
  <c r="C410" i="158"/>
  <c r="C407" i="158"/>
  <c r="D406" i="158"/>
  <c r="C406" i="158"/>
  <c r="C403" i="158"/>
  <c r="D402" i="158" l="1"/>
  <c r="C402" i="158"/>
  <c r="I400" i="158"/>
  <c r="H400" i="158"/>
  <c r="G400" i="158"/>
  <c r="F399" i="158"/>
  <c r="F398" i="158"/>
  <c r="C389" i="158"/>
  <c r="D388" i="158"/>
  <c r="C388" i="158"/>
  <c r="D387" i="158"/>
  <c r="C387" i="158"/>
  <c r="D386" i="158"/>
  <c r="C386" i="158"/>
  <c r="D385" i="158"/>
  <c r="C385" i="158"/>
  <c r="D384" i="158"/>
  <c r="C384" i="158"/>
  <c r="D383" i="158"/>
  <c r="C383" i="158"/>
  <c r="D382" i="158"/>
  <c r="C382" i="158"/>
  <c r="D381" i="158"/>
  <c r="C381" i="158"/>
  <c r="C378" i="158"/>
  <c r="D377" i="158"/>
  <c r="C377" i="158"/>
  <c r="D376" i="158"/>
  <c r="C376" i="158"/>
  <c r="D375" i="158" l="1"/>
  <c r="C375" i="158"/>
  <c r="D374" i="158"/>
  <c r="C374" i="158"/>
  <c r="D373" i="158"/>
  <c r="C373" i="158"/>
  <c r="D372" i="158"/>
  <c r="C372" i="158"/>
  <c r="D371" i="158" l="1"/>
  <c r="C371" i="158"/>
  <c r="D370" i="158"/>
  <c r="C370" i="158"/>
  <c r="D369" i="158"/>
  <c r="C369" i="158"/>
  <c r="D368" i="158"/>
  <c r="C368" i="158"/>
  <c r="D367" i="158"/>
  <c r="C367" i="158"/>
  <c r="K364" i="158"/>
  <c r="J364" i="158"/>
  <c r="I364" i="158"/>
  <c r="H364" i="158"/>
  <c r="G364" i="158"/>
  <c r="F364" i="158"/>
  <c r="C364" i="158"/>
  <c r="C363" i="158"/>
  <c r="C358" i="158"/>
  <c r="D357" i="158" l="1"/>
  <c r="C357" i="158"/>
  <c r="F354" i="158"/>
  <c r="C354" i="158"/>
  <c r="I353" i="158"/>
  <c r="H353" i="158"/>
  <c r="G353" i="158"/>
  <c r="G354" i="158" s="1"/>
  <c r="C353" i="158"/>
  <c r="C350" i="158"/>
  <c r="J353" i="158" l="1"/>
  <c r="J354" i="158" s="1"/>
  <c r="I354" i="158" s="1"/>
  <c r="H354" i="158" s="1"/>
  <c r="D349" i="158"/>
  <c r="C349" i="158"/>
  <c r="D348" i="158"/>
  <c r="C348" i="158"/>
  <c r="I345" i="158"/>
  <c r="H345" i="158"/>
  <c r="G345" i="158"/>
  <c r="F344" i="158"/>
  <c r="F343" i="158"/>
  <c r="C331" i="158"/>
  <c r="C330" i="158"/>
  <c r="C329" i="158"/>
  <c r="C326" i="158"/>
  <c r="C325" i="158"/>
  <c r="C324" i="158"/>
  <c r="C323" i="158"/>
  <c r="C319" i="158"/>
  <c r="D318" i="158"/>
  <c r="C318" i="158"/>
  <c r="D317" i="158"/>
  <c r="C317" i="158"/>
  <c r="D316" i="158"/>
  <c r="C316" i="158"/>
  <c r="K353" i="158" l="1"/>
  <c r="K354" i="158" s="1"/>
  <c r="C310" i="158"/>
  <c r="D309" i="158"/>
  <c r="C309" i="158"/>
  <c r="D308" i="158"/>
  <c r="C308" i="158"/>
  <c r="D307" i="158"/>
  <c r="C307" i="158"/>
  <c r="C303" i="158"/>
  <c r="D302" i="158"/>
  <c r="C302" i="158"/>
  <c r="D301" i="158"/>
  <c r="C301" i="158"/>
  <c r="I294" i="158"/>
  <c r="H294" i="158"/>
  <c r="G294" i="158"/>
  <c r="F293" i="158"/>
  <c r="F292" i="158"/>
  <c r="C281" i="158"/>
  <c r="D280" i="158"/>
  <c r="C280" i="158"/>
  <c r="D279" i="158"/>
  <c r="C279" i="158"/>
  <c r="D278" i="158"/>
  <c r="C278" i="158"/>
  <c r="C275" i="158"/>
  <c r="D274" i="158"/>
  <c r="C274" i="158"/>
  <c r="D273" i="158"/>
  <c r="C273" i="158"/>
  <c r="D272" i="158"/>
  <c r="C272" i="158"/>
  <c r="D271" i="158"/>
  <c r="C271" i="158"/>
  <c r="D270" i="158"/>
  <c r="C270" i="158"/>
  <c r="D269" i="158" l="1"/>
  <c r="C269" i="158"/>
  <c r="D268" i="158"/>
  <c r="C268" i="158"/>
  <c r="D267" i="158"/>
  <c r="C267" i="158"/>
  <c r="D266" i="158"/>
  <c r="C266" i="158"/>
  <c r="D265" i="158"/>
  <c r="C265" i="158"/>
  <c r="D264" i="158"/>
  <c r="C264" i="158"/>
  <c r="D263" i="158"/>
  <c r="C263" i="158"/>
  <c r="D262" i="158"/>
  <c r="C262" i="158"/>
  <c r="D261" i="158"/>
  <c r="C261" i="158"/>
  <c r="D260" i="158"/>
  <c r="C260" i="158"/>
  <c r="D259" i="158"/>
  <c r="C259" i="158"/>
  <c r="D258" i="158"/>
  <c r="C258" i="158"/>
  <c r="D257" i="158"/>
  <c r="C257" i="158"/>
  <c r="D256" i="158"/>
  <c r="C256" i="158"/>
  <c r="D255" i="158"/>
  <c r="C255" i="158"/>
  <c r="D254" i="158" l="1"/>
  <c r="C254" i="158"/>
  <c r="D253" i="158"/>
  <c r="C253" i="158"/>
  <c r="D252" i="158"/>
  <c r="C252" i="158"/>
  <c r="I249" i="158"/>
  <c r="H249" i="158"/>
  <c r="G249" i="158"/>
  <c r="F248" i="158"/>
  <c r="F247" i="158"/>
  <c r="C236" i="158"/>
  <c r="D235" i="158"/>
  <c r="C235" i="158"/>
  <c r="D234" i="158"/>
  <c r="C234" i="158"/>
  <c r="D233" i="158"/>
  <c r="C233" i="158"/>
  <c r="C232" i="158"/>
  <c r="C229" i="158"/>
  <c r="D228" i="158"/>
  <c r="C228" i="158"/>
  <c r="D227" i="158"/>
  <c r="C227" i="158"/>
  <c r="D226" i="158"/>
  <c r="C226" i="158"/>
  <c r="D225" i="158"/>
  <c r="C225" i="158"/>
  <c r="D224" i="158"/>
  <c r="C224" i="158"/>
  <c r="D223" i="158"/>
  <c r="C223" i="158"/>
  <c r="D222" i="158" l="1"/>
  <c r="C222" i="158"/>
  <c r="D221" i="158"/>
  <c r="C221" i="158"/>
  <c r="D220" i="158"/>
  <c r="C220" i="158"/>
  <c r="D219" i="158"/>
  <c r="C219" i="158"/>
  <c r="D218" i="158"/>
  <c r="C218" i="158"/>
  <c r="C215" i="158"/>
  <c r="D214" i="158"/>
  <c r="C214" i="158"/>
  <c r="D213" i="158"/>
  <c r="C213" i="158"/>
  <c r="D212" i="158"/>
  <c r="C212" i="158"/>
  <c r="D211" i="158"/>
  <c r="C211" i="158"/>
  <c r="D210" i="158"/>
  <c r="C210" i="158"/>
  <c r="D209" i="158"/>
  <c r="C209" i="158"/>
  <c r="D208" i="158"/>
  <c r="C208" i="158"/>
  <c r="D207" i="158" l="1"/>
  <c r="C207" i="158"/>
  <c r="D206" i="158"/>
  <c r="C206" i="158"/>
  <c r="I202" i="158"/>
  <c r="H202" i="158"/>
  <c r="G202" i="158"/>
  <c r="F201" i="158"/>
  <c r="F200" i="158"/>
  <c r="C189" i="158"/>
  <c r="C188" i="158"/>
  <c r="C187" i="158"/>
  <c r="C184" i="158"/>
  <c r="C183" i="158"/>
  <c r="C182" i="158"/>
  <c r="C176" i="158"/>
  <c r="C175" i="158"/>
  <c r="C174" i="158"/>
  <c r="C171" i="158"/>
  <c r="C170" i="158"/>
  <c r="C169" i="158"/>
  <c r="C166" i="158"/>
  <c r="C165" i="158"/>
  <c r="C164" i="158"/>
  <c r="I162" i="158"/>
  <c r="H162" i="158"/>
  <c r="G162" i="158"/>
  <c r="F161" i="158"/>
  <c r="B161" i="158"/>
  <c r="F160" i="158"/>
  <c r="C149" i="158"/>
  <c r="D148" i="158"/>
  <c r="C148" i="158"/>
  <c r="D147" i="158"/>
  <c r="C147" i="158"/>
  <c r="D146" i="158"/>
  <c r="C146" i="158"/>
  <c r="D145" i="158"/>
  <c r="C145" i="158"/>
  <c r="D144" i="158"/>
  <c r="C144" i="158"/>
  <c r="D143" i="158"/>
  <c r="C143" i="158"/>
  <c r="C140" i="158"/>
  <c r="D139" i="158"/>
  <c r="C139" i="158"/>
  <c r="D138" i="158"/>
  <c r="C138" i="158"/>
  <c r="D137" i="158"/>
  <c r="C137" i="158"/>
  <c r="D136" i="158"/>
  <c r="C136" i="158"/>
  <c r="D135" i="158"/>
  <c r="C135" i="158"/>
  <c r="D134" i="158"/>
  <c r="C134" i="158"/>
  <c r="C131" i="158"/>
  <c r="D130" i="158" l="1"/>
  <c r="C130" i="158"/>
  <c r="D129" i="158"/>
  <c r="C129" i="158"/>
  <c r="D128" i="158"/>
  <c r="C128" i="158"/>
  <c r="D127" i="158"/>
  <c r="C127" i="158"/>
  <c r="D126" i="158"/>
  <c r="C126" i="158"/>
  <c r="D125" i="158"/>
  <c r="C125" i="158"/>
  <c r="D124" i="158" l="1"/>
  <c r="C124" i="158"/>
  <c r="D123" i="158"/>
  <c r="C123" i="158"/>
  <c r="D122" i="158"/>
  <c r="C122" i="158"/>
  <c r="K119" i="158"/>
  <c r="J119" i="158"/>
  <c r="J170" i="158" s="1"/>
  <c r="I119" i="158"/>
  <c r="I170" i="158" s="1"/>
  <c r="H119" i="158"/>
  <c r="H170" i="158" s="1"/>
  <c r="G119" i="158"/>
  <c r="G170" i="158" s="1"/>
  <c r="F119" i="158"/>
  <c r="F170" i="158" s="1"/>
  <c r="C119" i="158"/>
  <c r="C118" i="158"/>
  <c r="C115" i="158"/>
  <c r="D114" i="158"/>
  <c r="C114" i="158"/>
  <c r="I112" i="158"/>
  <c r="H112" i="158"/>
  <c r="G112" i="158"/>
  <c r="F111" i="158"/>
  <c r="F110" i="158"/>
  <c r="C99" i="158"/>
  <c r="D98" i="158"/>
  <c r="C98" i="158"/>
  <c r="D97" i="158"/>
  <c r="C97" i="158"/>
  <c r="D96" i="158"/>
  <c r="C96" i="158"/>
  <c r="D95" i="158"/>
  <c r="C95" i="158"/>
  <c r="D94" i="158"/>
  <c r="C94" i="158"/>
  <c r="D93" i="158"/>
  <c r="C93" i="158"/>
  <c r="C90" i="158"/>
  <c r="D89" i="158"/>
  <c r="C89" i="158"/>
  <c r="D88" i="158"/>
  <c r="C88" i="158"/>
  <c r="D87" i="158"/>
  <c r="C87" i="158"/>
  <c r="D86" i="158"/>
  <c r="C86" i="158"/>
  <c r="D85" i="158"/>
  <c r="C85" i="158"/>
  <c r="D84" i="158"/>
  <c r="C84" i="158"/>
  <c r="C78" i="158"/>
  <c r="D77" i="158"/>
  <c r="C77" i="158"/>
  <c r="D76" i="158"/>
  <c r="C76" i="158"/>
  <c r="D75" i="158"/>
  <c r="C75" i="158"/>
  <c r="D74" i="158"/>
  <c r="C74" i="158"/>
  <c r="D73" i="158"/>
  <c r="C73" i="158"/>
  <c r="D72" i="158"/>
  <c r="C72" i="158"/>
  <c r="D71" i="158"/>
  <c r="C71" i="158"/>
  <c r="D70" i="158"/>
  <c r="C70" i="158"/>
  <c r="D69" i="158"/>
  <c r="C69" i="158"/>
  <c r="D68" i="158"/>
  <c r="C68" i="158"/>
  <c r="K63" i="158"/>
  <c r="J63" i="158"/>
  <c r="J169" i="158" s="1"/>
  <c r="I63" i="158"/>
  <c r="I169" i="158" s="1"/>
  <c r="I171" i="158" s="1"/>
  <c r="H63" i="158"/>
  <c r="H169" i="158" s="1"/>
  <c r="H171" i="158" s="1"/>
  <c r="G63" i="158"/>
  <c r="G169" i="158" s="1"/>
  <c r="F63" i="158"/>
  <c r="F169" i="158" s="1"/>
  <c r="C63" i="158"/>
  <c r="C62" i="158"/>
  <c r="C59" i="158"/>
  <c r="D58" i="158"/>
  <c r="C58" i="158"/>
  <c r="D57" i="158"/>
  <c r="C57" i="158"/>
  <c r="I55" i="158"/>
  <c r="H55" i="158"/>
  <c r="G55" i="158"/>
  <c r="F54" i="158"/>
  <c r="F53" i="158"/>
  <c r="G171" i="158" l="1"/>
  <c r="J171" i="158"/>
  <c r="K170" i="158"/>
  <c r="F171" i="158"/>
  <c r="K169" i="158"/>
  <c r="K171" i="158" l="1"/>
  <c r="K40" i="158"/>
  <c r="K31" i="158"/>
  <c r="D29" i="158"/>
  <c r="C28" i="158"/>
  <c r="C24" i="158"/>
  <c r="C23" i="158"/>
  <c r="C22" i="158"/>
  <c r="C21" i="158"/>
  <c r="C20" i="158"/>
  <c r="C19" i="158"/>
  <c r="C18" i="158"/>
  <c r="C15" i="158"/>
  <c r="C14" i="158"/>
  <c r="C13" i="158"/>
  <c r="C12" i="158"/>
  <c r="C899" i="161"/>
  <c r="C897" i="161"/>
  <c r="C896" i="161"/>
  <c r="C895" i="161"/>
  <c r="C892" i="161"/>
  <c r="C891" i="161"/>
  <c r="C890" i="161"/>
  <c r="C887" i="161"/>
  <c r="C886" i="161"/>
  <c r="C885" i="161"/>
  <c r="C884" i="161"/>
  <c r="F883" i="161"/>
  <c r="C883" i="161"/>
  <c r="C882" i="161"/>
  <c r="C881" i="161"/>
  <c r="C877" i="161"/>
  <c r="C876" i="161"/>
  <c r="C875" i="161"/>
  <c r="C872" i="161"/>
  <c r="C871" i="161"/>
  <c r="C870" i="161"/>
  <c r="C869" i="161"/>
  <c r="C868" i="161"/>
  <c r="C867" i="161"/>
  <c r="J865" i="161"/>
  <c r="I865" i="161"/>
  <c r="H865" i="161"/>
  <c r="G865" i="161"/>
  <c r="J864" i="161"/>
  <c r="I864" i="161"/>
  <c r="H864" i="161"/>
  <c r="G864" i="161"/>
  <c r="F864" i="161"/>
  <c r="J863" i="161"/>
  <c r="I863" i="161"/>
  <c r="H863" i="161"/>
  <c r="G863" i="161"/>
  <c r="F863" i="161"/>
  <c r="K44" i="158" l="1"/>
  <c r="K42" i="158"/>
  <c r="E854" i="161"/>
  <c r="E853" i="161"/>
  <c r="E852" i="161"/>
  <c r="E851" i="161"/>
  <c r="E850" i="161"/>
  <c r="F849" i="161" l="1"/>
  <c r="E849" i="161"/>
  <c r="E844" i="161"/>
  <c r="E841" i="161"/>
  <c r="E840" i="161"/>
  <c r="E839" i="161"/>
  <c r="E838" i="161"/>
  <c r="E835" i="161"/>
  <c r="E834" i="161" l="1"/>
  <c r="E833" i="161"/>
  <c r="E832" i="161"/>
  <c r="E831" i="161"/>
  <c r="E828" i="161"/>
  <c r="E827" i="161"/>
  <c r="E826" i="161" l="1"/>
  <c r="E825" i="161"/>
  <c r="E824" i="161"/>
  <c r="E823" i="161"/>
  <c r="E822" i="161"/>
  <c r="E821" i="161"/>
  <c r="P818" i="161"/>
  <c r="L818" i="161"/>
  <c r="G818" i="161"/>
  <c r="E818" i="161"/>
  <c r="E817" i="161"/>
  <c r="E816" i="161"/>
  <c r="J813" i="161"/>
  <c r="I813" i="161"/>
  <c r="H813" i="161"/>
  <c r="G813" i="161"/>
  <c r="F813" i="161"/>
  <c r="J812" i="161"/>
  <c r="I812" i="161"/>
  <c r="H812" i="161"/>
  <c r="G812" i="161"/>
  <c r="F812" i="161"/>
  <c r="E803" i="161"/>
  <c r="E802" i="161"/>
  <c r="E801" i="161" l="1"/>
  <c r="E800" i="161"/>
  <c r="E799" i="161"/>
  <c r="E796" i="161"/>
  <c r="E795" i="161"/>
  <c r="E794" i="161"/>
  <c r="E793" i="161"/>
  <c r="E792" i="161"/>
  <c r="E789" i="161"/>
  <c r="E788" i="161"/>
  <c r="E787" i="161"/>
  <c r="E786" i="161"/>
  <c r="E785" i="161"/>
  <c r="E784" i="161"/>
  <c r="E783" i="161"/>
  <c r="E782" i="161"/>
  <c r="J763" i="161" l="1"/>
  <c r="I763" i="161"/>
  <c r="H763" i="161"/>
  <c r="G763" i="161"/>
  <c r="F763" i="161"/>
  <c r="H764" i="161" l="1"/>
  <c r="I764" i="161"/>
  <c r="J764" i="161"/>
  <c r="K763" i="161"/>
  <c r="L763" i="161" s="1"/>
  <c r="E762" i="161"/>
  <c r="G764" i="161" l="1"/>
  <c r="J761" i="161"/>
  <c r="I761" i="161"/>
  <c r="H761" i="161"/>
  <c r="G761" i="161"/>
  <c r="F761" i="161"/>
  <c r="E760" i="161"/>
  <c r="E758" i="161"/>
  <c r="J755" i="161"/>
  <c r="I755" i="161"/>
  <c r="H755" i="161"/>
  <c r="G755" i="161"/>
  <c r="F755" i="161"/>
  <c r="J754" i="161"/>
  <c r="I754" i="161"/>
  <c r="H754" i="161"/>
  <c r="G754" i="161"/>
  <c r="F754" i="161"/>
  <c r="E745" i="161"/>
  <c r="D745" i="161"/>
  <c r="E744" i="161"/>
  <c r="D744" i="161"/>
  <c r="J742" i="161"/>
  <c r="I742" i="161"/>
  <c r="H742" i="161"/>
  <c r="E742" i="161"/>
  <c r="K761" i="161" l="1"/>
  <c r="L761" i="161" s="1"/>
  <c r="J762" i="161"/>
  <c r="H762" i="161"/>
  <c r="I762" i="161"/>
  <c r="K741" i="161"/>
  <c r="J740" i="161"/>
  <c r="I740" i="161"/>
  <c r="H740" i="161"/>
  <c r="E740" i="161"/>
  <c r="K739" i="161"/>
  <c r="E738" i="161"/>
  <c r="J737" i="161"/>
  <c r="I737" i="161"/>
  <c r="F737" i="161"/>
  <c r="E736" i="161"/>
  <c r="C736" i="161"/>
  <c r="J735" i="161"/>
  <c r="I735" i="161"/>
  <c r="F735" i="161"/>
  <c r="E734" i="161"/>
  <c r="E732" i="161"/>
  <c r="J736" i="161" l="1"/>
  <c r="L739" i="161"/>
  <c r="G740" i="161" s="1"/>
  <c r="L741" i="161"/>
  <c r="G742" i="161" s="1"/>
  <c r="I736" i="161"/>
  <c r="I738" i="161"/>
  <c r="G762" i="161"/>
  <c r="K735" i="161"/>
  <c r="L735" i="161" s="1"/>
  <c r="J738" i="161"/>
  <c r="H738" i="161"/>
  <c r="H736" i="161"/>
  <c r="K737" i="161"/>
  <c r="L737" i="161" s="1"/>
  <c r="E730" i="161"/>
  <c r="I729" i="161"/>
  <c r="H729" i="161"/>
  <c r="G729" i="161"/>
  <c r="E728" i="161"/>
  <c r="J727" i="161"/>
  <c r="H727" i="161"/>
  <c r="E726" i="161"/>
  <c r="E724" i="161"/>
  <c r="J723" i="161"/>
  <c r="I723" i="161"/>
  <c r="H723" i="161"/>
  <c r="G723" i="161"/>
  <c r="E722" i="161"/>
  <c r="G721" i="161"/>
  <c r="E720" i="161"/>
  <c r="G719" i="161"/>
  <c r="E718" i="161"/>
  <c r="J717" i="161"/>
  <c r="I717" i="161"/>
  <c r="H717" i="161"/>
  <c r="G717" i="161"/>
  <c r="F717" i="161"/>
  <c r="E716" i="161"/>
  <c r="J715" i="161"/>
  <c r="I715" i="161"/>
  <c r="H715" i="161"/>
  <c r="G715" i="161"/>
  <c r="F715" i="161"/>
  <c r="E714" i="161"/>
  <c r="J713" i="161"/>
  <c r="I713" i="161"/>
  <c r="H713" i="161"/>
  <c r="G713" i="161"/>
  <c r="F713" i="161"/>
  <c r="E712" i="161"/>
  <c r="E710" i="161"/>
  <c r="I714" i="161" l="1"/>
  <c r="K717" i="161"/>
  <c r="L717" i="161" s="1"/>
  <c r="H718" i="161"/>
  <c r="G736" i="161"/>
  <c r="K736" i="161" s="1"/>
  <c r="L736" i="161" s="1"/>
  <c r="G738" i="161"/>
  <c r="H716" i="161"/>
  <c r="I718" i="161"/>
  <c r="K713" i="161"/>
  <c r="L713" i="161" s="1"/>
  <c r="K723" i="161"/>
  <c r="H714" i="161"/>
  <c r="K715" i="161"/>
  <c r="L715" i="161" s="1"/>
  <c r="J716" i="161"/>
  <c r="I716" i="161" s="1"/>
  <c r="J714" i="161"/>
  <c r="J718" i="161"/>
  <c r="P736" i="161" l="1"/>
  <c r="G714" i="161"/>
  <c r="G716" i="161"/>
  <c r="K716" i="161" s="1"/>
  <c r="L716" i="161" s="1"/>
  <c r="G718" i="161"/>
  <c r="K718" i="161" s="1"/>
  <c r="P718" i="161" s="1"/>
  <c r="L718" i="161" s="1"/>
  <c r="E708" i="161"/>
  <c r="J707" i="161"/>
  <c r="I707" i="161"/>
  <c r="H707" i="161"/>
  <c r="G707" i="161"/>
  <c r="F707" i="161"/>
  <c r="J704" i="161"/>
  <c r="I704" i="161"/>
  <c r="H704" i="161"/>
  <c r="G704" i="161"/>
  <c r="F704" i="161"/>
  <c r="J703" i="161"/>
  <c r="I703" i="161"/>
  <c r="H703" i="161"/>
  <c r="G703" i="161"/>
  <c r="F703" i="161"/>
  <c r="F702" i="161"/>
  <c r="L694" i="161"/>
  <c r="L643" i="161" s="1"/>
  <c r="K694" i="161"/>
  <c r="J694" i="161"/>
  <c r="I694" i="161"/>
  <c r="H694" i="161"/>
  <c r="G694" i="161"/>
  <c r="G643" i="161" s="1"/>
  <c r="C694" i="161"/>
  <c r="L693" i="161"/>
  <c r="K693" i="161"/>
  <c r="J693" i="161"/>
  <c r="I693" i="161"/>
  <c r="H693" i="161"/>
  <c r="G693" i="161"/>
  <c r="C693" i="161"/>
  <c r="L692" i="161"/>
  <c r="K692" i="161"/>
  <c r="J692" i="161"/>
  <c r="I692" i="161"/>
  <c r="I554" i="161" s="1"/>
  <c r="H692" i="161"/>
  <c r="H554" i="161" s="1"/>
  <c r="G692" i="161"/>
  <c r="C692" i="161"/>
  <c r="L691" i="161"/>
  <c r="K691" i="161"/>
  <c r="J691" i="161"/>
  <c r="I691" i="161"/>
  <c r="H691" i="161"/>
  <c r="G691" i="161"/>
  <c r="C691" i="161"/>
  <c r="C688" i="161"/>
  <c r="C687" i="161"/>
  <c r="C686" i="161"/>
  <c r="C685" i="161"/>
  <c r="C684" i="161"/>
  <c r="C683" i="161"/>
  <c r="C680" i="161"/>
  <c r="C679" i="161"/>
  <c r="C678" i="161"/>
  <c r="C677" i="161"/>
  <c r="C676" i="161"/>
  <c r="C673" i="161"/>
  <c r="C672" i="161"/>
  <c r="C671" i="161"/>
  <c r="C670" i="161"/>
  <c r="C669" i="161"/>
  <c r="C668" i="161"/>
  <c r="J665" i="161"/>
  <c r="I665" i="161"/>
  <c r="H665" i="161"/>
  <c r="G665" i="161"/>
  <c r="J664" i="161"/>
  <c r="I664" i="161"/>
  <c r="H664" i="161"/>
  <c r="G664" i="161"/>
  <c r="F664" i="161"/>
  <c r="J663" i="161"/>
  <c r="I663" i="161"/>
  <c r="H663" i="161"/>
  <c r="G663" i="161"/>
  <c r="F663" i="161"/>
  <c r="C647" i="161"/>
  <c r="C646" i="161"/>
  <c r="C645" i="161"/>
  <c r="C644" i="161"/>
  <c r="F643" i="161"/>
  <c r="C643" i="161"/>
  <c r="C641" i="161"/>
  <c r="C640" i="161"/>
  <c r="C639" i="161"/>
  <c r="C637" i="161"/>
  <c r="C636" i="161"/>
  <c r="C635" i="161"/>
  <c r="C634" i="161"/>
  <c r="C633" i="161"/>
  <c r="C630" i="161"/>
  <c r="C629" i="161"/>
  <c r="D628" i="161"/>
  <c r="C628" i="161"/>
  <c r="D627" i="161"/>
  <c r="C627" i="161"/>
  <c r="C626" i="161"/>
  <c r="D625" i="161"/>
  <c r="C625" i="161"/>
  <c r="J623" i="161"/>
  <c r="I623" i="161"/>
  <c r="H623" i="161"/>
  <c r="G623" i="161"/>
  <c r="J622" i="161"/>
  <c r="I622" i="161"/>
  <c r="H622" i="161"/>
  <c r="G622" i="161"/>
  <c r="F622" i="161"/>
  <c r="J621" i="161"/>
  <c r="I621" i="161"/>
  <c r="H621" i="161"/>
  <c r="G621" i="161"/>
  <c r="F621" i="161"/>
  <c r="F620" i="161"/>
  <c r="F565" i="161"/>
  <c r="F652" i="161" s="1"/>
  <c r="C563" i="161"/>
  <c r="C562" i="161"/>
  <c r="C561" i="161"/>
  <c r="C557" i="161"/>
  <c r="C556" i="161"/>
  <c r="C555" i="161"/>
  <c r="F554" i="161"/>
  <c r="C554" i="161"/>
  <c r="C552" i="161"/>
  <c r="C551" i="161"/>
  <c r="C549" i="161"/>
  <c r="C548" i="161"/>
  <c r="C545" i="161"/>
  <c r="C544" i="161"/>
  <c r="C543" i="161"/>
  <c r="F540" i="161"/>
  <c r="F891" i="161" s="1"/>
  <c r="C540" i="161"/>
  <c r="C539" i="161"/>
  <c r="C536" i="161"/>
  <c r="D535" i="161"/>
  <c r="C535" i="161"/>
  <c r="C532" i="161"/>
  <c r="D531" i="161"/>
  <c r="D530" i="161"/>
  <c r="C530" i="161"/>
  <c r="D529" i="161"/>
  <c r="C529" i="161"/>
  <c r="D528" i="161"/>
  <c r="C528" i="161"/>
  <c r="D527" i="161"/>
  <c r="C527" i="161"/>
  <c r="C522" i="161"/>
  <c r="J565" i="161" l="1"/>
  <c r="J652" i="161" s="1"/>
  <c r="K643" i="161"/>
  <c r="J643" i="161" s="1"/>
  <c r="J554" i="161"/>
  <c r="G565" i="161"/>
  <c r="G652" i="161" s="1"/>
  <c r="L565" i="161"/>
  <c r="L652" i="161" s="1"/>
  <c r="K652" i="161" s="1"/>
  <c r="H565" i="161"/>
  <c r="H652" i="161" s="1"/>
  <c r="I708" i="161"/>
  <c r="P716" i="161"/>
  <c r="I565" i="161"/>
  <c r="I652" i="161" s="1"/>
  <c r="H708" i="161"/>
  <c r="G554" i="161"/>
  <c r="L554" i="161"/>
  <c r="I643" i="161"/>
  <c r="H643" i="161" s="1"/>
  <c r="J708" i="161"/>
  <c r="K707" i="161"/>
  <c r="L707" i="161" s="1"/>
  <c r="G852" i="161"/>
  <c r="I852" i="161"/>
  <c r="H852" i="161" s="1"/>
  <c r="J849" i="161"/>
  <c r="H849" i="161"/>
  <c r="G849" i="161"/>
  <c r="I849" i="161"/>
  <c r="D521" i="161"/>
  <c r="C521" i="161"/>
  <c r="D520" i="161"/>
  <c r="C520" i="161"/>
  <c r="D519" i="161"/>
  <c r="C519" i="161"/>
  <c r="C516" i="161"/>
  <c r="D515" i="161"/>
  <c r="C515" i="161"/>
  <c r="J512" i="161"/>
  <c r="I512" i="161"/>
  <c r="H512" i="161"/>
  <c r="G512" i="161"/>
  <c r="J511" i="161"/>
  <c r="I511" i="161"/>
  <c r="H511" i="161"/>
  <c r="G511" i="161"/>
  <c r="F511" i="161"/>
  <c r="J510" i="161"/>
  <c r="I510" i="161"/>
  <c r="H510" i="161"/>
  <c r="G510" i="161"/>
  <c r="F510" i="161"/>
  <c r="F509" i="161"/>
  <c r="C501" i="161"/>
  <c r="C500" i="161"/>
  <c r="C499" i="161"/>
  <c r="C498" i="161"/>
  <c r="C493" i="161"/>
  <c r="C492" i="161"/>
  <c r="G708" i="161" l="1"/>
  <c r="K849" i="161"/>
  <c r="D491" i="161"/>
  <c r="C491" i="161"/>
  <c r="C488" i="161"/>
  <c r="D487" i="161"/>
  <c r="C487" i="161"/>
  <c r="D486" i="161"/>
  <c r="C486" i="161"/>
  <c r="D485" i="161"/>
  <c r="C485" i="161"/>
  <c r="D484" i="161"/>
  <c r="C484" i="161"/>
  <c r="C481" i="161"/>
  <c r="D480" i="161"/>
  <c r="C480" i="161"/>
  <c r="D479" i="161"/>
  <c r="C479" i="161"/>
  <c r="J476" i="161"/>
  <c r="I476" i="161"/>
  <c r="H476" i="161"/>
  <c r="G476" i="161"/>
  <c r="J475" i="161"/>
  <c r="I475" i="161"/>
  <c r="H475" i="161"/>
  <c r="G475" i="161"/>
  <c r="F475" i="161"/>
  <c r="J474" i="161"/>
  <c r="I474" i="161"/>
  <c r="H474" i="161"/>
  <c r="G474" i="161"/>
  <c r="F474" i="161"/>
  <c r="F473" i="161"/>
  <c r="C462" i="161"/>
  <c r="D461" i="161"/>
  <c r="C461" i="161"/>
  <c r="L849" i="161" l="1"/>
  <c r="C458" i="161"/>
  <c r="D457" i="161"/>
  <c r="C457" i="161"/>
  <c r="C454" i="161"/>
  <c r="D453" i="161"/>
  <c r="C453" i="161"/>
  <c r="L450" i="161"/>
  <c r="K450" i="161"/>
  <c r="J450" i="161"/>
  <c r="I450" i="161"/>
  <c r="H450" i="161"/>
  <c r="G450" i="161"/>
  <c r="F450" i="161"/>
  <c r="C450" i="161"/>
  <c r="C447" i="161"/>
  <c r="D446" i="161"/>
  <c r="C446" i="161"/>
  <c r="J444" i="161"/>
  <c r="I444" i="161"/>
  <c r="H444" i="161"/>
  <c r="G444" i="161"/>
  <c r="J443" i="161"/>
  <c r="I443" i="161"/>
  <c r="H443" i="161"/>
  <c r="G443" i="161"/>
  <c r="F443" i="161"/>
  <c r="J442" i="161"/>
  <c r="I442" i="161"/>
  <c r="H442" i="161"/>
  <c r="G442" i="161"/>
  <c r="F442" i="161"/>
  <c r="F441" i="161"/>
  <c r="C433" i="161"/>
  <c r="C431" i="161"/>
  <c r="D430" i="161"/>
  <c r="C430" i="161"/>
  <c r="D429" i="161"/>
  <c r="C429" i="161"/>
  <c r="D428" i="161"/>
  <c r="C428" i="161"/>
  <c r="D427" i="161"/>
  <c r="C427" i="161"/>
  <c r="D426" i="161"/>
  <c r="C426" i="161"/>
  <c r="D425" i="161"/>
  <c r="C425" i="161"/>
  <c r="D424" i="161"/>
  <c r="C424" i="161"/>
  <c r="D423" i="161"/>
  <c r="C423" i="161"/>
  <c r="D422" i="161"/>
  <c r="C422" i="161"/>
  <c r="D421" i="161"/>
  <c r="C421" i="161"/>
  <c r="D420" i="161"/>
  <c r="C420" i="161"/>
  <c r="D419" i="161"/>
  <c r="C419" i="161"/>
  <c r="D418" i="161"/>
  <c r="C418" i="161"/>
  <c r="D417" i="161"/>
  <c r="C417" i="161"/>
  <c r="C416" i="161"/>
  <c r="D415" i="161"/>
  <c r="C415" i="161"/>
  <c r="D414" i="161"/>
  <c r="C414" i="161"/>
  <c r="D413" i="161" l="1"/>
  <c r="C413" i="161"/>
  <c r="D412" i="161"/>
  <c r="C412" i="161"/>
  <c r="D411" i="161"/>
  <c r="C411" i="161"/>
  <c r="D410" i="161"/>
  <c r="C410" i="161"/>
  <c r="C407" i="161"/>
  <c r="D406" i="161" l="1"/>
  <c r="C406" i="161"/>
  <c r="C403" i="161"/>
  <c r="D402" i="161"/>
  <c r="C402" i="161"/>
  <c r="J400" i="161"/>
  <c r="I400" i="161"/>
  <c r="H400" i="161"/>
  <c r="G400" i="161"/>
  <c r="J399" i="161"/>
  <c r="I399" i="161"/>
  <c r="H399" i="161"/>
  <c r="G399" i="161"/>
  <c r="F399" i="161"/>
  <c r="J398" i="161"/>
  <c r="I398" i="161"/>
  <c r="H398" i="161"/>
  <c r="G398" i="161"/>
  <c r="F398" i="161"/>
  <c r="F397" i="161"/>
  <c r="C389" i="161"/>
  <c r="D388" i="161"/>
  <c r="C388" i="161"/>
  <c r="D387" i="161"/>
  <c r="C387" i="161"/>
  <c r="D386" i="161" l="1"/>
  <c r="C386" i="161"/>
  <c r="D385" i="161"/>
  <c r="C385" i="161"/>
  <c r="D384" i="161"/>
  <c r="C384" i="161"/>
  <c r="D383" i="161"/>
  <c r="C383" i="161"/>
  <c r="D382" i="161"/>
  <c r="C382" i="161"/>
  <c r="D381" i="161"/>
  <c r="C381" i="161"/>
  <c r="C378" i="161"/>
  <c r="D377" i="161"/>
  <c r="C377" i="161"/>
  <c r="D376" i="161"/>
  <c r="C376" i="161"/>
  <c r="D375" i="161"/>
  <c r="C375" i="161"/>
  <c r="D374" i="161"/>
  <c r="C374" i="161"/>
  <c r="D373" i="161"/>
  <c r="C373" i="161"/>
  <c r="D372" i="161" l="1"/>
  <c r="C372" i="161"/>
  <c r="D371" i="161"/>
  <c r="C371" i="161"/>
  <c r="D370" i="161"/>
  <c r="C370" i="161"/>
  <c r="D369" i="161"/>
  <c r="C369" i="161"/>
  <c r="D368" i="161" l="1"/>
  <c r="C368" i="161"/>
  <c r="D367" i="161"/>
  <c r="C367" i="161"/>
  <c r="L364" i="161"/>
  <c r="K364" i="161"/>
  <c r="J364" i="161"/>
  <c r="I364" i="161"/>
  <c r="H364" i="161"/>
  <c r="G364" i="161"/>
  <c r="F364" i="161"/>
  <c r="C364" i="161"/>
  <c r="C363" i="161"/>
  <c r="C358" i="161"/>
  <c r="D357" i="161"/>
  <c r="C357" i="161"/>
  <c r="F354" i="161" l="1"/>
  <c r="C354" i="161"/>
  <c r="J353" i="161"/>
  <c r="I353" i="161"/>
  <c r="H353" i="161"/>
  <c r="C353" i="161"/>
  <c r="C350" i="161"/>
  <c r="D349" i="161"/>
  <c r="C349" i="161"/>
  <c r="D348" i="161"/>
  <c r="C348" i="161"/>
  <c r="J345" i="161"/>
  <c r="I345" i="161"/>
  <c r="H345" i="161"/>
  <c r="G345" i="161"/>
  <c r="J344" i="161"/>
  <c r="I344" i="161"/>
  <c r="H344" i="161"/>
  <c r="G344" i="161"/>
  <c r="F344" i="161"/>
  <c r="J343" i="161"/>
  <c r="I343" i="161"/>
  <c r="H343" i="161"/>
  <c r="G343" i="161"/>
  <c r="F343" i="161"/>
  <c r="F342" i="161"/>
  <c r="C331" i="161"/>
  <c r="C330" i="161"/>
  <c r="C329" i="161"/>
  <c r="C326" i="161"/>
  <c r="C325" i="161"/>
  <c r="C324" i="161"/>
  <c r="C323" i="161"/>
  <c r="C319" i="161"/>
  <c r="D318" i="161"/>
  <c r="C318" i="161"/>
  <c r="D317" i="161"/>
  <c r="C317" i="161"/>
  <c r="D316" i="161"/>
  <c r="C316" i="161"/>
  <c r="I353" i="166" l="1"/>
  <c r="I354" i="161"/>
  <c r="I353" i="165"/>
  <c r="H354" i="161"/>
  <c r="G353" i="161"/>
  <c r="I353" i="167"/>
  <c r="J354" i="161"/>
  <c r="I353" i="164" l="1"/>
  <c r="G354" i="161"/>
  <c r="K353" i="161"/>
  <c r="C310" i="161"/>
  <c r="D309" i="161"/>
  <c r="C309" i="161"/>
  <c r="D308" i="161"/>
  <c r="C308" i="161"/>
  <c r="D307" i="161"/>
  <c r="C307" i="161"/>
  <c r="C303" i="161"/>
  <c r="D302" i="161"/>
  <c r="C302" i="161"/>
  <c r="D301" i="161"/>
  <c r="C301" i="161"/>
  <c r="J294" i="161"/>
  <c r="I294" i="161"/>
  <c r="H294" i="161"/>
  <c r="G294" i="161"/>
  <c r="J293" i="161"/>
  <c r="I293" i="161"/>
  <c r="H293" i="161"/>
  <c r="G293" i="161"/>
  <c r="F293" i="161"/>
  <c r="J292" i="161"/>
  <c r="I292" i="161"/>
  <c r="H292" i="161"/>
  <c r="G292" i="161"/>
  <c r="F292" i="161"/>
  <c r="F291" i="161"/>
  <c r="C281" i="161"/>
  <c r="D280" i="161"/>
  <c r="C280" i="161"/>
  <c r="D279" i="161"/>
  <c r="C279" i="161"/>
  <c r="D278" i="161"/>
  <c r="C278" i="161"/>
  <c r="C275" i="161"/>
  <c r="D274" i="161"/>
  <c r="C274" i="161"/>
  <c r="D273" i="161"/>
  <c r="C273" i="161"/>
  <c r="D272" i="161"/>
  <c r="C272" i="161"/>
  <c r="D271" i="161"/>
  <c r="C271" i="161"/>
  <c r="K354" i="161" l="1"/>
  <c r="L353" i="161"/>
  <c r="L354" i="161" s="1"/>
  <c r="D270" i="161"/>
  <c r="C270" i="161"/>
  <c r="D269" i="161"/>
  <c r="C269" i="161"/>
  <c r="D268" i="161"/>
  <c r="C268" i="161"/>
  <c r="D267" i="161"/>
  <c r="C267" i="161"/>
  <c r="D266" i="161"/>
  <c r="C266" i="161"/>
  <c r="D265" i="161"/>
  <c r="C265" i="161"/>
  <c r="D264" i="161"/>
  <c r="C264" i="161"/>
  <c r="D263" i="161"/>
  <c r="C263" i="161"/>
  <c r="D262" i="161"/>
  <c r="C262" i="161"/>
  <c r="D261" i="161"/>
  <c r="C261" i="161"/>
  <c r="D260" i="161"/>
  <c r="C260" i="161"/>
  <c r="D259" i="161"/>
  <c r="C259" i="161"/>
  <c r="D258" i="161"/>
  <c r="C258" i="161"/>
  <c r="D257" i="161"/>
  <c r="C257" i="161"/>
  <c r="D256" i="161"/>
  <c r="C256" i="161"/>
  <c r="D255" i="161"/>
  <c r="C255" i="161"/>
  <c r="D254" i="161"/>
  <c r="C254" i="161"/>
  <c r="D253" i="161"/>
  <c r="C253" i="161"/>
  <c r="D252" i="161"/>
  <c r="C252" i="161"/>
  <c r="J249" i="161"/>
  <c r="I249" i="161"/>
  <c r="H249" i="161"/>
  <c r="G249" i="161"/>
  <c r="J248" i="161"/>
  <c r="I248" i="161"/>
  <c r="H248" i="161"/>
  <c r="G248" i="161"/>
  <c r="F248" i="161"/>
  <c r="J247" i="161"/>
  <c r="I247" i="161"/>
  <c r="H247" i="161"/>
  <c r="G247" i="161"/>
  <c r="F247" i="161"/>
  <c r="F246" i="161"/>
  <c r="C236" i="161"/>
  <c r="D235" i="161"/>
  <c r="C235" i="161"/>
  <c r="D234" i="161"/>
  <c r="C234" i="161"/>
  <c r="D233" i="161"/>
  <c r="C233" i="161"/>
  <c r="C232" i="161"/>
  <c r="C229" i="161"/>
  <c r="D228" i="161" l="1"/>
  <c r="C228" i="161"/>
  <c r="D227" i="161"/>
  <c r="C227" i="161"/>
  <c r="D226" i="161"/>
  <c r="C226" i="161"/>
  <c r="D225" i="161"/>
  <c r="C225" i="161"/>
  <c r="D224" i="161"/>
  <c r="C224" i="161"/>
  <c r="D223" i="161"/>
  <c r="C223" i="161"/>
  <c r="D222" i="161"/>
  <c r="C222" i="161"/>
  <c r="D221" i="161"/>
  <c r="C221" i="161"/>
  <c r="D220" i="161"/>
  <c r="C220" i="161"/>
  <c r="D219" i="161"/>
  <c r="C219" i="161"/>
  <c r="D218" i="161"/>
  <c r="C218" i="161"/>
  <c r="C215" i="161"/>
  <c r="D214" i="161"/>
  <c r="C214" i="161"/>
  <c r="D213" i="161"/>
  <c r="C213" i="161"/>
  <c r="D212" i="161"/>
  <c r="C212" i="161"/>
  <c r="D211" i="161"/>
  <c r="C211" i="161"/>
  <c r="D210" i="161"/>
  <c r="C210" i="161"/>
  <c r="D209" i="161"/>
  <c r="C209" i="161"/>
  <c r="D208" i="161" l="1"/>
  <c r="C208" i="161"/>
  <c r="D207" i="161"/>
  <c r="C207" i="161"/>
  <c r="D206" i="161"/>
  <c r="C206" i="161"/>
  <c r="J202" i="161"/>
  <c r="I202" i="161"/>
  <c r="H202" i="161"/>
  <c r="G202" i="161"/>
  <c r="J201" i="161"/>
  <c r="I201" i="161"/>
  <c r="H201" i="161"/>
  <c r="G201" i="161"/>
  <c r="F201" i="161"/>
  <c r="J200" i="161"/>
  <c r="I200" i="161"/>
  <c r="H200" i="161"/>
  <c r="G200" i="161"/>
  <c r="F200" i="161"/>
  <c r="F199" i="161"/>
  <c r="C189" i="161"/>
  <c r="C188" i="161"/>
  <c r="C187" i="161"/>
  <c r="C184" i="161"/>
  <c r="C183" i="161"/>
  <c r="C182" i="161"/>
  <c r="C176" i="161"/>
  <c r="C175" i="161"/>
  <c r="C174" i="161"/>
  <c r="C171" i="161" l="1"/>
  <c r="C170" i="161"/>
  <c r="C169" i="161" l="1"/>
  <c r="C166" i="161"/>
  <c r="C165" i="161"/>
  <c r="C164" i="161"/>
  <c r="J162" i="161"/>
  <c r="I162" i="161"/>
  <c r="H162" i="161"/>
  <c r="G162" i="161"/>
  <c r="J161" i="161"/>
  <c r="I161" i="161"/>
  <c r="H161" i="161"/>
  <c r="G161" i="161"/>
  <c r="F161" i="161"/>
  <c r="B161" i="161"/>
  <c r="J160" i="161"/>
  <c r="I160" i="161"/>
  <c r="H160" i="161"/>
  <c r="G160" i="161"/>
  <c r="F160" i="161"/>
  <c r="F159" i="161"/>
  <c r="C149" i="161" l="1"/>
  <c r="D148" i="161"/>
  <c r="C148" i="161"/>
  <c r="D147" i="161"/>
  <c r="C147" i="161"/>
  <c r="D146" i="161"/>
  <c r="C146" i="161"/>
  <c r="D145" i="161"/>
  <c r="C145" i="161"/>
  <c r="D144" i="161"/>
  <c r="C144" i="161"/>
  <c r="D143" i="161"/>
  <c r="C143" i="161"/>
  <c r="C140" i="161"/>
  <c r="D139" i="161"/>
  <c r="C139" i="161"/>
  <c r="D138" i="161" l="1"/>
  <c r="C138" i="161"/>
  <c r="D137" i="161"/>
  <c r="C137" i="161"/>
  <c r="D136" i="161"/>
  <c r="C136" i="161"/>
  <c r="D135" i="161"/>
  <c r="C135" i="161"/>
  <c r="D134" i="161"/>
  <c r="C134" i="161"/>
  <c r="C131" i="161"/>
  <c r="D130" i="161" l="1"/>
  <c r="C130" i="161"/>
  <c r="D129" i="161"/>
  <c r="C129" i="161"/>
  <c r="D128" i="161"/>
  <c r="C128" i="161"/>
  <c r="D127" i="161"/>
  <c r="C127" i="161"/>
  <c r="D126" i="161"/>
  <c r="C126" i="161"/>
  <c r="C125" i="161"/>
  <c r="D124" i="161"/>
  <c r="C124" i="161"/>
  <c r="D123" i="161"/>
  <c r="C123" i="161"/>
  <c r="D122" i="161"/>
  <c r="C122" i="161"/>
  <c r="L119" i="161"/>
  <c r="K119" i="161"/>
  <c r="K170" i="161" s="1"/>
  <c r="J119" i="161"/>
  <c r="J170" i="161" s="1"/>
  <c r="I119" i="161"/>
  <c r="I170" i="161" s="1"/>
  <c r="H119" i="161"/>
  <c r="H170" i="161" s="1"/>
  <c r="G119" i="161"/>
  <c r="F119" i="161"/>
  <c r="C119" i="161"/>
  <c r="C118" i="161"/>
  <c r="C115" i="161"/>
  <c r="D114" i="161"/>
  <c r="C114" i="161"/>
  <c r="J112" i="161"/>
  <c r="I112" i="161"/>
  <c r="H112" i="161"/>
  <c r="G112" i="161"/>
  <c r="J111" i="161"/>
  <c r="I111" i="161"/>
  <c r="H111" i="161"/>
  <c r="G111" i="161"/>
  <c r="F111" i="161"/>
  <c r="J110" i="161"/>
  <c r="I110" i="161"/>
  <c r="H110" i="161"/>
  <c r="G110" i="161"/>
  <c r="F110" i="161"/>
  <c r="F109" i="161"/>
  <c r="C99" i="161"/>
  <c r="D98" i="161"/>
  <c r="C98" i="161"/>
  <c r="D97" i="161"/>
  <c r="C97" i="161"/>
  <c r="G170" i="161" l="1"/>
  <c r="F170" i="161" s="1"/>
  <c r="L170" i="161" s="1"/>
  <c r="D96" i="161"/>
  <c r="C96" i="161"/>
  <c r="D95" i="161" l="1"/>
  <c r="C95" i="161"/>
  <c r="D94" i="161"/>
  <c r="C94" i="161"/>
  <c r="D93" i="161"/>
  <c r="C93" i="161"/>
  <c r="C90" i="161"/>
  <c r="D89" i="161"/>
  <c r="C89" i="161"/>
  <c r="D88" i="161"/>
  <c r="C88" i="161"/>
  <c r="D87" i="161"/>
  <c r="C87" i="161"/>
  <c r="D86" i="161"/>
  <c r="C86" i="161"/>
  <c r="D85" i="161"/>
  <c r="C85" i="161"/>
  <c r="D84" i="161"/>
  <c r="C84" i="161"/>
  <c r="C78" i="161"/>
  <c r="D77" i="161" l="1"/>
  <c r="C77" i="161"/>
  <c r="D76" i="161"/>
  <c r="C76" i="161"/>
  <c r="D75" i="161"/>
  <c r="C75" i="161"/>
  <c r="D74" i="161"/>
  <c r="C74" i="161"/>
  <c r="D73" i="161"/>
  <c r="C73" i="161"/>
  <c r="D72" i="161"/>
  <c r="C72" i="161"/>
  <c r="C71" i="161"/>
  <c r="D70" i="161"/>
  <c r="C70" i="161"/>
  <c r="D69" i="161"/>
  <c r="C69" i="161"/>
  <c r="D68" i="161"/>
  <c r="C68" i="161"/>
  <c r="L63" i="161"/>
  <c r="K63" i="161"/>
  <c r="K169" i="161" s="1"/>
  <c r="K171" i="161" s="1"/>
  <c r="J63" i="161"/>
  <c r="J169" i="161" s="1"/>
  <c r="I63" i="161"/>
  <c r="I169" i="161" s="1"/>
  <c r="H63" i="161"/>
  <c r="H169" i="161" s="1"/>
  <c r="G63" i="161"/>
  <c r="F63" i="161"/>
  <c r="F169" i="161" s="1"/>
  <c r="C63" i="161"/>
  <c r="C62" i="161"/>
  <c r="C59" i="161"/>
  <c r="D58" i="161"/>
  <c r="C58" i="161"/>
  <c r="D57" i="161"/>
  <c r="C57" i="161"/>
  <c r="J55" i="161"/>
  <c r="I55" i="161"/>
  <c r="H55" i="161"/>
  <c r="G55" i="161"/>
  <c r="J54" i="161"/>
  <c r="I54" i="161"/>
  <c r="H54" i="161"/>
  <c r="G54" i="161"/>
  <c r="F54" i="161"/>
  <c r="J53" i="161"/>
  <c r="I53" i="161"/>
  <c r="H53" i="161"/>
  <c r="G53" i="161"/>
  <c r="F53" i="161"/>
  <c r="L29" i="161"/>
  <c r="D29" i="161"/>
  <c r="C28" i="161"/>
  <c r="C24" i="161"/>
  <c r="C23" i="161"/>
  <c r="C22" i="161"/>
  <c r="C21" i="161"/>
  <c r="C20" i="161"/>
  <c r="C19" i="161"/>
  <c r="C18" i="161"/>
  <c r="C15" i="161"/>
  <c r="C14" i="161"/>
  <c r="C13" i="161"/>
  <c r="C12" i="161"/>
  <c r="C899" i="160"/>
  <c r="C897" i="160"/>
  <c r="C896" i="160"/>
  <c r="C895" i="160"/>
  <c r="C892" i="160"/>
  <c r="C891" i="160"/>
  <c r="C890" i="160"/>
  <c r="C887" i="160"/>
  <c r="C886" i="160"/>
  <c r="C885" i="160"/>
  <c r="C884" i="160"/>
  <c r="F883" i="160"/>
  <c r="C883" i="160"/>
  <c r="C882" i="160"/>
  <c r="C881" i="160"/>
  <c r="C877" i="160"/>
  <c r="C876" i="160"/>
  <c r="C875" i="160"/>
  <c r="C872" i="160"/>
  <c r="C871" i="160"/>
  <c r="C870" i="160"/>
  <c r="C869" i="160"/>
  <c r="C868" i="160"/>
  <c r="C867" i="160"/>
  <c r="J865" i="160"/>
  <c r="I865" i="160"/>
  <c r="H865" i="160"/>
  <c r="G865" i="160"/>
  <c r="F864" i="160"/>
  <c r="F863" i="160"/>
  <c r="E854" i="160"/>
  <c r="E853" i="160"/>
  <c r="E852" i="160"/>
  <c r="E851" i="160"/>
  <c r="E850" i="160"/>
  <c r="J171" i="161" l="1"/>
  <c r="G169" i="161"/>
  <c r="G171" i="161" s="1"/>
  <c r="I171" i="161"/>
  <c r="H171" i="161" s="1"/>
  <c r="F171" i="161"/>
  <c r="L169" i="161"/>
  <c r="L171" i="161" s="1"/>
  <c r="F849" i="160"/>
  <c r="F855" i="160" s="1"/>
  <c r="E849" i="160"/>
  <c r="E844" i="160"/>
  <c r="E841" i="160"/>
  <c r="E840" i="160"/>
  <c r="E839" i="160"/>
  <c r="E838" i="160"/>
  <c r="E835" i="160"/>
  <c r="E834" i="160"/>
  <c r="E833" i="160"/>
  <c r="E832" i="160"/>
  <c r="E831" i="160"/>
  <c r="E828" i="160"/>
  <c r="E827" i="160"/>
  <c r="E826" i="160"/>
  <c r="E825" i="160"/>
  <c r="E824" i="160"/>
  <c r="E823" i="160" l="1"/>
  <c r="E822" i="160"/>
  <c r="E821" i="160"/>
  <c r="P818" i="160"/>
  <c r="L818" i="160"/>
  <c r="G818" i="160"/>
  <c r="E818" i="160"/>
  <c r="E817" i="160"/>
  <c r="E816" i="160"/>
  <c r="J813" i="160"/>
  <c r="I813" i="160"/>
  <c r="H813" i="160"/>
  <c r="G813" i="160"/>
  <c r="F813" i="160"/>
  <c r="J812" i="160"/>
  <c r="I812" i="160"/>
  <c r="H812" i="160"/>
  <c r="G812" i="160"/>
  <c r="F812" i="160"/>
  <c r="E803" i="160"/>
  <c r="E802" i="160"/>
  <c r="E801" i="160"/>
  <c r="E800" i="160"/>
  <c r="E799" i="160"/>
  <c r="E796" i="160"/>
  <c r="E795" i="160"/>
  <c r="E794" i="160"/>
  <c r="E793" i="160"/>
  <c r="E792" i="160"/>
  <c r="E789" i="160"/>
  <c r="E788" i="160" l="1"/>
  <c r="E787" i="160"/>
  <c r="E786" i="160"/>
  <c r="E785" i="160"/>
  <c r="E784" i="160"/>
  <c r="E783" i="160"/>
  <c r="E782" i="160"/>
  <c r="J763" i="160" l="1"/>
  <c r="I763" i="160"/>
  <c r="H763" i="160"/>
  <c r="G763" i="160"/>
  <c r="F763" i="160"/>
  <c r="E762" i="160"/>
  <c r="J764" i="160" l="1"/>
  <c r="H764" i="160"/>
  <c r="I764" i="160"/>
  <c r="F764" i="160"/>
  <c r="K763" i="160"/>
  <c r="J761" i="160"/>
  <c r="I761" i="160"/>
  <c r="H761" i="160"/>
  <c r="G761" i="160"/>
  <c r="F761" i="160"/>
  <c r="E760" i="160"/>
  <c r="E758" i="160"/>
  <c r="J755" i="160"/>
  <c r="H755" i="160"/>
  <c r="G755" i="160"/>
  <c r="F755" i="160"/>
  <c r="J754" i="160"/>
  <c r="H754" i="160"/>
  <c r="G754" i="160"/>
  <c r="F754" i="160"/>
  <c r="E745" i="160"/>
  <c r="D745" i="160"/>
  <c r="E744" i="160"/>
  <c r="D744" i="160"/>
  <c r="J742" i="160"/>
  <c r="I742" i="160"/>
  <c r="H742" i="160"/>
  <c r="F742" i="160"/>
  <c r="E742" i="160"/>
  <c r="K761" i="160" l="1"/>
  <c r="L761" i="160" s="1"/>
  <c r="L763" i="160"/>
  <c r="G764" i="160" s="1"/>
  <c r="K764" i="160" s="1"/>
  <c r="J762" i="160"/>
  <c r="H762" i="160"/>
  <c r="I762" i="160"/>
  <c r="F762" i="160"/>
  <c r="K741" i="160"/>
  <c r="L741" i="160" s="1"/>
  <c r="G742" i="160" s="1"/>
  <c r="J740" i="160"/>
  <c r="I740" i="160"/>
  <c r="H740" i="160"/>
  <c r="F740" i="160"/>
  <c r="E740" i="160"/>
  <c r="G762" i="160" l="1"/>
  <c r="K762" i="160" s="1"/>
  <c r="P762" i="160" s="1"/>
  <c r="L762" i="160" s="1"/>
  <c r="K739" i="160"/>
  <c r="L739" i="160" s="1"/>
  <c r="G740" i="160" s="1"/>
  <c r="E738" i="160"/>
  <c r="J737" i="160"/>
  <c r="I737" i="160"/>
  <c r="F737" i="160"/>
  <c r="F738" i="160" s="1"/>
  <c r="E736" i="160"/>
  <c r="C736" i="160"/>
  <c r="K737" i="160" l="1"/>
  <c r="L737" i="160" s="1"/>
  <c r="J738" i="160"/>
  <c r="I738" i="160"/>
  <c r="H738" i="160"/>
  <c r="J735" i="160"/>
  <c r="I735" i="160"/>
  <c r="F735" i="160"/>
  <c r="K735" i="160" l="1"/>
  <c r="L735" i="160" s="1"/>
  <c r="F736" i="160"/>
  <c r="H736" i="160"/>
  <c r="J736" i="160"/>
  <c r="I736" i="160" s="1"/>
  <c r="G738" i="160"/>
  <c r="E734" i="160"/>
  <c r="E732" i="160"/>
  <c r="G736" i="160" l="1"/>
  <c r="E730" i="160"/>
  <c r="I729" i="160"/>
  <c r="H729" i="160"/>
  <c r="G729" i="160"/>
  <c r="E728" i="160"/>
  <c r="J727" i="160"/>
  <c r="H727" i="160"/>
  <c r="E726" i="160"/>
  <c r="E724" i="160"/>
  <c r="J723" i="160"/>
  <c r="I723" i="160"/>
  <c r="H723" i="160"/>
  <c r="G723" i="160"/>
  <c r="E722" i="160"/>
  <c r="G721" i="160"/>
  <c r="E720" i="160"/>
  <c r="G719" i="160"/>
  <c r="E718" i="160"/>
  <c r="K723" i="160" l="1"/>
  <c r="J717" i="160"/>
  <c r="I717" i="160"/>
  <c r="H717" i="160"/>
  <c r="G717" i="160"/>
  <c r="F717" i="160"/>
  <c r="E716" i="160"/>
  <c r="J715" i="160"/>
  <c r="I715" i="160"/>
  <c r="H715" i="160"/>
  <c r="G715" i="160"/>
  <c r="F715" i="160"/>
  <c r="F716" i="160" s="1"/>
  <c r="E714" i="160"/>
  <c r="J713" i="160"/>
  <c r="I713" i="160"/>
  <c r="H713" i="160"/>
  <c r="G713" i="160"/>
  <c r="F713" i="160"/>
  <c r="F712" i="160"/>
  <c r="E712" i="160"/>
  <c r="F710" i="160"/>
  <c r="E710" i="160"/>
  <c r="E708" i="160"/>
  <c r="J707" i="160"/>
  <c r="I707" i="160"/>
  <c r="H707" i="160"/>
  <c r="G707" i="160"/>
  <c r="F707" i="160"/>
  <c r="F708" i="160" s="1"/>
  <c r="J704" i="160"/>
  <c r="I704" i="160"/>
  <c r="H704" i="160"/>
  <c r="G704" i="160"/>
  <c r="F704" i="160"/>
  <c r="J703" i="160"/>
  <c r="G703" i="160"/>
  <c r="F703" i="160"/>
  <c r="F702" i="160"/>
  <c r="L694" i="160"/>
  <c r="K694" i="160"/>
  <c r="J694" i="160"/>
  <c r="I694" i="160"/>
  <c r="H694" i="160"/>
  <c r="G694" i="160"/>
  <c r="C694" i="160"/>
  <c r="L693" i="160"/>
  <c r="K693" i="160"/>
  <c r="J693" i="160"/>
  <c r="I693" i="160"/>
  <c r="H693" i="160"/>
  <c r="G693" i="160"/>
  <c r="C693" i="160"/>
  <c r="L692" i="160"/>
  <c r="K692" i="160"/>
  <c r="J692" i="160"/>
  <c r="I692" i="160"/>
  <c r="H692" i="160"/>
  <c r="G692" i="160"/>
  <c r="C692" i="160"/>
  <c r="L691" i="160"/>
  <c r="K691" i="160"/>
  <c r="J691" i="160"/>
  <c r="I691" i="160"/>
  <c r="H691" i="160"/>
  <c r="G691" i="160"/>
  <c r="C691" i="160"/>
  <c r="C688" i="160"/>
  <c r="C687" i="160"/>
  <c r="C686" i="160"/>
  <c r="C685" i="160"/>
  <c r="C684" i="160"/>
  <c r="C683" i="160"/>
  <c r="C680" i="160"/>
  <c r="C679" i="160"/>
  <c r="C678" i="160"/>
  <c r="C677" i="160"/>
  <c r="C676" i="160"/>
  <c r="C673" i="160"/>
  <c r="C672" i="160"/>
  <c r="C671" i="160"/>
  <c r="C670" i="160"/>
  <c r="C669" i="160"/>
  <c r="C668" i="160"/>
  <c r="I708" i="160" l="1"/>
  <c r="J718" i="160"/>
  <c r="H714" i="160"/>
  <c r="K715" i="160"/>
  <c r="L715" i="160" s="1"/>
  <c r="J714" i="160"/>
  <c r="I714" i="160" s="1"/>
  <c r="J716" i="160"/>
  <c r="J852" i="160" s="1"/>
  <c r="K707" i="160"/>
  <c r="L707" i="160" s="1"/>
  <c r="F714" i="160"/>
  <c r="H718" i="160"/>
  <c r="F718" i="160"/>
  <c r="I718" i="160"/>
  <c r="H708" i="160"/>
  <c r="I716" i="160"/>
  <c r="I852" i="160" s="1"/>
  <c r="K713" i="160"/>
  <c r="L713" i="160" s="1"/>
  <c r="H716" i="160"/>
  <c r="H849" i="160"/>
  <c r="I849" i="160"/>
  <c r="J849" i="160"/>
  <c r="J708" i="160"/>
  <c r="K717" i="160"/>
  <c r="L717" i="160" s="1"/>
  <c r="J665" i="160"/>
  <c r="I665" i="160"/>
  <c r="H665" i="160"/>
  <c r="G665" i="160"/>
  <c r="F664" i="160"/>
  <c r="F663" i="160"/>
  <c r="C647" i="160"/>
  <c r="C646" i="160"/>
  <c r="C645" i="160"/>
  <c r="C644" i="160"/>
  <c r="L643" i="160"/>
  <c r="K643" i="160" s="1"/>
  <c r="J643" i="160" s="1"/>
  <c r="I643" i="160" s="1"/>
  <c r="H643" i="160" s="1"/>
  <c r="G643" i="160" s="1"/>
  <c r="F643" i="160"/>
  <c r="C643" i="160"/>
  <c r="C641" i="160"/>
  <c r="F640" i="160"/>
  <c r="C640" i="160"/>
  <c r="C639" i="160"/>
  <c r="C637" i="160"/>
  <c r="C636" i="160"/>
  <c r="C635" i="160"/>
  <c r="C634" i="160"/>
  <c r="C633" i="160"/>
  <c r="C630" i="160"/>
  <c r="C629" i="160"/>
  <c r="H852" i="160" l="1"/>
  <c r="G852" i="160" s="1"/>
  <c r="K852" i="160" s="1"/>
  <c r="L852" i="160" s="1"/>
  <c r="G716" i="160"/>
  <c r="G714" i="160"/>
  <c r="G849" i="160"/>
  <c r="G708" i="160"/>
  <c r="G718" i="160"/>
  <c r="D628" i="160"/>
  <c r="C628" i="160"/>
  <c r="D627" i="160"/>
  <c r="C627" i="160"/>
  <c r="C626" i="160"/>
  <c r="K849" i="160" l="1"/>
  <c r="D625" i="160"/>
  <c r="C625" i="160"/>
  <c r="J623" i="160"/>
  <c r="I623" i="160"/>
  <c r="H623" i="160"/>
  <c r="G623" i="160"/>
  <c r="F622" i="160"/>
  <c r="F621" i="160"/>
  <c r="F620" i="160"/>
  <c r="L565" i="160"/>
  <c r="L652" i="160" s="1"/>
  <c r="K652" i="160" s="1"/>
  <c r="J565" i="160"/>
  <c r="J652" i="160" s="1"/>
  <c r="I565" i="160"/>
  <c r="I652" i="160" s="1"/>
  <c r="H565" i="160"/>
  <c r="H652" i="160" s="1"/>
  <c r="G565" i="160"/>
  <c r="G652" i="160" s="1"/>
  <c r="F565" i="160"/>
  <c r="F652" i="160" s="1"/>
  <c r="C563" i="160"/>
  <c r="C562" i="160"/>
  <c r="C561" i="160"/>
  <c r="C557" i="160"/>
  <c r="C556" i="160"/>
  <c r="C555" i="160"/>
  <c r="L554" i="160"/>
  <c r="J554" i="160"/>
  <c r="I554" i="160"/>
  <c r="H554" i="160"/>
  <c r="G554" i="160"/>
  <c r="F554" i="160"/>
  <c r="C554" i="160"/>
  <c r="C552" i="160"/>
  <c r="C551" i="160"/>
  <c r="C549" i="160"/>
  <c r="C548" i="160"/>
  <c r="C545" i="160"/>
  <c r="C544" i="160"/>
  <c r="C543" i="160"/>
  <c r="F540" i="160"/>
  <c r="F891" i="160" s="1"/>
  <c r="C540" i="160"/>
  <c r="C539" i="160"/>
  <c r="C536" i="160"/>
  <c r="D535" i="160"/>
  <c r="C535" i="160"/>
  <c r="C532" i="160"/>
  <c r="D531" i="160"/>
  <c r="D530" i="160"/>
  <c r="C530" i="160"/>
  <c r="D529" i="160"/>
  <c r="C529" i="160"/>
  <c r="D528" i="160"/>
  <c r="C528" i="160"/>
  <c r="D527" i="160"/>
  <c r="C527" i="160"/>
  <c r="C522" i="160"/>
  <c r="D521" i="160"/>
  <c r="C521" i="160"/>
  <c r="D520" i="160"/>
  <c r="C520" i="160"/>
  <c r="D519" i="160"/>
  <c r="C519" i="160"/>
  <c r="C516" i="160"/>
  <c r="D515" i="160"/>
  <c r="C515" i="160"/>
  <c r="J512" i="160"/>
  <c r="I512" i="160"/>
  <c r="H512" i="160"/>
  <c r="G512" i="160"/>
  <c r="F511" i="160"/>
  <c r="F510" i="160"/>
  <c r="F509" i="160"/>
  <c r="C501" i="160"/>
  <c r="C500" i="160"/>
  <c r="C499" i="160"/>
  <c r="C498" i="160"/>
  <c r="C493" i="160"/>
  <c r="C492" i="160"/>
  <c r="L849" i="160" l="1"/>
  <c r="D491" i="160"/>
  <c r="C491" i="160"/>
  <c r="C488" i="160"/>
  <c r="D487" i="160"/>
  <c r="C487" i="160"/>
  <c r="D486" i="160"/>
  <c r="C486" i="160"/>
  <c r="D485" i="160"/>
  <c r="C485" i="160"/>
  <c r="D484" i="160"/>
  <c r="C484" i="160"/>
  <c r="C481" i="160"/>
  <c r="D480" i="160"/>
  <c r="C480" i="160"/>
  <c r="D479" i="160"/>
  <c r="C479" i="160"/>
  <c r="J476" i="160"/>
  <c r="I476" i="160"/>
  <c r="H476" i="160"/>
  <c r="G476" i="160"/>
  <c r="F475" i="160"/>
  <c r="F474" i="160"/>
  <c r="F473" i="160"/>
  <c r="C462" i="160"/>
  <c r="D461" i="160"/>
  <c r="C461" i="160"/>
  <c r="C458" i="160"/>
  <c r="D457" i="160"/>
  <c r="C457" i="160"/>
  <c r="C454" i="160"/>
  <c r="D453" i="160" l="1"/>
  <c r="C453" i="160"/>
  <c r="L450" i="160"/>
  <c r="K450" i="160"/>
  <c r="J450" i="160"/>
  <c r="I450" i="160"/>
  <c r="H450" i="160"/>
  <c r="G450" i="160"/>
  <c r="F450" i="160"/>
  <c r="C450" i="160"/>
  <c r="C447" i="160"/>
  <c r="D446" i="160" l="1"/>
  <c r="C446" i="160"/>
  <c r="J444" i="160"/>
  <c r="I444" i="160"/>
  <c r="H444" i="160"/>
  <c r="G444" i="160"/>
  <c r="F443" i="160"/>
  <c r="F442" i="160"/>
  <c r="F441" i="160"/>
  <c r="C433" i="160"/>
  <c r="C431" i="160"/>
  <c r="D430" i="160"/>
  <c r="C430" i="160"/>
  <c r="D429" i="160"/>
  <c r="C429" i="160"/>
  <c r="D428" i="160"/>
  <c r="C428" i="160"/>
  <c r="D427" i="160"/>
  <c r="C427" i="160"/>
  <c r="D426" i="160"/>
  <c r="C426" i="160"/>
  <c r="D425" i="160"/>
  <c r="C425" i="160"/>
  <c r="D424" i="160"/>
  <c r="C424" i="160"/>
  <c r="D423" i="160"/>
  <c r="C423" i="160"/>
  <c r="D422" i="160"/>
  <c r="C422" i="160"/>
  <c r="D421" i="160"/>
  <c r="C421" i="160"/>
  <c r="D420" i="160"/>
  <c r="C420" i="160"/>
  <c r="D419" i="160"/>
  <c r="C419" i="160"/>
  <c r="D418" i="160" l="1"/>
  <c r="C418" i="160"/>
  <c r="D417" i="160"/>
  <c r="C417" i="160"/>
  <c r="C416" i="160"/>
  <c r="D415" i="160"/>
  <c r="C415" i="160"/>
  <c r="D414" i="160"/>
  <c r="C414" i="160"/>
  <c r="D413" i="160" l="1"/>
  <c r="C413" i="160"/>
  <c r="D412" i="160" l="1"/>
  <c r="C412" i="160"/>
  <c r="D411" i="160"/>
  <c r="C411" i="160"/>
  <c r="D410" i="160"/>
  <c r="C410" i="160"/>
  <c r="C407" i="160"/>
  <c r="D406" i="160"/>
  <c r="C406" i="160"/>
  <c r="C403" i="160"/>
  <c r="D402" i="160"/>
  <c r="C402" i="160"/>
  <c r="J400" i="160"/>
  <c r="I400" i="160"/>
  <c r="H400" i="160"/>
  <c r="G400" i="160"/>
  <c r="F399" i="160"/>
  <c r="F398" i="160"/>
  <c r="F397" i="160"/>
  <c r="C389" i="160"/>
  <c r="D388" i="160"/>
  <c r="C388" i="160"/>
  <c r="D387" i="160"/>
  <c r="C387" i="160"/>
  <c r="D386" i="160"/>
  <c r="C386" i="160"/>
  <c r="D385" i="160"/>
  <c r="C385" i="160"/>
  <c r="D384" i="160"/>
  <c r="C384" i="160"/>
  <c r="D383" i="160"/>
  <c r="C383" i="160"/>
  <c r="D382" i="160"/>
  <c r="C382" i="160"/>
  <c r="D381" i="160"/>
  <c r="C381" i="160"/>
  <c r="C378" i="160" l="1"/>
  <c r="D377" i="160"/>
  <c r="C377" i="160"/>
  <c r="D376" i="160"/>
  <c r="C376" i="160"/>
  <c r="D375" i="160"/>
  <c r="C375" i="160"/>
  <c r="D374" i="160"/>
  <c r="C374" i="160"/>
  <c r="D373" i="160"/>
  <c r="C373" i="160"/>
  <c r="D372" i="160" l="1"/>
  <c r="C372" i="160"/>
  <c r="D371" i="160"/>
  <c r="C371" i="160"/>
  <c r="D370" i="160"/>
  <c r="C370" i="160"/>
  <c r="D369" i="160"/>
  <c r="C369" i="160"/>
  <c r="D368" i="160"/>
  <c r="C368" i="160"/>
  <c r="D367" i="160"/>
  <c r="C367" i="160"/>
  <c r="L364" i="160"/>
  <c r="K364" i="160"/>
  <c r="J364" i="160"/>
  <c r="I364" i="160"/>
  <c r="H364" i="160"/>
  <c r="G364" i="160"/>
  <c r="F364" i="160"/>
  <c r="C364" i="160"/>
  <c r="C363" i="160"/>
  <c r="C358" i="160"/>
  <c r="D357" i="160"/>
  <c r="C357" i="160"/>
  <c r="F354" i="160"/>
  <c r="C354" i="160"/>
  <c r="J353" i="160" l="1"/>
  <c r="I353" i="160"/>
  <c r="H353" i="160"/>
  <c r="C353" i="160"/>
  <c r="C350" i="160"/>
  <c r="D349" i="160"/>
  <c r="C349" i="160"/>
  <c r="D348" i="160"/>
  <c r="C348" i="160"/>
  <c r="J345" i="160"/>
  <c r="I345" i="160"/>
  <c r="H345" i="160"/>
  <c r="G345" i="160"/>
  <c r="F344" i="160"/>
  <c r="F343" i="160"/>
  <c r="F342" i="160"/>
  <c r="C331" i="160"/>
  <c r="C330" i="160"/>
  <c r="C329" i="160"/>
  <c r="C326" i="160"/>
  <c r="C325" i="160"/>
  <c r="C324" i="160"/>
  <c r="C323" i="160"/>
  <c r="C319" i="160"/>
  <c r="D318" i="160"/>
  <c r="C318" i="160"/>
  <c r="D317" i="160"/>
  <c r="C317" i="160"/>
  <c r="D316" i="160"/>
  <c r="C316" i="160"/>
  <c r="G353" i="167" l="1"/>
  <c r="J354" i="160"/>
  <c r="G353" i="166"/>
  <c r="I354" i="160"/>
  <c r="G353" i="165"/>
  <c r="H354" i="160"/>
  <c r="G353" i="160"/>
  <c r="G353" i="164" l="1"/>
  <c r="G354" i="160"/>
  <c r="K353" i="160"/>
  <c r="C310" i="160"/>
  <c r="D309" i="160"/>
  <c r="C309" i="160"/>
  <c r="D308" i="160"/>
  <c r="C308" i="160"/>
  <c r="D307" i="160"/>
  <c r="C307" i="160"/>
  <c r="C303" i="160"/>
  <c r="D302" i="160"/>
  <c r="C302" i="160"/>
  <c r="D301" i="160"/>
  <c r="C301" i="160"/>
  <c r="J294" i="160"/>
  <c r="I294" i="160"/>
  <c r="H294" i="160"/>
  <c r="G294" i="160"/>
  <c r="F293" i="160"/>
  <c r="F292" i="160"/>
  <c r="F291" i="160"/>
  <c r="C281" i="160"/>
  <c r="D280" i="160"/>
  <c r="C280" i="160"/>
  <c r="D279" i="160"/>
  <c r="C279" i="160"/>
  <c r="D278" i="160"/>
  <c r="C278" i="160"/>
  <c r="C275" i="160"/>
  <c r="D274" i="160"/>
  <c r="C274" i="160"/>
  <c r="D273" i="160"/>
  <c r="C273" i="160"/>
  <c r="K354" i="160" l="1"/>
  <c r="L353" i="160"/>
  <c r="L354" i="160" s="1"/>
  <c r="D272" i="160"/>
  <c r="C272" i="160"/>
  <c r="D271" i="160"/>
  <c r="C271" i="160"/>
  <c r="D270" i="160"/>
  <c r="C270" i="160"/>
  <c r="D269" i="160"/>
  <c r="C269" i="160"/>
  <c r="D268" i="160"/>
  <c r="C268" i="160"/>
  <c r="D267" i="160"/>
  <c r="C267" i="160"/>
  <c r="D266" i="160" l="1"/>
  <c r="C266" i="160"/>
  <c r="D265" i="160"/>
  <c r="C265" i="160"/>
  <c r="D264" i="160"/>
  <c r="C264" i="160"/>
  <c r="D263" i="160"/>
  <c r="C263" i="160"/>
  <c r="D262" i="160"/>
  <c r="C262" i="160"/>
  <c r="D261" i="160"/>
  <c r="C261" i="160"/>
  <c r="D260" i="160"/>
  <c r="C260" i="160"/>
  <c r="D259" i="160"/>
  <c r="C259" i="160"/>
  <c r="D258" i="160"/>
  <c r="C258" i="160"/>
  <c r="D257" i="160"/>
  <c r="C257" i="160"/>
  <c r="D256" i="160" l="1"/>
  <c r="C256" i="160"/>
  <c r="D255" i="160"/>
  <c r="C255" i="160"/>
  <c r="D254" i="160"/>
  <c r="C254" i="160"/>
  <c r="D253" i="160"/>
  <c r="C253" i="160"/>
  <c r="D252" i="160"/>
  <c r="C252" i="160"/>
  <c r="J249" i="160"/>
  <c r="I249" i="160"/>
  <c r="H249" i="160"/>
  <c r="G249" i="160"/>
  <c r="F248" i="160"/>
  <c r="F247" i="160"/>
  <c r="F246" i="160"/>
  <c r="C236" i="160"/>
  <c r="D235" i="160"/>
  <c r="C235" i="160"/>
  <c r="D234" i="160"/>
  <c r="C234" i="160"/>
  <c r="D233" i="160"/>
  <c r="C233" i="160"/>
  <c r="C232" i="160"/>
  <c r="C229" i="160"/>
  <c r="D228" i="160"/>
  <c r="C228" i="160"/>
  <c r="D227" i="160"/>
  <c r="C227" i="160"/>
  <c r="D226" i="160"/>
  <c r="C226" i="160"/>
  <c r="D225" i="160"/>
  <c r="C225" i="160"/>
  <c r="D224" i="160"/>
  <c r="C224" i="160"/>
  <c r="D223" i="160"/>
  <c r="C223" i="160"/>
  <c r="D222" i="160" l="1"/>
  <c r="C222" i="160"/>
  <c r="D221" i="160" l="1"/>
  <c r="C221" i="160"/>
  <c r="D220" i="160"/>
  <c r="C220" i="160"/>
  <c r="D219" i="160"/>
  <c r="C219" i="160"/>
  <c r="D218" i="160" l="1"/>
  <c r="C218" i="160"/>
  <c r="C215" i="160"/>
  <c r="D214" i="160" l="1"/>
  <c r="C214" i="160"/>
  <c r="D213" i="160"/>
  <c r="C213" i="160"/>
  <c r="D212" i="160"/>
  <c r="C212" i="160"/>
  <c r="D211" i="160"/>
  <c r="C211" i="160"/>
  <c r="D210" i="160"/>
  <c r="C210" i="160"/>
  <c r="D209" i="160"/>
  <c r="C209" i="160"/>
  <c r="D208" i="160"/>
  <c r="C208" i="160"/>
  <c r="D207" i="160"/>
  <c r="C207" i="160"/>
  <c r="D206" i="160"/>
  <c r="C206" i="160"/>
  <c r="J202" i="160"/>
  <c r="I202" i="160"/>
  <c r="H202" i="160"/>
  <c r="G202" i="160"/>
  <c r="F201" i="160"/>
  <c r="F200" i="160"/>
  <c r="F199" i="160"/>
  <c r="C189" i="160"/>
  <c r="C188" i="160"/>
  <c r="C187" i="160"/>
  <c r="C184" i="160"/>
  <c r="C183" i="160"/>
  <c r="C182" i="160"/>
  <c r="C176" i="160"/>
  <c r="C175" i="160"/>
  <c r="C174" i="160"/>
  <c r="C171" i="160" l="1"/>
  <c r="C170" i="160" l="1"/>
  <c r="C169" i="160" l="1"/>
  <c r="C166" i="160"/>
  <c r="C165" i="160"/>
  <c r="C164" i="160"/>
  <c r="J162" i="160"/>
  <c r="I162" i="160"/>
  <c r="H162" i="160"/>
  <c r="G162" i="160"/>
  <c r="F161" i="160"/>
  <c r="B161" i="160"/>
  <c r="F160" i="160"/>
  <c r="F159" i="160"/>
  <c r="C149" i="160"/>
  <c r="D148" i="160"/>
  <c r="C148" i="160"/>
  <c r="D147" i="160"/>
  <c r="C147" i="160"/>
  <c r="D146" i="160"/>
  <c r="C146" i="160"/>
  <c r="D145" i="160" l="1"/>
  <c r="C145" i="160"/>
  <c r="D144" i="160"/>
  <c r="C144" i="160"/>
  <c r="D143" i="160"/>
  <c r="C143" i="160"/>
  <c r="C140" i="160"/>
  <c r="D139" i="160"/>
  <c r="C139" i="160"/>
  <c r="D138" i="160"/>
  <c r="C138" i="160"/>
  <c r="D137" i="160" l="1"/>
  <c r="C137" i="160"/>
  <c r="D136" i="160"/>
  <c r="C136" i="160"/>
  <c r="D135" i="160" l="1"/>
  <c r="C135" i="160"/>
  <c r="D134" i="160"/>
  <c r="C134" i="160"/>
  <c r="C131" i="160"/>
  <c r="D130" i="160"/>
  <c r="C130" i="160"/>
  <c r="D129" i="160"/>
  <c r="C129" i="160"/>
  <c r="D128" i="160"/>
  <c r="C128" i="160"/>
  <c r="D127" i="160"/>
  <c r="C127" i="160"/>
  <c r="D126" i="160"/>
  <c r="C126" i="160"/>
  <c r="C125" i="160"/>
  <c r="D124" i="160"/>
  <c r="C124" i="160"/>
  <c r="D123" i="160"/>
  <c r="C123" i="160"/>
  <c r="D122" i="160"/>
  <c r="C122" i="160"/>
  <c r="L119" i="160"/>
  <c r="K119" i="160"/>
  <c r="K170" i="160" s="1"/>
  <c r="J119" i="160"/>
  <c r="J170" i="160" s="1"/>
  <c r="I119" i="160"/>
  <c r="I170" i="160" s="1"/>
  <c r="H119" i="160"/>
  <c r="H170" i="160" s="1"/>
  <c r="G119" i="160"/>
  <c r="F119" i="160"/>
  <c r="F170" i="160" s="1"/>
  <c r="C119" i="160"/>
  <c r="C118" i="160"/>
  <c r="C115" i="160"/>
  <c r="D114" i="160"/>
  <c r="C114" i="160"/>
  <c r="J112" i="160"/>
  <c r="I112" i="160"/>
  <c r="H112" i="160"/>
  <c r="G112" i="160"/>
  <c r="F111" i="160"/>
  <c r="F110" i="160"/>
  <c r="F109" i="160"/>
  <c r="C99" i="160"/>
  <c r="D98" i="160"/>
  <c r="C98" i="160"/>
  <c r="D97" i="160"/>
  <c r="C97" i="160"/>
  <c r="D96" i="160"/>
  <c r="C96" i="160"/>
  <c r="L170" i="160" l="1"/>
  <c r="G170" i="160"/>
  <c r="D95" i="160"/>
  <c r="C95" i="160"/>
  <c r="D94" i="160"/>
  <c r="C94" i="160"/>
  <c r="D93" i="160"/>
  <c r="C93" i="160"/>
  <c r="C90" i="160"/>
  <c r="D89" i="160"/>
  <c r="C89" i="160"/>
  <c r="D88" i="160" l="1"/>
  <c r="C88" i="160"/>
  <c r="D87" i="160"/>
  <c r="C87" i="160"/>
  <c r="D86" i="160"/>
  <c r="C86" i="160"/>
  <c r="D85" i="160"/>
  <c r="C85" i="160"/>
  <c r="D84" i="160"/>
  <c r="C84" i="160"/>
  <c r="C78" i="160"/>
  <c r="D77" i="160" l="1"/>
  <c r="C77" i="160"/>
  <c r="D76" i="160" l="1"/>
  <c r="C76" i="160"/>
  <c r="D75" i="160"/>
  <c r="C75" i="160"/>
  <c r="D74" i="160"/>
  <c r="C74" i="160"/>
  <c r="D73" i="160"/>
  <c r="C73" i="160"/>
  <c r="D72" i="160"/>
  <c r="C72" i="160"/>
  <c r="C71" i="160"/>
  <c r="D70" i="160"/>
  <c r="C70" i="160"/>
  <c r="D69" i="160"/>
  <c r="C69" i="160"/>
  <c r="D68" i="160"/>
  <c r="C68" i="160"/>
  <c r="L63" i="160"/>
  <c r="K63" i="160"/>
  <c r="K169" i="160" s="1"/>
  <c r="J63" i="160"/>
  <c r="J169" i="160" s="1"/>
  <c r="J171" i="160" s="1"/>
  <c r="I63" i="160"/>
  <c r="I169" i="160" s="1"/>
  <c r="I171" i="160" s="1"/>
  <c r="H63" i="160"/>
  <c r="H169" i="160" s="1"/>
  <c r="G63" i="160"/>
  <c r="F63" i="160"/>
  <c r="F169" i="160" s="1"/>
  <c r="C63" i="160"/>
  <c r="C62" i="160"/>
  <c r="C59" i="160"/>
  <c r="D58" i="160"/>
  <c r="C58" i="160"/>
  <c r="D57" i="160"/>
  <c r="C57" i="160"/>
  <c r="J55" i="160"/>
  <c r="I55" i="160"/>
  <c r="H55" i="160"/>
  <c r="G55" i="160"/>
  <c r="F54" i="160"/>
  <c r="F53" i="160"/>
  <c r="F171" i="160" l="1"/>
  <c r="L169" i="160"/>
  <c r="L171" i="160" s="1"/>
  <c r="K171" i="160" s="1"/>
  <c r="G169" i="160"/>
  <c r="G171" i="160" s="1"/>
  <c r="H171" i="160"/>
  <c r="L29" i="160"/>
  <c r="D29" i="160"/>
  <c r="C28" i="160"/>
  <c r="C24" i="160"/>
  <c r="C23" i="160"/>
  <c r="C22" i="160"/>
  <c r="C21" i="160"/>
  <c r="C20" i="160"/>
  <c r="C19" i="160"/>
  <c r="C18" i="160"/>
  <c r="C15" i="160"/>
  <c r="C14" i="160"/>
  <c r="C13" i="160"/>
  <c r="C12" i="160"/>
  <c r="C899" i="159"/>
  <c r="C897" i="159"/>
  <c r="C896" i="159"/>
  <c r="C895" i="159"/>
  <c r="C892" i="159"/>
  <c r="C891" i="159"/>
  <c r="C890" i="159"/>
  <c r="C887" i="159"/>
  <c r="C886" i="159"/>
  <c r="C885" i="159"/>
  <c r="C884" i="159"/>
  <c r="F883" i="159"/>
  <c r="C883" i="159"/>
  <c r="C882" i="159"/>
  <c r="C881" i="159"/>
  <c r="C877" i="159"/>
  <c r="C876" i="159"/>
  <c r="C875" i="159"/>
  <c r="C872" i="159"/>
  <c r="C871" i="159"/>
  <c r="C870" i="159"/>
  <c r="C869" i="159"/>
  <c r="C868" i="159"/>
  <c r="C867" i="159"/>
  <c r="I865" i="159"/>
  <c r="H865" i="159"/>
  <c r="G865" i="159"/>
  <c r="E854" i="159"/>
  <c r="E853" i="159"/>
  <c r="E852" i="159"/>
  <c r="E851" i="159"/>
  <c r="E850" i="159"/>
  <c r="F849" i="159"/>
  <c r="E849" i="159"/>
  <c r="E844" i="159"/>
  <c r="E841" i="159"/>
  <c r="E840" i="159"/>
  <c r="E839" i="159"/>
  <c r="E838" i="159"/>
  <c r="E835" i="159" l="1"/>
  <c r="E834" i="159"/>
  <c r="E833" i="159"/>
  <c r="E832" i="159"/>
  <c r="E831" i="159"/>
  <c r="E828" i="159"/>
  <c r="E827" i="159"/>
  <c r="E826" i="159"/>
  <c r="E825" i="159"/>
  <c r="E824" i="159"/>
  <c r="E823" i="159"/>
  <c r="E822" i="159"/>
  <c r="E821" i="159"/>
  <c r="O818" i="159"/>
  <c r="J818" i="159" l="1"/>
  <c r="K818" i="159" s="1"/>
  <c r="E818" i="159"/>
  <c r="E817" i="159"/>
  <c r="E816" i="159"/>
  <c r="I814" i="159"/>
  <c r="H814" i="159"/>
  <c r="G814" i="159"/>
  <c r="E803" i="159"/>
  <c r="E802" i="159"/>
  <c r="E801" i="159" l="1"/>
  <c r="E800" i="159"/>
  <c r="E799" i="159"/>
  <c r="E796" i="159"/>
  <c r="E795" i="159"/>
  <c r="E794" i="159"/>
  <c r="E793" i="159"/>
  <c r="E792" i="159"/>
  <c r="E789" i="159"/>
  <c r="E788" i="159"/>
  <c r="E787" i="159"/>
  <c r="E786" i="159"/>
  <c r="E785" i="159"/>
  <c r="E784" i="159"/>
  <c r="E783" i="159"/>
  <c r="E782" i="159"/>
  <c r="E762" i="159"/>
  <c r="E760" i="159"/>
  <c r="E758" i="159"/>
  <c r="I756" i="159"/>
  <c r="H756" i="159"/>
  <c r="G756" i="159"/>
  <c r="E745" i="159"/>
  <c r="D745" i="159"/>
  <c r="E744" i="159"/>
  <c r="D744" i="159"/>
  <c r="I742" i="159"/>
  <c r="H742" i="159"/>
  <c r="G742" i="159"/>
  <c r="E742" i="159"/>
  <c r="J741" i="159"/>
  <c r="K741" i="159" s="1"/>
  <c r="J742" i="159" l="1"/>
  <c r="K742" i="159" s="1"/>
  <c r="O742" i="159"/>
  <c r="I740" i="159"/>
  <c r="H740" i="159"/>
  <c r="G740" i="159"/>
  <c r="E740" i="159"/>
  <c r="J739" i="159"/>
  <c r="K739" i="159" s="1"/>
  <c r="E738" i="159"/>
  <c r="G737" i="159"/>
  <c r="I738" i="159" s="1"/>
  <c r="F737" i="159"/>
  <c r="E736" i="159"/>
  <c r="C736" i="159"/>
  <c r="F735" i="159"/>
  <c r="E734" i="159"/>
  <c r="E732" i="159"/>
  <c r="E730" i="159"/>
  <c r="E728" i="159"/>
  <c r="E726" i="159"/>
  <c r="E724" i="159"/>
  <c r="E722" i="159"/>
  <c r="E720" i="159"/>
  <c r="E718" i="159"/>
  <c r="I717" i="159"/>
  <c r="H718" i="159" s="1"/>
  <c r="G718" i="159" s="1"/>
  <c r="F717" i="159"/>
  <c r="E716" i="159"/>
  <c r="H715" i="159"/>
  <c r="G716" i="159" s="1"/>
  <c r="F715" i="159"/>
  <c r="J715" i="159" l="1"/>
  <c r="K715" i="159" s="1"/>
  <c r="I716" i="159"/>
  <c r="H716" i="159" s="1"/>
  <c r="O716" i="159" s="1"/>
  <c r="J740" i="159"/>
  <c r="K740" i="159" s="1"/>
  <c r="O740" i="159"/>
  <c r="J737" i="159"/>
  <c r="K737" i="159" s="1"/>
  <c r="H738" i="159"/>
  <c r="G738" i="159" s="1"/>
  <c r="J717" i="159"/>
  <c r="K717" i="159" s="1"/>
  <c r="I718" i="159"/>
  <c r="O718" i="159" s="1"/>
  <c r="E714" i="159"/>
  <c r="H713" i="159"/>
  <c r="I714" i="159" s="1"/>
  <c r="H714" i="159" s="1"/>
  <c r="F713" i="159"/>
  <c r="E712" i="159"/>
  <c r="E710" i="159"/>
  <c r="J716" i="159" l="1"/>
  <c r="K716" i="159" s="1"/>
  <c r="G714" i="159"/>
  <c r="J714" i="159" s="1"/>
  <c r="J713" i="159"/>
  <c r="K713" i="159" s="1"/>
  <c r="J738" i="159"/>
  <c r="O738" i="159"/>
  <c r="J718" i="159"/>
  <c r="K718" i="159" s="1"/>
  <c r="E708" i="159"/>
  <c r="G707" i="159"/>
  <c r="G708" i="159" s="1"/>
  <c r="F707" i="159"/>
  <c r="I705" i="159"/>
  <c r="H705" i="159"/>
  <c r="G705" i="159"/>
  <c r="K694" i="159"/>
  <c r="J694" i="159"/>
  <c r="I694" i="159"/>
  <c r="H694" i="159"/>
  <c r="G694" i="159"/>
  <c r="C694" i="159"/>
  <c r="K693" i="159"/>
  <c r="J693" i="159"/>
  <c r="I693" i="159"/>
  <c r="H693" i="159"/>
  <c r="G693" i="159"/>
  <c r="C693" i="159"/>
  <c r="K692" i="159"/>
  <c r="J692" i="159"/>
  <c r="I692" i="159"/>
  <c r="H692" i="159"/>
  <c r="G692" i="159"/>
  <c r="C692" i="159"/>
  <c r="K691" i="159"/>
  <c r="J691" i="159"/>
  <c r="I691" i="159"/>
  <c r="H691" i="159"/>
  <c r="G691" i="159"/>
  <c r="C691" i="159"/>
  <c r="C688" i="159"/>
  <c r="C687" i="159"/>
  <c r="C686" i="159"/>
  <c r="C685" i="159"/>
  <c r="C684" i="159"/>
  <c r="C683" i="159"/>
  <c r="F680" i="159"/>
  <c r="C680" i="159"/>
  <c r="F679" i="159"/>
  <c r="C679" i="159"/>
  <c r="C678" i="159"/>
  <c r="F677" i="159"/>
  <c r="C677" i="159"/>
  <c r="C676" i="159"/>
  <c r="C673" i="159"/>
  <c r="F672" i="159"/>
  <c r="C672" i="159"/>
  <c r="F671" i="159"/>
  <c r="C671" i="159"/>
  <c r="J707" i="159" l="1"/>
  <c r="K707" i="159" s="1"/>
  <c r="K738" i="159"/>
  <c r="O714" i="159"/>
  <c r="K714" i="159" s="1"/>
  <c r="G852" i="159"/>
  <c r="G849" i="159"/>
  <c r="I849" i="159"/>
  <c r="H852" i="159"/>
  <c r="H849" i="159"/>
  <c r="I852" i="159"/>
  <c r="I708" i="159"/>
  <c r="H708" i="159" s="1"/>
  <c r="J708" i="159" s="1"/>
  <c r="K708" i="159" s="1"/>
  <c r="C670" i="159"/>
  <c r="F669" i="159"/>
  <c r="C669" i="159"/>
  <c r="C668" i="159"/>
  <c r="I665" i="159"/>
  <c r="H665" i="159"/>
  <c r="G665" i="159"/>
  <c r="K649" i="159"/>
  <c r="C647" i="159"/>
  <c r="C646" i="159"/>
  <c r="C645" i="159"/>
  <c r="C644" i="159"/>
  <c r="K643" i="159" s="1"/>
  <c r="J643" i="159" s="1"/>
  <c r="I643" i="159"/>
  <c r="H643" i="159" s="1"/>
  <c r="G643" i="159" s="1"/>
  <c r="F643" i="159"/>
  <c r="C643" i="159"/>
  <c r="C641" i="159"/>
  <c r="C640" i="159"/>
  <c r="C639" i="159"/>
  <c r="C637" i="159"/>
  <c r="C636" i="159"/>
  <c r="C635" i="159"/>
  <c r="C634" i="159"/>
  <c r="C633" i="159"/>
  <c r="C630" i="159"/>
  <c r="C629" i="159"/>
  <c r="D628" i="159"/>
  <c r="C628" i="159"/>
  <c r="D627" i="159"/>
  <c r="C627" i="159"/>
  <c r="C626" i="159"/>
  <c r="D625" i="159"/>
  <c r="C625" i="159"/>
  <c r="I623" i="159"/>
  <c r="H623" i="159"/>
  <c r="G623" i="159"/>
  <c r="K565" i="159"/>
  <c r="I565" i="159" s="1"/>
  <c r="I652" i="159" s="1"/>
  <c r="H565" i="159"/>
  <c r="H652" i="159" s="1"/>
  <c r="G565" i="159"/>
  <c r="G652" i="159" s="1"/>
  <c r="F565" i="159"/>
  <c r="F652" i="159" s="1"/>
  <c r="C563" i="159"/>
  <c r="C562" i="159"/>
  <c r="C561" i="159"/>
  <c r="C557" i="159"/>
  <c r="C556" i="159"/>
  <c r="C555" i="159"/>
  <c r="K554" i="159"/>
  <c r="J852" i="159" l="1"/>
  <c r="K852" i="159" s="1"/>
  <c r="O708" i="159"/>
  <c r="K652" i="159"/>
  <c r="J652" i="159" s="1"/>
  <c r="J849" i="159"/>
  <c r="I554" i="159"/>
  <c r="H554" i="159"/>
  <c r="G554" i="159"/>
  <c r="F554" i="159"/>
  <c r="C554" i="159"/>
  <c r="C552" i="159"/>
  <c r="C551" i="159"/>
  <c r="C549" i="159"/>
  <c r="C548" i="159"/>
  <c r="C545" i="159"/>
  <c r="C544" i="159"/>
  <c r="C543" i="159"/>
  <c r="F540" i="159"/>
  <c r="F562" i="159" s="1"/>
  <c r="C540" i="159"/>
  <c r="C539" i="159"/>
  <c r="C536" i="159"/>
  <c r="D535" i="159"/>
  <c r="C535" i="159"/>
  <c r="C532" i="159"/>
  <c r="D531" i="159"/>
  <c r="D530" i="159"/>
  <c r="C530" i="159"/>
  <c r="D529" i="159"/>
  <c r="C529" i="159"/>
  <c r="K849" i="159" l="1"/>
  <c r="D528" i="159"/>
  <c r="C528" i="159"/>
  <c r="D527" i="159"/>
  <c r="C527" i="159"/>
  <c r="C522" i="159"/>
  <c r="D521" i="159"/>
  <c r="C521" i="159"/>
  <c r="D520" i="159"/>
  <c r="C520" i="159"/>
  <c r="D519" i="159"/>
  <c r="C519" i="159"/>
  <c r="C516" i="159"/>
  <c r="D515" i="159"/>
  <c r="C515" i="159"/>
  <c r="I512" i="159"/>
  <c r="H512" i="159"/>
  <c r="G512" i="159"/>
  <c r="C501" i="159"/>
  <c r="C500" i="159"/>
  <c r="C499" i="159"/>
  <c r="C498" i="159"/>
  <c r="C493" i="159"/>
  <c r="C492" i="159"/>
  <c r="D491" i="159"/>
  <c r="C491" i="159"/>
  <c r="C488" i="159"/>
  <c r="D487" i="159"/>
  <c r="C487" i="159"/>
  <c r="D486" i="159"/>
  <c r="C486" i="159"/>
  <c r="D485" i="159"/>
  <c r="C485" i="159"/>
  <c r="D484" i="159"/>
  <c r="C484" i="159"/>
  <c r="C481" i="159"/>
  <c r="D480" i="159"/>
  <c r="C480" i="159"/>
  <c r="D479" i="159"/>
  <c r="C479" i="159"/>
  <c r="I476" i="159"/>
  <c r="H476" i="159"/>
  <c r="G476" i="159"/>
  <c r="C462" i="159"/>
  <c r="D461" i="159"/>
  <c r="C461" i="159"/>
  <c r="C458" i="159"/>
  <c r="D457" i="159"/>
  <c r="C457" i="159"/>
  <c r="C454" i="159"/>
  <c r="D453" i="159"/>
  <c r="C453" i="159"/>
  <c r="K450" i="159"/>
  <c r="J450" i="159"/>
  <c r="I450" i="159"/>
  <c r="H450" i="159"/>
  <c r="G450" i="159"/>
  <c r="F450" i="159"/>
  <c r="C450" i="159"/>
  <c r="C447" i="159"/>
  <c r="D446" i="159"/>
  <c r="C446" i="159"/>
  <c r="I444" i="159"/>
  <c r="H444" i="159"/>
  <c r="G444" i="159"/>
  <c r="C433" i="159"/>
  <c r="C431" i="159"/>
  <c r="D430" i="159"/>
  <c r="C430" i="159"/>
  <c r="D429" i="159"/>
  <c r="C429" i="159"/>
  <c r="D428" i="159"/>
  <c r="C428" i="159"/>
  <c r="D427" i="159"/>
  <c r="C427" i="159"/>
  <c r="D426" i="159"/>
  <c r="C426" i="159"/>
  <c r="D425" i="159"/>
  <c r="C425" i="159"/>
  <c r="D424" i="159"/>
  <c r="C424" i="159"/>
  <c r="D423" i="159"/>
  <c r="C423" i="159"/>
  <c r="D422" i="159"/>
  <c r="C422" i="159"/>
  <c r="D421" i="159"/>
  <c r="C421" i="159"/>
  <c r="D420" i="159"/>
  <c r="C420" i="159"/>
  <c r="D419" i="159"/>
  <c r="C419" i="159"/>
  <c r="D418" i="159"/>
  <c r="C418" i="159"/>
  <c r="D417" i="159"/>
  <c r="C417" i="159"/>
  <c r="C416" i="159"/>
  <c r="D415" i="159"/>
  <c r="C415" i="159"/>
  <c r="D414" i="159"/>
  <c r="C414" i="159"/>
  <c r="D413" i="159"/>
  <c r="C413" i="159"/>
  <c r="D412" i="159"/>
  <c r="C412" i="159"/>
  <c r="D411" i="159" l="1"/>
  <c r="C411" i="159"/>
  <c r="D410" i="159"/>
  <c r="C410" i="159"/>
  <c r="C407" i="159"/>
  <c r="D406" i="159"/>
  <c r="C406" i="159"/>
  <c r="C403" i="159"/>
  <c r="D402" i="159"/>
  <c r="C402" i="159"/>
  <c r="I400" i="159"/>
  <c r="H400" i="159"/>
  <c r="G400" i="159"/>
  <c r="C389" i="159"/>
  <c r="D388" i="159"/>
  <c r="C388" i="159"/>
  <c r="D387" i="159"/>
  <c r="C387" i="159"/>
  <c r="D386" i="159"/>
  <c r="C386" i="159"/>
  <c r="D385" i="159"/>
  <c r="C385" i="159"/>
  <c r="D384" i="159"/>
  <c r="C384" i="159"/>
  <c r="D383" i="159"/>
  <c r="C383" i="159"/>
  <c r="D382" i="159"/>
  <c r="C382" i="159"/>
  <c r="D381" i="159"/>
  <c r="C381" i="159"/>
  <c r="C378" i="159"/>
  <c r="D377" i="159"/>
  <c r="C377" i="159"/>
  <c r="D376" i="159"/>
  <c r="C376" i="159"/>
  <c r="D375" i="159"/>
  <c r="C375" i="159"/>
  <c r="D374" i="159"/>
  <c r="C374" i="159"/>
  <c r="D373" i="159"/>
  <c r="C373" i="159"/>
  <c r="D372" i="159"/>
  <c r="C372" i="159"/>
  <c r="D371" i="159"/>
  <c r="C371" i="159"/>
  <c r="D370" i="159"/>
  <c r="C370" i="159"/>
  <c r="D369" i="159"/>
  <c r="C369" i="159"/>
  <c r="D368" i="159"/>
  <c r="C368" i="159"/>
  <c r="D367" i="159"/>
  <c r="C367" i="159"/>
  <c r="K364" i="159"/>
  <c r="J364" i="159"/>
  <c r="I364" i="159"/>
  <c r="H364" i="159"/>
  <c r="G364" i="159"/>
  <c r="F364" i="159"/>
  <c r="C364" i="159"/>
  <c r="C363" i="159"/>
  <c r="C358" i="159"/>
  <c r="D357" i="159"/>
  <c r="C357" i="159"/>
  <c r="F354" i="159"/>
  <c r="C354" i="159"/>
  <c r="I353" i="159"/>
  <c r="H353" i="159"/>
  <c r="G353" i="159"/>
  <c r="C353" i="159"/>
  <c r="C350" i="159"/>
  <c r="D349" i="159"/>
  <c r="C349" i="159"/>
  <c r="D348" i="159"/>
  <c r="C348" i="159"/>
  <c r="I345" i="159"/>
  <c r="H345" i="159"/>
  <c r="G345" i="159"/>
  <c r="C331" i="159"/>
  <c r="C330" i="159"/>
  <c r="C329" i="159"/>
  <c r="C326" i="159"/>
  <c r="C325" i="159"/>
  <c r="C324" i="159"/>
  <c r="C323" i="159"/>
  <c r="C319" i="159"/>
  <c r="D318" i="159"/>
  <c r="C318" i="159"/>
  <c r="D317" i="159"/>
  <c r="C317" i="159"/>
  <c r="D316" i="159"/>
  <c r="C316" i="159"/>
  <c r="J353" i="159" l="1"/>
  <c r="K353" i="159" s="1"/>
  <c r="K354" i="159" s="1"/>
  <c r="C310" i="159"/>
  <c r="D309" i="159"/>
  <c r="C309" i="159"/>
  <c r="D308" i="159"/>
  <c r="C308" i="159"/>
  <c r="D307" i="159"/>
  <c r="C307" i="159"/>
  <c r="C303" i="159"/>
  <c r="D302" i="159"/>
  <c r="C302" i="159"/>
  <c r="D301" i="159"/>
  <c r="C301" i="159"/>
  <c r="I294" i="159"/>
  <c r="H294" i="159"/>
  <c r="G294" i="159"/>
  <c r="C281" i="159"/>
  <c r="D280" i="159"/>
  <c r="C280" i="159"/>
  <c r="D279" i="159"/>
  <c r="C279" i="159"/>
  <c r="D278" i="159"/>
  <c r="C278" i="159"/>
  <c r="C275" i="159"/>
  <c r="D274" i="159"/>
  <c r="C274" i="159"/>
  <c r="D273" i="159"/>
  <c r="C273" i="159"/>
  <c r="D272" i="159"/>
  <c r="C272" i="159"/>
  <c r="D271" i="159"/>
  <c r="C271" i="159"/>
  <c r="D270" i="159"/>
  <c r="C270" i="159"/>
  <c r="D269" i="159"/>
  <c r="C269" i="159"/>
  <c r="D268" i="159"/>
  <c r="C268" i="159"/>
  <c r="D267" i="159"/>
  <c r="C267" i="159"/>
  <c r="D266" i="159"/>
  <c r="C266" i="159"/>
  <c r="D265" i="159"/>
  <c r="C265" i="159"/>
  <c r="D264" i="159"/>
  <c r="C264" i="159"/>
  <c r="D263" i="159"/>
  <c r="C263" i="159"/>
  <c r="D262" i="159"/>
  <c r="C262" i="159"/>
  <c r="D261" i="159"/>
  <c r="C261" i="159"/>
  <c r="D260" i="159"/>
  <c r="C260" i="159"/>
  <c r="D259" i="159"/>
  <c r="C259" i="159"/>
  <c r="D258" i="159"/>
  <c r="C258" i="159"/>
  <c r="D257" i="159"/>
  <c r="C257" i="159"/>
  <c r="D256" i="159"/>
  <c r="C256" i="159"/>
  <c r="D255" i="159"/>
  <c r="C255" i="159"/>
  <c r="D254" i="159"/>
  <c r="C254" i="159"/>
  <c r="D253" i="159"/>
  <c r="C253" i="159"/>
  <c r="D252" i="159"/>
  <c r="C252" i="159"/>
  <c r="I249" i="159"/>
  <c r="H249" i="159"/>
  <c r="G249" i="159"/>
  <c r="C236" i="159"/>
  <c r="D235" i="159"/>
  <c r="C235" i="159"/>
  <c r="D234" i="159"/>
  <c r="C234" i="159"/>
  <c r="D233" i="159"/>
  <c r="C233" i="159"/>
  <c r="C232" i="159"/>
  <c r="C229" i="159"/>
  <c r="D228" i="159"/>
  <c r="C228" i="159"/>
  <c r="D227" i="159"/>
  <c r="C227" i="159"/>
  <c r="D226" i="159"/>
  <c r="C226" i="159"/>
  <c r="D225" i="159"/>
  <c r="C225" i="159"/>
  <c r="D224" i="159"/>
  <c r="C224" i="159"/>
  <c r="D223" i="159"/>
  <c r="C223" i="159"/>
  <c r="J354" i="159" l="1"/>
  <c r="I354" i="159" s="1"/>
  <c r="H354" i="159" s="1"/>
  <c r="G354" i="159" s="1"/>
  <c r="D222" i="159"/>
  <c r="C222" i="159"/>
  <c r="D221" i="159"/>
  <c r="C221" i="159"/>
  <c r="D220" i="159"/>
  <c r="C220" i="159"/>
  <c r="D219" i="159"/>
  <c r="C219" i="159"/>
  <c r="D218" i="159"/>
  <c r="C218" i="159"/>
  <c r="C215" i="159"/>
  <c r="D214" i="159"/>
  <c r="C214" i="159"/>
  <c r="D213" i="159"/>
  <c r="C213" i="159"/>
  <c r="D212" i="159"/>
  <c r="C212" i="159"/>
  <c r="D211" i="159"/>
  <c r="C211" i="159"/>
  <c r="D210" i="159"/>
  <c r="C210" i="159"/>
  <c r="D209" i="159"/>
  <c r="C209" i="159"/>
  <c r="D208" i="159"/>
  <c r="C208" i="159"/>
  <c r="D207" i="159"/>
  <c r="C207" i="159"/>
  <c r="D206" i="159"/>
  <c r="C206" i="159"/>
  <c r="I202" i="159"/>
  <c r="H202" i="159"/>
  <c r="G202" i="159"/>
  <c r="C189" i="159"/>
  <c r="C188" i="159"/>
  <c r="C187" i="159"/>
  <c r="C184" i="159"/>
  <c r="C183" i="159"/>
  <c r="C182" i="159"/>
  <c r="C176" i="159"/>
  <c r="C175" i="159"/>
  <c r="C174" i="159"/>
  <c r="C171" i="159"/>
  <c r="C170" i="159"/>
  <c r="C169" i="159" l="1"/>
  <c r="C166" i="159"/>
  <c r="C165" i="159"/>
  <c r="C164" i="159"/>
  <c r="I162" i="159"/>
  <c r="H162" i="159"/>
  <c r="G162" i="159"/>
  <c r="B161" i="159"/>
  <c r="C149" i="159"/>
  <c r="D148" i="159"/>
  <c r="C148" i="159"/>
  <c r="D147" i="159"/>
  <c r="C147" i="159"/>
  <c r="D146" i="159"/>
  <c r="C146" i="159"/>
  <c r="D145" i="159"/>
  <c r="C145" i="159"/>
  <c r="D144" i="159"/>
  <c r="C144" i="159"/>
  <c r="D143" i="159"/>
  <c r="C143" i="159"/>
  <c r="C140" i="159"/>
  <c r="D139" i="159" l="1"/>
  <c r="C139" i="159"/>
  <c r="D138" i="159" l="1"/>
  <c r="C138" i="159"/>
  <c r="D137" i="159"/>
  <c r="C137" i="159"/>
  <c r="D136" i="159"/>
  <c r="C136" i="159"/>
  <c r="D135" i="159"/>
  <c r="C135" i="159"/>
  <c r="D134" i="159"/>
  <c r="C134" i="159"/>
  <c r="C131" i="159"/>
  <c r="D130" i="159" l="1"/>
  <c r="C130" i="159"/>
  <c r="D129" i="159"/>
  <c r="C129" i="159"/>
  <c r="D128" i="159"/>
  <c r="C128" i="159"/>
  <c r="D127" i="159"/>
  <c r="C127" i="159"/>
  <c r="D126" i="159"/>
  <c r="C126" i="159"/>
  <c r="D125" i="159"/>
  <c r="C125" i="159"/>
  <c r="D124" i="159"/>
  <c r="C124" i="159"/>
  <c r="D123" i="159"/>
  <c r="C123" i="159"/>
  <c r="D122" i="159"/>
  <c r="C122" i="159"/>
  <c r="K119" i="159"/>
  <c r="J119" i="159"/>
  <c r="J170" i="159" s="1"/>
  <c r="I119" i="159"/>
  <c r="I170" i="159" s="1"/>
  <c r="H119" i="159"/>
  <c r="H170" i="159" s="1"/>
  <c r="G119" i="159"/>
  <c r="G170" i="159" s="1"/>
  <c r="F119" i="159"/>
  <c r="F170" i="159" s="1"/>
  <c r="K170" i="159" s="1"/>
  <c r="C119" i="159"/>
  <c r="C118" i="159"/>
  <c r="C115" i="159"/>
  <c r="D114" i="159"/>
  <c r="C114" i="159"/>
  <c r="I112" i="159"/>
  <c r="H112" i="159"/>
  <c r="G112" i="159"/>
  <c r="C99" i="159"/>
  <c r="D98" i="159"/>
  <c r="C98" i="159"/>
  <c r="D97" i="159"/>
  <c r="C97" i="159"/>
  <c r="D96" i="159"/>
  <c r="C96" i="159"/>
  <c r="D95" i="159"/>
  <c r="C95" i="159"/>
  <c r="D94" i="159"/>
  <c r="C94" i="159"/>
  <c r="D93" i="159"/>
  <c r="C93" i="159"/>
  <c r="C90" i="159"/>
  <c r="D89" i="159"/>
  <c r="C89" i="159"/>
  <c r="D88" i="159"/>
  <c r="C88" i="159"/>
  <c r="D87" i="159"/>
  <c r="C87" i="159"/>
  <c r="D86" i="159"/>
  <c r="C86" i="159"/>
  <c r="D85" i="159"/>
  <c r="C85" i="159"/>
  <c r="D84" i="159"/>
  <c r="C84" i="159"/>
  <c r="C78" i="159"/>
  <c r="D77" i="159"/>
  <c r="C77" i="159"/>
  <c r="D76" i="159"/>
  <c r="C76" i="159"/>
  <c r="D75" i="159"/>
  <c r="C75" i="159"/>
  <c r="D74" i="159"/>
  <c r="C74" i="159"/>
  <c r="D73" i="159"/>
  <c r="C73" i="159"/>
  <c r="D72" i="159"/>
  <c r="C72" i="159"/>
  <c r="D71" i="159"/>
  <c r="C71" i="159"/>
  <c r="D70" i="159"/>
  <c r="C70" i="159"/>
  <c r="D69" i="159"/>
  <c r="C69" i="159"/>
  <c r="D68" i="159"/>
  <c r="C68" i="159"/>
  <c r="K63" i="159"/>
  <c r="J63" i="159"/>
  <c r="I63" i="159"/>
  <c r="I169" i="159" s="1"/>
  <c r="H63" i="159"/>
  <c r="H169" i="159" s="1"/>
  <c r="G63" i="159"/>
  <c r="G169" i="159" s="1"/>
  <c r="F63" i="159"/>
  <c r="F169" i="159" s="1"/>
  <c r="C63" i="159"/>
  <c r="C62" i="159"/>
  <c r="C59" i="159"/>
  <c r="D58" i="159"/>
  <c r="C58" i="159"/>
  <c r="D57" i="159"/>
  <c r="C57" i="159"/>
  <c r="I55" i="159"/>
  <c r="H55" i="159"/>
  <c r="G55" i="159"/>
  <c r="J29" i="159"/>
  <c r="D29" i="159"/>
  <c r="C28" i="159"/>
  <c r="C24" i="159"/>
  <c r="C23" i="159"/>
  <c r="C22" i="159"/>
  <c r="C21" i="159"/>
  <c r="C20" i="159"/>
  <c r="C19" i="159"/>
  <c r="C18" i="159"/>
  <c r="C15" i="159"/>
  <c r="C14" i="159"/>
  <c r="C13" i="159"/>
  <c r="C12" i="159"/>
  <c r="C899" i="155"/>
  <c r="C897" i="155"/>
  <c r="C896" i="155"/>
  <c r="C895" i="155"/>
  <c r="C892" i="155"/>
  <c r="C891" i="155"/>
  <c r="C890" i="155"/>
  <c r="C887" i="155"/>
  <c r="C886" i="155"/>
  <c r="C885" i="155"/>
  <c r="C884" i="155"/>
  <c r="F883" i="155"/>
  <c r="C883" i="155"/>
  <c r="C882" i="155"/>
  <c r="C881" i="155"/>
  <c r="C877" i="155"/>
  <c r="C876" i="155"/>
  <c r="C875" i="155"/>
  <c r="C872" i="155"/>
  <c r="C871" i="155"/>
  <c r="C870" i="155"/>
  <c r="C869" i="155"/>
  <c r="C868" i="155"/>
  <c r="C867" i="155"/>
  <c r="J865" i="155"/>
  <c r="I865" i="155"/>
  <c r="H865" i="155"/>
  <c r="G865" i="155"/>
  <c r="F864" i="155"/>
  <c r="F863" i="155"/>
  <c r="E854" i="155"/>
  <c r="E853" i="155"/>
  <c r="E852" i="155"/>
  <c r="E851" i="155"/>
  <c r="E850" i="155"/>
  <c r="F849" i="155"/>
  <c r="E849" i="155"/>
  <c r="E844" i="155"/>
  <c r="E841" i="155"/>
  <c r="E840" i="155"/>
  <c r="E839" i="155"/>
  <c r="E838" i="155"/>
  <c r="E835" i="155"/>
  <c r="E834" i="155"/>
  <c r="E833" i="155"/>
  <c r="E832" i="155"/>
  <c r="E831" i="155"/>
  <c r="E828" i="155"/>
  <c r="E827" i="155"/>
  <c r="E826" i="155"/>
  <c r="E825" i="155"/>
  <c r="E824" i="155"/>
  <c r="E823" i="155"/>
  <c r="E822" i="155"/>
  <c r="E821" i="155"/>
  <c r="P818" i="155"/>
  <c r="L818" i="155"/>
  <c r="E818" i="155"/>
  <c r="E817" i="155"/>
  <c r="E816" i="155"/>
  <c r="J813" i="155"/>
  <c r="I813" i="155"/>
  <c r="H813" i="155"/>
  <c r="G813" i="155"/>
  <c r="F813" i="155"/>
  <c r="J812" i="155"/>
  <c r="I812" i="155"/>
  <c r="H812" i="155"/>
  <c r="G812" i="155"/>
  <c r="F812" i="155"/>
  <c r="E803" i="155"/>
  <c r="E802" i="155"/>
  <c r="E801" i="155"/>
  <c r="E800" i="155"/>
  <c r="E799" i="155"/>
  <c r="E796" i="155"/>
  <c r="E795" i="155"/>
  <c r="E794" i="155"/>
  <c r="F171" i="159" l="1"/>
  <c r="E793" i="155"/>
  <c r="E792" i="155"/>
  <c r="E789" i="155"/>
  <c r="E788" i="155"/>
  <c r="E787" i="155"/>
  <c r="E786" i="155"/>
  <c r="E785" i="155"/>
  <c r="J169" i="159" l="1"/>
  <c r="K169" i="159" s="1"/>
  <c r="K171" i="159" s="1"/>
  <c r="J171" i="159" s="1"/>
  <c r="I171" i="159" s="1"/>
  <c r="H171" i="159" s="1"/>
  <c r="G171" i="159" s="1"/>
  <c r="E784" i="155"/>
  <c r="E783" i="155"/>
  <c r="E782" i="155"/>
  <c r="J764" i="155" l="1"/>
  <c r="I764" i="155"/>
  <c r="H764" i="155"/>
  <c r="F764" i="155" l="1"/>
  <c r="G764" i="155" l="1"/>
  <c r="K764" i="155" s="1"/>
  <c r="J762" i="155"/>
  <c r="I762" i="155"/>
  <c r="H762" i="155"/>
  <c r="F762" i="155"/>
  <c r="E762" i="155"/>
  <c r="K761" i="155"/>
  <c r="E760" i="155"/>
  <c r="E758" i="155"/>
  <c r="J755" i="155"/>
  <c r="I755" i="155"/>
  <c r="H755" i="155"/>
  <c r="G755" i="155"/>
  <c r="F755" i="155"/>
  <c r="J754" i="155"/>
  <c r="I754" i="155"/>
  <c r="H754" i="155"/>
  <c r="G754" i="155"/>
  <c r="F754" i="155"/>
  <c r="E745" i="155"/>
  <c r="E744" i="155"/>
  <c r="J742" i="155"/>
  <c r="I742" i="155"/>
  <c r="H742" i="155"/>
  <c r="L761" i="155" l="1"/>
  <c r="G762" i="155" s="1"/>
  <c r="F742" i="155"/>
  <c r="E742" i="155"/>
  <c r="K741" i="155" l="1"/>
  <c r="L741" i="155" s="1"/>
  <c r="G742" i="155" s="1"/>
  <c r="J740" i="155" l="1"/>
  <c r="I740" i="155"/>
  <c r="H740" i="155"/>
  <c r="F740" i="155"/>
  <c r="E740" i="155"/>
  <c r="K739" i="155"/>
  <c r="L739" i="155" s="1"/>
  <c r="E738" i="155"/>
  <c r="J737" i="155"/>
  <c r="I737" i="155"/>
  <c r="F737" i="155"/>
  <c r="E736" i="155"/>
  <c r="C736" i="155"/>
  <c r="J735" i="155"/>
  <c r="I735" i="155"/>
  <c r="F735" i="155"/>
  <c r="E734" i="155"/>
  <c r="E732" i="155"/>
  <c r="E730" i="155"/>
  <c r="I729" i="155"/>
  <c r="H729" i="155"/>
  <c r="G729" i="155"/>
  <c r="E728" i="155"/>
  <c r="J727" i="155"/>
  <c r="H727" i="155"/>
  <c r="E726" i="155"/>
  <c r="E724" i="155"/>
  <c r="J723" i="155"/>
  <c r="I723" i="155"/>
  <c r="H723" i="155"/>
  <c r="G723" i="155"/>
  <c r="E722" i="155"/>
  <c r="G721" i="155"/>
  <c r="E720" i="155"/>
  <c r="G719" i="155"/>
  <c r="E718" i="155"/>
  <c r="J717" i="155"/>
  <c r="I717" i="155"/>
  <c r="H717" i="155"/>
  <c r="G717" i="155"/>
  <c r="F717" i="155"/>
  <c r="E716" i="155"/>
  <c r="J715" i="155"/>
  <c r="I715" i="155"/>
  <c r="H715" i="155"/>
  <c r="G715" i="155"/>
  <c r="F715" i="155"/>
  <c r="E714" i="155"/>
  <c r="J713" i="155"/>
  <c r="I713" i="155"/>
  <c r="H713" i="155"/>
  <c r="G713" i="155"/>
  <c r="F713" i="155"/>
  <c r="F712" i="155"/>
  <c r="E712" i="155"/>
  <c r="F710" i="155"/>
  <c r="E710" i="155"/>
  <c r="H716" i="155" l="1"/>
  <c r="I736" i="155"/>
  <c r="H736" i="155" s="1"/>
  <c r="J718" i="155"/>
  <c r="G740" i="155"/>
  <c r="I714" i="155"/>
  <c r="K737" i="155"/>
  <c r="L737" i="155" s="1"/>
  <c r="K715" i="155"/>
  <c r="L715" i="155" s="1"/>
  <c r="K735" i="155"/>
  <c r="L735" i="155" s="1"/>
  <c r="K713" i="155"/>
  <c r="L713" i="155" s="1"/>
  <c r="H718" i="155"/>
  <c r="F714" i="155"/>
  <c r="K717" i="155"/>
  <c r="L717" i="155" s="1"/>
  <c r="I738" i="155"/>
  <c r="H738" i="155" s="1"/>
  <c r="H714" i="155"/>
  <c r="F716" i="155"/>
  <c r="F718" i="155"/>
  <c r="J736" i="155"/>
  <c r="F738" i="155"/>
  <c r="J714" i="155"/>
  <c r="I718" i="155"/>
  <c r="F736" i="155"/>
  <c r="J738" i="155"/>
  <c r="K723" i="155"/>
  <c r="E708" i="155"/>
  <c r="J707" i="155"/>
  <c r="I707" i="155"/>
  <c r="H707" i="155"/>
  <c r="G707" i="155"/>
  <c r="F707" i="155"/>
  <c r="J704" i="155"/>
  <c r="I704" i="155"/>
  <c r="H704" i="155"/>
  <c r="G704" i="155"/>
  <c r="F704" i="155"/>
  <c r="J703" i="155"/>
  <c r="G703" i="155"/>
  <c r="F703" i="155"/>
  <c r="F702" i="155"/>
  <c r="L694" i="155"/>
  <c r="K694" i="155"/>
  <c r="J694" i="155"/>
  <c r="I694" i="155"/>
  <c r="H694" i="155"/>
  <c r="G694" i="155"/>
  <c r="C694" i="155"/>
  <c r="L693" i="155"/>
  <c r="K693" i="155"/>
  <c r="J693" i="155"/>
  <c r="I693" i="155"/>
  <c r="H693" i="155"/>
  <c r="G693" i="155"/>
  <c r="C693" i="155"/>
  <c r="L692" i="155"/>
  <c r="K692" i="155"/>
  <c r="J692" i="155"/>
  <c r="I692" i="155"/>
  <c r="H692" i="155"/>
  <c r="G692" i="155"/>
  <c r="C692" i="155"/>
  <c r="L691" i="155"/>
  <c r="K691" i="155"/>
  <c r="J691" i="155"/>
  <c r="I691" i="155"/>
  <c r="H691" i="155"/>
  <c r="G691" i="155"/>
  <c r="C691" i="155"/>
  <c r="C688" i="155"/>
  <c r="C687" i="155"/>
  <c r="C686" i="155"/>
  <c r="C685" i="155"/>
  <c r="C684" i="155"/>
  <c r="G718" i="155" l="1"/>
  <c r="H708" i="155"/>
  <c r="G738" i="155"/>
  <c r="F708" i="155"/>
  <c r="K707" i="155"/>
  <c r="L707" i="155" s="1"/>
  <c r="G736" i="155"/>
  <c r="J849" i="155"/>
  <c r="I849" i="155"/>
  <c r="H849" i="155"/>
  <c r="G714" i="155"/>
  <c r="C683" i="155"/>
  <c r="C680" i="155"/>
  <c r="C679" i="155"/>
  <c r="C678" i="155"/>
  <c r="C677" i="155"/>
  <c r="C676" i="155"/>
  <c r="C673" i="155"/>
  <c r="C672" i="155"/>
  <c r="C671" i="155"/>
  <c r="C670" i="155"/>
  <c r="C669" i="155"/>
  <c r="C668" i="155"/>
  <c r="J665" i="155"/>
  <c r="I665" i="155"/>
  <c r="H665" i="155"/>
  <c r="G665" i="155"/>
  <c r="F664" i="155"/>
  <c r="F663" i="155"/>
  <c r="C647" i="155"/>
  <c r="C646" i="155"/>
  <c r="C645" i="155"/>
  <c r="C644" i="155"/>
  <c r="L643" i="155" s="1"/>
  <c r="K643" i="155" s="1"/>
  <c r="J643" i="155" s="1"/>
  <c r="G849" i="155" l="1"/>
  <c r="K849" i="155" s="1"/>
  <c r="I643" i="155"/>
  <c r="H643" i="155"/>
  <c r="G643" i="155" s="1"/>
  <c r="F643" i="155"/>
  <c r="C643" i="155"/>
  <c r="C641" i="155"/>
  <c r="C640" i="155"/>
  <c r="C639" i="155"/>
  <c r="C637" i="155"/>
  <c r="C636" i="155"/>
  <c r="C635" i="155"/>
  <c r="C634" i="155"/>
  <c r="C633" i="155"/>
  <c r="C630" i="155"/>
  <c r="C629" i="155"/>
  <c r="D628" i="155"/>
  <c r="C628" i="155"/>
  <c r="D627" i="155"/>
  <c r="C627" i="155"/>
  <c r="C626" i="155"/>
  <c r="L849" i="155" l="1"/>
  <c r="D625" i="155"/>
  <c r="C625" i="155"/>
  <c r="J623" i="155"/>
  <c r="I623" i="155"/>
  <c r="H623" i="155"/>
  <c r="G623" i="155"/>
  <c r="F622" i="155"/>
  <c r="F621" i="155"/>
  <c r="F620" i="155"/>
  <c r="L565" i="155"/>
  <c r="L652" i="155" s="1"/>
  <c r="K652" i="155" s="1"/>
  <c r="J565" i="155"/>
  <c r="J652" i="155" s="1"/>
  <c r="I565" i="155"/>
  <c r="I652" i="155" s="1"/>
  <c r="H565" i="155"/>
  <c r="H652" i="155" s="1"/>
  <c r="G565" i="155" l="1"/>
  <c r="G652" i="155" s="1"/>
  <c r="F565" i="155"/>
  <c r="F652" i="155" s="1"/>
  <c r="C563" i="155"/>
  <c r="C562" i="155"/>
  <c r="C561" i="155"/>
  <c r="C557" i="155"/>
  <c r="C556" i="155"/>
  <c r="C555" i="155"/>
  <c r="L554" i="155"/>
  <c r="J554" i="155"/>
  <c r="I554" i="155"/>
  <c r="H554" i="155"/>
  <c r="G554" i="155"/>
  <c r="F554" i="155"/>
  <c r="C554" i="155"/>
  <c r="C552" i="155"/>
  <c r="C551" i="155"/>
  <c r="C549" i="155"/>
  <c r="C548" i="155"/>
  <c r="C545" i="155"/>
  <c r="C544" i="155"/>
  <c r="C543" i="155"/>
  <c r="F540" i="155"/>
  <c r="F891" i="155" s="1"/>
  <c r="C540" i="155"/>
  <c r="C539" i="155"/>
  <c r="C536" i="155"/>
  <c r="D535" i="155"/>
  <c r="C535" i="155"/>
  <c r="C532" i="155"/>
  <c r="D531" i="155"/>
  <c r="D530" i="155"/>
  <c r="C530" i="155"/>
  <c r="D529" i="155"/>
  <c r="C529" i="155"/>
  <c r="D528" i="155"/>
  <c r="C528" i="155"/>
  <c r="D527" i="155"/>
  <c r="C527" i="155"/>
  <c r="C522" i="155" l="1"/>
  <c r="D521" i="155"/>
  <c r="C521" i="155"/>
  <c r="D520" i="155"/>
  <c r="C520" i="155"/>
  <c r="D519" i="155" l="1"/>
  <c r="C519" i="155"/>
  <c r="C516" i="155"/>
  <c r="D515" i="155"/>
  <c r="C515" i="155"/>
  <c r="J512" i="155"/>
  <c r="I512" i="155"/>
  <c r="H512" i="155"/>
  <c r="G512" i="155"/>
  <c r="F511" i="155"/>
  <c r="F510" i="155"/>
  <c r="F509" i="155"/>
  <c r="C501" i="155"/>
  <c r="C500" i="155"/>
  <c r="C499" i="155"/>
  <c r="C498" i="155"/>
  <c r="C493" i="155"/>
  <c r="C492" i="155"/>
  <c r="D491" i="155" l="1"/>
  <c r="C491" i="155"/>
  <c r="C488" i="155"/>
  <c r="D487" i="155"/>
  <c r="C487" i="155"/>
  <c r="D486" i="155"/>
  <c r="C486" i="155"/>
  <c r="D485" i="155"/>
  <c r="C485" i="155"/>
  <c r="D484" i="155"/>
  <c r="C484" i="155"/>
  <c r="C481" i="155"/>
  <c r="D480" i="155"/>
  <c r="C480" i="155"/>
  <c r="D479" i="155"/>
  <c r="C479" i="155"/>
  <c r="J476" i="155"/>
  <c r="I476" i="155"/>
  <c r="H476" i="155"/>
  <c r="G476" i="155"/>
  <c r="F475" i="155"/>
  <c r="F474" i="155"/>
  <c r="F473" i="155"/>
  <c r="C462" i="155"/>
  <c r="D461" i="155"/>
  <c r="C461" i="155"/>
  <c r="C458" i="155"/>
  <c r="D457" i="155"/>
  <c r="C457" i="155"/>
  <c r="C454" i="155"/>
  <c r="D453" i="155"/>
  <c r="C453" i="155"/>
  <c r="L450" i="155"/>
  <c r="K450" i="155" l="1"/>
  <c r="J450" i="155"/>
  <c r="I450" i="155"/>
  <c r="H450" i="155"/>
  <c r="G450" i="155"/>
  <c r="F450" i="155"/>
  <c r="C450" i="155"/>
  <c r="C447" i="155"/>
  <c r="D446" i="155" l="1"/>
  <c r="C446" i="155"/>
  <c r="J444" i="155"/>
  <c r="I444" i="155"/>
  <c r="H444" i="155"/>
  <c r="G444" i="155"/>
  <c r="F443" i="155"/>
  <c r="F442" i="155"/>
  <c r="F441" i="155"/>
  <c r="C433" i="155"/>
  <c r="C431" i="155"/>
  <c r="D430" i="155"/>
  <c r="C430" i="155"/>
  <c r="D429" i="155" l="1"/>
  <c r="C429" i="155"/>
  <c r="D428" i="155"/>
  <c r="C428" i="155"/>
  <c r="D427" i="155"/>
  <c r="C427" i="155"/>
  <c r="D426" i="155"/>
  <c r="C426" i="155"/>
  <c r="D425" i="155"/>
  <c r="C425" i="155"/>
  <c r="D424" i="155"/>
  <c r="C424" i="155"/>
  <c r="D423" i="155"/>
  <c r="C423" i="155"/>
  <c r="D422" i="155"/>
  <c r="C422" i="155"/>
  <c r="D421" i="155"/>
  <c r="C421" i="155"/>
  <c r="D420" i="155"/>
  <c r="C420" i="155"/>
  <c r="D419" i="155"/>
  <c r="C419" i="155"/>
  <c r="D418" i="155" l="1"/>
  <c r="C418" i="155"/>
  <c r="D417" i="155"/>
  <c r="C417" i="155"/>
  <c r="C416" i="155"/>
  <c r="D415" i="155"/>
  <c r="C415" i="155"/>
  <c r="D414" i="155"/>
  <c r="C414" i="155"/>
  <c r="D413" i="155"/>
  <c r="C413" i="155"/>
  <c r="D412" i="155"/>
  <c r="C412" i="155"/>
  <c r="D411" i="155" l="1"/>
  <c r="C411" i="155"/>
  <c r="D410" i="155" l="1"/>
  <c r="C410" i="155"/>
  <c r="C407" i="155"/>
  <c r="D406" i="155"/>
  <c r="C406" i="155"/>
  <c r="C403" i="155"/>
  <c r="D402" i="155"/>
  <c r="C402" i="155"/>
  <c r="J400" i="155"/>
  <c r="I400" i="155"/>
  <c r="H400" i="155"/>
  <c r="G400" i="155"/>
  <c r="F399" i="155"/>
  <c r="F398" i="155"/>
  <c r="F397" i="155"/>
  <c r="C389" i="155"/>
  <c r="D388" i="155"/>
  <c r="C388" i="155"/>
  <c r="D387" i="155"/>
  <c r="C387" i="155"/>
  <c r="D386" i="155"/>
  <c r="C386" i="155"/>
  <c r="D385" i="155"/>
  <c r="C385" i="155"/>
  <c r="D384" i="155"/>
  <c r="C384" i="155"/>
  <c r="D383" i="155"/>
  <c r="C383" i="155"/>
  <c r="D382" i="155"/>
  <c r="C382" i="155"/>
  <c r="D381" i="155"/>
  <c r="C381" i="155"/>
  <c r="C378" i="155"/>
  <c r="D377" i="155"/>
  <c r="C377" i="155"/>
  <c r="D376" i="155"/>
  <c r="C376" i="155"/>
  <c r="D375" i="155"/>
  <c r="C375" i="155"/>
  <c r="D374" i="155"/>
  <c r="C374" i="155"/>
  <c r="D373" i="155"/>
  <c r="C373" i="155"/>
  <c r="D372" i="155"/>
  <c r="C372" i="155"/>
  <c r="D371" i="155"/>
  <c r="C371" i="155"/>
  <c r="D370" i="155"/>
  <c r="C370" i="155"/>
  <c r="D369" i="155"/>
  <c r="C369" i="155"/>
  <c r="D368" i="155"/>
  <c r="C368" i="155"/>
  <c r="D367" i="155"/>
  <c r="C367" i="155"/>
  <c r="L364" i="155"/>
  <c r="K364" i="155"/>
  <c r="J364" i="155"/>
  <c r="I364" i="155"/>
  <c r="H364" i="155"/>
  <c r="G364" i="155"/>
  <c r="F364" i="155"/>
  <c r="C364" i="155"/>
  <c r="C363" i="155"/>
  <c r="C358" i="155"/>
  <c r="D357" i="155"/>
  <c r="C357" i="155"/>
  <c r="F354" i="155"/>
  <c r="C354" i="155"/>
  <c r="H353" i="155"/>
  <c r="C353" i="155"/>
  <c r="C350" i="155"/>
  <c r="D349" i="155"/>
  <c r="C349" i="155"/>
  <c r="D348" i="155"/>
  <c r="C348" i="155"/>
  <c r="J345" i="155"/>
  <c r="I345" i="155"/>
  <c r="H345" i="155"/>
  <c r="G345" i="155"/>
  <c r="F344" i="155"/>
  <c r="F343" i="155"/>
  <c r="F342" i="155"/>
  <c r="C331" i="155"/>
  <c r="C330" i="155"/>
  <c r="C329" i="155"/>
  <c r="C326" i="155"/>
  <c r="C325" i="155"/>
  <c r="C324" i="155"/>
  <c r="C323" i="155"/>
  <c r="C319" i="155"/>
  <c r="D318" i="155"/>
  <c r="C318" i="155"/>
  <c r="D317" i="155"/>
  <c r="C317" i="155"/>
  <c r="D316" i="155"/>
  <c r="C316" i="155"/>
  <c r="H353" i="165" l="1"/>
  <c r="H353" i="162"/>
  <c r="H354" i="155"/>
  <c r="C310" i="155"/>
  <c r="D309" i="155"/>
  <c r="C309" i="155"/>
  <c r="D308" i="155"/>
  <c r="C308" i="155"/>
  <c r="D307" i="155"/>
  <c r="C307" i="155"/>
  <c r="C303" i="155"/>
  <c r="D302" i="155"/>
  <c r="C302" i="155"/>
  <c r="D301" i="155"/>
  <c r="C301" i="155"/>
  <c r="J294" i="155"/>
  <c r="I294" i="155"/>
  <c r="H294" i="155"/>
  <c r="G294" i="155"/>
  <c r="F293" i="155"/>
  <c r="F292" i="155"/>
  <c r="F291" i="155"/>
  <c r="C281" i="155"/>
  <c r="D280" i="155"/>
  <c r="C280" i="155"/>
  <c r="D279" i="155"/>
  <c r="C279" i="155"/>
  <c r="D278" i="155"/>
  <c r="C278" i="155"/>
  <c r="C275" i="155"/>
  <c r="D274" i="155"/>
  <c r="C274" i="155"/>
  <c r="D273" i="155"/>
  <c r="C273" i="155"/>
  <c r="D272" i="155"/>
  <c r="C272" i="155"/>
  <c r="D271" i="155"/>
  <c r="C271" i="155"/>
  <c r="D270" i="155"/>
  <c r="C270" i="155"/>
  <c r="D269" i="155"/>
  <c r="C269" i="155"/>
  <c r="D268" i="155"/>
  <c r="C268" i="155"/>
  <c r="D267" i="155"/>
  <c r="C267" i="155"/>
  <c r="D266" i="155"/>
  <c r="C266" i="155"/>
  <c r="D265" i="155"/>
  <c r="C265" i="155"/>
  <c r="D264" i="155"/>
  <c r="C264" i="155"/>
  <c r="D263" i="155"/>
  <c r="C263" i="155"/>
  <c r="D262" i="155"/>
  <c r="C262" i="155"/>
  <c r="D261" i="155"/>
  <c r="C261" i="155"/>
  <c r="D260" i="155"/>
  <c r="C260" i="155"/>
  <c r="D259" i="155"/>
  <c r="C259" i="155"/>
  <c r="D258" i="155"/>
  <c r="C258" i="155"/>
  <c r="D257" i="155"/>
  <c r="C257" i="155"/>
  <c r="D256" i="155"/>
  <c r="C256" i="155"/>
  <c r="F353" i="165" l="1"/>
  <c r="H354" i="162"/>
  <c r="H354" i="165"/>
  <c r="G354" i="165" s="1"/>
  <c r="J353" i="165"/>
  <c r="D255" i="155"/>
  <c r="C255" i="155"/>
  <c r="D254" i="155"/>
  <c r="C254" i="155"/>
  <c r="D253" i="155"/>
  <c r="C253" i="155"/>
  <c r="D252" i="155"/>
  <c r="C252" i="155"/>
  <c r="J249" i="155"/>
  <c r="I249" i="155"/>
  <c r="H249" i="155"/>
  <c r="G249" i="155"/>
  <c r="F248" i="155"/>
  <c r="F247" i="155"/>
  <c r="F246" i="155"/>
  <c r="C236" i="155"/>
  <c r="D235" i="155"/>
  <c r="C235" i="155"/>
  <c r="D234" i="155"/>
  <c r="C234" i="155"/>
  <c r="D233" i="155"/>
  <c r="C233" i="155"/>
  <c r="C232" i="155"/>
  <c r="C229" i="155"/>
  <c r="D228" i="155"/>
  <c r="C228" i="155"/>
  <c r="D227" i="155"/>
  <c r="C227" i="155"/>
  <c r="D226" i="155"/>
  <c r="C226" i="155"/>
  <c r="D225" i="155"/>
  <c r="C225" i="155"/>
  <c r="D224" i="155"/>
  <c r="C224" i="155"/>
  <c r="D223" i="155"/>
  <c r="C223" i="155"/>
  <c r="D222" i="155"/>
  <c r="C222" i="155"/>
  <c r="D221" i="155"/>
  <c r="C221" i="155"/>
  <c r="D220" i="155"/>
  <c r="C220" i="155"/>
  <c r="D219" i="155"/>
  <c r="C219" i="155"/>
  <c r="D218" i="155"/>
  <c r="C218" i="155"/>
  <c r="C215" i="155"/>
  <c r="D214" i="155"/>
  <c r="C214" i="155"/>
  <c r="D213" i="155"/>
  <c r="C213" i="155"/>
  <c r="D212" i="155"/>
  <c r="C212" i="155"/>
  <c r="D211" i="155"/>
  <c r="C211" i="155"/>
  <c r="D210" i="155"/>
  <c r="C210" i="155"/>
  <c r="D209" i="155"/>
  <c r="C209" i="155"/>
  <c r="D208" i="155"/>
  <c r="C208" i="155"/>
  <c r="D207" i="155"/>
  <c r="C207" i="155"/>
  <c r="D206" i="155"/>
  <c r="C206" i="155"/>
  <c r="J202" i="155"/>
  <c r="I202" i="155"/>
  <c r="H202" i="155"/>
  <c r="G202" i="155"/>
  <c r="F201" i="155"/>
  <c r="F200" i="155"/>
  <c r="F199" i="155"/>
  <c r="C189" i="155"/>
  <c r="C188" i="155"/>
  <c r="C187" i="155"/>
  <c r="C184" i="155"/>
  <c r="C183" i="155"/>
  <c r="C182" i="155"/>
  <c r="C176" i="155"/>
  <c r="C175" i="155"/>
  <c r="C174" i="155"/>
  <c r="C171" i="155"/>
  <c r="F354" i="165" l="1"/>
  <c r="K353" i="165"/>
  <c r="K354" i="165" s="1"/>
  <c r="J354" i="165" s="1"/>
  <c r="I354" i="165" s="1"/>
  <c r="C170" i="155"/>
  <c r="C169" i="155" l="1"/>
  <c r="C166" i="155"/>
  <c r="C165" i="155"/>
  <c r="C164" i="155"/>
  <c r="J162" i="155" l="1"/>
  <c r="I162" i="155"/>
  <c r="H162" i="155"/>
  <c r="G162" i="155"/>
  <c r="F161" i="155"/>
  <c r="B161" i="155"/>
  <c r="F160" i="155"/>
  <c r="F159" i="155"/>
  <c r="C149" i="155"/>
  <c r="D148" i="155"/>
  <c r="C148" i="155"/>
  <c r="D147" i="155"/>
  <c r="C147" i="155"/>
  <c r="D146" i="155"/>
  <c r="C146" i="155"/>
  <c r="D145" i="155"/>
  <c r="C145" i="155"/>
  <c r="D144" i="155"/>
  <c r="C144" i="155"/>
  <c r="D143" i="155"/>
  <c r="C143" i="155"/>
  <c r="C140" i="155"/>
  <c r="D139" i="155" l="1"/>
  <c r="C139" i="155"/>
  <c r="D138" i="155"/>
  <c r="C138" i="155"/>
  <c r="D137" i="155" l="1"/>
  <c r="C137" i="155"/>
  <c r="D136" i="155"/>
  <c r="C136" i="155"/>
  <c r="D135" i="155"/>
  <c r="C135" i="155"/>
  <c r="D134" i="155"/>
  <c r="C134" i="155"/>
  <c r="C131" i="155"/>
  <c r="D130" i="155"/>
  <c r="C130" i="155"/>
  <c r="D129" i="155"/>
  <c r="C129" i="155"/>
  <c r="D128" i="155"/>
  <c r="C128" i="155"/>
  <c r="D127" i="155"/>
  <c r="C127" i="155"/>
  <c r="D126" i="155"/>
  <c r="C126" i="155"/>
  <c r="D125" i="155"/>
  <c r="C125" i="155"/>
  <c r="D124" i="155" l="1"/>
  <c r="C124" i="155"/>
  <c r="D123" i="155"/>
  <c r="C123" i="155"/>
  <c r="D122" i="155"/>
  <c r="C122" i="155"/>
  <c r="L119" i="155"/>
  <c r="K119" i="155"/>
  <c r="K170" i="155" s="1"/>
  <c r="J119" i="155"/>
  <c r="J170" i="155" s="1"/>
  <c r="I119" i="155"/>
  <c r="I170" i="155" s="1"/>
  <c r="H119" i="155"/>
  <c r="H170" i="155" s="1"/>
  <c r="G119" i="155"/>
  <c r="F119" i="155"/>
  <c r="F170" i="155" s="1"/>
  <c r="C119" i="155"/>
  <c r="C118" i="155"/>
  <c r="C115" i="155"/>
  <c r="D114" i="155"/>
  <c r="C114" i="155"/>
  <c r="J112" i="155"/>
  <c r="I112" i="155"/>
  <c r="H112" i="155"/>
  <c r="G112" i="155"/>
  <c r="F111" i="155"/>
  <c r="F110" i="155"/>
  <c r="F109" i="155"/>
  <c r="C99" i="155"/>
  <c r="D98" i="155"/>
  <c r="C98" i="155"/>
  <c r="D97" i="155"/>
  <c r="C97" i="155"/>
  <c r="D96" i="155"/>
  <c r="C96" i="155"/>
  <c r="L170" i="155" l="1"/>
  <c r="G170" i="155"/>
  <c r="D95" i="155"/>
  <c r="C95" i="155"/>
  <c r="D94" i="155"/>
  <c r="C94" i="155"/>
  <c r="D93" i="155"/>
  <c r="C93" i="155"/>
  <c r="C90" i="155"/>
  <c r="D89" i="155"/>
  <c r="C89" i="155"/>
  <c r="D88" i="155"/>
  <c r="C88" i="155"/>
  <c r="D87" i="155"/>
  <c r="C87" i="155"/>
  <c r="D86" i="155"/>
  <c r="C86" i="155"/>
  <c r="D85" i="155"/>
  <c r="C85" i="155"/>
  <c r="D84" i="155"/>
  <c r="C84" i="155"/>
  <c r="C78" i="155"/>
  <c r="D77" i="155"/>
  <c r="C77" i="155"/>
  <c r="D76" i="155"/>
  <c r="C76" i="155"/>
  <c r="D75" i="155"/>
  <c r="C75" i="155"/>
  <c r="D74" i="155"/>
  <c r="C74" i="155"/>
  <c r="D73" i="155" l="1"/>
  <c r="C73" i="155"/>
  <c r="D72" i="155"/>
  <c r="C72" i="155"/>
  <c r="D71" i="155" l="1"/>
  <c r="C71" i="155"/>
  <c r="D70" i="155"/>
  <c r="C70" i="155"/>
  <c r="D69" i="155"/>
  <c r="C69" i="155"/>
  <c r="D68" i="155"/>
  <c r="C68" i="155"/>
  <c r="L63" i="155"/>
  <c r="K63" i="155"/>
  <c r="J63" i="155"/>
  <c r="J169" i="155" s="1"/>
  <c r="I63" i="155"/>
  <c r="I169" i="155" s="1"/>
  <c r="I171" i="155" s="1"/>
  <c r="H63" i="155"/>
  <c r="H169" i="155" s="1"/>
  <c r="G63" i="155"/>
  <c r="F63" i="155"/>
  <c r="F169" i="155" s="1"/>
  <c r="C63" i="155"/>
  <c r="C62" i="155"/>
  <c r="C59" i="155"/>
  <c r="D58" i="155"/>
  <c r="C58" i="155"/>
  <c r="D57" i="155"/>
  <c r="C57" i="155"/>
  <c r="J55" i="155"/>
  <c r="I55" i="155"/>
  <c r="H55" i="155"/>
  <c r="G55" i="155"/>
  <c r="F54" i="155"/>
  <c r="F53" i="155"/>
  <c r="D29" i="155"/>
  <c r="C28" i="155"/>
  <c r="C24" i="155"/>
  <c r="C23" i="155"/>
  <c r="C22" i="155"/>
  <c r="C21" i="155"/>
  <c r="C20" i="155"/>
  <c r="C19" i="155"/>
  <c r="C18" i="155"/>
  <c r="C15" i="155"/>
  <c r="C14" i="155"/>
  <c r="C13" i="155"/>
  <c r="C12" i="155"/>
  <c r="C899" i="157"/>
  <c r="C897" i="157"/>
  <c r="C896" i="157"/>
  <c r="C895" i="157"/>
  <c r="C892" i="157"/>
  <c r="C891" i="157"/>
  <c r="C890" i="157"/>
  <c r="C887" i="157"/>
  <c r="C886" i="157"/>
  <c r="C885" i="157"/>
  <c r="C884" i="157"/>
  <c r="C883" i="157"/>
  <c r="C882" i="157"/>
  <c r="C881" i="157"/>
  <c r="C877" i="157"/>
  <c r="C876" i="157"/>
  <c r="C875" i="157"/>
  <c r="C872" i="157"/>
  <c r="C871" i="157"/>
  <c r="C870" i="157"/>
  <c r="C869" i="157"/>
  <c r="C868" i="157"/>
  <c r="C867" i="157"/>
  <c r="I865" i="157"/>
  <c r="H865" i="157"/>
  <c r="G865" i="157"/>
  <c r="F864" i="157"/>
  <c r="F863" i="157"/>
  <c r="E854" i="157"/>
  <c r="E853" i="157"/>
  <c r="E852" i="157"/>
  <c r="E851" i="157"/>
  <c r="E850" i="157"/>
  <c r="F849" i="157"/>
  <c r="E849" i="157"/>
  <c r="E844" i="157"/>
  <c r="E841" i="157"/>
  <c r="E840" i="157"/>
  <c r="E839" i="157"/>
  <c r="E838" i="157"/>
  <c r="E835" i="157"/>
  <c r="E834" i="157"/>
  <c r="E833" i="157"/>
  <c r="E832" i="157"/>
  <c r="E831" i="157"/>
  <c r="E828" i="157"/>
  <c r="E827" i="157"/>
  <c r="E826" i="157"/>
  <c r="E825" i="157"/>
  <c r="E824" i="157"/>
  <c r="E823" i="157"/>
  <c r="E822" i="157"/>
  <c r="E821" i="157"/>
  <c r="O818" i="157"/>
  <c r="H171" i="155" l="1"/>
  <c r="G169" i="155"/>
  <c r="G171" i="155" s="1"/>
  <c r="F171" i="155"/>
  <c r="J818" i="157"/>
  <c r="K818" i="157" s="1"/>
  <c r="E818" i="157"/>
  <c r="E817" i="157"/>
  <c r="E816" i="157"/>
  <c r="I814" i="157"/>
  <c r="H814" i="157"/>
  <c r="G814" i="157"/>
  <c r="F813" i="157"/>
  <c r="F812" i="157"/>
  <c r="E803" i="157"/>
  <c r="E802" i="157"/>
  <c r="E801" i="157" l="1"/>
  <c r="E800" i="157"/>
  <c r="E799" i="157"/>
  <c r="E796" i="157"/>
  <c r="E795" i="157"/>
  <c r="E794" i="157"/>
  <c r="E793" i="157"/>
  <c r="E792" i="157"/>
  <c r="E789" i="157"/>
  <c r="E788" i="157"/>
  <c r="E787" i="157"/>
  <c r="E786" i="157"/>
  <c r="E785" i="157"/>
  <c r="E784" i="157"/>
  <c r="E783" i="157"/>
  <c r="E782" i="157"/>
  <c r="E762" i="157" l="1"/>
  <c r="E760" i="157"/>
  <c r="E758" i="157"/>
  <c r="I756" i="157"/>
  <c r="H756" i="157"/>
  <c r="G756" i="157"/>
  <c r="F755" i="157"/>
  <c r="F754" i="157"/>
  <c r="E745" i="157"/>
  <c r="D745" i="157"/>
  <c r="E744" i="157"/>
  <c r="D744" i="157"/>
  <c r="I742" i="157"/>
  <c r="H742" i="157"/>
  <c r="G742" i="157"/>
  <c r="E742" i="157"/>
  <c r="J741" i="157"/>
  <c r="K741" i="157" s="1"/>
  <c r="I740" i="157"/>
  <c r="H740" i="157"/>
  <c r="G740" i="157"/>
  <c r="E740" i="157"/>
  <c r="J739" i="157"/>
  <c r="K739" i="157" s="1"/>
  <c r="O740" i="157" l="1"/>
  <c r="J742" i="157"/>
  <c r="K742" i="157" s="1"/>
  <c r="O742" i="157"/>
  <c r="E738" i="157"/>
  <c r="H737" i="157" l="1"/>
  <c r="J737" i="157" s="1"/>
  <c r="F737" i="157"/>
  <c r="E736" i="157"/>
  <c r="C736" i="157"/>
  <c r="F735" i="157"/>
  <c r="H735" i="157" s="1"/>
  <c r="H736" i="157" s="1"/>
  <c r="G736" i="157" s="1"/>
  <c r="E734" i="157"/>
  <c r="J735" i="157" l="1"/>
  <c r="K735" i="157" s="1"/>
  <c r="I736" i="157"/>
  <c r="O736" i="157" s="1"/>
  <c r="H738" i="157"/>
  <c r="G738" i="157" s="1"/>
  <c r="I738" i="157"/>
  <c r="K737" i="157"/>
  <c r="E732" i="157"/>
  <c r="E730" i="157"/>
  <c r="J738" i="157" l="1"/>
  <c r="O738" i="157"/>
  <c r="E728" i="157"/>
  <c r="E726" i="157"/>
  <c r="E724" i="157"/>
  <c r="E722" i="157"/>
  <c r="E720" i="157"/>
  <c r="K738" i="157" l="1"/>
  <c r="E718" i="157"/>
  <c r="H717" i="157"/>
  <c r="G718" i="157" s="1"/>
  <c r="F717" i="157"/>
  <c r="E716" i="157"/>
  <c r="H715" i="157"/>
  <c r="H716" i="157" s="1"/>
  <c r="G716" i="157" s="1"/>
  <c r="F715" i="157"/>
  <c r="E714" i="157"/>
  <c r="H713" i="157"/>
  <c r="G714" i="157" s="1"/>
  <c r="F713" i="157"/>
  <c r="E712" i="157"/>
  <c r="E710" i="157"/>
  <c r="E708" i="157"/>
  <c r="H707" i="157"/>
  <c r="G708" i="157" s="1"/>
  <c r="F707" i="157"/>
  <c r="I705" i="157"/>
  <c r="H705" i="157"/>
  <c r="G705" i="157"/>
  <c r="F704" i="157"/>
  <c r="F703" i="157"/>
  <c r="K694" i="157"/>
  <c r="J694" i="157"/>
  <c r="I694" i="157"/>
  <c r="H694" i="157"/>
  <c r="G694" i="157"/>
  <c r="C694" i="157"/>
  <c r="K693" i="157"/>
  <c r="J693" i="157"/>
  <c r="I693" i="157"/>
  <c r="H693" i="157"/>
  <c r="G693" i="157"/>
  <c r="C693" i="157"/>
  <c r="K692" i="157"/>
  <c r="J692" i="157"/>
  <c r="I692" i="157"/>
  <c r="H692" i="157"/>
  <c r="G692" i="157"/>
  <c r="F692" i="157"/>
  <c r="C692" i="157"/>
  <c r="K691" i="157"/>
  <c r="J691" i="157"/>
  <c r="I691" i="157"/>
  <c r="H691" i="157"/>
  <c r="G691" i="157"/>
  <c r="C691" i="157"/>
  <c r="C688" i="157"/>
  <c r="C687" i="157"/>
  <c r="C686" i="157"/>
  <c r="C685" i="157"/>
  <c r="C684" i="157"/>
  <c r="C683" i="157"/>
  <c r="F680" i="157"/>
  <c r="C680" i="157"/>
  <c r="F679" i="157"/>
  <c r="C679" i="157"/>
  <c r="C678" i="157"/>
  <c r="F677" i="157"/>
  <c r="C677" i="157"/>
  <c r="C676" i="157"/>
  <c r="C673" i="157"/>
  <c r="F672" i="157"/>
  <c r="C672" i="157"/>
  <c r="F671" i="157"/>
  <c r="C671" i="157"/>
  <c r="C670" i="157"/>
  <c r="F669" i="157"/>
  <c r="C669" i="157"/>
  <c r="C668" i="157"/>
  <c r="I665" i="157"/>
  <c r="H665" i="157"/>
  <c r="G665" i="157"/>
  <c r="F664" i="157"/>
  <c r="F663" i="157"/>
  <c r="K649" i="157"/>
  <c r="C647" i="157"/>
  <c r="C646" i="157"/>
  <c r="C645" i="157"/>
  <c r="C644" i="157"/>
  <c r="K643" i="157" l="1"/>
  <c r="J643" i="157" s="1"/>
  <c r="I714" i="157"/>
  <c r="H714" i="157" s="1"/>
  <c r="O714" i="157" s="1"/>
  <c r="J715" i="157"/>
  <c r="K715" i="157" s="1"/>
  <c r="I716" i="157"/>
  <c r="J716" i="157" s="1"/>
  <c r="J717" i="157"/>
  <c r="K717" i="157" s="1"/>
  <c r="J713" i="157"/>
  <c r="K713" i="157" s="1"/>
  <c r="I718" i="157"/>
  <c r="H718" i="157" s="1"/>
  <c r="J718" i="157" s="1"/>
  <c r="K718" i="157" s="1"/>
  <c r="F671" i="155"/>
  <c r="J707" i="157"/>
  <c r="K707" i="157" s="1"/>
  <c r="F680" i="155"/>
  <c r="I708" i="157"/>
  <c r="H708" i="157" s="1"/>
  <c r="O708" i="157" s="1"/>
  <c r="F669" i="155"/>
  <c r="F672" i="155"/>
  <c r="F677" i="155"/>
  <c r="F679" i="155"/>
  <c r="G852" i="157"/>
  <c r="H852" i="157"/>
  <c r="I852" i="157"/>
  <c r="H849" i="157"/>
  <c r="G849" i="157"/>
  <c r="I849" i="157"/>
  <c r="I643" i="157"/>
  <c r="H643" i="157" s="1"/>
  <c r="G643" i="157" s="1"/>
  <c r="F643" i="157"/>
  <c r="C643" i="157"/>
  <c r="C641" i="157"/>
  <c r="C640" i="157"/>
  <c r="C639" i="157"/>
  <c r="C637" i="157"/>
  <c r="C636" i="157"/>
  <c r="C635" i="157"/>
  <c r="C634" i="157"/>
  <c r="C633" i="157"/>
  <c r="C630" i="157"/>
  <c r="C629" i="157"/>
  <c r="D628" i="157"/>
  <c r="C628" i="157"/>
  <c r="D627" i="157"/>
  <c r="C627" i="157"/>
  <c r="C626" i="157"/>
  <c r="O716" i="157" l="1"/>
  <c r="K716" i="157" s="1"/>
  <c r="J708" i="157"/>
  <c r="K708" i="157" s="1"/>
  <c r="O718" i="157"/>
  <c r="J852" i="157"/>
  <c r="K852" i="157" s="1"/>
  <c r="J849" i="157"/>
  <c r="D625" i="157"/>
  <c r="C625" i="157"/>
  <c r="I623" i="157"/>
  <c r="H623" i="157"/>
  <c r="G623" i="157"/>
  <c r="F622" i="157"/>
  <c r="F621" i="157"/>
  <c r="K565" i="157"/>
  <c r="K652" i="157" s="1"/>
  <c r="J652" i="157" s="1"/>
  <c r="I565" i="157"/>
  <c r="I652" i="157" s="1"/>
  <c r="H565" i="157"/>
  <c r="H652" i="157" s="1"/>
  <c r="G565" i="157"/>
  <c r="G652" i="157" s="1"/>
  <c r="F565" i="157"/>
  <c r="F652" i="157" s="1"/>
  <c r="C563" i="157"/>
  <c r="C562" i="157"/>
  <c r="C561" i="157"/>
  <c r="C557" i="157"/>
  <c r="C556" i="157"/>
  <c r="C555" i="157"/>
  <c r="K554" i="157"/>
  <c r="I554" i="157"/>
  <c r="H554" i="157"/>
  <c r="G554" i="157"/>
  <c r="F554" i="157"/>
  <c r="C554" i="157"/>
  <c r="C552" i="157"/>
  <c r="C551" i="157"/>
  <c r="C549" i="157"/>
  <c r="C548" i="157"/>
  <c r="C545" i="157"/>
  <c r="C544" i="157"/>
  <c r="C543" i="157"/>
  <c r="F540" i="157"/>
  <c r="F891" i="157" s="1"/>
  <c r="C540" i="157"/>
  <c r="C539" i="157"/>
  <c r="C536" i="157"/>
  <c r="D535" i="157"/>
  <c r="C535" i="157"/>
  <c r="C532" i="157"/>
  <c r="D531" i="157"/>
  <c r="D530" i="157"/>
  <c r="C530" i="157"/>
  <c r="D529" i="157"/>
  <c r="C529" i="157"/>
  <c r="D528" i="157"/>
  <c r="C528" i="157"/>
  <c r="D527" i="157"/>
  <c r="C527" i="157"/>
  <c r="C522" i="157"/>
  <c r="D521" i="157"/>
  <c r="C521" i="157"/>
  <c r="D520" i="157"/>
  <c r="C520" i="157"/>
  <c r="D519" i="157"/>
  <c r="C519" i="157"/>
  <c r="C516" i="157"/>
  <c r="D515" i="157"/>
  <c r="C515" i="157"/>
  <c r="I512" i="157"/>
  <c r="H512" i="157"/>
  <c r="G512" i="157"/>
  <c r="F511" i="157"/>
  <c r="F510" i="157"/>
  <c r="C501" i="157"/>
  <c r="C500" i="157"/>
  <c r="C499" i="157"/>
  <c r="C498" i="157"/>
  <c r="C493" i="157"/>
  <c r="C492" i="157"/>
  <c r="D491" i="157"/>
  <c r="C491" i="157"/>
  <c r="C488" i="157"/>
  <c r="D487" i="157"/>
  <c r="C487" i="157"/>
  <c r="D486" i="157"/>
  <c r="C486" i="157"/>
  <c r="D485" i="157"/>
  <c r="C485" i="157"/>
  <c r="D484" i="157"/>
  <c r="C484" i="157"/>
  <c r="C481" i="157"/>
  <c r="D480" i="157"/>
  <c r="C480" i="157"/>
  <c r="D479" i="157"/>
  <c r="C479" i="157"/>
  <c r="I476" i="157"/>
  <c r="H476" i="157"/>
  <c r="G476" i="157"/>
  <c r="F475" i="157"/>
  <c r="F474" i="157"/>
  <c r="C462" i="157"/>
  <c r="D461" i="157"/>
  <c r="C461" i="157"/>
  <c r="C458" i="157"/>
  <c r="D457" i="157"/>
  <c r="C457" i="157"/>
  <c r="C454" i="157"/>
  <c r="D453" i="157"/>
  <c r="C453" i="157"/>
  <c r="K450" i="157"/>
  <c r="J450" i="157"/>
  <c r="I450" i="157"/>
  <c r="H450" i="157"/>
  <c r="G450" i="157"/>
  <c r="F450" i="157"/>
  <c r="C450" i="157"/>
  <c r="C447" i="157"/>
  <c r="D446" i="157"/>
  <c r="C446" i="157"/>
  <c r="I444" i="157"/>
  <c r="H444" i="157"/>
  <c r="G444" i="157"/>
  <c r="F443" i="157"/>
  <c r="F442" i="157"/>
  <c r="C433" i="157"/>
  <c r="C431" i="157"/>
  <c r="D430" i="157"/>
  <c r="C430" i="157"/>
  <c r="D429" i="157"/>
  <c r="C429" i="157"/>
  <c r="D428" i="157"/>
  <c r="C428" i="157"/>
  <c r="D427" i="157"/>
  <c r="C427" i="157"/>
  <c r="D426" i="157"/>
  <c r="C426" i="157"/>
  <c r="D425" i="157"/>
  <c r="C425" i="157"/>
  <c r="D424" i="157"/>
  <c r="C424" i="157"/>
  <c r="D423" i="157"/>
  <c r="C423" i="157"/>
  <c r="D422" i="157"/>
  <c r="C422" i="157"/>
  <c r="D421" i="157"/>
  <c r="C421" i="157"/>
  <c r="D420" i="157"/>
  <c r="C420" i="157"/>
  <c r="D419" i="157"/>
  <c r="C419" i="157"/>
  <c r="K849" i="157" l="1"/>
  <c r="D418" i="157"/>
  <c r="C418" i="157"/>
  <c r="D417" i="157"/>
  <c r="C417" i="157"/>
  <c r="C416" i="157"/>
  <c r="D415" i="157"/>
  <c r="C415" i="157"/>
  <c r="D414" i="157"/>
  <c r="C414" i="157"/>
  <c r="D413" i="157"/>
  <c r="C413" i="157"/>
  <c r="D412" i="157"/>
  <c r="C412" i="157"/>
  <c r="D411" i="157"/>
  <c r="C411" i="157"/>
  <c r="D410" i="157"/>
  <c r="C410" i="157"/>
  <c r="C407" i="157"/>
  <c r="D406" i="157" l="1"/>
  <c r="C406" i="157"/>
  <c r="C403" i="157"/>
  <c r="D402" i="157"/>
  <c r="C402" i="157"/>
  <c r="I400" i="157"/>
  <c r="H400" i="157"/>
  <c r="G400" i="157"/>
  <c r="F399" i="157"/>
  <c r="F398" i="157"/>
  <c r="C389" i="157"/>
  <c r="D388" i="157"/>
  <c r="C388" i="157"/>
  <c r="D387" i="157"/>
  <c r="C387" i="157"/>
  <c r="D386" i="157" l="1"/>
  <c r="C386" i="157"/>
  <c r="D385" i="157"/>
  <c r="C385" i="157"/>
  <c r="D384" i="157"/>
  <c r="C384" i="157"/>
  <c r="D383" i="157"/>
  <c r="C383" i="157"/>
  <c r="D382" i="157"/>
  <c r="C382" i="157"/>
  <c r="D381" i="157"/>
  <c r="C381" i="157"/>
  <c r="C378" i="157"/>
  <c r="D377" i="157"/>
  <c r="C377" i="157"/>
  <c r="D376" i="157"/>
  <c r="C376" i="157"/>
  <c r="D375" i="157"/>
  <c r="C375" i="157"/>
  <c r="D374" i="157"/>
  <c r="C374" i="157"/>
  <c r="D373" i="157"/>
  <c r="C373" i="157"/>
  <c r="D372" i="157"/>
  <c r="C372" i="157"/>
  <c r="D371" i="157"/>
  <c r="C371" i="157"/>
  <c r="D370" i="157"/>
  <c r="C370" i="157"/>
  <c r="D369" i="157"/>
  <c r="C369" i="157"/>
  <c r="D368" i="157" l="1"/>
  <c r="C368" i="157"/>
  <c r="D367" i="157"/>
  <c r="C367" i="157"/>
  <c r="K364" i="157"/>
  <c r="J364" i="157"/>
  <c r="I364" i="157"/>
  <c r="H364" i="157"/>
  <c r="G364" i="157"/>
  <c r="F364" i="157"/>
  <c r="C364" i="157"/>
  <c r="C363" i="157"/>
  <c r="C358" i="157"/>
  <c r="D357" i="157" l="1"/>
  <c r="C357" i="157"/>
  <c r="F354" i="157"/>
  <c r="C354" i="157"/>
  <c r="I353" i="157"/>
  <c r="H353" i="157"/>
  <c r="G353" i="157"/>
  <c r="G354" i="157" s="1"/>
  <c r="C353" i="157"/>
  <c r="C350" i="157"/>
  <c r="J353" i="157" l="1"/>
  <c r="D349" i="157"/>
  <c r="C349" i="157"/>
  <c r="J354" i="157" l="1"/>
  <c r="I354" i="157" s="1"/>
  <c r="H354" i="157" s="1"/>
  <c r="K353" i="157"/>
  <c r="K354" i="157" s="1"/>
  <c r="D348" i="157"/>
  <c r="C348" i="157"/>
  <c r="I345" i="157"/>
  <c r="H345" i="157"/>
  <c r="G345" i="157"/>
  <c r="F344" i="157"/>
  <c r="F343" i="157"/>
  <c r="C331" i="157"/>
  <c r="C330" i="157"/>
  <c r="C329" i="157"/>
  <c r="C326" i="157"/>
  <c r="C325" i="157"/>
  <c r="C324" i="157"/>
  <c r="C323" i="157"/>
  <c r="C319" i="157"/>
  <c r="D318" i="157"/>
  <c r="C318" i="157"/>
  <c r="D317" i="157"/>
  <c r="C317" i="157"/>
  <c r="D316" i="157"/>
  <c r="C316" i="157"/>
  <c r="C310" i="157" l="1"/>
  <c r="D309" i="157"/>
  <c r="C309" i="157"/>
  <c r="D308" i="157"/>
  <c r="C308" i="157"/>
  <c r="D307" i="157"/>
  <c r="C307" i="157"/>
  <c r="C303" i="157"/>
  <c r="D302" i="157"/>
  <c r="C302" i="157"/>
  <c r="D301" i="157"/>
  <c r="C301" i="157"/>
  <c r="I294" i="157"/>
  <c r="H294" i="157"/>
  <c r="G294" i="157"/>
  <c r="F293" i="157"/>
  <c r="F292" i="157"/>
  <c r="C281" i="157"/>
  <c r="D280" i="157"/>
  <c r="C280" i="157"/>
  <c r="D279" i="157"/>
  <c r="C279" i="157"/>
  <c r="D278" i="157"/>
  <c r="C278" i="157"/>
  <c r="C275" i="157"/>
  <c r="D274" i="157"/>
  <c r="C274" i="157"/>
  <c r="D273" i="157"/>
  <c r="C273" i="157"/>
  <c r="D272" i="157"/>
  <c r="C272" i="157"/>
  <c r="D271" i="157"/>
  <c r="C271" i="157"/>
  <c r="D270" i="157"/>
  <c r="C270" i="157"/>
  <c r="D269" i="157"/>
  <c r="C269" i="157"/>
  <c r="D268" i="157"/>
  <c r="C268" i="157"/>
  <c r="D267" i="157"/>
  <c r="C267" i="157"/>
  <c r="D266" i="157"/>
  <c r="C266" i="157"/>
  <c r="D265" i="157"/>
  <c r="C265" i="157"/>
  <c r="D264" i="157"/>
  <c r="C264" i="157"/>
  <c r="D263" i="157"/>
  <c r="C263" i="157"/>
  <c r="D262" i="157"/>
  <c r="C262" i="157"/>
  <c r="D261" i="157"/>
  <c r="C261" i="157"/>
  <c r="D260" i="157"/>
  <c r="C260" i="157"/>
  <c r="D259" i="157"/>
  <c r="C259" i="157"/>
  <c r="D258" i="157"/>
  <c r="C258" i="157"/>
  <c r="D257" i="157"/>
  <c r="C257" i="157"/>
  <c r="D256" i="157"/>
  <c r="C256" i="157"/>
  <c r="D255" i="157"/>
  <c r="C255" i="157"/>
  <c r="D254" i="157"/>
  <c r="C254" i="157"/>
  <c r="D253" i="157"/>
  <c r="C253" i="157"/>
  <c r="D252" i="157"/>
  <c r="C252" i="157"/>
  <c r="I249" i="157"/>
  <c r="H249" i="157"/>
  <c r="G249" i="157"/>
  <c r="F248" i="157"/>
  <c r="F247" i="157"/>
  <c r="C236" i="157" l="1"/>
  <c r="D235" i="157"/>
  <c r="C235" i="157"/>
  <c r="D234" i="157"/>
  <c r="C234" i="157"/>
  <c r="D233" i="157"/>
  <c r="C233" i="157"/>
  <c r="C232" i="157"/>
  <c r="C229" i="157"/>
  <c r="D228" i="157"/>
  <c r="C228" i="157"/>
  <c r="D227" i="157"/>
  <c r="C227" i="157"/>
  <c r="D226" i="157"/>
  <c r="C226" i="157"/>
  <c r="D225" i="157"/>
  <c r="C225" i="157"/>
  <c r="D224" i="157"/>
  <c r="C224" i="157"/>
  <c r="D223" i="157"/>
  <c r="C223" i="157"/>
  <c r="D222" i="157"/>
  <c r="C222" i="157"/>
  <c r="D221" i="157"/>
  <c r="C221" i="157"/>
  <c r="D220" i="157"/>
  <c r="C220" i="157"/>
  <c r="D219" i="157"/>
  <c r="C219" i="157"/>
  <c r="D218" i="157"/>
  <c r="C218" i="157"/>
  <c r="C215" i="157"/>
  <c r="D214" i="157"/>
  <c r="C214" i="157"/>
  <c r="D213" i="157"/>
  <c r="C213" i="157"/>
  <c r="D212" i="157"/>
  <c r="C212" i="157"/>
  <c r="D211" i="157"/>
  <c r="C211" i="157"/>
  <c r="D210" i="157"/>
  <c r="C210" i="157"/>
  <c r="D209" i="157" l="1"/>
  <c r="C209" i="157"/>
  <c r="D208" i="157"/>
  <c r="C208" i="157"/>
  <c r="D207" i="157"/>
  <c r="C207" i="157"/>
  <c r="D206" i="157"/>
  <c r="C206" i="157"/>
  <c r="I202" i="157"/>
  <c r="H202" i="157"/>
  <c r="G202" i="157"/>
  <c r="F201" i="157"/>
  <c r="F200" i="157"/>
  <c r="C189" i="157"/>
  <c r="C188" i="157"/>
  <c r="C187" i="157"/>
  <c r="C184" i="157"/>
  <c r="C183" i="157"/>
  <c r="C182" i="157"/>
  <c r="C176" i="157"/>
  <c r="C175" i="157"/>
  <c r="C174" i="157"/>
  <c r="C171" i="157"/>
  <c r="C170" i="157"/>
  <c r="C169" i="157" l="1"/>
  <c r="C166" i="157"/>
  <c r="C165" i="157"/>
  <c r="C164" i="157"/>
  <c r="I162" i="157"/>
  <c r="H162" i="157"/>
  <c r="G162" i="157"/>
  <c r="F161" i="157"/>
  <c r="B161" i="157"/>
  <c r="F160" i="157"/>
  <c r="C149" i="157"/>
  <c r="D148" i="157"/>
  <c r="C148" i="157"/>
  <c r="D147" i="157"/>
  <c r="C147" i="157"/>
  <c r="D146" i="157"/>
  <c r="C146" i="157"/>
  <c r="D145" i="157"/>
  <c r="C145" i="157"/>
  <c r="D144" i="157"/>
  <c r="C144" i="157"/>
  <c r="D143" i="157"/>
  <c r="C143" i="157"/>
  <c r="C140" i="157"/>
  <c r="D139" i="157"/>
  <c r="C139" i="157"/>
  <c r="D138" i="157"/>
  <c r="C138" i="157"/>
  <c r="D137" i="157"/>
  <c r="C137" i="157"/>
  <c r="D136" i="157"/>
  <c r="C136" i="157"/>
  <c r="D135" i="157"/>
  <c r="C135" i="157"/>
  <c r="D134" i="157"/>
  <c r="C134" i="157"/>
  <c r="C131" i="157"/>
  <c r="D130" i="157"/>
  <c r="C130" i="157"/>
  <c r="D129" i="157"/>
  <c r="C129" i="157"/>
  <c r="D128" i="157"/>
  <c r="C128" i="157"/>
  <c r="D127" i="157"/>
  <c r="C127" i="157"/>
  <c r="D126" i="157" l="1"/>
  <c r="C126" i="157"/>
  <c r="D125" i="157"/>
  <c r="C125" i="157"/>
  <c r="D124" i="157"/>
  <c r="C124" i="157"/>
  <c r="D123" i="157" l="1"/>
  <c r="C123" i="157"/>
  <c r="D122" i="157"/>
  <c r="C122" i="157"/>
  <c r="K119" i="157"/>
  <c r="J119" i="157"/>
  <c r="J170" i="157" s="1"/>
  <c r="I119" i="157"/>
  <c r="I170" i="157" s="1"/>
  <c r="H119" i="157"/>
  <c r="H170" i="157" s="1"/>
  <c r="G119" i="157"/>
  <c r="G170" i="157" s="1"/>
  <c r="F119" i="157"/>
  <c r="F170" i="157" s="1"/>
  <c r="C119" i="157"/>
  <c r="C118" i="157"/>
  <c r="C115" i="157"/>
  <c r="D114" i="157"/>
  <c r="C114" i="157"/>
  <c r="I112" i="157"/>
  <c r="H112" i="157"/>
  <c r="G112" i="157"/>
  <c r="F111" i="157"/>
  <c r="F110" i="157"/>
  <c r="C99" i="157"/>
  <c r="D98" i="157"/>
  <c r="C98" i="157"/>
  <c r="D97" i="157"/>
  <c r="C97" i="157"/>
  <c r="D96" i="157"/>
  <c r="C96" i="157"/>
  <c r="D95" i="157"/>
  <c r="C95" i="157"/>
  <c r="D94" i="157"/>
  <c r="C94" i="157"/>
  <c r="D93" i="157"/>
  <c r="C93" i="157"/>
  <c r="C90" i="157"/>
  <c r="K170" i="157" l="1"/>
  <c r="D89" i="157"/>
  <c r="C89" i="157"/>
  <c r="D88" i="157" l="1"/>
  <c r="C88" i="157"/>
  <c r="D87" i="157" l="1"/>
  <c r="C87" i="157"/>
  <c r="D86" i="157"/>
  <c r="C86" i="157"/>
  <c r="D85" i="157"/>
  <c r="C85" i="157"/>
  <c r="D84" i="157"/>
  <c r="C84" i="157"/>
  <c r="C78" i="157"/>
  <c r="D77" i="157"/>
  <c r="C77" i="157"/>
  <c r="D76" i="157"/>
  <c r="C76" i="157"/>
  <c r="D75" i="157"/>
  <c r="C75" i="157"/>
  <c r="D74" i="157"/>
  <c r="C74" i="157"/>
  <c r="D73" i="157"/>
  <c r="C73" i="157"/>
  <c r="D72" i="157"/>
  <c r="C72" i="157"/>
  <c r="D71" i="157"/>
  <c r="C71" i="157"/>
  <c r="D70" i="157"/>
  <c r="C70" i="157"/>
  <c r="D69" i="157"/>
  <c r="C69" i="157"/>
  <c r="D68" i="157"/>
  <c r="C68" i="157"/>
  <c r="K63" i="157"/>
  <c r="J63" i="157"/>
  <c r="I63" i="157"/>
  <c r="I169" i="157" s="1"/>
  <c r="H63" i="157"/>
  <c r="H169" i="157" s="1"/>
  <c r="G63" i="157"/>
  <c r="F63" i="157"/>
  <c r="F169" i="157" s="1"/>
  <c r="C63" i="157"/>
  <c r="C62" i="157"/>
  <c r="C59" i="157"/>
  <c r="D58" i="157"/>
  <c r="C58" i="157"/>
  <c r="D57" i="157"/>
  <c r="C57" i="157"/>
  <c r="I55" i="157"/>
  <c r="H55" i="157"/>
  <c r="G55" i="157"/>
  <c r="F54" i="157"/>
  <c r="F53" i="157"/>
  <c r="J29" i="157"/>
  <c r="D29" i="157"/>
  <c r="C28" i="157"/>
  <c r="C24" i="157"/>
  <c r="C23" i="157"/>
  <c r="C22" i="157"/>
  <c r="C21" i="157"/>
  <c r="C20" i="157"/>
  <c r="C19" i="157"/>
  <c r="C18" i="157"/>
  <c r="C15" i="157"/>
  <c r="C14" i="157"/>
  <c r="C13" i="157"/>
  <c r="C12" i="157"/>
  <c r="G169" i="157" l="1"/>
  <c r="F171" i="157"/>
  <c r="F883" i="9"/>
  <c r="I865" i="9"/>
  <c r="H865" i="9"/>
  <c r="G865" i="9"/>
  <c r="F849" i="9"/>
  <c r="J818" i="9"/>
  <c r="K818" i="9" s="1"/>
  <c r="I814" i="9"/>
  <c r="H814" i="9"/>
  <c r="G814" i="9"/>
  <c r="J169" i="157" l="1"/>
  <c r="J171" i="157" l="1"/>
  <c r="I171" i="157" s="1"/>
  <c r="H171" i="157" s="1"/>
  <c r="G171" i="157" s="1"/>
  <c r="K169" i="157"/>
  <c r="K171" i="157" s="1"/>
  <c r="I756" i="9"/>
  <c r="H756" i="9"/>
  <c r="G756" i="9"/>
  <c r="F745" i="9"/>
  <c r="F744" i="9"/>
  <c r="F761" i="9" s="1"/>
  <c r="I742" i="9"/>
  <c r="H742" i="9"/>
  <c r="G742" i="9"/>
  <c r="J742" i="9" l="1"/>
  <c r="K742" i="9" s="1"/>
  <c r="J741" i="9"/>
  <c r="K741" i="9" s="1"/>
  <c r="I740" i="9"/>
  <c r="H740" i="9"/>
  <c r="G740" i="9"/>
  <c r="J739" i="9"/>
  <c r="K739" i="9" s="1"/>
  <c r="I737" i="9"/>
  <c r="G738" i="9" s="1"/>
  <c r="F737" i="9"/>
  <c r="C736" i="9"/>
  <c r="F735" i="9"/>
  <c r="I735" i="9" s="1"/>
  <c r="J740" i="9" l="1"/>
  <c r="H849" i="9"/>
  <c r="G849" i="9"/>
  <c r="K740" i="9"/>
  <c r="J737" i="9"/>
  <c r="K737" i="9" s="1"/>
  <c r="J735" i="9"/>
  <c r="K735" i="9" s="1"/>
  <c r="G736" i="9"/>
  <c r="I736" i="9"/>
  <c r="H736" i="9" s="1"/>
  <c r="H738" i="9"/>
  <c r="I717" i="9" l="1"/>
  <c r="J717" i="9" s="1"/>
  <c r="F717" i="9"/>
  <c r="G715" i="9"/>
  <c r="I716" i="9" s="1"/>
  <c r="H716" i="9" s="1"/>
  <c r="F715" i="9"/>
  <c r="G713" i="9"/>
  <c r="G714" i="9" s="1"/>
  <c r="F713" i="9"/>
  <c r="G707" i="9"/>
  <c r="J707" i="9" s="1"/>
  <c r="F707" i="9"/>
  <c r="I705" i="9"/>
  <c r="H705" i="9"/>
  <c r="G705" i="9"/>
  <c r="K694" i="9"/>
  <c r="J694" i="9"/>
  <c r="I694" i="9"/>
  <c r="H694" i="9"/>
  <c r="G694" i="9"/>
  <c r="K693" i="9"/>
  <c r="J693" i="9"/>
  <c r="I693" i="9"/>
  <c r="H693" i="9"/>
  <c r="G693" i="9"/>
  <c r="K692" i="9"/>
  <c r="J692" i="9"/>
  <c r="I692" i="9"/>
  <c r="H692" i="9"/>
  <c r="G692" i="9"/>
  <c r="K691" i="9"/>
  <c r="J691" i="9"/>
  <c r="I691" i="9"/>
  <c r="H691" i="9"/>
  <c r="G691" i="9"/>
  <c r="G716" i="9" l="1"/>
  <c r="J716" i="9" s="1"/>
  <c r="K716" i="9" s="1"/>
  <c r="J715" i="9"/>
  <c r="K715" i="9" s="1"/>
  <c r="H852" i="9"/>
  <c r="G852" i="9"/>
  <c r="J713" i="9"/>
  <c r="K713" i="9" s="1"/>
  <c r="H718" i="9"/>
  <c r="G708" i="9"/>
  <c r="H714" i="9"/>
  <c r="G718" i="9"/>
  <c r="K883" i="167"/>
  <c r="I883" i="167" s="1"/>
  <c r="K883" i="166"/>
  <c r="I883" i="166" s="1"/>
  <c r="H883" i="166" s="1"/>
  <c r="G883" i="166" s="1"/>
  <c r="K883" i="165"/>
  <c r="I883" i="165" s="1"/>
  <c r="H883" i="165" s="1"/>
  <c r="G883" i="165" s="1"/>
  <c r="K883" i="164"/>
  <c r="I883" i="164" s="1"/>
  <c r="H883" i="164" s="1"/>
  <c r="G883" i="164" s="1"/>
  <c r="L883" i="162"/>
  <c r="J883" i="162" s="1"/>
  <c r="I883" i="162" s="1"/>
  <c r="H883" i="162" s="1"/>
  <c r="G883" i="162" s="1"/>
  <c r="K883" i="158"/>
  <c r="I883" i="158" s="1"/>
  <c r="H883" i="158" s="1"/>
  <c r="G883" i="158" s="1"/>
  <c r="L883" i="161"/>
  <c r="J883" i="161" s="1"/>
  <c r="I883" i="161" s="1"/>
  <c r="H883" i="161" s="1"/>
  <c r="G883" i="161" s="1"/>
  <c r="L883" i="160"/>
  <c r="J883" i="160" s="1"/>
  <c r="I883" i="160" s="1"/>
  <c r="H883" i="160" s="1"/>
  <c r="G883" i="160" s="1"/>
  <c r="K883" i="159"/>
  <c r="I883" i="159" s="1"/>
  <c r="H883" i="159" s="1"/>
  <c r="G883" i="159" s="1"/>
  <c r="L883" i="155"/>
  <c r="J883" i="155" s="1"/>
  <c r="I883" i="155" s="1"/>
  <c r="H883" i="155" s="1"/>
  <c r="G883" i="155" s="1"/>
  <c r="K883" i="157"/>
  <c r="I883" i="157" s="1"/>
  <c r="H883" i="157" s="1"/>
  <c r="G883" i="157" s="1"/>
  <c r="F883" i="157" s="1"/>
  <c r="F676" i="158" l="1"/>
  <c r="F676" i="159"/>
  <c r="F676" i="157"/>
  <c r="K707" i="9"/>
  <c r="F678" i="158"/>
  <c r="F678" i="159"/>
  <c r="F678" i="157"/>
  <c r="K717" i="9"/>
  <c r="F670" i="158" l="1"/>
  <c r="F670" i="159"/>
  <c r="F670" i="157"/>
  <c r="F678" i="155"/>
  <c r="F676" i="155"/>
  <c r="I665" i="9"/>
  <c r="H665" i="9"/>
  <c r="G665" i="9"/>
  <c r="F649" i="9"/>
  <c r="K643" i="9"/>
  <c r="J643" i="9" s="1"/>
  <c r="I643" i="9" s="1"/>
  <c r="H643" i="9" s="1"/>
  <c r="G643" i="9" s="1"/>
  <c r="F643" i="9"/>
  <c r="D629" i="9"/>
  <c r="H627" i="9"/>
  <c r="F627" i="158" s="1"/>
  <c r="D626" i="9"/>
  <c r="F625" i="162"/>
  <c r="I623" i="9"/>
  <c r="H623" i="9"/>
  <c r="G623" i="9"/>
  <c r="K565" i="9"/>
  <c r="K652" i="9" s="1"/>
  <c r="J652" i="9" s="1"/>
  <c r="I565" i="9"/>
  <c r="I652" i="9" s="1"/>
  <c r="H565" i="9"/>
  <c r="H652" i="9" s="1"/>
  <c r="G565" i="9"/>
  <c r="G652" i="9" s="1"/>
  <c r="F565" i="9"/>
  <c r="K554" i="9"/>
  <c r="I554" i="9" s="1"/>
  <c r="H554" i="9" s="1"/>
  <c r="G554" i="9" s="1"/>
  <c r="F652" i="9" l="1"/>
  <c r="F50" i="49"/>
  <c r="L50" i="49"/>
  <c r="K50" i="49"/>
  <c r="J50" i="49"/>
  <c r="I50" i="49"/>
  <c r="H50" i="49"/>
  <c r="G50" i="49"/>
  <c r="D629" i="167"/>
  <c r="D629" i="166"/>
  <c r="D629" i="165"/>
  <c r="D629" i="164"/>
  <c r="D629" i="162"/>
  <c r="D629" i="158"/>
  <c r="D629" i="161"/>
  <c r="D629" i="160"/>
  <c r="D629" i="159"/>
  <c r="D629" i="155"/>
  <c r="D629" i="157"/>
  <c r="D626" i="167"/>
  <c r="D626" i="166"/>
  <c r="D626" i="165"/>
  <c r="D626" i="164"/>
  <c r="D626" i="162"/>
  <c r="D626" i="158"/>
  <c r="D626" i="161"/>
  <c r="D626" i="160"/>
  <c r="D626" i="159"/>
  <c r="D626" i="155"/>
  <c r="D626" i="157"/>
  <c r="H625" i="9"/>
  <c r="F625" i="158" s="1"/>
  <c r="H625" i="158" s="1"/>
  <c r="G625" i="158" s="1"/>
  <c r="G625" i="9"/>
  <c r="H627" i="158"/>
  <c r="G627" i="158" s="1"/>
  <c r="D29" i="6"/>
  <c r="F628" i="162"/>
  <c r="F670" i="155"/>
  <c r="G627" i="9"/>
  <c r="F627" i="162"/>
  <c r="F668" i="158"/>
  <c r="F673" i="158" s="1"/>
  <c r="F668" i="159"/>
  <c r="F673" i="159" s="1"/>
  <c r="F668" i="157"/>
  <c r="F673" i="9"/>
  <c r="F630" i="9"/>
  <c r="D33" i="6" l="1"/>
  <c r="G672" i="159"/>
  <c r="F687" i="159" s="1"/>
  <c r="G671" i="159"/>
  <c r="F686" i="159" s="1"/>
  <c r="G669" i="159"/>
  <c r="F684" i="159" s="1"/>
  <c r="G668" i="159"/>
  <c r="G668" i="9"/>
  <c r="F683" i="9" s="1"/>
  <c r="G671" i="9"/>
  <c r="F686" i="9" s="1"/>
  <c r="G672" i="9"/>
  <c r="F687" i="9" s="1"/>
  <c r="G669" i="9"/>
  <c r="F684" i="9" s="1"/>
  <c r="F868" i="9"/>
  <c r="F636" i="9"/>
  <c r="F639" i="9" s="1"/>
  <c r="F668" i="155"/>
  <c r="F673" i="155" s="1"/>
  <c r="F673" i="157"/>
  <c r="K29" i="6"/>
  <c r="K31" i="6"/>
  <c r="K33" i="6" s="1"/>
  <c r="G672" i="158"/>
  <c r="F687" i="158" s="1"/>
  <c r="G671" i="158"/>
  <c r="F686" i="158" s="1"/>
  <c r="G668" i="158"/>
  <c r="G669" i="158"/>
  <c r="F684" i="158" s="1"/>
  <c r="F630" i="162"/>
  <c r="G670" i="159" l="1"/>
  <c r="F685" i="159" s="1"/>
  <c r="F683" i="159"/>
  <c r="G668" i="157"/>
  <c r="G672" i="157"/>
  <c r="F687" i="157" s="1"/>
  <c r="G671" i="157"/>
  <c r="F686" i="157" s="1"/>
  <c r="G669" i="157"/>
  <c r="F684" i="157" s="1"/>
  <c r="G669" i="155"/>
  <c r="F684" i="155" s="1"/>
  <c r="G668" i="155"/>
  <c r="G672" i="155"/>
  <c r="F687" i="155" s="1"/>
  <c r="G671" i="155"/>
  <c r="F686" i="155" s="1"/>
  <c r="G670" i="9"/>
  <c r="F685" i="9" s="1"/>
  <c r="F868" i="162"/>
  <c r="F636" i="162"/>
  <c r="F27" i="162"/>
  <c r="F683" i="158"/>
  <c r="G670" i="158"/>
  <c r="F685" i="158" s="1"/>
  <c r="F540" i="9"/>
  <c r="F535" i="162"/>
  <c r="G670" i="155" l="1"/>
  <c r="F685" i="155" s="1"/>
  <c r="F683" i="155"/>
  <c r="G670" i="157"/>
  <c r="F685" i="157" s="1"/>
  <c r="F683" i="157"/>
  <c r="F688" i="9"/>
  <c r="F688" i="159"/>
  <c r="J333" i="159" s="1"/>
  <c r="F688" i="158"/>
  <c r="G333" i="158" s="1"/>
  <c r="G673" i="158"/>
  <c r="F891" i="9"/>
  <c r="F562" i="9"/>
  <c r="F333" i="166"/>
  <c r="J333" i="164"/>
  <c r="G673" i="9"/>
  <c r="F531" i="162"/>
  <c r="F536" i="9"/>
  <c r="F544" i="9" s="1"/>
  <c r="G673" i="159"/>
  <c r="G530" i="9"/>
  <c r="F520" i="162"/>
  <c r="I512" i="9"/>
  <c r="H512" i="9"/>
  <c r="G512" i="9"/>
  <c r="H333" i="159" l="1"/>
  <c r="H36" i="49"/>
  <c r="L333" i="161"/>
  <c r="K333" i="157"/>
  <c r="G36" i="49"/>
  <c r="F38" i="49" s="1"/>
  <c r="L333" i="160"/>
  <c r="K333" i="166"/>
  <c r="I36" i="49"/>
  <c r="K333" i="164"/>
  <c r="K333" i="167"/>
  <c r="K333" i="159"/>
  <c r="L333" i="155"/>
  <c r="K333" i="165"/>
  <c r="J36" i="49"/>
  <c r="J38" i="49" s="1"/>
  <c r="F36" i="49"/>
  <c r="L333" i="162"/>
  <c r="L36" i="49"/>
  <c r="L38" i="49" s="1"/>
  <c r="K333" i="158"/>
  <c r="G333" i="164"/>
  <c r="K36" i="159"/>
  <c r="F36" i="164"/>
  <c r="G333" i="159"/>
  <c r="H36" i="159"/>
  <c r="F36" i="159"/>
  <c r="G36" i="159"/>
  <c r="I36" i="159"/>
  <c r="I333" i="159"/>
  <c r="H333" i="164"/>
  <c r="G36" i="164"/>
  <c r="H36" i="164"/>
  <c r="H38" i="164" s="1"/>
  <c r="I36" i="164"/>
  <c r="J36" i="164"/>
  <c r="J36" i="159"/>
  <c r="F333" i="159"/>
  <c r="F333" i="164"/>
  <c r="J36" i="158"/>
  <c r="G333" i="166"/>
  <c r="I333" i="158"/>
  <c r="G36" i="158"/>
  <c r="J38" i="164"/>
  <c r="I333" i="164"/>
  <c r="K36" i="158"/>
  <c r="H333" i="158"/>
  <c r="H36" i="158"/>
  <c r="F333" i="158"/>
  <c r="F36" i="158"/>
  <c r="J333" i="158"/>
  <c r="I36" i="158"/>
  <c r="G36" i="166"/>
  <c r="H333" i="166"/>
  <c r="I333" i="166"/>
  <c r="H36" i="166"/>
  <c r="J36" i="166"/>
  <c r="J38" i="166" s="1"/>
  <c r="J333" i="166"/>
  <c r="I36" i="166"/>
  <c r="F36" i="166"/>
  <c r="G673" i="157"/>
  <c r="F688" i="157"/>
  <c r="J333" i="157" s="1"/>
  <c r="I333" i="161"/>
  <c r="F521" i="162"/>
  <c r="F529" i="162"/>
  <c r="I530" i="9"/>
  <c r="F530" i="159" s="1"/>
  <c r="G673" i="155"/>
  <c r="J333" i="165"/>
  <c r="F333" i="165"/>
  <c r="G333" i="165"/>
  <c r="H333" i="165"/>
  <c r="I333" i="165"/>
  <c r="H36" i="165"/>
  <c r="I36" i="165"/>
  <c r="J36" i="165"/>
  <c r="F36" i="165"/>
  <c r="G36" i="165"/>
  <c r="F688" i="155"/>
  <c r="F530" i="162"/>
  <c r="F492" i="162"/>
  <c r="G38" i="49" l="1"/>
  <c r="I38" i="49"/>
  <c r="H38" i="49" s="1"/>
  <c r="H333" i="161"/>
  <c r="F36" i="161"/>
  <c r="I38" i="164"/>
  <c r="K333" i="161"/>
  <c r="G38" i="164"/>
  <c r="F38" i="164" s="1"/>
  <c r="I36" i="161"/>
  <c r="K36" i="157"/>
  <c r="G333" i="157"/>
  <c r="I38" i="166"/>
  <c r="H38" i="166" s="1"/>
  <c r="G38" i="166" s="1"/>
  <c r="G36" i="157"/>
  <c r="H333" i="157"/>
  <c r="F38" i="166"/>
  <c r="F36" i="157"/>
  <c r="F333" i="157"/>
  <c r="I36" i="157"/>
  <c r="J38" i="165"/>
  <c r="I38" i="165" s="1"/>
  <c r="H38" i="165" s="1"/>
  <c r="G38" i="165" s="1"/>
  <c r="F38" i="165" s="1"/>
  <c r="G36" i="161"/>
  <c r="J333" i="161"/>
  <c r="H36" i="161"/>
  <c r="K36" i="161"/>
  <c r="J36" i="161" s="1"/>
  <c r="F333" i="161"/>
  <c r="I333" i="157"/>
  <c r="L36" i="161"/>
  <c r="G333" i="161"/>
  <c r="H36" i="157"/>
  <c r="J36" i="157"/>
  <c r="I333" i="162"/>
  <c r="J333" i="162"/>
  <c r="F333" i="162"/>
  <c r="K333" i="162"/>
  <c r="G333" i="162"/>
  <c r="H333" i="162"/>
  <c r="H36" i="162"/>
  <c r="I36" i="162"/>
  <c r="J36" i="162"/>
  <c r="F36" i="162"/>
  <c r="K36" i="162"/>
  <c r="G36" i="162"/>
  <c r="H333" i="155"/>
  <c r="I333" i="155"/>
  <c r="J333" i="155"/>
  <c r="F333" i="155"/>
  <c r="K333" i="155"/>
  <c r="G333" i="155"/>
  <c r="K36" i="155"/>
  <c r="F36" i="155"/>
  <c r="L36" i="155"/>
  <c r="G36" i="155"/>
  <c r="H36" i="155"/>
  <c r="J36" i="155"/>
  <c r="I36" i="155" s="1"/>
  <c r="H530" i="159"/>
  <c r="K333" i="160"/>
  <c r="G333" i="160"/>
  <c r="H333" i="160"/>
  <c r="I333" i="160"/>
  <c r="J333" i="160"/>
  <c r="F333" i="160"/>
  <c r="K36" i="160"/>
  <c r="L36" i="160"/>
  <c r="H36" i="160"/>
  <c r="J36" i="160"/>
  <c r="I36" i="160" s="1"/>
  <c r="F36" i="160"/>
  <c r="G36" i="160"/>
  <c r="D492" i="9"/>
  <c r="F487" i="162"/>
  <c r="F485" i="162"/>
  <c r="F484" i="162"/>
  <c r="F480" i="162"/>
  <c r="F479" i="162"/>
  <c r="I476" i="9"/>
  <c r="H476" i="9"/>
  <c r="G476" i="9"/>
  <c r="D492" i="167" l="1"/>
  <c r="D492" i="166"/>
  <c r="D492" i="165"/>
  <c r="D492" i="164"/>
  <c r="D492" i="162"/>
  <c r="D492" i="158"/>
  <c r="D492" i="161"/>
  <c r="D492" i="160"/>
  <c r="D492" i="159"/>
  <c r="D492" i="155"/>
  <c r="D492" i="157"/>
  <c r="F481" i="9"/>
  <c r="F486" i="162"/>
  <c r="F488" i="162" s="1"/>
  <c r="K38" i="162"/>
  <c r="J38" i="162" s="1"/>
  <c r="I38" i="162" s="1"/>
  <c r="H38" i="162" s="1"/>
  <c r="G38" i="162" s="1"/>
  <c r="F38" i="162" s="1"/>
  <c r="F481" i="162"/>
  <c r="F488" i="9"/>
  <c r="F461" i="162" l="1"/>
  <c r="F462" i="9"/>
  <c r="F457" i="162" l="1"/>
  <c r="F458" i="9"/>
  <c r="F453" i="162"/>
  <c r="K450" i="9"/>
  <c r="J450" i="9"/>
  <c r="I450" i="9"/>
  <c r="H450" i="9"/>
  <c r="G450" i="9"/>
  <c r="F450" i="9"/>
  <c r="F446" i="162"/>
  <c r="I444" i="9"/>
  <c r="H444" i="9"/>
  <c r="G444" i="9"/>
  <c r="F430" i="162"/>
  <c r="F427" i="162"/>
  <c r="F421" i="162"/>
  <c r="F420" i="162"/>
  <c r="F418" i="162"/>
  <c r="F454" i="9" l="1"/>
  <c r="F423" i="162"/>
  <c r="F429" i="162"/>
  <c r="F426" i="162"/>
  <c r="F428" i="162"/>
  <c r="F417" i="162"/>
  <c r="F425" i="162"/>
  <c r="F424" i="162"/>
  <c r="F447" i="9"/>
  <c r="F465" i="9" l="1"/>
  <c r="I400" i="9"/>
  <c r="H400" i="9"/>
  <c r="G400" i="9"/>
  <c r="F388" i="162" l="1"/>
  <c r="F387" i="162"/>
  <c r="F382" i="162"/>
  <c r="F377" i="162" l="1"/>
  <c r="F385" i="162"/>
  <c r="F381" i="162"/>
  <c r="H375" i="9"/>
  <c r="F369" i="162"/>
  <c r="F368" i="162"/>
  <c r="K364" i="9"/>
  <c r="J364" i="9"/>
  <c r="I364" i="9"/>
  <c r="H364" i="9"/>
  <c r="G364" i="9"/>
  <c r="F364" i="9"/>
  <c r="F358" i="9"/>
  <c r="F354" i="9"/>
  <c r="I353" i="9"/>
  <c r="H353" i="9"/>
  <c r="I345" i="9"/>
  <c r="H345" i="9"/>
  <c r="G345" i="9"/>
  <c r="K333" i="9"/>
  <c r="J333" i="9"/>
  <c r="I333" i="9"/>
  <c r="G353" i="9" l="1"/>
  <c r="G354" i="9" s="1"/>
  <c r="F374" i="162"/>
  <c r="F367" i="162"/>
  <c r="F378" i="9"/>
  <c r="F371" i="162"/>
  <c r="F373" i="162"/>
  <c r="F357" i="162"/>
  <c r="F370" i="162"/>
  <c r="F372" i="162"/>
  <c r="I357" i="9"/>
  <c r="I358" i="9" s="1"/>
  <c r="F375" i="162"/>
  <c r="H333" i="9"/>
  <c r="G333" i="9"/>
  <c r="F333" i="9"/>
  <c r="F319" i="9"/>
  <c r="I316" i="9"/>
  <c r="H316" i="9"/>
  <c r="F310" i="9"/>
  <c r="I309" i="9"/>
  <c r="H309" i="9"/>
  <c r="F302" i="162"/>
  <c r="F301" i="162"/>
  <c r="I294" i="9"/>
  <c r="H294" i="9"/>
  <c r="G294" i="9"/>
  <c r="F258" i="162"/>
  <c r="F256" i="162"/>
  <c r="H255" i="9"/>
  <c r="H254" i="9"/>
  <c r="F253" i="162"/>
  <c r="F252" i="162"/>
  <c r="I249" i="9"/>
  <c r="H249" i="9"/>
  <c r="G249" i="9"/>
  <c r="F235" i="162"/>
  <c r="F233" i="162"/>
  <c r="F232" i="162"/>
  <c r="F222" i="162"/>
  <c r="F221" i="162"/>
  <c r="F220" i="162"/>
  <c r="F218" i="162"/>
  <c r="F207" i="162"/>
  <c r="F206" i="162"/>
  <c r="I202" i="9"/>
  <c r="H202" i="9"/>
  <c r="G202" i="9"/>
  <c r="C191" i="9"/>
  <c r="F316" i="159" l="1"/>
  <c r="H301" i="9"/>
  <c r="G309" i="9"/>
  <c r="F309" i="157" s="1"/>
  <c r="G309" i="157" s="1"/>
  <c r="C191" i="167"/>
  <c r="C191" i="166"/>
  <c r="C191" i="165"/>
  <c r="C191" i="164"/>
  <c r="C191" i="162"/>
  <c r="C191" i="158"/>
  <c r="C191" i="161"/>
  <c r="C191" i="160"/>
  <c r="C191" i="159"/>
  <c r="C191" i="155"/>
  <c r="C191" i="157"/>
  <c r="F264" i="162"/>
  <c r="F226" i="162"/>
  <c r="F255" i="162"/>
  <c r="F262" i="162"/>
  <c r="F210" i="162"/>
  <c r="F225" i="162"/>
  <c r="F234" i="162"/>
  <c r="F236" i="162" s="1"/>
  <c r="F254" i="162"/>
  <c r="F257" i="162"/>
  <c r="F260" i="162"/>
  <c r="F266" i="162"/>
  <c r="F270" i="162"/>
  <c r="F272" i="162"/>
  <c r="F378" i="162"/>
  <c r="H253" i="9"/>
  <c r="F215" i="9"/>
  <c r="F236" i="9"/>
  <c r="G316" i="9"/>
  <c r="F214" i="162"/>
  <c r="F219" i="162"/>
  <c r="F224" i="162"/>
  <c r="F259" i="162"/>
  <c r="F265" i="162"/>
  <c r="F269" i="162"/>
  <c r="F303" i="162"/>
  <c r="F303" i="9"/>
  <c r="F304" i="9" s="1"/>
  <c r="C10" i="5" s="1"/>
  <c r="F209" i="162"/>
  <c r="F212" i="162"/>
  <c r="F223" i="162"/>
  <c r="F227" i="162"/>
  <c r="F268" i="162"/>
  <c r="F278" i="162"/>
  <c r="I301" i="9"/>
  <c r="F228" i="162"/>
  <c r="F208" i="162"/>
  <c r="F211" i="162"/>
  <c r="F267" i="162"/>
  <c r="F271" i="162"/>
  <c r="H316" i="159" l="1"/>
  <c r="G316" i="159"/>
  <c r="F316" i="160" s="1"/>
  <c r="G301" i="9"/>
  <c r="F301" i="157" s="1"/>
  <c r="H309" i="157"/>
  <c r="I309" i="157"/>
  <c r="J309" i="9"/>
  <c r="K309" i="9" s="1"/>
  <c r="F215" i="162"/>
  <c r="F275" i="162"/>
  <c r="F316" i="157"/>
  <c r="J316" i="9"/>
  <c r="F301" i="159"/>
  <c r="F229" i="162"/>
  <c r="F238" i="9"/>
  <c r="I162" i="9"/>
  <c r="H162" i="9"/>
  <c r="G162" i="9"/>
  <c r="B161" i="9"/>
  <c r="F148" i="9"/>
  <c r="F147" i="9"/>
  <c r="F146" i="9"/>
  <c r="F146" i="162" s="1"/>
  <c r="F145" i="9"/>
  <c r="F144" i="9"/>
  <c r="F144" i="162" s="1"/>
  <c r="J301" i="9" l="1"/>
  <c r="K301" i="9" s="1"/>
  <c r="F238" i="162"/>
  <c r="F145" i="162"/>
  <c r="F148" i="162"/>
  <c r="I316" i="157"/>
  <c r="G316" i="157"/>
  <c r="H316" i="157"/>
  <c r="I301" i="157"/>
  <c r="G301" i="157"/>
  <c r="H301" i="157"/>
  <c r="F147" i="162"/>
  <c r="I316" i="160"/>
  <c r="J316" i="160"/>
  <c r="H316" i="160"/>
  <c r="K316" i="9"/>
  <c r="K595" i="9" s="1"/>
  <c r="F323" i="9"/>
  <c r="H301" i="159"/>
  <c r="G301" i="159" s="1"/>
  <c r="I301" i="159"/>
  <c r="F143" i="9"/>
  <c r="F139" i="9"/>
  <c r="F138" i="9"/>
  <c r="F137" i="9"/>
  <c r="F137" i="162" s="1"/>
  <c r="F136" i="9"/>
  <c r="F135" i="9"/>
  <c r="F135" i="162" s="1"/>
  <c r="F134" i="9"/>
  <c r="I134" i="9" s="1"/>
  <c r="F134" i="159" s="1"/>
  <c r="F123" i="162"/>
  <c r="F122" i="162"/>
  <c r="K119" i="9"/>
  <c r="J119" i="9"/>
  <c r="J170" i="9" s="1"/>
  <c r="I119" i="9"/>
  <c r="I170" i="9" s="1"/>
  <c r="H119" i="9"/>
  <c r="H170" i="9" s="1"/>
  <c r="G119" i="9"/>
  <c r="G170" i="9" s="1"/>
  <c r="F119" i="9"/>
  <c r="F170" i="9" s="1"/>
  <c r="F114" i="162"/>
  <c r="I112" i="9"/>
  <c r="H112" i="9"/>
  <c r="G112" i="9"/>
  <c r="F98" i="9"/>
  <c r="F97" i="9"/>
  <c r="F96" i="9"/>
  <c r="F96" i="162" s="1"/>
  <c r="F95" i="9"/>
  <c r="F94" i="9"/>
  <c r="F93" i="9"/>
  <c r="F93" i="162" s="1"/>
  <c r="F89" i="9"/>
  <c r="F88" i="9"/>
  <c r="F87" i="9"/>
  <c r="F87" i="162" s="1"/>
  <c r="F86" i="9"/>
  <c r="F85" i="9"/>
  <c r="F84" i="9"/>
  <c r="F84" i="162" s="1"/>
  <c r="I76" i="9"/>
  <c r="F74" i="162"/>
  <c r="H70" i="9"/>
  <c r="F69" i="162"/>
  <c r="K63" i="9"/>
  <c r="J63" i="9"/>
  <c r="J169" i="9" s="1"/>
  <c r="I63" i="9"/>
  <c r="I169" i="9" s="1"/>
  <c r="H63" i="9"/>
  <c r="G63" i="9"/>
  <c r="G169" i="9" s="1"/>
  <c r="F63" i="9"/>
  <c r="F169" i="9" s="1"/>
  <c r="F57" i="162"/>
  <c r="I55" i="9"/>
  <c r="H55" i="9"/>
  <c r="G55" i="9"/>
  <c r="F40" i="9"/>
  <c r="K36" i="9"/>
  <c r="J36" i="9"/>
  <c r="I36" i="9"/>
  <c r="H36" i="9"/>
  <c r="G36" i="9"/>
  <c r="F36" i="9"/>
  <c r="F31" i="9"/>
  <c r="D29" i="9"/>
  <c r="F27" i="9"/>
  <c r="F19" i="9"/>
  <c r="I29" i="168"/>
  <c r="G29" i="168"/>
  <c r="E29" i="168"/>
  <c r="C29" i="168"/>
  <c r="B21" i="168"/>
  <c r="A8" i="168"/>
  <c r="A7" i="168"/>
  <c r="A4" i="168"/>
  <c r="A2" i="168"/>
  <c r="A1" i="168"/>
  <c r="C71" i="5"/>
  <c r="E68" i="5"/>
  <c r="C63" i="5"/>
  <c r="D40" i="5"/>
  <c r="C39" i="5"/>
  <c r="C38" i="5"/>
  <c r="J171" i="9" l="1"/>
  <c r="C40" i="5"/>
  <c r="E39" i="5" s="1"/>
  <c r="K169" i="9"/>
  <c r="F171" i="9"/>
  <c r="K170" i="9" s="1"/>
  <c r="I171" i="9"/>
  <c r="H169" i="9"/>
  <c r="E38" i="5"/>
  <c r="G316" i="160"/>
  <c r="G316" i="164" s="1"/>
  <c r="F59" i="9"/>
  <c r="F65" i="9" s="1"/>
  <c r="H76" i="9"/>
  <c r="F76" i="158" s="1"/>
  <c r="I76" i="158" s="1"/>
  <c r="K38" i="9"/>
  <c r="E57" i="5"/>
  <c r="F68" i="162"/>
  <c r="F126" i="162"/>
  <c r="F770" i="158"/>
  <c r="F770" i="159"/>
  <c r="F770" i="9"/>
  <c r="F138" i="162"/>
  <c r="F72" i="162"/>
  <c r="F768" i="158"/>
  <c r="F768" i="159"/>
  <c r="F768" i="9"/>
  <c r="F75" i="162"/>
  <c r="F775" i="158"/>
  <c r="F775" i="159"/>
  <c r="F775" i="9"/>
  <c r="F86" i="162"/>
  <c r="F89" i="162"/>
  <c r="F95" i="162"/>
  <c r="F98" i="162"/>
  <c r="F128" i="162"/>
  <c r="F134" i="162"/>
  <c r="J301" i="157"/>
  <c r="F115" i="9"/>
  <c r="F165" i="9" s="1"/>
  <c r="H124" i="9"/>
  <c r="H130" i="9"/>
  <c r="F140" i="9"/>
  <c r="F88" i="162"/>
  <c r="F94" i="162"/>
  <c r="F97" i="162"/>
  <c r="F127" i="162"/>
  <c r="F776" i="158"/>
  <c r="F776" i="159"/>
  <c r="F776" i="9"/>
  <c r="I134" i="159"/>
  <c r="F136" i="162"/>
  <c r="F139" i="162"/>
  <c r="J301" i="159"/>
  <c r="F301" i="155"/>
  <c r="F124" i="162"/>
  <c r="F130" i="162"/>
  <c r="G316" i="166"/>
  <c r="F316" i="155"/>
  <c r="F85" i="162"/>
  <c r="F71" i="162"/>
  <c r="F767" i="158"/>
  <c r="F767" i="159"/>
  <c r="F767" i="9"/>
  <c r="F70" i="162"/>
  <c r="F73" i="162"/>
  <c r="F774" i="158"/>
  <c r="F774" i="159"/>
  <c r="F774" i="9"/>
  <c r="F76" i="162"/>
  <c r="F129" i="162"/>
  <c r="F777" i="158"/>
  <c r="F777" i="159"/>
  <c r="F777" i="9"/>
  <c r="F143" i="162"/>
  <c r="F149" i="9"/>
  <c r="I143" i="9"/>
  <c r="F301" i="161"/>
  <c r="G316" i="165"/>
  <c r="G316" i="167"/>
  <c r="F78" i="9"/>
  <c r="J38" i="9"/>
  <c r="I38" i="9" s="1"/>
  <c r="H38" i="9" s="1"/>
  <c r="G38" i="9" s="1"/>
  <c r="F38" i="9" s="1"/>
  <c r="F90" i="9"/>
  <c r="F99" i="9"/>
  <c r="I130" i="9"/>
  <c r="C37" i="5"/>
  <c r="E40" i="5" l="1"/>
  <c r="H76" i="158"/>
  <c r="G76" i="9"/>
  <c r="J76" i="9" s="1"/>
  <c r="K76" i="9" s="1"/>
  <c r="G76" i="158"/>
  <c r="K316" i="160"/>
  <c r="L316" i="160" s="1"/>
  <c r="F90" i="162"/>
  <c r="H171" i="9"/>
  <c r="G171" i="9" s="1"/>
  <c r="K171" i="9"/>
  <c r="G130" i="9"/>
  <c r="J130" i="9" s="1"/>
  <c r="K130" i="9" s="1"/>
  <c r="F182" i="9"/>
  <c r="F778" i="159"/>
  <c r="K301" i="159"/>
  <c r="F143" i="159"/>
  <c r="H316" i="155"/>
  <c r="H301" i="155"/>
  <c r="F140" i="162"/>
  <c r="F80" i="9"/>
  <c r="J301" i="161"/>
  <c r="H301" i="161"/>
  <c r="I301" i="161"/>
  <c r="F149" i="162"/>
  <c r="L764" i="155"/>
  <c r="H134" i="159"/>
  <c r="G134" i="159" s="1"/>
  <c r="F99" i="162"/>
  <c r="F778" i="9"/>
  <c r="F778" i="158"/>
  <c r="K301" i="157"/>
  <c r="F78" i="162"/>
  <c r="C31" i="5"/>
  <c r="E31" i="5" s="1"/>
  <c r="F76" i="157" l="1"/>
  <c r="I76" i="157" s="1"/>
  <c r="F130" i="157"/>
  <c r="I130" i="157" s="1"/>
  <c r="G301" i="161"/>
  <c r="I301" i="164" s="1"/>
  <c r="F134" i="160"/>
  <c r="J134" i="159"/>
  <c r="F188" i="162"/>
  <c r="F759" i="158"/>
  <c r="F759" i="9"/>
  <c r="H301" i="165"/>
  <c r="F174" i="162"/>
  <c r="F80" i="162"/>
  <c r="I301" i="165"/>
  <c r="H316" i="165"/>
  <c r="I301" i="166"/>
  <c r="I301" i="167"/>
  <c r="I143" i="159"/>
  <c r="F759" i="159"/>
  <c r="C30" i="5"/>
  <c r="E30" i="5" s="1"/>
  <c r="G76" i="157" l="1"/>
  <c r="H76" i="157"/>
  <c r="H130" i="157"/>
  <c r="G130" i="157" s="1"/>
  <c r="J130" i="157" s="1"/>
  <c r="K130" i="157" s="1"/>
  <c r="H143" i="159"/>
  <c r="G143" i="159" s="1"/>
  <c r="K134" i="159"/>
  <c r="J134" i="160"/>
  <c r="H134" i="160"/>
  <c r="I134" i="160"/>
  <c r="G134" i="160" l="1"/>
  <c r="K134" i="160" s="1"/>
  <c r="F143" i="160"/>
  <c r="J143" i="159"/>
  <c r="L764" i="160"/>
  <c r="C22" i="5"/>
  <c r="D20" i="5"/>
  <c r="G134" i="164" l="1"/>
  <c r="L134" i="160"/>
  <c r="I143" i="160"/>
  <c r="J143" i="160"/>
  <c r="H143" i="160"/>
  <c r="K143" i="159"/>
  <c r="E22" i="5"/>
  <c r="C19" i="5"/>
  <c r="E19" i="5" s="1"/>
  <c r="G143" i="165" l="1"/>
  <c r="G143" i="166"/>
  <c r="G143" i="167"/>
  <c r="G143" i="160"/>
  <c r="C18" i="5"/>
  <c r="E18" i="5" s="1"/>
  <c r="C17" i="5"/>
  <c r="E17" i="5" s="1"/>
  <c r="C16" i="5"/>
  <c r="G143" i="164" l="1"/>
  <c r="K143" i="160"/>
  <c r="E16" i="5"/>
  <c r="C15" i="5"/>
  <c r="E15" i="5" s="1"/>
  <c r="C14" i="5"/>
  <c r="C20" i="5" l="1"/>
  <c r="E20" i="5" s="1"/>
  <c r="E14" i="5"/>
  <c r="L143" i="160"/>
  <c r="E9" i="5"/>
  <c r="F43" i="9" l="1"/>
  <c r="F44" i="9" s="1"/>
  <c r="F763" i="9"/>
  <c r="K38" i="157"/>
  <c r="J38" i="157"/>
  <c r="I38" i="157"/>
  <c r="H38" i="157"/>
  <c r="G38" i="157"/>
  <c r="F38" i="157"/>
  <c r="K883" i="9"/>
  <c r="I883" i="9"/>
  <c r="H883" i="9"/>
  <c r="G883" i="9"/>
  <c r="L38" i="155"/>
  <c r="K38" i="155"/>
  <c r="J38" i="155"/>
  <c r="I38" i="155"/>
  <c r="H38" i="155"/>
  <c r="G38" i="155"/>
  <c r="F38" i="155"/>
  <c r="K38" i="159"/>
  <c r="J38" i="159"/>
  <c r="I38" i="159"/>
  <c r="H38" i="159"/>
  <c r="G38" i="159"/>
  <c r="F38" i="159"/>
  <c r="L38" i="160"/>
  <c r="K38" i="160"/>
  <c r="J38" i="160"/>
  <c r="I38" i="160"/>
  <c r="H38" i="160"/>
  <c r="G38" i="160"/>
  <c r="F38" i="160"/>
  <c r="L38" i="161"/>
  <c r="K38" i="161"/>
  <c r="J38" i="161"/>
  <c r="I38" i="161"/>
  <c r="H38" i="161"/>
  <c r="G38" i="161"/>
  <c r="F38" i="161"/>
  <c r="K43" i="158"/>
  <c r="K38" i="158"/>
  <c r="J38" i="158"/>
  <c r="I38" i="158"/>
  <c r="H38" i="158"/>
  <c r="G38" i="158"/>
  <c r="F38" i="158"/>
  <c r="F855" i="158"/>
  <c r="F310" i="162"/>
  <c r="D35" i="6"/>
  <c r="D20" i="7"/>
  <c r="D35" i="7" s="1"/>
  <c r="G20" i="7" l="1"/>
  <c r="F187" i="9"/>
  <c r="F188" i="9"/>
  <c r="H708" i="9"/>
  <c r="H93" i="9" s="1"/>
  <c r="F174" i="9"/>
  <c r="I93" i="9"/>
  <c r="F93" i="159" s="1"/>
  <c r="I714" i="9"/>
  <c r="I738" i="9"/>
  <c r="I375" i="9" s="1"/>
  <c r="F183" i="9"/>
  <c r="F184" i="9" s="1"/>
  <c r="I84" i="9"/>
  <c r="F84" i="159" s="1"/>
  <c r="H84" i="159" s="1"/>
  <c r="F76" i="159"/>
  <c r="G76" i="159" s="1"/>
  <c r="F76" i="160" s="1"/>
  <c r="I76" i="160" s="1"/>
  <c r="G76" i="166" s="1"/>
  <c r="F130" i="159"/>
  <c r="H130" i="159" s="1"/>
  <c r="F143" i="161"/>
  <c r="H143" i="161" s="1"/>
  <c r="I143" i="165" s="1"/>
  <c r="F134" i="161"/>
  <c r="H134" i="161" s="1"/>
  <c r="F76" i="155"/>
  <c r="I76" i="155" s="1"/>
  <c r="H76" i="166" s="1"/>
  <c r="F130" i="155"/>
  <c r="I130" i="155" s="1"/>
  <c r="H130" i="166" s="1"/>
  <c r="I708" i="155"/>
  <c r="I716" i="155"/>
  <c r="J708" i="155"/>
  <c r="J716" i="155"/>
  <c r="F358" i="162"/>
  <c r="F462" i="162"/>
  <c r="F458" i="162"/>
  <c r="F454" i="162"/>
  <c r="F447" i="162"/>
  <c r="F187" i="162"/>
  <c r="F189" i="162" s="1"/>
  <c r="F182" i="162"/>
  <c r="F183" i="162"/>
  <c r="F59" i="162"/>
  <c r="F323" i="162"/>
  <c r="F304" i="162"/>
  <c r="F536" i="162"/>
  <c r="F544" i="162" s="1"/>
  <c r="F639" i="162"/>
  <c r="K708" i="160"/>
  <c r="L708" i="160" s="1"/>
  <c r="H852" i="155"/>
  <c r="J852" i="161"/>
  <c r="K852" i="161" s="1"/>
  <c r="L852" i="161" s="1"/>
  <c r="F499" i="9"/>
  <c r="F301" i="160"/>
  <c r="J301" i="160" s="1"/>
  <c r="F375" i="158"/>
  <c r="H375" i="158" s="1"/>
  <c r="F301" i="158"/>
  <c r="H301" i="158" s="1"/>
  <c r="F70" i="158"/>
  <c r="H70" i="158" s="1"/>
  <c r="F124" i="158"/>
  <c r="H124" i="158" s="1"/>
  <c r="F130" i="158"/>
  <c r="I130" i="158" s="1"/>
  <c r="G707" i="158"/>
  <c r="J707" i="158" s="1"/>
  <c r="K707" i="158" s="1"/>
  <c r="F253" i="158"/>
  <c r="H253" i="158" s="1"/>
  <c r="F254" i="158"/>
  <c r="I254" i="158" s="1"/>
  <c r="F255" i="158"/>
  <c r="H255" i="158" s="1"/>
  <c r="I738" i="158"/>
  <c r="J738" i="158" s="1"/>
  <c r="K738" i="158" s="1"/>
  <c r="J76" i="158"/>
  <c r="K76" i="158" s="1"/>
  <c r="G134" i="167"/>
  <c r="I718" i="158"/>
  <c r="I627" i="158" s="1"/>
  <c r="J627" i="158" s="1"/>
  <c r="K627" i="158" s="1"/>
  <c r="G134" i="166"/>
  <c r="G134" i="165"/>
  <c r="K301" i="161"/>
  <c r="L301" i="161" s="1"/>
  <c r="J76" i="157"/>
  <c r="K76" i="157" s="1"/>
  <c r="F81" i="9"/>
  <c r="F101" i="9" s="1"/>
  <c r="C3" i="5" s="1"/>
  <c r="I316" i="159"/>
  <c r="I718" i="9"/>
  <c r="J718" i="9" s="1"/>
  <c r="K718" i="9" s="1"/>
  <c r="I849" i="9"/>
  <c r="J849" i="9" s="1"/>
  <c r="K849" i="9" s="1"/>
  <c r="I852" i="9"/>
  <c r="J852" i="9" s="1"/>
  <c r="K852" i="9" s="1"/>
  <c r="F28" i="49"/>
  <c r="F316" i="158"/>
  <c r="J316" i="157"/>
  <c r="F886" i="9"/>
  <c r="K764" i="161"/>
  <c r="L764" i="161" s="1"/>
  <c r="J309" i="157"/>
  <c r="K309" i="157" s="1"/>
  <c r="J353" i="9"/>
  <c r="I354" i="9"/>
  <c r="H354" i="9"/>
  <c r="I530" i="159"/>
  <c r="G530" i="159" s="1"/>
  <c r="F530" i="157"/>
  <c r="H530" i="157" s="1"/>
  <c r="F627" i="157"/>
  <c r="J736" i="9"/>
  <c r="K736" i="9" s="1"/>
  <c r="F625" i="157"/>
  <c r="F855" i="9"/>
  <c r="F855" i="157"/>
  <c r="J714" i="157"/>
  <c r="K714" i="157" s="1"/>
  <c r="J736" i="157"/>
  <c r="K736" i="157" s="1"/>
  <c r="F562" i="157"/>
  <c r="F309" i="155"/>
  <c r="F855" i="155"/>
  <c r="K714" i="155"/>
  <c r="P714" i="155" s="1"/>
  <c r="K738" i="155"/>
  <c r="P738" i="155" s="1"/>
  <c r="K736" i="155"/>
  <c r="P736" i="155" s="1"/>
  <c r="K718" i="155"/>
  <c r="L718" i="155" s="1"/>
  <c r="F562" i="155"/>
  <c r="F309" i="159"/>
  <c r="F357" i="159"/>
  <c r="I357" i="159" s="1"/>
  <c r="I358" i="159" s="1"/>
  <c r="I735" i="159"/>
  <c r="F855" i="159"/>
  <c r="F891" i="159"/>
  <c r="K714" i="160"/>
  <c r="K716" i="160"/>
  <c r="P716" i="160" s="1"/>
  <c r="K718" i="160"/>
  <c r="P718" i="160" s="1"/>
  <c r="K736" i="160"/>
  <c r="P736" i="160" s="1"/>
  <c r="K738" i="160"/>
  <c r="L738" i="160" s="1"/>
  <c r="F562" i="160"/>
  <c r="K714" i="161"/>
  <c r="P714" i="161" s="1"/>
  <c r="K708" i="161"/>
  <c r="L708" i="161" s="1"/>
  <c r="K738" i="161"/>
  <c r="P738" i="161" s="1"/>
  <c r="K762" i="161"/>
  <c r="L762" i="161" s="1"/>
  <c r="F855" i="161"/>
  <c r="F640" i="161" s="1"/>
  <c r="F562" i="161"/>
  <c r="F309" i="158"/>
  <c r="H309" i="158" s="1"/>
  <c r="J714" i="158"/>
  <c r="K714" i="158" s="1"/>
  <c r="J736" i="158"/>
  <c r="K736" i="158" s="1"/>
  <c r="J735" i="158"/>
  <c r="K735" i="158" s="1"/>
  <c r="F891" i="158"/>
  <c r="I354" i="164"/>
  <c r="G354" i="164"/>
  <c r="I354" i="166"/>
  <c r="G354" i="166"/>
  <c r="I354" i="167"/>
  <c r="G354" i="167"/>
  <c r="J316" i="159" l="1"/>
  <c r="H316" i="158"/>
  <c r="H595" i="158" s="1"/>
  <c r="F595" i="158"/>
  <c r="K316" i="157"/>
  <c r="H134" i="9"/>
  <c r="G134" i="9" s="1"/>
  <c r="J134" i="9" s="1"/>
  <c r="K134" i="9" s="1"/>
  <c r="H530" i="9"/>
  <c r="J530" i="9" s="1"/>
  <c r="K530" i="9" s="1"/>
  <c r="P708" i="160"/>
  <c r="J708" i="9"/>
  <c r="K708" i="9" s="1"/>
  <c r="H357" i="9"/>
  <c r="G357" i="9" s="1"/>
  <c r="F357" i="157" s="1"/>
  <c r="H84" i="9"/>
  <c r="F84" i="158" s="1"/>
  <c r="O738" i="158"/>
  <c r="J316" i="155"/>
  <c r="H316" i="167" s="1"/>
  <c r="F886" i="162"/>
  <c r="I301" i="155"/>
  <c r="H301" i="166" s="1"/>
  <c r="I353" i="155"/>
  <c r="H353" i="166" s="1"/>
  <c r="J353" i="166" s="1"/>
  <c r="J354" i="166" s="1"/>
  <c r="I316" i="155"/>
  <c r="H316" i="166" s="1"/>
  <c r="I309" i="155"/>
  <c r="H309" i="166" s="1"/>
  <c r="J718" i="158"/>
  <c r="K718" i="158" s="1"/>
  <c r="G301" i="158"/>
  <c r="J738" i="9"/>
  <c r="K738" i="9" s="1"/>
  <c r="O718" i="158"/>
  <c r="I375" i="158"/>
  <c r="G375" i="158" s="1"/>
  <c r="J375" i="158" s="1"/>
  <c r="K375" i="158" s="1"/>
  <c r="G716" i="155"/>
  <c r="K716" i="155" s="1"/>
  <c r="L716" i="155" s="1"/>
  <c r="J353" i="155"/>
  <c r="J301" i="155"/>
  <c r="H301" i="167" s="1"/>
  <c r="H76" i="155"/>
  <c r="H76" i="165" s="1"/>
  <c r="H143" i="9"/>
  <c r="F357" i="161"/>
  <c r="F358" i="161" s="1"/>
  <c r="J714" i="9"/>
  <c r="K714" i="9" s="1"/>
  <c r="I301" i="158"/>
  <c r="I253" i="9"/>
  <c r="F253" i="159" s="1"/>
  <c r="H253" i="159" s="1"/>
  <c r="I254" i="9"/>
  <c r="F254" i="159" s="1"/>
  <c r="I254" i="159" s="1"/>
  <c r="F254" i="161" s="1"/>
  <c r="I255" i="9"/>
  <c r="F255" i="159" s="1"/>
  <c r="I255" i="159" s="1"/>
  <c r="F255" i="161" s="1"/>
  <c r="I625" i="158"/>
  <c r="J625" i="158" s="1"/>
  <c r="K625" i="158" s="1"/>
  <c r="H130" i="158"/>
  <c r="G130" i="158" s="1"/>
  <c r="J130" i="158" s="1"/>
  <c r="J134" i="161"/>
  <c r="I134" i="167" s="1"/>
  <c r="F184" i="162"/>
  <c r="I84" i="159"/>
  <c r="F84" i="161" s="1"/>
  <c r="H84" i="161" s="1"/>
  <c r="I84" i="165" s="1"/>
  <c r="I530" i="157"/>
  <c r="G530" i="157" s="1"/>
  <c r="J530" i="157" s="1"/>
  <c r="K530" i="157" s="1"/>
  <c r="I76" i="159"/>
  <c r="F76" i="161" s="1"/>
  <c r="J76" i="161" s="1"/>
  <c r="I76" i="167" s="1"/>
  <c r="G708" i="155"/>
  <c r="K708" i="155" s="1"/>
  <c r="L708" i="155" s="1"/>
  <c r="H76" i="160"/>
  <c r="H357" i="159"/>
  <c r="H358" i="159" s="1"/>
  <c r="J76" i="160"/>
  <c r="G76" i="167" s="1"/>
  <c r="G84" i="159"/>
  <c r="F84" i="160" s="1"/>
  <c r="J84" i="160" s="1"/>
  <c r="G84" i="167" s="1"/>
  <c r="I124" i="158"/>
  <c r="I301" i="160"/>
  <c r="G301" i="166" s="1"/>
  <c r="P738" i="160"/>
  <c r="H254" i="158"/>
  <c r="G254" i="158" s="1"/>
  <c r="J254" i="158" s="1"/>
  <c r="K254" i="158" s="1"/>
  <c r="H93" i="159"/>
  <c r="G93" i="159"/>
  <c r="I93" i="159"/>
  <c r="F93" i="161" s="1"/>
  <c r="H93" i="161" s="1"/>
  <c r="I93" i="165" s="1"/>
  <c r="F93" i="158"/>
  <c r="G93" i="9"/>
  <c r="G309" i="158"/>
  <c r="I309" i="158"/>
  <c r="I255" i="158"/>
  <c r="G255" i="158" s="1"/>
  <c r="J255" i="158" s="1"/>
  <c r="K255" i="158" s="1"/>
  <c r="J852" i="155"/>
  <c r="I130" i="159"/>
  <c r="F130" i="161" s="1"/>
  <c r="H130" i="161" s="1"/>
  <c r="I130" i="165" s="1"/>
  <c r="F640" i="158"/>
  <c r="F640" i="159"/>
  <c r="F640" i="155"/>
  <c r="F640" i="157"/>
  <c r="F640" i="9"/>
  <c r="F641" i="9" s="1"/>
  <c r="F644" i="9" s="1"/>
  <c r="P718" i="155"/>
  <c r="F316" i="161"/>
  <c r="H316" i="161" s="1"/>
  <c r="I70" i="9"/>
  <c r="F70" i="159" s="1"/>
  <c r="I253" i="158"/>
  <c r="G253" i="158" s="1"/>
  <c r="J253" i="158" s="1"/>
  <c r="K253" i="158" s="1"/>
  <c r="J76" i="155"/>
  <c r="K353" i="9"/>
  <c r="K354" i="9" s="1"/>
  <c r="J354" i="9"/>
  <c r="F12" i="9"/>
  <c r="J130" i="155"/>
  <c r="H130" i="167" s="1"/>
  <c r="H130" i="155"/>
  <c r="H130" i="165" s="1"/>
  <c r="P714" i="160"/>
  <c r="L714" i="160"/>
  <c r="G309" i="159"/>
  <c r="H309" i="159"/>
  <c r="I309" i="159"/>
  <c r="F309" i="161" s="1"/>
  <c r="H309" i="161" s="1"/>
  <c r="I625" i="9"/>
  <c r="I627" i="9"/>
  <c r="I134" i="165"/>
  <c r="G736" i="159"/>
  <c r="I736" i="159"/>
  <c r="G625" i="157"/>
  <c r="H625" i="157"/>
  <c r="F625" i="155" s="1"/>
  <c r="H627" i="157"/>
  <c r="F627" i="155" s="1"/>
  <c r="H627" i="155" s="1"/>
  <c r="H627" i="165" s="1"/>
  <c r="I627" i="157"/>
  <c r="G627" i="157"/>
  <c r="H708" i="158"/>
  <c r="G708" i="158"/>
  <c r="I708" i="158"/>
  <c r="G70" i="158"/>
  <c r="I70" i="158"/>
  <c r="F164" i="162"/>
  <c r="F65" i="162"/>
  <c r="F81" i="162" s="1"/>
  <c r="F101" i="162" s="1"/>
  <c r="F12" i="162" s="1"/>
  <c r="F13" i="49" s="1"/>
  <c r="P762" i="161"/>
  <c r="L736" i="160"/>
  <c r="F358" i="159"/>
  <c r="F465" i="162"/>
  <c r="F499" i="162" s="1"/>
  <c r="F189" i="9"/>
  <c r="I852" i="155"/>
  <c r="J143" i="161"/>
  <c r="I143" i="167" s="1"/>
  <c r="I143" i="161"/>
  <c r="I143" i="166" s="1"/>
  <c r="I124" i="9"/>
  <c r="J530" i="159"/>
  <c r="K530" i="159" s="1"/>
  <c r="F530" i="160"/>
  <c r="L738" i="161"/>
  <c r="P708" i="161"/>
  <c r="L714" i="161"/>
  <c r="L716" i="160"/>
  <c r="L718" i="160"/>
  <c r="F530" i="155"/>
  <c r="L714" i="155"/>
  <c r="J309" i="155"/>
  <c r="H309" i="167" s="1"/>
  <c r="F530" i="161"/>
  <c r="I316" i="158"/>
  <c r="I595" i="158" s="1"/>
  <c r="L736" i="155"/>
  <c r="L738" i="155"/>
  <c r="I625" i="157"/>
  <c r="H736" i="159"/>
  <c r="J735" i="159"/>
  <c r="K735" i="159" s="1"/>
  <c r="H309" i="155"/>
  <c r="G316" i="158"/>
  <c r="G595" i="158" s="1"/>
  <c r="G301" i="167"/>
  <c r="H301" i="160"/>
  <c r="G375" i="9"/>
  <c r="F375" i="159"/>
  <c r="I134" i="161"/>
  <c r="H76" i="159"/>
  <c r="K316" i="159" l="1"/>
  <c r="K595" i="159" s="1"/>
  <c r="F530" i="158"/>
  <c r="H530" i="158" s="1"/>
  <c r="F134" i="157"/>
  <c r="I134" i="157" s="1"/>
  <c r="F134" i="158"/>
  <c r="I134" i="158" s="1"/>
  <c r="G84" i="158"/>
  <c r="G358" i="9"/>
  <c r="F357" i="158"/>
  <c r="F358" i="158" s="1"/>
  <c r="J357" i="9"/>
  <c r="J358" i="9" s="1"/>
  <c r="H358" i="9"/>
  <c r="I84" i="158"/>
  <c r="G84" i="9"/>
  <c r="J84" i="9" s="1"/>
  <c r="K84" i="9" s="1"/>
  <c r="J301" i="158"/>
  <c r="K301" i="158" s="1"/>
  <c r="P716" i="155"/>
  <c r="I354" i="155"/>
  <c r="J301" i="166"/>
  <c r="G316" i="155"/>
  <c r="K316" i="155" s="1"/>
  <c r="L316" i="155" s="1"/>
  <c r="I353" i="162"/>
  <c r="I354" i="162" s="1"/>
  <c r="G353" i="155"/>
  <c r="H353" i="164" s="1"/>
  <c r="P708" i="155"/>
  <c r="H354" i="166"/>
  <c r="I93" i="161"/>
  <c r="I93" i="166" s="1"/>
  <c r="I301" i="162"/>
  <c r="F301" i="166" s="1"/>
  <c r="F19" i="162"/>
  <c r="F20" i="49" s="1"/>
  <c r="H254" i="159"/>
  <c r="G254" i="159" s="1"/>
  <c r="J254" i="159" s="1"/>
  <c r="K254" i="159" s="1"/>
  <c r="G254" i="9"/>
  <c r="F254" i="157" s="1"/>
  <c r="I253" i="159"/>
  <c r="F253" i="161" s="1"/>
  <c r="H84" i="160"/>
  <c r="G84" i="165" s="1"/>
  <c r="J309" i="158"/>
  <c r="K309" i="158" s="1"/>
  <c r="G255" i="9"/>
  <c r="J255" i="9" s="1"/>
  <c r="K255" i="9" s="1"/>
  <c r="H255" i="159"/>
  <c r="G255" i="159" s="1"/>
  <c r="J255" i="159" s="1"/>
  <c r="K255" i="159" s="1"/>
  <c r="J93" i="161"/>
  <c r="I93" i="167" s="1"/>
  <c r="I357" i="161"/>
  <c r="I358" i="161" s="1"/>
  <c r="J130" i="161"/>
  <c r="I130" i="167" s="1"/>
  <c r="G124" i="158"/>
  <c r="J124" i="158" s="1"/>
  <c r="K124" i="158" s="1"/>
  <c r="H357" i="161"/>
  <c r="I357" i="165" s="1"/>
  <c r="I358" i="165" s="1"/>
  <c r="G253" i="9"/>
  <c r="J253" i="9" s="1"/>
  <c r="G852" i="155"/>
  <c r="K852" i="155" s="1"/>
  <c r="L852" i="155" s="1"/>
  <c r="J357" i="161"/>
  <c r="I357" i="167" s="1"/>
  <c r="I358" i="167" s="1"/>
  <c r="J309" i="159"/>
  <c r="K309" i="159" s="1"/>
  <c r="I84" i="161"/>
  <c r="I84" i="166" s="1"/>
  <c r="F309" i="160"/>
  <c r="H309" i="160" s="1"/>
  <c r="G309" i="165" s="1"/>
  <c r="J84" i="161"/>
  <c r="I84" i="167" s="1"/>
  <c r="J354" i="155"/>
  <c r="H353" i="167"/>
  <c r="J353" i="162"/>
  <c r="I130" i="161"/>
  <c r="I130" i="166" s="1"/>
  <c r="J625" i="157"/>
  <c r="K625" i="157" s="1"/>
  <c r="G357" i="159"/>
  <c r="J357" i="159" s="1"/>
  <c r="G130" i="159"/>
  <c r="J130" i="159" s="1"/>
  <c r="K130" i="159" s="1"/>
  <c r="J301" i="162"/>
  <c r="F301" i="167" s="1"/>
  <c r="O736" i="159"/>
  <c r="G301" i="155"/>
  <c r="K301" i="155" s="1"/>
  <c r="L301" i="155" s="1"/>
  <c r="G143" i="9"/>
  <c r="F143" i="158"/>
  <c r="H143" i="158" s="1"/>
  <c r="H93" i="158"/>
  <c r="I76" i="161"/>
  <c r="I76" i="162" s="1"/>
  <c r="F76" i="166" s="1"/>
  <c r="G130" i="155"/>
  <c r="H130" i="164" s="1"/>
  <c r="G93" i="158"/>
  <c r="J76" i="159"/>
  <c r="K76" i="159" s="1"/>
  <c r="H76" i="161"/>
  <c r="H76" i="162" s="1"/>
  <c r="F76" i="165" s="1"/>
  <c r="I84" i="160"/>
  <c r="G84" i="166" s="1"/>
  <c r="J84" i="159"/>
  <c r="K84" i="159" s="1"/>
  <c r="G76" i="160"/>
  <c r="G76" i="165"/>
  <c r="J316" i="161"/>
  <c r="I316" i="161"/>
  <c r="J93" i="9"/>
  <c r="K93" i="9" s="1"/>
  <c r="F93" i="157"/>
  <c r="J76" i="162"/>
  <c r="F76" i="167" s="1"/>
  <c r="H76" i="167"/>
  <c r="J76" i="167" s="1"/>
  <c r="J93" i="159"/>
  <c r="K93" i="159" s="1"/>
  <c r="F93" i="160"/>
  <c r="H84" i="158"/>
  <c r="G70" i="9"/>
  <c r="F70" i="157" s="1"/>
  <c r="G76" i="155"/>
  <c r="J70" i="158"/>
  <c r="G124" i="9"/>
  <c r="F124" i="159"/>
  <c r="G70" i="159"/>
  <c r="I70" i="159"/>
  <c r="F70" i="161" s="1"/>
  <c r="H70" i="159"/>
  <c r="J627" i="155"/>
  <c r="H627" i="167" s="1"/>
  <c r="F625" i="159"/>
  <c r="J625" i="9"/>
  <c r="K625" i="9" s="1"/>
  <c r="I627" i="155"/>
  <c r="H627" i="166" s="1"/>
  <c r="J627" i="157"/>
  <c r="K627" i="157" s="1"/>
  <c r="G143" i="161"/>
  <c r="K130" i="158"/>
  <c r="I93" i="158"/>
  <c r="J708" i="158"/>
  <c r="K708" i="158" s="1"/>
  <c r="O708" i="158"/>
  <c r="I625" i="155"/>
  <c r="H625" i="166" s="1"/>
  <c r="H625" i="155"/>
  <c r="J625" i="155"/>
  <c r="H625" i="167" s="1"/>
  <c r="J627" i="9"/>
  <c r="K627" i="9" s="1"/>
  <c r="F627" i="159"/>
  <c r="J309" i="161"/>
  <c r="I309" i="167" s="1"/>
  <c r="I309" i="161"/>
  <c r="I309" i="166" s="1"/>
  <c r="E3" i="5"/>
  <c r="I375" i="159"/>
  <c r="F375" i="161" s="1"/>
  <c r="H375" i="159"/>
  <c r="J254" i="161"/>
  <c r="I254" i="161"/>
  <c r="H254" i="161"/>
  <c r="I309" i="165"/>
  <c r="J736" i="159"/>
  <c r="K736" i="159" s="1"/>
  <c r="G134" i="161"/>
  <c r="I134" i="166"/>
  <c r="G309" i="155"/>
  <c r="H309" i="165"/>
  <c r="J530" i="161"/>
  <c r="I530" i="161"/>
  <c r="H530" i="161"/>
  <c r="J530" i="155"/>
  <c r="H530" i="167" s="1"/>
  <c r="I530" i="155"/>
  <c r="H530" i="166" s="1"/>
  <c r="H530" i="155"/>
  <c r="H530" i="165" s="1"/>
  <c r="I316" i="165"/>
  <c r="H316" i="162"/>
  <c r="I357" i="157"/>
  <c r="I358" i="157" s="1"/>
  <c r="H357" i="157"/>
  <c r="F358" i="157"/>
  <c r="I530" i="160"/>
  <c r="G530" i="166" s="1"/>
  <c r="H530" i="160"/>
  <c r="G530" i="165" s="1"/>
  <c r="J530" i="160"/>
  <c r="G530" i="167" s="1"/>
  <c r="F375" i="157"/>
  <c r="J375" i="9"/>
  <c r="K375" i="9" s="1"/>
  <c r="J255" i="161"/>
  <c r="I255" i="161"/>
  <c r="H255" i="161"/>
  <c r="H301" i="162"/>
  <c r="G301" i="160"/>
  <c r="G301" i="165"/>
  <c r="J301" i="167"/>
  <c r="J316" i="158"/>
  <c r="J595" i="158" s="1"/>
  <c r="H134" i="157" l="1"/>
  <c r="G134" i="157" s="1"/>
  <c r="J134" i="157" s="1"/>
  <c r="K134" i="157" s="1"/>
  <c r="I530" i="158"/>
  <c r="G530" i="158" s="1"/>
  <c r="J530" i="158" s="1"/>
  <c r="K530" i="158" s="1"/>
  <c r="H134" i="158"/>
  <c r="G134" i="158" s="1"/>
  <c r="J134" i="158" s="1"/>
  <c r="I357" i="158"/>
  <c r="I358" i="158" s="1"/>
  <c r="H357" i="158"/>
  <c r="H358" i="158" s="1"/>
  <c r="K357" i="9"/>
  <c r="K358" i="9" s="1"/>
  <c r="J84" i="158"/>
  <c r="K84" i="158" s="1"/>
  <c r="F84" i="157"/>
  <c r="G84" i="157" s="1"/>
  <c r="F353" i="166"/>
  <c r="K353" i="166" s="1"/>
  <c r="K354" i="166" s="1"/>
  <c r="G354" i="155"/>
  <c r="F255" i="157"/>
  <c r="I255" i="157" s="1"/>
  <c r="H316" i="164"/>
  <c r="K301" i="166"/>
  <c r="G353" i="162"/>
  <c r="K353" i="162" s="1"/>
  <c r="K353" i="155"/>
  <c r="I143" i="158"/>
  <c r="G143" i="158" s="1"/>
  <c r="J143" i="158" s="1"/>
  <c r="H301" i="164"/>
  <c r="I309" i="160"/>
  <c r="G309" i="166" s="1"/>
  <c r="J309" i="166" s="1"/>
  <c r="F130" i="160"/>
  <c r="H130" i="160" s="1"/>
  <c r="J70" i="9"/>
  <c r="K70" i="9" s="1"/>
  <c r="J254" i="9"/>
  <c r="K254" i="9" s="1"/>
  <c r="I76" i="165"/>
  <c r="J76" i="165" s="1"/>
  <c r="K76" i="165" s="1"/>
  <c r="I357" i="166"/>
  <c r="I358" i="166" s="1"/>
  <c r="H358" i="161"/>
  <c r="F254" i="160"/>
  <c r="H254" i="160" s="1"/>
  <c r="G254" i="165" s="1"/>
  <c r="G93" i="161"/>
  <c r="I93" i="164" s="1"/>
  <c r="F253" i="157"/>
  <c r="I253" i="157" s="1"/>
  <c r="G253" i="159"/>
  <c r="J309" i="165"/>
  <c r="J358" i="161"/>
  <c r="J309" i="160"/>
  <c r="J309" i="162" s="1"/>
  <c r="F309" i="167" s="1"/>
  <c r="F255" i="160"/>
  <c r="H255" i="160" s="1"/>
  <c r="G255" i="165" s="1"/>
  <c r="J93" i="158"/>
  <c r="K93" i="158" s="1"/>
  <c r="G357" i="161"/>
  <c r="K357" i="161" s="1"/>
  <c r="G358" i="159"/>
  <c r="G76" i="161"/>
  <c r="K76" i="161" s="1"/>
  <c r="L76" i="161" s="1"/>
  <c r="F357" i="160"/>
  <c r="F358" i="160" s="1"/>
  <c r="I76" i="166"/>
  <c r="J76" i="166" s="1"/>
  <c r="K76" i="166" s="1"/>
  <c r="J353" i="167"/>
  <c r="J354" i="167" s="1"/>
  <c r="H354" i="167"/>
  <c r="G130" i="161"/>
  <c r="K130" i="161" s="1"/>
  <c r="L130" i="161" s="1"/>
  <c r="G84" i="161"/>
  <c r="K84" i="161" s="1"/>
  <c r="J354" i="162"/>
  <c r="F353" i="167"/>
  <c r="F143" i="157"/>
  <c r="J143" i="9"/>
  <c r="K143" i="9" s="1"/>
  <c r="K130" i="155"/>
  <c r="L130" i="155" s="1"/>
  <c r="G309" i="161"/>
  <c r="K309" i="161" s="1"/>
  <c r="L309" i="161" s="1"/>
  <c r="G84" i="160"/>
  <c r="K84" i="160" s="1"/>
  <c r="L84" i="160" s="1"/>
  <c r="K76" i="167"/>
  <c r="G316" i="161"/>
  <c r="G316" i="162" s="1"/>
  <c r="F316" i="164" s="1"/>
  <c r="K76" i="160"/>
  <c r="L76" i="160" s="1"/>
  <c r="G76" i="164"/>
  <c r="G357" i="157"/>
  <c r="J357" i="157" s="1"/>
  <c r="F134" i="155"/>
  <c r="J353" i="164"/>
  <c r="H354" i="164"/>
  <c r="I316" i="167"/>
  <c r="J316" i="162"/>
  <c r="F316" i="167" s="1"/>
  <c r="H76" i="164"/>
  <c r="K76" i="155"/>
  <c r="L76" i="155" s="1"/>
  <c r="I316" i="162"/>
  <c r="F316" i="166" s="1"/>
  <c r="I316" i="166"/>
  <c r="H93" i="160"/>
  <c r="J93" i="160"/>
  <c r="I93" i="160"/>
  <c r="G93" i="166" s="1"/>
  <c r="H93" i="157"/>
  <c r="F93" i="155" s="1"/>
  <c r="I93" i="157"/>
  <c r="G93" i="157"/>
  <c r="G36" i="167"/>
  <c r="G38" i="167" s="1"/>
  <c r="J333" i="167"/>
  <c r="F333" i="167"/>
  <c r="I36" i="167"/>
  <c r="I38" i="167" s="1"/>
  <c r="F36" i="167"/>
  <c r="F38" i="167" s="1"/>
  <c r="I333" i="167"/>
  <c r="G333" i="167"/>
  <c r="H36" i="167"/>
  <c r="H38" i="167" s="1"/>
  <c r="H333" i="167"/>
  <c r="J36" i="167"/>
  <c r="J38" i="167" s="1"/>
  <c r="G625" i="155"/>
  <c r="H625" i="165"/>
  <c r="I70" i="157"/>
  <c r="G70" i="157"/>
  <c r="H70" i="157"/>
  <c r="K70" i="158"/>
  <c r="G375" i="159"/>
  <c r="F375" i="160" s="1"/>
  <c r="K143" i="161"/>
  <c r="L143" i="161" s="1"/>
  <c r="I143" i="164"/>
  <c r="F70" i="160"/>
  <c r="J70" i="159"/>
  <c r="K70" i="159" s="1"/>
  <c r="I625" i="159"/>
  <c r="F625" i="161" s="1"/>
  <c r="H625" i="159"/>
  <c r="G625" i="159"/>
  <c r="J70" i="161"/>
  <c r="I70" i="167" s="1"/>
  <c r="I70" i="161"/>
  <c r="I70" i="166" s="1"/>
  <c r="H70" i="161"/>
  <c r="G627" i="155"/>
  <c r="K627" i="155" s="1"/>
  <c r="L627" i="155" s="1"/>
  <c r="I627" i="159"/>
  <c r="F627" i="161" s="1"/>
  <c r="G627" i="159"/>
  <c r="F627" i="160" s="1"/>
  <c r="H627" i="159"/>
  <c r="H124" i="159"/>
  <c r="I124" i="159"/>
  <c r="J124" i="9"/>
  <c r="F124" i="157"/>
  <c r="G530" i="160"/>
  <c r="K530" i="160" s="1"/>
  <c r="L530" i="160" s="1"/>
  <c r="G530" i="161"/>
  <c r="K530" i="161" s="1"/>
  <c r="L530" i="161" s="1"/>
  <c r="G254" i="161"/>
  <c r="K254" i="161" s="1"/>
  <c r="L254" i="161" s="1"/>
  <c r="K316" i="158"/>
  <c r="K595" i="158" s="1"/>
  <c r="I255" i="167"/>
  <c r="J316" i="165"/>
  <c r="I530" i="162"/>
  <c r="F530" i="166" s="1"/>
  <c r="I530" i="166"/>
  <c r="J530" i="166" s="1"/>
  <c r="H375" i="161"/>
  <c r="J375" i="161"/>
  <c r="I375" i="161"/>
  <c r="G530" i="155"/>
  <c r="H309" i="162"/>
  <c r="F309" i="165" s="1"/>
  <c r="F301" i="165"/>
  <c r="I255" i="166"/>
  <c r="F316" i="165"/>
  <c r="K357" i="159"/>
  <c r="K358" i="159" s="1"/>
  <c r="J358" i="159"/>
  <c r="H254" i="157"/>
  <c r="F254" i="155" s="1"/>
  <c r="I254" i="157"/>
  <c r="H530" i="162"/>
  <c r="F530" i="165" s="1"/>
  <c r="I530" i="165"/>
  <c r="J530" i="165" s="1"/>
  <c r="K309" i="155"/>
  <c r="L309" i="155" s="1"/>
  <c r="H309" i="164"/>
  <c r="I134" i="164"/>
  <c r="K134" i="161"/>
  <c r="I254" i="167"/>
  <c r="G301" i="162"/>
  <c r="K301" i="160"/>
  <c r="G301" i="164"/>
  <c r="I255" i="165"/>
  <c r="K253" i="9"/>
  <c r="H375" i="157"/>
  <c r="F375" i="155" s="1"/>
  <c r="I375" i="157"/>
  <c r="H358" i="157"/>
  <c r="F357" i="155"/>
  <c r="J253" i="161"/>
  <c r="I253" i="161"/>
  <c r="H253" i="161"/>
  <c r="I254" i="166"/>
  <c r="J301" i="165"/>
  <c r="K301" i="167"/>
  <c r="J530" i="162"/>
  <c r="F530" i="167" s="1"/>
  <c r="I530" i="167"/>
  <c r="J530" i="167" s="1"/>
  <c r="I254" i="165"/>
  <c r="G255" i="161"/>
  <c r="J316" i="167" l="1"/>
  <c r="K316" i="167" s="1"/>
  <c r="K595" i="167" s="1"/>
  <c r="J316" i="166"/>
  <c r="G357" i="158"/>
  <c r="G358" i="158" s="1"/>
  <c r="I84" i="157"/>
  <c r="H84" i="157"/>
  <c r="F84" i="155" s="1"/>
  <c r="J84" i="155" s="1"/>
  <c r="J84" i="162" s="1"/>
  <c r="F84" i="167" s="1"/>
  <c r="F354" i="166"/>
  <c r="J254" i="160"/>
  <c r="G254" i="167" s="1"/>
  <c r="H255" i="157"/>
  <c r="F255" i="155" s="1"/>
  <c r="J255" i="155" s="1"/>
  <c r="H255" i="167" s="1"/>
  <c r="J255" i="160"/>
  <c r="G255" i="167" s="1"/>
  <c r="F353" i="164"/>
  <c r="F354" i="164" s="1"/>
  <c r="I130" i="160"/>
  <c r="I130" i="162" s="1"/>
  <c r="F130" i="166" s="1"/>
  <c r="I254" i="160"/>
  <c r="G254" i="166" s="1"/>
  <c r="J130" i="160"/>
  <c r="J130" i="162" s="1"/>
  <c r="F130" i="167" s="1"/>
  <c r="H627" i="164"/>
  <c r="G358" i="157"/>
  <c r="K354" i="155"/>
  <c r="L353" i="155"/>
  <c r="L354" i="155" s="1"/>
  <c r="I84" i="164"/>
  <c r="G354" i="162"/>
  <c r="I309" i="162"/>
  <c r="F309" i="166" s="1"/>
  <c r="K309" i="166" s="1"/>
  <c r="H357" i="160"/>
  <c r="H358" i="160" s="1"/>
  <c r="G76" i="162"/>
  <c r="F76" i="164" s="1"/>
  <c r="K93" i="161"/>
  <c r="L93" i="161" s="1"/>
  <c r="I255" i="160"/>
  <c r="G255" i="166" s="1"/>
  <c r="I357" i="164"/>
  <c r="I358" i="164" s="1"/>
  <c r="K309" i="165"/>
  <c r="J357" i="160"/>
  <c r="J358" i="160" s="1"/>
  <c r="H253" i="157"/>
  <c r="G253" i="157" s="1"/>
  <c r="J253" i="157" s="1"/>
  <c r="I357" i="160"/>
  <c r="G357" i="166" s="1"/>
  <c r="J253" i="159"/>
  <c r="K253" i="159" s="1"/>
  <c r="F253" i="160"/>
  <c r="G309" i="167"/>
  <c r="J309" i="167" s="1"/>
  <c r="K309" i="167" s="1"/>
  <c r="G309" i="160"/>
  <c r="G309" i="162" s="1"/>
  <c r="G84" i="164"/>
  <c r="G358" i="161"/>
  <c r="I76" i="164"/>
  <c r="J76" i="164" s="1"/>
  <c r="I130" i="164"/>
  <c r="I309" i="164"/>
  <c r="I316" i="164"/>
  <c r="G530" i="164"/>
  <c r="K353" i="167"/>
  <c r="K354" i="167" s="1"/>
  <c r="F354" i="167"/>
  <c r="I143" i="157"/>
  <c r="H143" i="157"/>
  <c r="F143" i="155" s="1"/>
  <c r="J375" i="159"/>
  <c r="K375" i="159" s="1"/>
  <c r="K316" i="161"/>
  <c r="L316" i="161" s="1"/>
  <c r="I254" i="164"/>
  <c r="K316" i="162"/>
  <c r="L316" i="162" s="1"/>
  <c r="J354" i="164"/>
  <c r="J93" i="157"/>
  <c r="K93" i="157" s="1"/>
  <c r="H134" i="155"/>
  <c r="J134" i="155"/>
  <c r="I134" i="155"/>
  <c r="K354" i="162"/>
  <c r="L353" i="162"/>
  <c r="L354" i="162" s="1"/>
  <c r="G93" i="167"/>
  <c r="I530" i="164"/>
  <c r="H93" i="155"/>
  <c r="J93" i="155"/>
  <c r="H93" i="167" s="1"/>
  <c r="I93" i="155"/>
  <c r="G93" i="165"/>
  <c r="G93" i="160"/>
  <c r="J627" i="161"/>
  <c r="H627" i="161"/>
  <c r="I627" i="161"/>
  <c r="K124" i="9"/>
  <c r="J627" i="160"/>
  <c r="G627" i="167" s="1"/>
  <c r="I627" i="160"/>
  <c r="G627" i="166" s="1"/>
  <c r="H627" i="160"/>
  <c r="G627" i="165" s="1"/>
  <c r="F625" i="160"/>
  <c r="J625" i="159"/>
  <c r="K625" i="159" s="1"/>
  <c r="H625" i="164"/>
  <c r="K625" i="155"/>
  <c r="L625" i="155" s="1"/>
  <c r="L357" i="161"/>
  <c r="L358" i="161" s="1"/>
  <c r="K358" i="161"/>
  <c r="H124" i="157"/>
  <c r="I124" i="157"/>
  <c r="F124" i="161"/>
  <c r="H70" i="160"/>
  <c r="G70" i="165" s="1"/>
  <c r="I70" i="160"/>
  <c r="G70" i="166" s="1"/>
  <c r="J70" i="160"/>
  <c r="G70" i="167" s="1"/>
  <c r="J70" i="157"/>
  <c r="J627" i="159"/>
  <c r="K627" i="159" s="1"/>
  <c r="I70" i="165"/>
  <c r="G70" i="161"/>
  <c r="H625" i="161"/>
  <c r="I625" i="161"/>
  <c r="J625" i="161"/>
  <c r="F70" i="155"/>
  <c r="G124" i="159"/>
  <c r="G375" i="161"/>
  <c r="I375" i="164" s="1"/>
  <c r="I255" i="164"/>
  <c r="K255" i="161"/>
  <c r="L255" i="161" s="1"/>
  <c r="I253" i="165"/>
  <c r="I357" i="155"/>
  <c r="H357" i="155"/>
  <c r="F358" i="155"/>
  <c r="J357" i="155"/>
  <c r="K301" i="162"/>
  <c r="F301" i="164"/>
  <c r="L84" i="161"/>
  <c r="L134" i="161"/>
  <c r="J254" i="155"/>
  <c r="I254" i="155"/>
  <c r="H254" i="155"/>
  <c r="K316" i="165"/>
  <c r="K595" i="165" s="1"/>
  <c r="I375" i="165"/>
  <c r="K143" i="158"/>
  <c r="J375" i="160"/>
  <c r="G375" i="167" s="1"/>
  <c r="H375" i="160"/>
  <c r="G375" i="165" s="1"/>
  <c r="I375" i="160"/>
  <c r="G375" i="166" s="1"/>
  <c r="K134" i="158"/>
  <c r="L301" i="160"/>
  <c r="I375" i="167"/>
  <c r="G253" i="161"/>
  <c r="G375" i="157"/>
  <c r="J375" i="157" s="1"/>
  <c r="K375" i="157" s="1"/>
  <c r="G254" i="157"/>
  <c r="J254" i="157" s="1"/>
  <c r="K254" i="157" s="1"/>
  <c r="I253" i="167"/>
  <c r="I375" i="155"/>
  <c r="H375" i="166" s="1"/>
  <c r="H375" i="155"/>
  <c r="H375" i="165" s="1"/>
  <c r="J375" i="155"/>
  <c r="H375" i="167" s="1"/>
  <c r="J301" i="164"/>
  <c r="K301" i="165"/>
  <c r="I375" i="166"/>
  <c r="K530" i="167"/>
  <c r="K530" i="165"/>
  <c r="H130" i="162"/>
  <c r="F130" i="165" s="1"/>
  <c r="G130" i="165"/>
  <c r="J130" i="165" s="1"/>
  <c r="I253" i="166"/>
  <c r="J358" i="157"/>
  <c r="K357" i="157"/>
  <c r="K358" i="157" s="1"/>
  <c r="K530" i="155"/>
  <c r="L530" i="155" s="1"/>
  <c r="H530" i="164"/>
  <c r="K530" i="166"/>
  <c r="G530" i="162"/>
  <c r="K316" i="166" l="1"/>
  <c r="K595" i="166" s="1"/>
  <c r="J316" i="164"/>
  <c r="J357" i="158"/>
  <c r="J358" i="158" s="1"/>
  <c r="H84" i="167"/>
  <c r="J84" i="167" s="1"/>
  <c r="K84" i="167" s="1"/>
  <c r="H84" i="155"/>
  <c r="H84" i="162" s="1"/>
  <c r="F84" i="165" s="1"/>
  <c r="I84" i="155"/>
  <c r="H84" i="166" s="1"/>
  <c r="J84" i="166" s="1"/>
  <c r="J84" i="157"/>
  <c r="K84" i="157" s="1"/>
  <c r="G254" i="160"/>
  <c r="G254" i="164" s="1"/>
  <c r="I255" i="155"/>
  <c r="I255" i="162" s="1"/>
  <c r="F255" i="166" s="1"/>
  <c r="H255" i="155"/>
  <c r="G255" i="157"/>
  <c r="J255" i="157" s="1"/>
  <c r="K255" i="157" s="1"/>
  <c r="J255" i="167"/>
  <c r="G357" i="165"/>
  <c r="G358" i="165" s="1"/>
  <c r="G130" i="166"/>
  <c r="J130" i="166" s="1"/>
  <c r="K130" i="166" s="1"/>
  <c r="G130" i="160"/>
  <c r="G130" i="162" s="1"/>
  <c r="F130" i="164" s="1"/>
  <c r="G130" i="167"/>
  <c r="J130" i="167" s="1"/>
  <c r="K130" i="167" s="1"/>
  <c r="K353" i="164"/>
  <c r="K354" i="164" s="1"/>
  <c r="H357" i="162"/>
  <c r="F357" i="165" s="1"/>
  <c r="K76" i="162"/>
  <c r="L76" i="162" s="1"/>
  <c r="F253" i="155"/>
  <c r="I253" i="155" s="1"/>
  <c r="G255" i="160"/>
  <c r="G255" i="164" s="1"/>
  <c r="K309" i="162"/>
  <c r="L309" i="162" s="1"/>
  <c r="F309" i="164"/>
  <c r="G357" i="167"/>
  <c r="G358" i="167" s="1"/>
  <c r="G357" i="160"/>
  <c r="G358" i="160" s="1"/>
  <c r="I358" i="160"/>
  <c r="I357" i="162"/>
  <c r="F357" i="166" s="1"/>
  <c r="H253" i="160"/>
  <c r="J253" i="160"/>
  <c r="G253" i="167" s="1"/>
  <c r="I253" i="160"/>
  <c r="G253" i="166" s="1"/>
  <c r="K309" i="160"/>
  <c r="L309" i="160" s="1"/>
  <c r="G309" i="164"/>
  <c r="J309" i="164" s="1"/>
  <c r="J93" i="167"/>
  <c r="K76" i="164"/>
  <c r="J530" i="164"/>
  <c r="J143" i="155"/>
  <c r="I143" i="155"/>
  <c r="H143" i="155"/>
  <c r="G143" i="157"/>
  <c r="J143" i="157" s="1"/>
  <c r="K143" i="157" s="1"/>
  <c r="K375" i="161"/>
  <c r="L375" i="161" s="1"/>
  <c r="G625" i="161"/>
  <c r="I625" i="164" s="1"/>
  <c r="G134" i="155"/>
  <c r="G134" i="162" s="1"/>
  <c r="H134" i="165"/>
  <c r="J134" i="165" s="1"/>
  <c r="H134" i="162"/>
  <c r="F134" i="165" s="1"/>
  <c r="J134" i="162"/>
  <c r="F134" i="167" s="1"/>
  <c r="H134" i="167"/>
  <c r="J134" i="167" s="1"/>
  <c r="H134" i="166"/>
  <c r="J134" i="166" s="1"/>
  <c r="I134" i="162"/>
  <c r="F134" i="166" s="1"/>
  <c r="G93" i="155"/>
  <c r="H93" i="165"/>
  <c r="J93" i="165" s="1"/>
  <c r="H93" i="162"/>
  <c r="F93" i="165" s="1"/>
  <c r="G357" i="155"/>
  <c r="K357" i="155" s="1"/>
  <c r="G124" i="157"/>
  <c r="J93" i="162"/>
  <c r="F93" i="167" s="1"/>
  <c r="I375" i="162"/>
  <c r="F375" i="166" s="1"/>
  <c r="G93" i="164"/>
  <c r="K93" i="160"/>
  <c r="L93" i="160" s="1"/>
  <c r="I93" i="162"/>
  <c r="F93" i="166" s="1"/>
  <c r="H93" i="166"/>
  <c r="J93" i="166" s="1"/>
  <c r="H70" i="155"/>
  <c r="I70" i="155"/>
  <c r="J70" i="155"/>
  <c r="I627" i="167"/>
  <c r="J627" i="167" s="1"/>
  <c r="J627" i="162"/>
  <c r="F627" i="167" s="1"/>
  <c r="I625" i="167"/>
  <c r="K70" i="161"/>
  <c r="I70" i="164"/>
  <c r="K70" i="157"/>
  <c r="F124" i="155"/>
  <c r="I627" i="165"/>
  <c r="J627" i="165" s="1"/>
  <c r="H627" i="162"/>
  <c r="F627" i="165" s="1"/>
  <c r="G254" i="155"/>
  <c r="G627" i="160"/>
  <c r="I625" i="165"/>
  <c r="I625" i="160"/>
  <c r="G625" i="166" s="1"/>
  <c r="J625" i="160"/>
  <c r="G625" i="167" s="1"/>
  <c r="H625" i="160"/>
  <c r="G625" i="165" s="1"/>
  <c r="I627" i="166"/>
  <c r="J627" i="166" s="1"/>
  <c r="I627" i="162"/>
  <c r="F627" i="166" s="1"/>
  <c r="J124" i="159"/>
  <c r="F124" i="160"/>
  <c r="I625" i="166"/>
  <c r="K357" i="158"/>
  <c r="K358" i="158" s="1"/>
  <c r="H124" i="161"/>
  <c r="I124" i="161"/>
  <c r="J124" i="161"/>
  <c r="G70" i="160"/>
  <c r="G627" i="161"/>
  <c r="G375" i="155"/>
  <c r="K375" i="155" s="1"/>
  <c r="L375" i="155" s="1"/>
  <c r="I253" i="164"/>
  <c r="K253" i="161"/>
  <c r="H254" i="166"/>
  <c r="J254" i="166" s="1"/>
  <c r="I254" i="162"/>
  <c r="F254" i="166" s="1"/>
  <c r="L301" i="162"/>
  <c r="H358" i="155"/>
  <c r="H357" i="165"/>
  <c r="H358" i="165" s="1"/>
  <c r="K130" i="165"/>
  <c r="J375" i="165"/>
  <c r="H375" i="162"/>
  <c r="F375" i="165" s="1"/>
  <c r="K530" i="162"/>
  <c r="L530" i="162" s="1"/>
  <c r="F530" i="164"/>
  <c r="H254" i="165"/>
  <c r="J254" i="165" s="1"/>
  <c r="H254" i="162"/>
  <c r="F254" i="165" s="1"/>
  <c r="K301" i="164"/>
  <c r="K253" i="157"/>
  <c r="J375" i="162"/>
  <c r="F375" i="167" s="1"/>
  <c r="J255" i="162"/>
  <c r="F255" i="167" s="1"/>
  <c r="J375" i="166"/>
  <c r="G358" i="166"/>
  <c r="I358" i="155"/>
  <c r="H357" i="166"/>
  <c r="H358" i="166" s="1"/>
  <c r="H254" i="167"/>
  <c r="J254" i="167" s="1"/>
  <c r="J254" i="162"/>
  <c r="F254" i="167" s="1"/>
  <c r="J358" i="155"/>
  <c r="H357" i="167"/>
  <c r="H358" i="167" s="1"/>
  <c r="G375" i="160"/>
  <c r="J375" i="167"/>
  <c r="J357" i="162"/>
  <c r="K316" i="164" l="1"/>
  <c r="K595" i="164" s="1"/>
  <c r="H84" i="165"/>
  <c r="J84" i="165" s="1"/>
  <c r="K84" i="165" s="1"/>
  <c r="G84" i="155"/>
  <c r="G84" i="162" s="1"/>
  <c r="F84" i="164" s="1"/>
  <c r="I84" i="162"/>
  <c r="F84" i="166" s="1"/>
  <c r="K84" i="166" s="1"/>
  <c r="K254" i="160"/>
  <c r="L254" i="160" s="1"/>
  <c r="H255" i="166"/>
  <c r="J255" i="166" s="1"/>
  <c r="K255" i="166" s="1"/>
  <c r="G255" i="155"/>
  <c r="K255" i="155" s="1"/>
  <c r="L255" i="155" s="1"/>
  <c r="G254" i="162"/>
  <c r="K254" i="162" s="1"/>
  <c r="L254" i="162" s="1"/>
  <c r="K130" i="160"/>
  <c r="L130" i="160" s="1"/>
  <c r="K130" i="162"/>
  <c r="L130" i="162" s="1"/>
  <c r="H255" i="162"/>
  <c r="F255" i="165" s="1"/>
  <c r="H255" i="165"/>
  <c r="J255" i="165" s="1"/>
  <c r="G130" i="164"/>
  <c r="J130" i="164" s="1"/>
  <c r="K130" i="164" s="1"/>
  <c r="K255" i="167"/>
  <c r="H253" i="155"/>
  <c r="H253" i="165" s="1"/>
  <c r="J253" i="155"/>
  <c r="H358" i="162"/>
  <c r="K255" i="160"/>
  <c r="L255" i="160" s="1"/>
  <c r="K309" i="164"/>
  <c r="G357" i="164"/>
  <c r="G358" i="164" s="1"/>
  <c r="K357" i="160"/>
  <c r="L357" i="160" s="1"/>
  <c r="L358" i="160" s="1"/>
  <c r="G357" i="162"/>
  <c r="K357" i="162" s="1"/>
  <c r="I358" i="162"/>
  <c r="K134" i="155"/>
  <c r="L134" i="155" s="1"/>
  <c r="K254" i="155"/>
  <c r="L254" i="155" s="1"/>
  <c r="G253" i="165"/>
  <c r="G253" i="160"/>
  <c r="G358" i="155"/>
  <c r="H357" i="164"/>
  <c r="H358" i="164" s="1"/>
  <c r="K93" i="167"/>
  <c r="K375" i="166"/>
  <c r="H375" i="164"/>
  <c r="J625" i="167"/>
  <c r="J357" i="165"/>
  <c r="J358" i="165" s="1"/>
  <c r="K530" i="164"/>
  <c r="H254" i="164"/>
  <c r="J254" i="164" s="1"/>
  <c r="J143" i="162"/>
  <c r="F143" i="167" s="1"/>
  <c r="H143" i="167"/>
  <c r="J143" i="167" s="1"/>
  <c r="K93" i="166"/>
  <c r="I143" i="162"/>
  <c r="F143" i="166" s="1"/>
  <c r="H143" i="166"/>
  <c r="J143" i="166" s="1"/>
  <c r="H143" i="165"/>
  <c r="J143" i="165" s="1"/>
  <c r="H143" i="162"/>
  <c r="F143" i="165" s="1"/>
  <c r="G143" i="155"/>
  <c r="J124" i="157"/>
  <c r="K124" i="157" s="1"/>
  <c r="K625" i="161"/>
  <c r="L625" i="161" s="1"/>
  <c r="K93" i="165"/>
  <c r="K134" i="167"/>
  <c r="H134" i="164"/>
  <c r="J134" i="164" s="1"/>
  <c r="J625" i="165"/>
  <c r="K134" i="166"/>
  <c r="K134" i="165"/>
  <c r="K134" i="162"/>
  <c r="L134" i="162" s="1"/>
  <c r="F134" i="164"/>
  <c r="G124" i="161"/>
  <c r="K124" i="161" s="1"/>
  <c r="K254" i="166"/>
  <c r="J625" i="166"/>
  <c r="K627" i="167"/>
  <c r="G93" i="162"/>
  <c r="K93" i="155"/>
  <c r="L93" i="155" s="1"/>
  <c r="H93" i="164"/>
  <c r="J93" i="164" s="1"/>
  <c r="H625" i="162"/>
  <c r="F625" i="165" s="1"/>
  <c r="K70" i="160"/>
  <c r="L70" i="160" s="1"/>
  <c r="G70" i="164"/>
  <c r="L70" i="161"/>
  <c r="H70" i="167"/>
  <c r="J70" i="162"/>
  <c r="I124" i="165"/>
  <c r="I124" i="160"/>
  <c r="H124" i="160"/>
  <c r="J124" i="160"/>
  <c r="I627" i="164"/>
  <c r="K627" i="161"/>
  <c r="L627" i="161" s="1"/>
  <c r="G627" i="162"/>
  <c r="I124" i="166"/>
  <c r="K627" i="160"/>
  <c r="L627" i="160" s="1"/>
  <c r="G627" i="164"/>
  <c r="H70" i="162"/>
  <c r="H70" i="165"/>
  <c r="G70" i="155"/>
  <c r="G70" i="162" s="1"/>
  <c r="F70" i="164" s="1"/>
  <c r="K627" i="166"/>
  <c r="I124" i="155"/>
  <c r="J124" i="155"/>
  <c r="H124" i="155"/>
  <c r="H70" i="166"/>
  <c r="I70" i="162"/>
  <c r="I625" i="162"/>
  <c r="F625" i="166" s="1"/>
  <c r="I124" i="167"/>
  <c r="K124" i="159"/>
  <c r="K375" i="165"/>
  <c r="G625" i="160"/>
  <c r="K627" i="165"/>
  <c r="J625" i="162"/>
  <c r="F625" i="167" s="1"/>
  <c r="K254" i="167"/>
  <c r="K358" i="155"/>
  <c r="L357" i="155"/>
  <c r="L358" i="155" s="1"/>
  <c r="K375" i="167"/>
  <c r="F357" i="167"/>
  <c r="J358" i="162"/>
  <c r="K375" i="160"/>
  <c r="L375" i="160" s="1"/>
  <c r="G375" i="164"/>
  <c r="G375" i="162"/>
  <c r="F358" i="166"/>
  <c r="L253" i="161"/>
  <c r="F358" i="165"/>
  <c r="K254" i="165"/>
  <c r="H253" i="166"/>
  <c r="I253" i="162"/>
  <c r="F253" i="166" s="1"/>
  <c r="J357" i="166"/>
  <c r="J358" i="166" s="1"/>
  <c r="J357" i="167"/>
  <c r="J358" i="167" s="1"/>
  <c r="K84" i="155" l="1"/>
  <c r="L84" i="155" s="1"/>
  <c r="H84" i="164"/>
  <c r="J84" i="164" s="1"/>
  <c r="K84" i="164" s="1"/>
  <c r="K84" i="162"/>
  <c r="L84" i="162" s="1"/>
  <c r="K134" i="164"/>
  <c r="F254" i="164"/>
  <c r="K254" i="164" s="1"/>
  <c r="H255" i="164"/>
  <c r="J255" i="164" s="1"/>
  <c r="G255" i="162"/>
  <c r="F255" i="164" s="1"/>
  <c r="K255" i="165"/>
  <c r="K358" i="160"/>
  <c r="H253" i="162"/>
  <c r="F253" i="165" s="1"/>
  <c r="G253" i="155"/>
  <c r="G253" i="162" s="1"/>
  <c r="F253" i="164" s="1"/>
  <c r="H253" i="167"/>
  <c r="J253" i="167" s="1"/>
  <c r="J357" i="164"/>
  <c r="J358" i="164" s="1"/>
  <c r="J253" i="162"/>
  <c r="F253" i="167" s="1"/>
  <c r="G358" i="162"/>
  <c r="F357" i="164"/>
  <c r="F358" i="164" s="1"/>
  <c r="K625" i="167"/>
  <c r="K253" i="160"/>
  <c r="L253" i="160" s="1"/>
  <c r="G253" i="164"/>
  <c r="K357" i="165"/>
  <c r="K358" i="165" s="1"/>
  <c r="K625" i="166"/>
  <c r="K143" i="165"/>
  <c r="K625" i="165"/>
  <c r="J375" i="164"/>
  <c r="K143" i="167"/>
  <c r="K143" i="166"/>
  <c r="I124" i="162"/>
  <c r="F124" i="166" s="1"/>
  <c r="K143" i="155"/>
  <c r="L143" i="155" s="1"/>
  <c r="H143" i="164"/>
  <c r="J143" i="164" s="1"/>
  <c r="G143" i="162"/>
  <c r="I124" i="164"/>
  <c r="K70" i="162"/>
  <c r="L70" i="162" s="1"/>
  <c r="J124" i="162"/>
  <c r="G124" i="155"/>
  <c r="K93" i="162"/>
  <c r="L93" i="162" s="1"/>
  <c r="F93" i="164"/>
  <c r="K93" i="164" s="1"/>
  <c r="J627" i="164"/>
  <c r="H124" i="162"/>
  <c r="F124" i="165" s="1"/>
  <c r="J70" i="166"/>
  <c r="J70" i="165"/>
  <c r="G124" i="167"/>
  <c r="J70" i="167"/>
  <c r="G124" i="165"/>
  <c r="K625" i="160"/>
  <c r="L625" i="160" s="1"/>
  <c r="G625" i="164"/>
  <c r="J625" i="164" s="1"/>
  <c r="G625" i="162"/>
  <c r="H124" i="166"/>
  <c r="K70" i="155"/>
  <c r="H70" i="164"/>
  <c r="F70" i="167"/>
  <c r="L124" i="161"/>
  <c r="H124" i="165"/>
  <c r="F70" i="166"/>
  <c r="H124" i="167"/>
  <c r="F70" i="165"/>
  <c r="F627" i="164"/>
  <c r="K627" i="162"/>
  <c r="L627" i="162" s="1"/>
  <c r="G124" i="160"/>
  <c r="G124" i="166"/>
  <c r="K358" i="162"/>
  <c r="L357" i="162"/>
  <c r="L358" i="162" s="1"/>
  <c r="F375" i="164"/>
  <c r="K375" i="162"/>
  <c r="L375" i="162" s="1"/>
  <c r="F358" i="167"/>
  <c r="K357" i="167"/>
  <c r="K358" i="167" s="1"/>
  <c r="J253" i="165"/>
  <c r="J253" i="166"/>
  <c r="K253" i="166" s="1"/>
  <c r="K357" i="166"/>
  <c r="K358" i="166" s="1"/>
  <c r="K255" i="164" l="1"/>
  <c r="K255" i="162"/>
  <c r="L255" i="162" s="1"/>
  <c r="K253" i="165"/>
  <c r="K253" i="155"/>
  <c r="L253" i="155" s="1"/>
  <c r="K253" i="167"/>
  <c r="H253" i="164"/>
  <c r="J253" i="164" s="1"/>
  <c r="K253" i="164" s="1"/>
  <c r="K357" i="164"/>
  <c r="K358" i="164" s="1"/>
  <c r="K253" i="162"/>
  <c r="L253" i="162" s="1"/>
  <c r="K627" i="164"/>
  <c r="K375" i="164"/>
  <c r="F143" i="164"/>
  <c r="K143" i="164" s="1"/>
  <c r="K143" i="162"/>
  <c r="L143" i="162" s="1"/>
  <c r="F124" i="167"/>
  <c r="H124" i="164"/>
  <c r="K124" i="155"/>
  <c r="L124" i="155" s="1"/>
  <c r="J124" i="166"/>
  <c r="J70" i="164"/>
  <c r="K70" i="165"/>
  <c r="L70" i="155"/>
  <c r="K70" i="167"/>
  <c r="J124" i="167"/>
  <c r="K124" i="160"/>
  <c r="G124" i="164"/>
  <c r="G124" i="162"/>
  <c r="K70" i="166"/>
  <c r="K625" i="162"/>
  <c r="L625" i="162" s="1"/>
  <c r="F625" i="164"/>
  <c r="K625" i="164" s="1"/>
  <c r="J124" i="165"/>
  <c r="F124" i="164" l="1"/>
  <c r="K124" i="162"/>
  <c r="L124" i="160"/>
  <c r="K124" i="165"/>
  <c r="J124" i="164"/>
  <c r="K124" i="167"/>
  <c r="K70" i="164"/>
  <c r="K124" i="166"/>
  <c r="K124" i="164" l="1"/>
  <c r="L124" i="162"/>
  <c r="J171" i="155" l="1"/>
  <c r="K169" i="155"/>
  <c r="K171" i="155" s="1"/>
  <c r="L169" i="155"/>
  <c r="L171" i="155" s="1"/>
  <c r="J740" i="157"/>
  <c r="K740" i="157" s="1"/>
  <c r="K740" i="155"/>
  <c r="K742" i="155"/>
  <c r="P742" i="155" s="1"/>
  <c r="L742" i="155"/>
  <c r="K762" i="155"/>
  <c r="L762" i="155" s="1"/>
  <c r="K740" i="160"/>
  <c r="P740" i="160"/>
  <c r="L740" i="160"/>
  <c r="K742" i="160"/>
  <c r="K740" i="161"/>
  <c r="L740" i="161" s="1"/>
  <c r="K742" i="161"/>
  <c r="P742" i="161" s="1"/>
  <c r="P740" i="161" l="1"/>
  <c r="P762" i="155"/>
  <c r="L742" i="161"/>
  <c r="P742" i="160"/>
  <c r="L742" i="160"/>
  <c r="L740" i="155"/>
  <c r="P740" i="155"/>
  <c r="C12" i="26"/>
  <c r="O17" i="26" s="1"/>
  <c r="E19" i="26"/>
  <c r="K19" i="26" s="1"/>
  <c r="K21" i="26"/>
  <c r="H37" i="32"/>
  <c r="F39" i="32" s="1"/>
  <c r="I41" i="35"/>
  <c r="K41" i="35" s="1"/>
  <c r="I42" i="35"/>
  <c r="K42" i="35" s="1"/>
  <c r="H61" i="35"/>
  <c r="E61" i="35"/>
  <c r="H62" i="35"/>
  <c r="J62" i="35" s="1"/>
  <c r="E62" i="35"/>
  <c r="H63" i="35"/>
  <c r="E63" i="35"/>
  <c r="H64" i="35"/>
  <c r="I64" i="35" s="1"/>
  <c r="H66" i="35"/>
  <c r="J66" i="35" s="1"/>
  <c r="E66" i="35"/>
  <c r="H67" i="35"/>
  <c r="J67" i="35" s="1"/>
  <c r="E67" i="35"/>
  <c r="H68" i="35"/>
  <c r="J68" i="35" s="1"/>
  <c r="E68" i="35"/>
  <c r="H69" i="35"/>
  <c r="J69" i="35" s="1"/>
  <c r="E69" i="35"/>
  <c r="H70" i="35"/>
  <c r="J70" i="35" s="1"/>
  <c r="E70" i="35"/>
  <c r="H71" i="35"/>
  <c r="J71" i="35" s="1"/>
  <c r="E71" i="35"/>
  <c r="H72" i="35"/>
  <c r="J72" i="35" s="1"/>
  <c r="E72" i="35"/>
  <c r="E15" i="35"/>
  <c r="G15" i="35" s="1"/>
  <c r="E16" i="35"/>
  <c r="G16" i="35" s="1"/>
  <c r="E17" i="35"/>
  <c r="G17" i="35" s="1"/>
  <c r="E18" i="35"/>
  <c r="G18" i="35" s="1"/>
  <c r="E19" i="35"/>
  <c r="G19" i="35" s="1"/>
  <c r="E20" i="35"/>
  <c r="G20" i="35" s="1"/>
  <c r="E21" i="35"/>
  <c r="G21" i="35" s="1"/>
  <c r="E22" i="35"/>
  <c r="G22" i="35" s="1"/>
  <c r="E23" i="35"/>
  <c r="G23" i="35" s="1"/>
  <c r="F15" i="35"/>
  <c r="F16" i="35"/>
  <c r="F17" i="35"/>
  <c r="F18" i="35"/>
  <c r="F19" i="35"/>
  <c r="F20" i="35"/>
  <c r="F21" i="35"/>
  <c r="F22" i="35"/>
  <c r="F23" i="35"/>
  <c r="E64" i="35"/>
  <c r="J41" i="35"/>
  <c r="J42" i="35"/>
  <c r="J63" i="35"/>
  <c r="E73" i="35"/>
  <c r="M73" i="35" s="1"/>
  <c r="E74" i="35"/>
  <c r="M74" i="35" s="1"/>
  <c r="E75" i="35"/>
  <c r="M75" i="35" s="1"/>
  <c r="E76" i="35"/>
  <c r="M76" i="35" s="1"/>
  <c r="L73" i="35"/>
  <c r="L74" i="35"/>
  <c r="L75" i="35"/>
  <c r="L76" i="35"/>
  <c r="G85" i="25"/>
  <c r="H721" i="160" s="1"/>
  <c r="G86" i="25"/>
  <c r="I721" i="161" s="1"/>
  <c r="G87" i="25"/>
  <c r="J721" i="161" s="1"/>
  <c r="D98" i="25"/>
  <c r="I723" i="9" s="1"/>
  <c r="G104" i="25"/>
  <c r="G725" i="161" s="1"/>
  <c r="G105" i="25"/>
  <c r="H725" i="160" s="1"/>
  <c r="G106" i="25"/>
  <c r="I725" i="155" s="1"/>
  <c r="G107" i="25"/>
  <c r="J725" i="161" s="1"/>
  <c r="F114" i="25"/>
  <c r="G727" i="160" s="1"/>
  <c r="F116" i="25"/>
  <c r="I727" i="161" s="1"/>
  <c r="I731" i="159"/>
  <c r="I39" i="26"/>
  <c r="I40" i="26"/>
  <c r="K40" i="26" s="1"/>
  <c r="E38" i="26"/>
  <c r="E42" i="26" s="1"/>
  <c r="F115" i="162"/>
  <c r="F165" i="162" s="1"/>
  <c r="F166" i="162" s="1"/>
  <c r="J725" i="155"/>
  <c r="F164" i="9"/>
  <c r="F166" i="9" s="1"/>
  <c r="J130" i="27"/>
  <c r="J131" i="27"/>
  <c r="J133" i="27"/>
  <c r="J134" i="27"/>
  <c r="J135" i="27"/>
  <c r="J136" i="27"/>
  <c r="J137" i="27"/>
  <c r="J138" i="27"/>
  <c r="J139" i="27"/>
  <c r="J140" i="27"/>
  <c r="J141" i="27"/>
  <c r="H131" i="27"/>
  <c r="H132" i="27"/>
  <c r="H133" i="27"/>
  <c r="H134" i="27"/>
  <c r="H135" i="27"/>
  <c r="H136" i="27"/>
  <c r="H137" i="27"/>
  <c r="H138" i="27"/>
  <c r="H139" i="27"/>
  <c r="H140" i="27"/>
  <c r="H141" i="27"/>
  <c r="B55" i="32"/>
  <c r="D60" i="32" s="1"/>
  <c r="C65" i="32"/>
  <c r="D26" i="33"/>
  <c r="D28" i="33"/>
  <c r="C99" i="35"/>
  <c r="C66" i="32" l="1"/>
  <c r="D61" i="32"/>
  <c r="H725" i="155"/>
  <c r="E97" i="25"/>
  <c r="E95" i="25"/>
  <c r="F723" i="158"/>
  <c r="H725" i="161"/>
  <c r="F723" i="155"/>
  <c r="J724" i="155" s="1"/>
  <c r="G723" i="158"/>
  <c r="H724" i="158" s="1"/>
  <c r="I727" i="160"/>
  <c r="K727" i="160" s="1"/>
  <c r="F723" i="160"/>
  <c r="J724" i="160" s="1"/>
  <c r="F724" i="160"/>
  <c r="I721" i="155"/>
  <c r="H724" i="160"/>
  <c r="E96" i="25"/>
  <c r="I727" i="155"/>
  <c r="I721" i="160"/>
  <c r="F723" i="159"/>
  <c r="I724" i="160"/>
  <c r="F723" i="161"/>
  <c r="L723" i="161" s="1"/>
  <c r="F723" i="157"/>
  <c r="I723" i="159"/>
  <c r="I724" i="159" s="1"/>
  <c r="J725" i="160"/>
  <c r="F723" i="9"/>
  <c r="D59" i="32"/>
  <c r="C51" i="32" s="1"/>
  <c r="H723" i="157"/>
  <c r="I724" i="157" s="1"/>
  <c r="F118" i="25"/>
  <c r="G117" i="25" s="1"/>
  <c r="L723" i="160"/>
  <c r="I725" i="160"/>
  <c r="J721" i="160"/>
  <c r="J721" i="155"/>
  <c r="I725" i="161"/>
  <c r="K725" i="161" s="1"/>
  <c r="G88" i="25"/>
  <c r="F721" i="160" s="1"/>
  <c r="H721" i="155"/>
  <c r="I42" i="26"/>
  <c r="A30" i="26" s="1"/>
  <c r="G108" i="25"/>
  <c r="H725" i="157" s="1"/>
  <c r="J725" i="157" s="1"/>
  <c r="G727" i="155"/>
  <c r="H721" i="161"/>
  <c r="K721" i="161" s="1"/>
  <c r="G727" i="161"/>
  <c r="K727" i="161" s="1"/>
  <c r="K39" i="26"/>
  <c r="H130" i="27"/>
  <c r="H142" i="27" s="1"/>
  <c r="E166" i="25"/>
  <c r="E168" i="25" s="1"/>
  <c r="H39" i="32"/>
  <c r="G731" i="159" s="1"/>
  <c r="G732" i="159" s="1"/>
  <c r="H727" i="157"/>
  <c r="G728" i="157" s="1"/>
  <c r="F727" i="155"/>
  <c r="F728" i="155" s="1"/>
  <c r="J132" i="27"/>
  <c r="J142" i="27" s="1"/>
  <c r="E23" i="26"/>
  <c r="G20" i="26" s="1"/>
  <c r="O20" i="26" s="1"/>
  <c r="K38" i="26"/>
  <c r="F725" i="155"/>
  <c r="F726" i="155" s="1"/>
  <c r="F725" i="9"/>
  <c r="G725" i="158"/>
  <c r="H726" i="158" s="1"/>
  <c r="E25" i="35"/>
  <c r="I67" i="35"/>
  <c r="K67" i="35" s="1"/>
  <c r="I61" i="35"/>
  <c r="K61" i="35" s="1"/>
  <c r="E78" i="35"/>
  <c r="J61" i="35"/>
  <c r="I70" i="35"/>
  <c r="K70" i="35" s="1"/>
  <c r="I68" i="35"/>
  <c r="K68" i="35" s="1"/>
  <c r="J64" i="35"/>
  <c r="I72" i="35"/>
  <c r="K72" i="35" s="1"/>
  <c r="I69" i="35"/>
  <c r="K69" i="35" s="1"/>
  <c r="K64" i="35"/>
  <c r="I62" i="35"/>
  <c r="K62" i="35" s="1"/>
  <c r="F78" i="35"/>
  <c r="I66" i="35"/>
  <c r="K66" i="35" s="1"/>
  <c r="L78" i="35"/>
  <c r="I63" i="35"/>
  <c r="K63" i="35" s="1"/>
  <c r="M78" i="35"/>
  <c r="G78" i="35"/>
  <c r="I71" i="35"/>
  <c r="H78" i="35"/>
  <c r="G39" i="26"/>
  <c r="G41" i="26"/>
  <c r="G40" i="26"/>
  <c r="K23" i="26"/>
  <c r="M19" i="26" s="1"/>
  <c r="I724" i="9"/>
  <c r="G724" i="9"/>
  <c r="H724" i="9"/>
  <c r="J723" i="9"/>
  <c r="H105" i="25"/>
  <c r="G116" i="25"/>
  <c r="F725" i="157"/>
  <c r="I725" i="159"/>
  <c r="F727" i="160"/>
  <c r="G725" i="155"/>
  <c r="G725" i="160"/>
  <c r="F727" i="161"/>
  <c r="I725" i="9"/>
  <c r="Q17" i="26"/>
  <c r="G115" i="25"/>
  <c r="F727" i="159"/>
  <c r="F727" i="157"/>
  <c r="D30" i="33"/>
  <c r="H724" i="155" l="1"/>
  <c r="H724" i="161"/>
  <c r="J724" i="161"/>
  <c r="H107" i="25"/>
  <c r="H106" i="25"/>
  <c r="H104" i="25" s="1"/>
  <c r="H108" i="25" s="1"/>
  <c r="F725" i="158"/>
  <c r="K721" i="155"/>
  <c r="E170" i="25"/>
  <c r="E169" i="25"/>
  <c r="G166" i="25"/>
  <c r="E167" i="25"/>
  <c r="C48" i="32"/>
  <c r="C52" i="32"/>
  <c r="C50" i="32"/>
  <c r="C55" i="32"/>
  <c r="C47" i="32"/>
  <c r="K721" i="160"/>
  <c r="L721" i="160" s="1"/>
  <c r="G724" i="159"/>
  <c r="F727" i="158"/>
  <c r="I727" i="9"/>
  <c r="J727" i="9" s="1"/>
  <c r="H728" i="155"/>
  <c r="F727" i="9"/>
  <c r="I728" i="155"/>
  <c r="G727" i="158"/>
  <c r="I728" i="158" s="1"/>
  <c r="I727" i="159"/>
  <c r="H728" i="159" s="1"/>
  <c r="I724" i="161"/>
  <c r="F724" i="155"/>
  <c r="I724" i="155"/>
  <c r="J723" i="158"/>
  <c r="K723" i="158" s="1"/>
  <c r="I724" i="158"/>
  <c r="K727" i="155"/>
  <c r="L727" i="155" s="1"/>
  <c r="H724" i="159"/>
  <c r="G724" i="158"/>
  <c r="L723" i="155"/>
  <c r="E94" i="25"/>
  <c r="E98" i="25" s="1"/>
  <c r="F725" i="159"/>
  <c r="G726" i="158"/>
  <c r="F725" i="160"/>
  <c r="F726" i="160" s="1"/>
  <c r="J723" i="159"/>
  <c r="K723" i="159" s="1"/>
  <c r="J725" i="158"/>
  <c r="F725" i="161"/>
  <c r="G724" i="160"/>
  <c r="K724" i="160" s="1"/>
  <c r="L724" i="160" s="1"/>
  <c r="K723" i="9"/>
  <c r="J723" i="157"/>
  <c r="K723" i="157" s="1"/>
  <c r="H724" i="157"/>
  <c r="C54" i="32"/>
  <c r="G114" i="25"/>
  <c r="G118" i="25" s="1"/>
  <c r="C49" i="32"/>
  <c r="I726" i="158"/>
  <c r="C46" i="32"/>
  <c r="I721" i="159"/>
  <c r="H722" i="159" s="1"/>
  <c r="G724" i="157"/>
  <c r="C53" i="32"/>
  <c r="H721" i="157"/>
  <c r="J721" i="157" s="1"/>
  <c r="F721" i="157"/>
  <c r="F721" i="161"/>
  <c r="H722" i="161" s="1"/>
  <c r="C30" i="26"/>
  <c r="C31" i="26" s="1"/>
  <c r="O36" i="26" s="1"/>
  <c r="Q36" i="26" s="1"/>
  <c r="J722" i="160"/>
  <c r="F722" i="160"/>
  <c r="I722" i="160"/>
  <c r="F721" i="9"/>
  <c r="H728" i="157"/>
  <c r="F721" i="158"/>
  <c r="I721" i="9"/>
  <c r="G722" i="9" s="1"/>
  <c r="F721" i="155"/>
  <c r="J722" i="155" s="1"/>
  <c r="G19" i="26"/>
  <c r="H85" i="25"/>
  <c r="F721" i="159"/>
  <c r="H87" i="25"/>
  <c r="H86" i="25"/>
  <c r="G721" i="158"/>
  <c r="I722" i="158" s="1"/>
  <c r="G726" i="157"/>
  <c r="K42" i="26"/>
  <c r="I728" i="157"/>
  <c r="J728" i="155"/>
  <c r="J727" i="157"/>
  <c r="K727" i="157" s="1"/>
  <c r="I726" i="157"/>
  <c r="H726" i="157"/>
  <c r="I732" i="159"/>
  <c r="I853" i="159" s="1"/>
  <c r="J731" i="159"/>
  <c r="H732" i="159"/>
  <c r="K725" i="157"/>
  <c r="G22" i="26"/>
  <c r="O22" i="26" s="1"/>
  <c r="G21" i="26"/>
  <c r="O21" i="26" s="1"/>
  <c r="H722" i="160"/>
  <c r="H726" i="155"/>
  <c r="I726" i="155"/>
  <c r="J724" i="9"/>
  <c r="K724" i="9" s="1"/>
  <c r="E80" i="35"/>
  <c r="M80" i="35"/>
  <c r="J78" i="35"/>
  <c r="G80" i="35"/>
  <c r="G82" i="35" s="1"/>
  <c r="I78" i="35"/>
  <c r="I80" i="35" s="1"/>
  <c r="K71" i="35"/>
  <c r="K78" i="35" s="1"/>
  <c r="H726" i="9"/>
  <c r="I726" i="9"/>
  <c r="J725" i="9"/>
  <c r="K725" i="9" s="1"/>
  <c r="G726" i="9"/>
  <c r="L727" i="161"/>
  <c r="I728" i="161"/>
  <c r="H728" i="161"/>
  <c r="J726" i="155"/>
  <c r="K725" i="155"/>
  <c r="L725" i="155" s="1"/>
  <c r="I228" i="9"/>
  <c r="F228" i="159" s="1"/>
  <c r="I252" i="9"/>
  <c r="F252" i="159" s="1"/>
  <c r="I385" i="9"/>
  <c r="F385" i="159" s="1"/>
  <c r="I388" i="9"/>
  <c r="F388" i="159" s="1"/>
  <c r="I317" i="9"/>
  <c r="F317" i="159" s="1"/>
  <c r="M20" i="26"/>
  <c r="Q20" i="26" s="1"/>
  <c r="S20" i="26" s="1"/>
  <c r="D22" i="25" s="1"/>
  <c r="M22" i="26"/>
  <c r="H388" i="9"/>
  <c r="H317" i="9"/>
  <c r="H228" i="9"/>
  <c r="H252" i="9"/>
  <c r="H385" i="9"/>
  <c r="M21" i="26"/>
  <c r="Q21" i="26" s="1"/>
  <c r="J728" i="161"/>
  <c r="K725" i="160"/>
  <c r="I726" i="159"/>
  <c r="J725" i="159"/>
  <c r="H726" i="159"/>
  <c r="G726" i="159"/>
  <c r="H728" i="160"/>
  <c r="L727" i="160"/>
  <c r="F728" i="160"/>
  <c r="I728" i="160"/>
  <c r="G38" i="26"/>
  <c r="G42" i="26" s="1"/>
  <c r="O39" i="26"/>
  <c r="J728" i="160"/>
  <c r="G724" i="161" l="1"/>
  <c r="K724" i="161" s="1"/>
  <c r="L724" i="161" s="1"/>
  <c r="G728" i="9"/>
  <c r="I728" i="9"/>
  <c r="G728" i="159"/>
  <c r="K725" i="158"/>
  <c r="K727" i="9"/>
  <c r="J724" i="157"/>
  <c r="K724" i="157" s="1"/>
  <c r="P724" i="160"/>
  <c r="O724" i="159"/>
  <c r="S21" i="26"/>
  <c r="D23" i="25" s="1"/>
  <c r="I709" i="161" s="1"/>
  <c r="I710" i="161" s="1"/>
  <c r="O40" i="26"/>
  <c r="H726" i="160"/>
  <c r="J727" i="158"/>
  <c r="K727" i="158" s="1"/>
  <c r="J726" i="160"/>
  <c r="H728" i="9"/>
  <c r="L725" i="160"/>
  <c r="O726" i="158"/>
  <c r="O724" i="158"/>
  <c r="G724" i="155"/>
  <c r="K724" i="155" s="1"/>
  <c r="P724" i="155" s="1"/>
  <c r="G728" i="158"/>
  <c r="I722" i="159"/>
  <c r="I728" i="159"/>
  <c r="H728" i="158"/>
  <c r="O726" i="157"/>
  <c r="J727" i="159"/>
  <c r="K727" i="159" s="1"/>
  <c r="J724" i="159"/>
  <c r="K724" i="159" s="1"/>
  <c r="J726" i="157"/>
  <c r="K726" i="157" s="1"/>
  <c r="H722" i="158"/>
  <c r="G722" i="158"/>
  <c r="G728" i="155"/>
  <c r="K728" i="155" s="1"/>
  <c r="P728" i="155" s="1"/>
  <c r="K725" i="159"/>
  <c r="H722" i="9"/>
  <c r="G722" i="159"/>
  <c r="O724" i="157"/>
  <c r="H726" i="161"/>
  <c r="I726" i="161"/>
  <c r="J726" i="161"/>
  <c r="J724" i="158"/>
  <c r="K724" i="158" s="1"/>
  <c r="J721" i="159"/>
  <c r="K721" i="159" s="1"/>
  <c r="K721" i="157"/>
  <c r="I726" i="160"/>
  <c r="L725" i="161"/>
  <c r="G23" i="26"/>
  <c r="J732" i="159"/>
  <c r="K732" i="159" s="1"/>
  <c r="J721" i="158"/>
  <c r="K721" i="158" s="1"/>
  <c r="H722" i="157"/>
  <c r="I722" i="9"/>
  <c r="G722" i="157"/>
  <c r="H84" i="25"/>
  <c r="H88" i="25" s="1"/>
  <c r="I722" i="155"/>
  <c r="I722" i="157"/>
  <c r="J726" i="158"/>
  <c r="K726" i="158" s="1"/>
  <c r="J721" i="9"/>
  <c r="K721" i="9" s="1"/>
  <c r="O19" i="26"/>
  <c r="O23" i="26" s="1"/>
  <c r="J722" i="161"/>
  <c r="O732" i="159"/>
  <c r="I722" i="161"/>
  <c r="L721" i="161"/>
  <c r="O728" i="157"/>
  <c r="O41" i="26"/>
  <c r="O38" i="26" s="1"/>
  <c r="O42" i="26" s="1"/>
  <c r="L721" i="155"/>
  <c r="M82" i="35"/>
  <c r="D97" i="35" s="1"/>
  <c r="E75" i="25" s="1"/>
  <c r="F75" i="25" s="1"/>
  <c r="F722" i="155"/>
  <c r="J728" i="157"/>
  <c r="K728" i="157" s="1"/>
  <c r="H722" i="155"/>
  <c r="M40" i="26"/>
  <c r="Q40" i="26" s="1"/>
  <c r="S40" i="26" s="1"/>
  <c r="E23" i="25" s="1"/>
  <c r="I711" i="161" s="1"/>
  <c r="I712" i="161" s="1"/>
  <c r="M41" i="26"/>
  <c r="Q41" i="26" s="1"/>
  <c r="M38" i="26"/>
  <c r="M39" i="26"/>
  <c r="Q39" i="26" s="1"/>
  <c r="G722" i="160"/>
  <c r="K722" i="160" s="1"/>
  <c r="M23" i="26"/>
  <c r="J726" i="9"/>
  <c r="K726" i="9" s="1"/>
  <c r="G853" i="159"/>
  <c r="H853" i="159"/>
  <c r="K80" i="35"/>
  <c r="K82" i="35" s="1"/>
  <c r="D96" i="35" s="1"/>
  <c r="E74" i="25" s="1"/>
  <c r="F74" i="25" s="1"/>
  <c r="I82" i="35"/>
  <c r="D95" i="35" s="1"/>
  <c r="E95" i="35" s="1"/>
  <c r="J726" i="159"/>
  <c r="K726" i="159" s="1"/>
  <c r="O726" i="159"/>
  <c r="I228" i="159"/>
  <c r="F228" i="161" s="1"/>
  <c r="H228" i="159"/>
  <c r="F169" i="25"/>
  <c r="G169" i="25" s="1"/>
  <c r="H169" i="25" s="1"/>
  <c r="I731" i="160" s="1"/>
  <c r="I709" i="160"/>
  <c r="I710" i="160" s="1"/>
  <c r="F228" i="158"/>
  <c r="G228" i="9"/>
  <c r="F252" i="158"/>
  <c r="G252" i="9"/>
  <c r="F385" i="158"/>
  <c r="G385" i="9"/>
  <c r="F317" i="158"/>
  <c r="G317" i="9"/>
  <c r="I388" i="159"/>
  <c r="F388" i="161" s="1"/>
  <c r="H388" i="159"/>
  <c r="I252" i="159"/>
  <c r="F252" i="161" s="1"/>
  <c r="H252" i="159"/>
  <c r="Q22" i="26"/>
  <c r="G726" i="155"/>
  <c r="K726" i="155" s="1"/>
  <c r="G728" i="161"/>
  <c r="K728" i="161" s="1"/>
  <c r="F388" i="158"/>
  <c r="G388" i="9"/>
  <c r="H709" i="161"/>
  <c r="H710" i="161" s="1"/>
  <c r="F168" i="25"/>
  <c r="G168" i="25" s="1"/>
  <c r="H168" i="25" s="1"/>
  <c r="H731" i="160" s="1"/>
  <c r="H709" i="160"/>
  <c r="H710" i="160" s="1"/>
  <c r="H709" i="155"/>
  <c r="H710" i="155" s="1"/>
  <c r="J728" i="159"/>
  <c r="K728" i="159" s="1"/>
  <c r="H317" i="159"/>
  <c r="G317" i="159"/>
  <c r="F317" i="160" s="1"/>
  <c r="I317" i="159"/>
  <c r="F317" i="161" s="1"/>
  <c r="I385" i="159"/>
  <c r="F385" i="161" s="1"/>
  <c r="H385" i="159"/>
  <c r="G728" i="160"/>
  <c r="K728" i="160" s="1"/>
  <c r="P728" i="160" s="1"/>
  <c r="L724" i="155" l="1"/>
  <c r="P724" i="161"/>
  <c r="I709" i="155"/>
  <c r="I710" i="155" s="1"/>
  <c r="O728" i="159"/>
  <c r="O728" i="158"/>
  <c r="J722" i="158"/>
  <c r="K722" i="158" s="1"/>
  <c r="O722" i="158"/>
  <c r="J722" i="159"/>
  <c r="K722" i="159" s="1"/>
  <c r="Q38" i="26"/>
  <c r="Q42" i="26" s="1"/>
  <c r="G726" i="160"/>
  <c r="K726" i="160" s="1"/>
  <c r="P726" i="160" s="1"/>
  <c r="J728" i="9"/>
  <c r="K728" i="9" s="1"/>
  <c r="H382" i="9"/>
  <c r="F382" i="158" s="1"/>
  <c r="L728" i="155"/>
  <c r="O722" i="159"/>
  <c r="J728" i="158"/>
  <c r="K728" i="158" s="1"/>
  <c r="H381" i="9"/>
  <c r="F381" i="158" s="1"/>
  <c r="I381" i="9"/>
  <c r="F381" i="159" s="1"/>
  <c r="H387" i="9"/>
  <c r="J722" i="157"/>
  <c r="K722" i="157" s="1"/>
  <c r="G726" i="161"/>
  <c r="K726" i="161" s="1"/>
  <c r="G722" i="155"/>
  <c r="K722" i="155" s="1"/>
  <c r="P722" i="155" s="1"/>
  <c r="J722" i="9"/>
  <c r="K722" i="9" s="1"/>
  <c r="I731" i="161"/>
  <c r="O722" i="157"/>
  <c r="I382" i="9"/>
  <c r="F382" i="159" s="1"/>
  <c r="I382" i="159" s="1"/>
  <c r="F382" i="161" s="1"/>
  <c r="I387" i="9"/>
  <c r="F387" i="159" s="1"/>
  <c r="H387" i="159" s="1"/>
  <c r="S41" i="26"/>
  <c r="E24" i="25" s="1"/>
  <c r="G722" i="161"/>
  <c r="K722" i="161" s="1"/>
  <c r="I711" i="155"/>
  <c r="I712" i="155" s="1"/>
  <c r="E97" i="35"/>
  <c r="P722" i="160"/>
  <c r="L722" i="160"/>
  <c r="S39" i="26"/>
  <c r="E22" i="25" s="1"/>
  <c r="E21" i="25" s="1"/>
  <c r="I711" i="160"/>
  <c r="I712" i="160" s="1"/>
  <c r="M42" i="26"/>
  <c r="G733" i="160"/>
  <c r="G733" i="161"/>
  <c r="G733" i="155"/>
  <c r="E73" i="25"/>
  <c r="F73" i="25" s="1"/>
  <c r="H719" i="161" s="1"/>
  <c r="J853" i="159"/>
  <c r="K853" i="159" s="1"/>
  <c r="E96" i="35"/>
  <c r="I719" i="161"/>
  <c r="I719" i="160"/>
  <c r="I719" i="155"/>
  <c r="J719" i="161"/>
  <c r="J719" i="155"/>
  <c r="J719" i="160"/>
  <c r="G252" i="159"/>
  <c r="J252" i="159" s="1"/>
  <c r="K252" i="159" s="1"/>
  <c r="G228" i="159"/>
  <c r="J228" i="159" s="1"/>
  <c r="K228" i="159" s="1"/>
  <c r="I731" i="155"/>
  <c r="H388" i="161"/>
  <c r="I388" i="165" s="1"/>
  <c r="I388" i="161"/>
  <c r="I388" i="166" s="1"/>
  <c r="J388" i="161"/>
  <c r="I388" i="167" s="1"/>
  <c r="H252" i="158"/>
  <c r="I252" i="158"/>
  <c r="H317" i="160"/>
  <c r="G317" i="165" s="1"/>
  <c r="J317" i="160"/>
  <c r="G317" i="167" s="1"/>
  <c r="I317" i="160"/>
  <c r="G317" i="166" s="1"/>
  <c r="F388" i="157"/>
  <c r="J388" i="9"/>
  <c r="K388" i="9" s="1"/>
  <c r="J252" i="161"/>
  <c r="I252" i="167" s="1"/>
  <c r="H252" i="161"/>
  <c r="I252" i="165" s="1"/>
  <c r="I252" i="161"/>
  <c r="I252" i="166" s="1"/>
  <c r="H317" i="158"/>
  <c r="I317" i="158"/>
  <c r="G317" i="158"/>
  <c r="I228" i="161"/>
  <c r="I228" i="166" s="1"/>
  <c r="H228" i="161"/>
  <c r="J228" i="161"/>
  <c r="I228" i="167" s="1"/>
  <c r="H731" i="155"/>
  <c r="L728" i="160"/>
  <c r="P726" i="155"/>
  <c r="L726" i="155"/>
  <c r="J385" i="161"/>
  <c r="I385" i="167" s="1"/>
  <c r="I385" i="161"/>
  <c r="I385" i="166" s="1"/>
  <c r="H385" i="161"/>
  <c r="I385" i="165" s="1"/>
  <c r="P728" i="161"/>
  <c r="L728" i="161"/>
  <c r="I385" i="158"/>
  <c r="H385" i="158"/>
  <c r="J252" i="9"/>
  <c r="K252" i="9" s="1"/>
  <c r="F252" i="157"/>
  <c r="H228" i="158"/>
  <c r="I228" i="158"/>
  <c r="H731" i="161"/>
  <c r="G388" i="159"/>
  <c r="I317" i="161"/>
  <c r="I317" i="166" s="1"/>
  <c r="J317" i="161"/>
  <c r="I317" i="167" s="1"/>
  <c r="H317" i="161"/>
  <c r="I317" i="165" s="1"/>
  <c r="J317" i="9"/>
  <c r="K317" i="9" s="1"/>
  <c r="F317" i="157"/>
  <c r="I388" i="158"/>
  <c r="H388" i="158"/>
  <c r="S22" i="26"/>
  <c r="D24" i="25" s="1"/>
  <c r="Q19" i="26"/>
  <c r="J385" i="9"/>
  <c r="K385" i="9" s="1"/>
  <c r="F385" i="157"/>
  <c r="F228" i="157"/>
  <c r="J228" i="9"/>
  <c r="K228" i="9" s="1"/>
  <c r="G385" i="159"/>
  <c r="J317" i="159"/>
  <c r="K317" i="159" s="1"/>
  <c r="S38" i="26" l="1"/>
  <c r="S42" i="26" s="1"/>
  <c r="L726" i="160"/>
  <c r="L722" i="155"/>
  <c r="F76" i="25"/>
  <c r="G75" i="25" s="1"/>
  <c r="E99" i="35"/>
  <c r="F96" i="35" s="1"/>
  <c r="F387" i="158"/>
  <c r="I387" i="158" s="1"/>
  <c r="G381" i="9"/>
  <c r="F381" i="157" s="1"/>
  <c r="H382" i="159"/>
  <c r="G382" i="159" s="1"/>
  <c r="J382" i="159" s="1"/>
  <c r="K382" i="159" s="1"/>
  <c r="P726" i="161"/>
  <c r="L726" i="161"/>
  <c r="H711" i="160"/>
  <c r="H712" i="160" s="1"/>
  <c r="H711" i="155"/>
  <c r="H712" i="155" s="1"/>
  <c r="H711" i="161"/>
  <c r="H712" i="161" s="1"/>
  <c r="I387" i="159"/>
  <c r="F387" i="161" s="1"/>
  <c r="J387" i="161" s="1"/>
  <c r="G387" i="9"/>
  <c r="J387" i="9" s="1"/>
  <c r="K387" i="9" s="1"/>
  <c r="G382" i="9"/>
  <c r="F382" i="157" s="1"/>
  <c r="J711" i="160"/>
  <c r="J711" i="155"/>
  <c r="J711" i="161"/>
  <c r="P722" i="161"/>
  <c r="L722" i="161"/>
  <c r="H719" i="155"/>
  <c r="K719" i="155" s="1"/>
  <c r="K719" i="161"/>
  <c r="F99" i="35"/>
  <c r="H719" i="160"/>
  <c r="K719" i="160" s="1"/>
  <c r="H733" i="161"/>
  <c r="H733" i="160"/>
  <c r="H733" i="155"/>
  <c r="F252" i="160"/>
  <c r="J252" i="160" s="1"/>
  <c r="F95" i="35"/>
  <c r="G388" i="158"/>
  <c r="J388" i="158" s="1"/>
  <c r="K388" i="158" s="1"/>
  <c r="G252" i="158"/>
  <c r="J252" i="158" s="1"/>
  <c r="K252" i="158" s="1"/>
  <c r="F228" i="160"/>
  <c r="J228" i="160" s="1"/>
  <c r="G73" i="25"/>
  <c r="F719" i="9"/>
  <c r="I719" i="9"/>
  <c r="G385" i="158"/>
  <c r="J385" i="158" s="1"/>
  <c r="K385" i="158" s="1"/>
  <c r="G317" i="160"/>
  <c r="K317" i="160" s="1"/>
  <c r="L317" i="160" s="1"/>
  <c r="G317" i="157"/>
  <c r="H317" i="157"/>
  <c r="F317" i="155" s="1"/>
  <c r="I317" i="157"/>
  <c r="J385" i="159"/>
  <c r="K385" i="159" s="1"/>
  <c r="F385" i="160"/>
  <c r="H381" i="158"/>
  <c r="I381" i="158"/>
  <c r="J388" i="159"/>
  <c r="K388" i="159" s="1"/>
  <c r="F388" i="160"/>
  <c r="H381" i="159"/>
  <c r="I381" i="159"/>
  <c r="H252" i="157"/>
  <c r="I252" i="157"/>
  <c r="I382" i="158"/>
  <c r="H382" i="158"/>
  <c r="I228" i="165"/>
  <c r="G228" i="161"/>
  <c r="G385" i="161"/>
  <c r="G252" i="161"/>
  <c r="G388" i="161"/>
  <c r="G317" i="161"/>
  <c r="I228" i="157"/>
  <c r="H228" i="157"/>
  <c r="F228" i="155" s="1"/>
  <c r="H385" i="157"/>
  <c r="F385" i="155" s="1"/>
  <c r="I385" i="157"/>
  <c r="J709" i="155"/>
  <c r="J709" i="161"/>
  <c r="J709" i="160"/>
  <c r="F170" i="25"/>
  <c r="G170" i="25" s="1"/>
  <c r="H170" i="25" s="1"/>
  <c r="D21" i="25"/>
  <c r="G711" i="161"/>
  <c r="G711" i="160"/>
  <c r="G711" i="155"/>
  <c r="G711" i="158"/>
  <c r="E25" i="25"/>
  <c r="H388" i="157"/>
  <c r="I388" i="157"/>
  <c r="G228" i="158"/>
  <c r="J228" i="158" s="1"/>
  <c r="K228" i="158" s="1"/>
  <c r="J317" i="158"/>
  <c r="K317" i="158" s="1"/>
  <c r="Q23" i="26"/>
  <c r="S19" i="26"/>
  <c r="S23" i="26" s="1"/>
  <c r="J382" i="161"/>
  <c r="H382" i="161"/>
  <c r="I382" i="161"/>
  <c r="I382" i="166" s="1"/>
  <c r="G74" i="25" l="1"/>
  <c r="G719" i="158"/>
  <c r="I719" i="159"/>
  <c r="J719" i="159" s="1"/>
  <c r="K719" i="159" s="1"/>
  <c r="F719" i="157"/>
  <c r="F719" i="158"/>
  <c r="F719" i="159"/>
  <c r="F719" i="161"/>
  <c r="J720" i="161" s="1"/>
  <c r="H719" i="157"/>
  <c r="G720" i="157" s="1"/>
  <c r="F719" i="155"/>
  <c r="F97" i="35"/>
  <c r="F94" i="35" s="1"/>
  <c r="F719" i="160"/>
  <c r="J720" i="160" s="1"/>
  <c r="J381" i="9"/>
  <c r="K381" i="9" s="1"/>
  <c r="H387" i="158"/>
  <c r="G387" i="158" s="1"/>
  <c r="J387" i="158" s="1"/>
  <c r="K387" i="158" s="1"/>
  <c r="F387" i="157"/>
  <c r="H387" i="161"/>
  <c r="I387" i="165" s="1"/>
  <c r="I387" i="161"/>
  <c r="G387" i="159"/>
  <c r="F387" i="160" s="1"/>
  <c r="H387" i="160" s="1"/>
  <c r="G387" i="165" s="1"/>
  <c r="J382" i="9"/>
  <c r="K382" i="9" s="1"/>
  <c r="G711" i="9"/>
  <c r="H712" i="9" s="1"/>
  <c r="G711" i="159"/>
  <c r="H712" i="159" s="1"/>
  <c r="H711" i="157"/>
  <c r="J711" i="157" s="1"/>
  <c r="K711" i="157" s="1"/>
  <c r="I252" i="160"/>
  <c r="G252" i="166" s="1"/>
  <c r="H252" i="160"/>
  <c r="F382" i="160"/>
  <c r="J382" i="160" s="1"/>
  <c r="G382" i="167" s="1"/>
  <c r="H228" i="160"/>
  <c r="I228" i="160"/>
  <c r="G228" i="166" s="1"/>
  <c r="I720" i="159"/>
  <c r="H720" i="159"/>
  <c r="G720" i="159"/>
  <c r="I720" i="158"/>
  <c r="G720" i="158"/>
  <c r="J719" i="158"/>
  <c r="K719" i="158" s="1"/>
  <c r="H720" i="158"/>
  <c r="G72" i="25"/>
  <c r="G76" i="25" s="1"/>
  <c r="I720" i="9"/>
  <c r="H720" i="9"/>
  <c r="G720" i="9"/>
  <c r="J719" i="9"/>
  <c r="K719" i="9" s="1"/>
  <c r="I720" i="160"/>
  <c r="L719" i="160"/>
  <c r="H720" i="155"/>
  <c r="F720" i="155"/>
  <c r="L719" i="155"/>
  <c r="I720" i="155"/>
  <c r="J720" i="155"/>
  <c r="G317" i="164"/>
  <c r="G228" i="157"/>
  <c r="J228" i="157" s="1"/>
  <c r="K228" i="157" s="1"/>
  <c r="G382" i="158"/>
  <c r="J382" i="158" s="1"/>
  <c r="K382" i="158" s="1"/>
  <c r="K711" i="155"/>
  <c r="L711" i="155" s="1"/>
  <c r="J712" i="155"/>
  <c r="G709" i="161"/>
  <c r="G709" i="155"/>
  <c r="G709" i="158"/>
  <c r="F167" i="25"/>
  <c r="G709" i="160"/>
  <c r="D25" i="25"/>
  <c r="I228" i="155"/>
  <c r="H228" i="155"/>
  <c r="J228" i="155"/>
  <c r="H228" i="167" s="1"/>
  <c r="H382" i="157"/>
  <c r="F382" i="155" s="1"/>
  <c r="I382" i="157"/>
  <c r="J388" i="160"/>
  <c r="I388" i="160"/>
  <c r="H388" i="160"/>
  <c r="G381" i="158"/>
  <c r="G381" i="159"/>
  <c r="J317" i="157"/>
  <c r="K317" i="157" s="1"/>
  <c r="G385" i="157"/>
  <c r="J385" i="157" s="1"/>
  <c r="K385" i="157" s="1"/>
  <c r="K711" i="161"/>
  <c r="L711" i="161" s="1"/>
  <c r="J712" i="161"/>
  <c r="J385" i="155"/>
  <c r="H385" i="167" s="1"/>
  <c r="I385" i="155"/>
  <c r="H385" i="166" s="1"/>
  <c r="H385" i="155"/>
  <c r="I388" i="164"/>
  <c r="K388" i="161"/>
  <c r="L388" i="161" s="1"/>
  <c r="I317" i="155"/>
  <c r="J317" i="155"/>
  <c r="H317" i="155"/>
  <c r="G228" i="167"/>
  <c r="I382" i="167"/>
  <c r="G252" i="167"/>
  <c r="F388" i="155"/>
  <c r="G388" i="157"/>
  <c r="J388" i="157" s="1"/>
  <c r="K388" i="157" s="1"/>
  <c r="H712" i="158"/>
  <c r="J711" i="158"/>
  <c r="K711" i="158" s="1"/>
  <c r="G712" i="158"/>
  <c r="I712" i="158"/>
  <c r="K711" i="160"/>
  <c r="L711" i="160" s="1"/>
  <c r="J712" i="160"/>
  <c r="I317" i="164"/>
  <c r="K317" i="161"/>
  <c r="L317" i="161" s="1"/>
  <c r="I385" i="164"/>
  <c r="K385" i="161"/>
  <c r="L385" i="161" s="1"/>
  <c r="F252" i="155"/>
  <c r="G252" i="157"/>
  <c r="J252" i="157" s="1"/>
  <c r="K252" i="157" s="1"/>
  <c r="F381" i="161"/>
  <c r="J385" i="160"/>
  <c r="H385" i="160"/>
  <c r="I385" i="160"/>
  <c r="H381" i="157"/>
  <c r="I381" i="157"/>
  <c r="G382" i="161"/>
  <c r="I382" i="165"/>
  <c r="I712" i="159"/>
  <c r="J731" i="155"/>
  <c r="J731" i="161"/>
  <c r="J731" i="160"/>
  <c r="H167" i="25"/>
  <c r="I387" i="167"/>
  <c r="I252" i="164"/>
  <c r="K252" i="161"/>
  <c r="L252" i="161" s="1"/>
  <c r="K228" i="161"/>
  <c r="L228" i="161" s="1"/>
  <c r="I228" i="164"/>
  <c r="I720" i="157" l="1"/>
  <c r="H720" i="160"/>
  <c r="L719" i="161"/>
  <c r="I720" i="161"/>
  <c r="F720" i="160"/>
  <c r="G720" i="160" s="1"/>
  <c r="K720" i="160" s="1"/>
  <c r="P720" i="160" s="1"/>
  <c r="H720" i="161"/>
  <c r="G720" i="161" s="1"/>
  <c r="K720" i="161" s="1"/>
  <c r="H720" i="157"/>
  <c r="J720" i="157" s="1"/>
  <c r="K720" i="157" s="1"/>
  <c r="J719" i="157"/>
  <c r="K719" i="157" s="1"/>
  <c r="I387" i="157"/>
  <c r="H387" i="157"/>
  <c r="F387" i="155" s="1"/>
  <c r="H387" i="155" s="1"/>
  <c r="H387" i="165" s="1"/>
  <c r="J387" i="165" s="1"/>
  <c r="G387" i="161"/>
  <c r="K387" i="161" s="1"/>
  <c r="L387" i="161" s="1"/>
  <c r="I387" i="160"/>
  <c r="G387" i="166" s="1"/>
  <c r="G712" i="157"/>
  <c r="I712" i="9"/>
  <c r="I114" i="9" s="1"/>
  <c r="I712" i="157"/>
  <c r="H712" i="157"/>
  <c r="G712" i="9"/>
  <c r="J711" i="9"/>
  <c r="K711" i="9" s="1"/>
  <c r="J387" i="160"/>
  <c r="G387" i="167" s="1"/>
  <c r="I387" i="166"/>
  <c r="J387" i="159"/>
  <c r="K387" i="159" s="1"/>
  <c r="J711" i="159"/>
  <c r="K711" i="159" s="1"/>
  <c r="G712" i="159"/>
  <c r="O712" i="159" s="1"/>
  <c r="I382" i="160"/>
  <c r="G382" i="166" s="1"/>
  <c r="J733" i="161"/>
  <c r="J733" i="155"/>
  <c r="J733" i="160"/>
  <c r="G252" i="160"/>
  <c r="K252" i="160" s="1"/>
  <c r="L252" i="160" s="1"/>
  <c r="I709" i="9"/>
  <c r="H710" i="9" s="1"/>
  <c r="G709" i="159"/>
  <c r="G710" i="159" s="1"/>
  <c r="H709" i="157"/>
  <c r="I710" i="157" s="1"/>
  <c r="I733" i="161"/>
  <c r="I733" i="155"/>
  <c r="I733" i="160"/>
  <c r="D151" i="25"/>
  <c r="E150" i="25" s="1"/>
  <c r="H382" i="160"/>
  <c r="G382" i="165" s="1"/>
  <c r="G252" i="165"/>
  <c r="G228" i="160"/>
  <c r="K228" i="160" s="1"/>
  <c r="L228" i="160" s="1"/>
  <c r="G228" i="165"/>
  <c r="J228" i="162"/>
  <c r="F228" i="167" s="1"/>
  <c r="J228" i="167"/>
  <c r="J720" i="9"/>
  <c r="K720" i="9" s="1"/>
  <c r="G720" i="155"/>
  <c r="K720" i="155" s="1"/>
  <c r="P720" i="155" s="1"/>
  <c r="O720" i="157"/>
  <c r="I373" i="9"/>
  <c r="F373" i="159" s="1"/>
  <c r="I126" i="9"/>
  <c r="I72" i="9"/>
  <c r="O720" i="158"/>
  <c r="J720" i="158"/>
  <c r="K720" i="158" s="1"/>
  <c r="G388" i="160"/>
  <c r="G388" i="164" s="1"/>
  <c r="H373" i="9"/>
  <c r="H72" i="9"/>
  <c r="H126" i="9"/>
  <c r="O720" i="159"/>
  <c r="J720" i="159"/>
  <c r="K720" i="159" s="1"/>
  <c r="G382" i="157"/>
  <c r="J382" i="157" s="1"/>
  <c r="K382" i="157" s="1"/>
  <c r="G381" i="157"/>
  <c r="J381" i="157" s="1"/>
  <c r="H385" i="162"/>
  <c r="F385" i="165" s="1"/>
  <c r="G385" i="165"/>
  <c r="J252" i="155"/>
  <c r="H252" i="155"/>
  <c r="I252" i="155"/>
  <c r="J388" i="155"/>
  <c r="H388" i="167" s="1"/>
  <c r="H388" i="155"/>
  <c r="H388" i="165" s="1"/>
  <c r="I388" i="155"/>
  <c r="H388" i="166" s="1"/>
  <c r="J317" i="162"/>
  <c r="F317" i="167" s="1"/>
  <c r="H317" i="167"/>
  <c r="J317" i="167" s="1"/>
  <c r="J381" i="159"/>
  <c r="F381" i="160"/>
  <c r="H57" i="9"/>
  <c r="H58" i="9"/>
  <c r="H114" i="9"/>
  <c r="I382" i="164"/>
  <c r="K382" i="161"/>
  <c r="L382" i="161" s="1"/>
  <c r="G385" i="166"/>
  <c r="J385" i="166" s="1"/>
  <c r="I385" i="162"/>
  <c r="F385" i="166" s="1"/>
  <c r="H381" i="161"/>
  <c r="I381" i="161"/>
  <c r="J381" i="161"/>
  <c r="O712" i="158"/>
  <c r="J712" i="158"/>
  <c r="K712" i="158" s="1"/>
  <c r="G317" i="155"/>
  <c r="H317" i="162"/>
  <c r="F317" i="165" s="1"/>
  <c r="H317" i="165"/>
  <c r="J317" i="165" s="1"/>
  <c r="J381" i="158"/>
  <c r="G388" i="167"/>
  <c r="H382" i="155"/>
  <c r="H382" i="165" s="1"/>
  <c r="J382" i="155"/>
  <c r="H382" i="167" s="1"/>
  <c r="J382" i="167" s="1"/>
  <c r="I382" i="155"/>
  <c r="H382" i="166" s="1"/>
  <c r="J709" i="158"/>
  <c r="K709" i="158" s="1"/>
  <c r="G710" i="158"/>
  <c r="I710" i="158"/>
  <c r="H710" i="158"/>
  <c r="G712" i="161"/>
  <c r="K712" i="161" s="1"/>
  <c r="G388" i="166"/>
  <c r="H228" i="166"/>
  <c r="J228" i="166" s="1"/>
  <c r="I228" i="162"/>
  <c r="F228" i="166" s="1"/>
  <c r="F171" i="25"/>
  <c r="G167" i="25"/>
  <c r="J710" i="161"/>
  <c r="K709" i="161"/>
  <c r="L709" i="161" s="1"/>
  <c r="G385" i="160"/>
  <c r="G731" i="161"/>
  <c r="G731" i="160"/>
  <c r="H171" i="25"/>
  <c r="G731" i="155"/>
  <c r="F381" i="155"/>
  <c r="G385" i="167"/>
  <c r="J385" i="167" s="1"/>
  <c r="J385" i="162"/>
  <c r="F385" i="167" s="1"/>
  <c r="H317" i="166"/>
  <c r="J317" i="166" s="1"/>
  <c r="I317" i="162"/>
  <c r="F317" i="166" s="1"/>
  <c r="G385" i="155"/>
  <c r="H385" i="165"/>
  <c r="G388" i="165"/>
  <c r="H228" i="165"/>
  <c r="H228" i="162"/>
  <c r="F228" i="165" s="1"/>
  <c r="G228" i="155"/>
  <c r="J710" i="160"/>
  <c r="K709" i="160"/>
  <c r="L709" i="160" s="1"/>
  <c r="K709" i="155"/>
  <c r="L709" i="155" s="1"/>
  <c r="J710" i="155"/>
  <c r="G712" i="160"/>
  <c r="K712" i="160" s="1"/>
  <c r="G712" i="155"/>
  <c r="K712" i="155" s="1"/>
  <c r="J712" i="157" l="1"/>
  <c r="K712" i="157" s="1"/>
  <c r="I57" i="9"/>
  <c r="F57" i="159" s="1"/>
  <c r="J712" i="9"/>
  <c r="K712" i="9" s="1"/>
  <c r="I387" i="164"/>
  <c r="G387" i="157"/>
  <c r="J387" i="157" s="1"/>
  <c r="K387" i="157" s="1"/>
  <c r="I387" i="155"/>
  <c r="H387" i="166" s="1"/>
  <c r="J387" i="166" s="1"/>
  <c r="J387" i="155"/>
  <c r="I58" i="9"/>
  <c r="F58" i="159" s="1"/>
  <c r="I58" i="159" s="1"/>
  <c r="F58" i="161" s="1"/>
  <c r="I710" i="159"/>
  <c r="O712" i="157"/>
  <c r="G387" i="160"/>
  <c r="G387" i="164" s="1"/>
  <c r="J228" i="165"/>
  <c r="K228" i="165" s="1"/>
  <c r="H710" i="157"/>
  <c r="G710" i="157"/>
  <c r="K733" i="155"/>
  <c r="I710" i="9"/>
  <c r="I68" i="9" s="1"/>
  <c r="F68" i="159" s="1"/>
  <c r="G382" i="160"/>
  <c r="G382" i="164" s="1"/>
  <c r="J709" i="157"/>
  <c r="K709" i="157" s="1"/>
  <c r="J709" i="159"/>
  <c r="K709" i="159" s="1"/>
  <c r="H710" i="159"/>
  <c r="O710" i="159" s="1"/>
  <c r="G252" i="164"/>
  <c r="E149" i="25"/>
  <c r="J709" i="9"/>
  <c r="K709" i="9" s="1"/>
  <c r="K733" i="161"/>
  <c r="J712" i="159"/>
  <c r="K712" i="159" s="1"/>
  <c r="G710" i="9"/>
  <c r="K733" i="160"/>
  <c r="F733" i="160"/>
  <c r="J734" i="160" s="1"/>
  <c r="F733" i="161"/>
  <c r="J734" i="161" s="1"/>
  <c r="F733" i="159"/>
  <c r="I733" i="159"/>
  <c r="G733" i="158"/>
  <c r="F733" i="9"/>
  <c r="F733" i="155"/>
  <c r="J734" i="155" s="1"/>
  <c r="H733" i="157"/>
  <c r="F733" i="158"/>
  <c r="F733" i="157"/>
  <c r="I733" i="9"/>
  <c r="E148" i="25"/>
  <c r="G710" i="155"/>
  <c r="K710" i="155" s="1"/>
  <c r="L710" i="155" s="1"/>
  <c r="G228" i="164"/>
  <c r="H388" i="162"/>
  <c r="F388" i="165" s="1"/>
  <c r="K228" i="167"/>
  <c r="J385" i="165"/>
  <c r="K385" i="165" s="1"/>
  <c r="K317" i="167"/>
  <c r="H382" i="162"/>
  <c r="F382" i="165" s="1"/>
  <c r="K388" i="160"/>
  <c r="L388" i="160" s="1"/>
  <c r="I388" i="162"/>
  <c r="F388" i="166" s="1"/>
  <c r="L720" i="160"/>
  <c r="F373" i="158"/>
  <c r="G373" i="9"/>
  <c r="I768" i="9"/>
  <c r="F72" i="159"/>
  <c r="L720" i="161"/>
  <c r="P720" i="161"/>
  <c r="F72" i="158"/>
  <c r="G72" i="9"/>
  <c r="H768" i="9"/>
  <c r="L720" i="155"/>
  <c r="F126" i="158"/>
  <c r="G126" i="9"/>
  <c r="H770" i="9"/>
  <c r="I373" i="159"/>
  <c r="F373" i="161" s="1"/>
  <c r="H373" i="159"/>
  <c r="F126" i="159"/>
  <c r="I770" i="9"/>
  <c r="K317" i="166"/>
  <c r="K317" i="165"/>
  <c r="J382" i="165"/>
  <c r="J382" i="162"/>
  <c r="F382" i="167" s="1"/>
  <c r="K382" i="167" s="1"/>
  <c r="J388" i="162"/>
  <c r="F388" i="167" s="1"/>
  <c r="G381" i="161"/>
  <c r="K381" i="161" s="1"/>
  <c r="G252" i="155"/>
  <c r="K252" i="155" s="1"/>
  <c r="L252" i="155" s="1"/>
  <c r="K228" i="155"/>
  <c r="L228" i="155" s="1"/>
  <c r="H228" i="164"/>
  <c r="G385" i="162"/>
  <c r="H385" i="164"/>
  <c r="K385" i="155"/>
  <c r="L385" i="155" s="1"/>
  <c r="K731" i="161"/>
  <c r="G385" i="164"/>
  <c r="K385" i="160"/>
  <c r="L385" i="160" s="1"/>
  <c r="K381" i="158"/>
  <c r="F58" i="158"/>
  <c r="H69" i="9"/>
  <c r="H123" i="9"/>
  <c r="F123" i="158" s="1"/>
  <c r="H68" i="9"/>
  <c r="H122" i="9"/>
  <c r="F122" i="158" s="1"/>
  <c r="H369" i="9"/>
  <c r="H77" i="9"/>
  <c r="H74" i="9"/>
  <c r="H128" i="9"/>
  <c r="F128" i="158" s="1"/>
  <c r="H376" i="9"/>
  <c r="H367" i="9"/>
  <c r="K381" i="159"/>
  <c r="H252" i="166"/>
  <c r="J252" i="166" s="1"/>
  <c r="I252" i="162"/>
  <c r="F252" i="166" s="1"/>
  <c r="K385" i="167"/>
  <c r="G382" i="155"/>
  <c r="G228" i="162"/>
  <c r="J388" i="166"/>
  <c r="L712" i="155"/>
  <c r="P712" i="155"/>
  <c r="J381" i="155"/>
  <c r="H381" i="155"/>
  <c r="I381" i="155"/>
  <c r="K731" i="160"/>
  <c r="J710" i="158"/>
  <c r="K710" i="158" s="1"/>
  <c r="O710" i="158"/>
  <c r="I381" i="165"/>
  <c r="F114" i="158"/>
  <c r="H115" i="9"/>
  <c r="H165" i="9" s="1"/>
  <c r="I381" i="160"/>
  <c r="H381" i="160"/>
  <c r="J381" i="160"/>
  <c r="G388" i="155"/>
  <c r="L712" i="160"/>
  <c r="P712" i="160"/>
  <c r="F731" i="157"/>
  <c r="F731" i="158"/>
  <c r="F731" i="9"/>
  <c r="F731" i="160"/>
  <c r="F731" i="159"/>
  <c r="K731" i="159" s="1"/>
  <c r="G731" i="158"/>
  <c r="F731" i="161"/>
  <c r="J732" i="161" s="1"/>
  <c r="J853" i="161" s="1"/>
  <c r="F731" i="155"/>
  <c r="J732" i="155" s="1"/>
  <c r="J853" i="155" s="1"/>
  <c r="I731" i="9"/>
  <c r="H731" i="157"/>
  <c r="G114" i="9"/>
  <c r="I115" i="9"/>
  <c r="I165" i="9" s="1"/>
  <c r="F114" i="159"/>
  <c r="G317" i="162"/>
  <c r="K317" i="155"/>
  <c r="L317" i="155" s="1"/>
  <c r="H317" i="164"/>
  <c r="J317" i="164" s="1"/>
  <c r="I381" i="166"/>
  <c r="H252" i="167"/>
  <c r="J252" i="167" s="1"/>
  <c r="J252" i="162"/>
  <c r="F252" i="167" s="1"/>
  <c r="G710" i="160"/>
  <c r="K710" i="160" s="1"/>
  <c r="G710" i="161"/>
  <c r="K710" i="161" s="1"/>
  <c r="K228" i="166"/>
  <c r="H387" i="162"/>
  <c r="F387" i="165" s="1"/>
  <c r="K387" i="165" s="1"/>
  <c r="J388" i="167"/>
  <c r="I382" i="162"/>
  <c r="F382" i="166" s="1"/>
  <c r="K731" i="155"/>
  <c r="P712" i="161"/>
  <c r="L712" i="161"/>
  <c r="I381" i="167"/>
  <c r="H59" i="9"/>
  <c r="F57" i="158"/>
  <c r="G57" i="9"/>
  <c r="H252" i="165"/>
  <c r="J252" i="165" s="1"/>
  <c r="H252" i="162"/>
  <c r="F252" i="165" s="1"/>
  <c r="K381" i="157"/>
  <c r="K385" i="166"/>
  <c r="J388" i="165"/>
  <c r="J382" i="166"/>
  <c r="I376" i="9" l="1"/>
  <c r="F376" i="159" s="1"/>
  <c r="G387" i="155"/>
  <c r="G387" i="162" s="1"/>
  <c r="H387" i="167"/>
  <c r="J387" i="167" s="1"/>
  <c r="I387" i="162"/>
  <c r="F387" i="166" s="1"/>
  <c r="K387" i="166" s="1"/>
  <c r="J387" i="162"/>
  <c r="F387" i="167" s="1"/>
  <c r="G58" i="9"/>
  <c r="G59" i="9" s="1"/>
  <c r="H58" i="159"/>
  <c r="I59" i="9"/>
  <c r="I164" i="9" s="1"/>
  <c r="I166" i="9" s="1"/>
  <c r="I792" i="9" s="1"/>
  <c r="G58" i="159"/>
  <c r="F58" i="160" s="1"/>
  <c r="E147" i="25"/>
  <c r="E151" i="25" s="1"/>
  <c r="K387" i="160"/>
  <c r="L387" i="160" s="1"/>
  <c r="I369" i="9"/>
  <c r="F369" i="159" s="1"/>
  <c r="H369" i="159" s="1"/>
  <c r="I128" i="9"/>
  <c r="G128" i="9" s="1"/>
  <c r="I123" i="9"/>
  <c r="G123" i="9" s="1"/>
  <c r="P710" i="155"/>
  <c r="O710" i="157"/>
  <c r="J710" i="157"/>
  <c r="K710" i="157" s="1"/>
  <c r="J710" i="159"/>
  <c r="K710" i="159" s="1"/>
  <c r="K382" i="160"/>
  <c r="L382" i="160" s="1"/>
  <c r="G382" i="162"/>
  <c r="K382" i="162" s="1"/>
  <c r="L382" i="162" s="1"/>
  <c r="I69" i="9"/>
  <c r="F69" i="159" s="1"/>
  <c r="H69" i="159" s="1"/>
  <c r="I122" i="9"/>
  <c r="G122" i="9" s="1"/>
  <c r="I74" i="9"/>
  <c r="F74" i="159" s="1"/>
  <c r="H74" i="159" s="1"/>
  <c r="I77" i="9"/>
  <c r="F77" i="159" s="1"/>
  <c r="I77" i="159" s="1"/>
  <c r="F77" i="161" s="1"/>
  <c r="I367" i="9"/>
  <c r="F367" i="159" s="1"/>
  <c r="H367" i="159" s="1"/>
  <c r="J710" i="9"/>
  <c r="K710" i="9" s="1"/>
  <c r="K388" i="165"/>
  <c r="G734" i="157"/>
  <c r="J733" i="157"/>
  <c r="K733" i="157" s="1"/>
  <c r="I734" i="157"/>
  <c r="H734" i="157"/>
  <c r="J733" i="159"/>
  <c r="K733" i="159" s="1"/>
  <c r="I734" i="159"/>
  <c r="H734" i="159"/>
  <c r="G734" i="159"/>
  <c r="H734" i="158"/>
  <c r="I734" i="158"/>
  <c r="J733" i="158"/>
  <c r="K733" i="158" s="1"/>
  <c r="G734" i="158"/>
  <c r="H734" i="160"/>
  <c r="F734" i="160"/>
  <c r="I734" i="160"/>
  <c r="L733" i="160"/>
  <c r="I734" i="161"/>
  <c r="L733" i="161"/>
  <c r="H734" i="161"/>
  <c r="I734" i="9"/>
  <c r="J733" i="9"/>
  <c r="K733" i="9" s="1"/>
  <c r="H734" i="9"/>
  <c r="G734" i="9"/>
  <c r="L733" i="155"/>
  <c r="F734" i="155"/>
  <c r="I734" i="155"/>
  <c r="H734" i="155"/>
  <c r="F770" i="155"/>
  <c r="F770" i="157"/>
  <c r="F768" i="155"/>
  <c r="F768" i="157"/>
  <c r="J228" i="164"/>
  <c r="K382" i="165"/>
  <c r="H381" i="162"/>
  <c r="F381" i="165" s="1"/>
  <c r="J381" i="162"/>
  <c r="I381" i="162"/>
  <c r="F381" i="166" s="1"/>
  <c r="K388" i="166"/>
  <c r="G373" i="159"/>
  <c r="J373" i="159" s="1"/>
  <c r="K373" i="159" s="1"/>
  <c r="K388" i="167"/>
  <c r="I126" i="159"/>
  <c r="H126" i="159"/>
  <c r="H770" i="159" s="1"/>
  <c r="H373" i="158"/>
  <c r="I373" i="158"/>
  <c r="I373" i="161"/>
  <c r="I373" i="166" s="1"/>
  <c r="J373" i="161"/>
  <c r="I373" i="167" s="1"/>
  <c r="H373" i="161"/>
  <c r="I373" i="165" s="1"/>
  <c r="J373" i="9"/>
  <c r="K373" i="9" s="1"/>
  <c r="F373" i="157"/>
  <c r="H126" i="158"/>
  <c r="H770" i="158" s="1"/>
  <c r="I126" i="158"/>
  <c r="I770" i="158" s="1"/>
  <c r="H72" i="158"/>
  <c r="H768" i="158" s="1"/>
  <c r="G72" i="158"/>
  <c r="I72" i="158"/>
  <c r="I768" i="158" s="1"/>
  <c r="J126" i="9"/>
  <c r="K126" i="9" s="1"/>
  <c r="F126" i="157"/>
  <c r="G770" i="9"/>
  <c r="J770" i="9" s="1"/>
  <c r="K770" i="9" s="1"/>
  <c r="J72" i="9"/>
  <c r="K72" i="9" s="1"/>
  <c r="F72" i="157"/>
  <c r="G768" i="9"/>
  <c r="J768" i="9" s="1"/>
  <c r="K768" i="9" s="1"/>
  <c r="I72" i="159"/>
  <c r="G72" i="159"/>
  <c r="H72" i="159"/>
  <c r="H768" i="159" s="1"/>
  <c r="K252" i="167"/>
  <c r="K252" i="166"/>
  <c r="H252" i="164"/>
  <c r="J252" i="164" s="1"/>
  <c r="I381" i="164"/>
  <c r="K382" i="166"/>
  <c r="G252" i="162"/>
  <c r="F252" i="164" s="1"/>
  <c r="G381" i="160"/>
  <c r="K381" i="160" s="1"/>
  <c r="H164" i="9"/>
  <c r="H166" i="9" s="1"/>
  <c r="H792" i="9" s="1"/>
  <c r="H782" i="9"/>
  <c r="H65" i="9"/>
  <c r="F732" i="155"/>
  <c r="H732" i="155"/>
  <c r="H853" i="155" s="1"/>
  <c r="I732" i="155"/>
  <c r="I853" i="155" s="1"/>
  <c r="L731" i="155"/>
  <c r="I732" i="160"/>
  <c r="I853" i="160" s="1"/>
  <c r="F732" i="160"/>
  <c r="L731" i="160"/>
  <c r="H732" i="160"/>
  <c r="H853" i="160" s="1"/>
  <c r="G381" i="167"/>
  <c r="H381" i="165"/>
  <c r="K382" i="155"/>
  <c r="L382" i="155" s="1"/>
  <c r="H382" i="164"/>
  <c r="J382" i="164" s="1"/>
  <c r="F376" i="158"/>
  <c r="G376" i="9"/>
  <c r="F369" i="158"/>
  <c r="F69" i="158"/>
  <c r="H58" i="158"/>
  <c r="G58" i="158"/>
  <c r="I58" i="158"/>
  <c r="H57" i="158"/>
  <c r="G57" i="158"/>
  <c r="F59" i="158"/>
  <c r="I57" i="158"/>
  <c r="P710" i="161"/>
  <c r="L710" i="161"/>
  <c r="F317" i="164"/>
  <c r="K317" i="164" s="1"/>
  <c r="K317" i="162"/>
  <c r="L317" i="162" s="1"/>
  <c r="J114" i="9"/>
  <c r="F114" i="157"/>
  <c r="G115" i="9"/>
  <c r="G165" i="9" s="1"/>
  <c r="I732" i="9"/>
  <c r="H732" i="9"/>
  <c r="J731" i="9"/>
  <c r="K731" i="9" s="1"/>
  <c r="G732" i="9"/>
  <c r="H388" i="164"/>
  <c r="J388" i="164" s="1"/>
  <c r="K388" i="155"/>
  <c r="L388" i="155" s="1"/>
  <c r="G388" i="162"/>
  <c r="H381" i="166"/>
  <c r="F367" i="158"/>
  <c r="F77" i="158"/>
  <c r="H123" i="158"/>
  <c r="I123" i="158"/>
  <c r="H57" i="159"/>
  <c r="F59" i="159"/>
  <c r="G57" i="159"/>
  <c r="I57" i="159"/>
  <c r="K385" i="162"/>
  <c r="L385" i="162" s="1"/>
  <c r="F385" i="164"/>
  <c r="L381" i="161"/>
  <c r="J57" i="9"/>
  <c r="F57" i="157"/>
  <c r="I58" i="161"/>
  <c r="H58" i="161"/>
  <c r="J58" i="161"/>
  <c r="P710" i="160"/>
  <c r="L710" i="160"/>
  <c r="H68" i="159"/>
  <c r="G68" i="159"/>
  <c r="I68" i="159"/>
  <c r="F68" i="161" s="1"/>
  <c r="I376" i="159"/>
  <c r="F376" i="161" s="1"/>
  <c r="H376" i="159"/>
  <c r="H732" i="157"/>
  <c r="G732" i="157"/>
  <c r="J731" i="157"/>
  <c r="K731" i="157" s="1"/>
  <c r="I732" i="157"/>
  <c r="I853" i="157" s="1"/>
  <c r="H732" i="158"/>
  <c r="I732" i="158"/>
  <c r="I853" i="158" s="1"/>
  <c r="G732" i="158"/>
  <c r="J731" i="158"/>
  <c r="K731" i="158" s="1"/>
  <c r="G381" i="166"/>
  <c r="F115" i="158"/>
  <c r="F165" i="158" s="1"/>
  <c r="H114" i="158"/>
  <c r="H115" i="158" s="1"/>
  <c r="H165" i="158" s="1"/>
  <c r="I114" i="158"/>
  <c r="I115" i="158" s="1"/>
  <c r="I165" i="158" s="1"/>
  <c r="F228" i="164"/>
  <c r="K228" i="162"/>
  <c r="L228" i="162" s="1"/>
  <c r="F74" i="158"/>
  <c r="F68" i="158"/>
  <c r="G68" i="9"/>
  <c r="K252" i="165"/>
  <c r="J732" i="160"/>
  <c r="J853" i="160" s="1"/>
  <c r="G381" i="155"/>
  <c r="J385" i="164"/>
  <c r="F115" i="159"/>
  <c r="F165" i="159" s="1"/>
  <c r="I114" i="159"/>
  <c r="H114" i="159"/>
  <c r="H115" i="159" s="1"/>
  <c r="H165" i="159" s="1"/>
  <c r="L731" i="161"/>
  <c r="I732" i="161"/>
  <c r="I853" i="161" s="1"/>
  <c r="H732" i="161"/>
  <c r="H853" i="161" s="1"/>
  <c r="G381" i="165"/>
  <c r="H381" i="167"/>
  <c r="H128" i="158"/>
  <c r="I128" i="158"/>
  <c r="I122" i="158"/>
  <c r="H122" i="158"/>
  <c r="H387" i="164" l="1"/>
  <c r="J387" i="164" s="1"/>
  <c r="K387" i="155"/>
  <c r="L387" i="155" s="1"/>
  <c r="K387" i="167"/>
  <c r="J58" i="9"/>
  <c r="K58" i="9" s="1"/>
  <c r="F58" i="157"/>
  <c r="H58" i="157" s="1"/>
  <c r="F58" i="155" s="1"/>
  <c r="H59" i="159"/>
  <c r="H164" i="159" s="1"/>
  <c r="H166" i="159" s="1"/>
  <c r="K387" i="162"/>
  <c r="L387" i="162" s="1"/>
  <c r="I65" i="9"/>
  <c r="J58" i="159"/>
  <c r="K58" i="159" s="1"/>
  <c r="I782" i="9"/>
  <c r="G59" i="159"/>
  <c r="G65" i="159" s="1"/>
  <c r="F387" i="164"/>
  <c r="G369" i="9"/>
  <c r="J369" i="9" s="1"/>
  <c r="K369" i="9" s="1"/>
  <c r="I369" i="159"/>
  <c r="F369" i="161" s="1"/>
  <c r="H369" i="161" s="1"/>
  <c r="F128" i="159"/>
  <c r="I128" i="159" s="1"/>
  <c r="F128" i="161" s="1"/>
  <c r="F123" i="159"/>
  <c r="H123" i="159" s="1"/>
  <c r="F382" i="164"/>
  <c r="K382" i="164" s="1"/>
  <c r="I367" i="159"/>
  <c r="F367" i="161" s="1"/>
  <c r="J367" i="161" s="1"/>
  <c r="G69" i="159"/>
  <c r="F69" i="160" s="1"/>
  <c r="H77" i="159"/>
  <c r="I69" i="159"/>
  <c r="F69" i="161" s="1"/>
  <c r="H69" i="161" s="1"/>
  <c r="G367" i="9"/>
  <c r="F367" i="157" s="1"/>
  <c r="G69" i="9"/>
  <c r="F69" i="157" s="1"/>
  <c r="F122" i="159"/>
  <c r="H122" i="159" s="1"/>
  <c r="K228" i="164"/>
  <c r="I74" i="159"/>
  <c r="F74" i="161" s="1"/>
  <c r="H74" i="161" s="1"/>
  <c r="G77" i="159"/>
  <c r="F77" i="160" s="1"/>
  <c r="G74" i="9"/>
  <c r="J74" i="9" s="1"/>
  <c r="K74" i="9" s="1"/>
  <c r="G77" i="9"/>
  <c r="J77" i="9" s="1"/>
  <c r="K77" i="9" s="1"/>
  <c r="G74" i="159"/>
  <c r="F74" i="160" s="1"/>
  <c r="I75" i="9"/>
  <c r="I129" i="9"/>
  <c r="J734" i="157"/>
  <c r="K734" i="157" s="1"/>
  <c r="O734" i="157"/>
  <c r="G734" i="155"/>
  <c r="K734" i="155" s="1"/>
  <c r="P734" i="155" s="1"/>
  <c r="G734" i="161"/>
  <c r="K734" i="161" s="1"/>
  <c r="H129" i="9"/>
  <c r="H75" i="9"/>
  <c r="O734" i="158"/>
  <c r="J734" i="158"/>
  <c r="K734" i="158" s="1"/>
  <c r="J734" i="159"/>
  <c r="K734" i="159" s="1"/>
  <c r="O734" i="159"/>
  <c r="J734" i="9"/>
  <c r="K734" i="9" s="1"/>
  <c r="G734" i="160"/>
  <c r="K734" i="160" s="1"/>
  <c r="P734" i="160" s="1"/>
  <c r="G381" i="162"/>
  <c r="F381" i="164" s="1"/>
  <c r="G381" i="164"/>
  <c r="F381" i="167"/>
  <c r="K252" i="164"/>
  <c r="F373" i="160"/>
  <c r="J373" i="160" s="1"/>
  <c r="G373" i="158"/>
  <c r="J373" i="158" s="1"/>
  <c r="K373" i="158" s="1"/>
  <c r="K252" i="162"/>
  <c r="L252" i="162" s="1"/>
  <c r="F72" i="161"/>
  <c r="F768" i="161"/>
  <c r="I768" i="159"/>
  <c r="G122" i="158"/>
  <c r="J122" i="158" s="1"/>
  <c r="K122" i="158" s="1"/>
  <c r="G126" i="158"/>
  <c r="G126" i="159"/>
  <c r="J72" i="159"/>
  <c r="K72" i="159" s="1"/>
  <c r="G768" i="159"/>
  <c r="F72" i="160"/>
  <c r="F768" i="160"/>
  <c r="I373" i="157"/>
  <c r="H373" i="157"/>
  <c r="F373" i="155" s="1"/>
  <c r="H72" i="157"/>
  <c r="I72" i="157"/>
  <c r="I768" i="157" s="1"/>
  <c r="G72" i="157"/>
  <c r="J72" i="158"/>
  <c r="K72" i="158" s="1"/>
  <c r="G768" i="158"/>
  <c r="J768" i="158" s="1"/>
  <c r="K768" i="158" s="1"/>
  <c r="F770" i="161"/>
  <c r="I770" i="159"/>
  <c r="F126" i="161"/>
  <c r="I126" i="157"/>
  <c r="I770" i="157" s="1"/>
  <c r="H126" i="157"/>
  <c r="G376" i="159"/>
  <c r="F376" i="160" s="1"/>
  <c r="G373" i="161"/>
  <c r="G128" i="158"/>
  <c r="J128" i="158" s="1"/>
  <c r="K128" i="158" s="1"/>
  <c r="G123" i="158"/>
  <c r="J123" i="158" s="1"/>
  <c r="K123" i="158" s="1"/>
  <c r="G58" i="161"/>
  <c r="K58" i="161" s="1"/>
  <c r="L58" i="161" s="1"/>
  <c r="J77" i="161"/>
  <c r="I77" i="161"/>
  <c r="H77" i="161"/>
  <c r="H74" i="158"/>
  <c r="I74" i="158"/>
  <c r="G74" i="158"/>
  <c r="J381" i="166"/>
  <c r="J68" i="161"/>
  <c r="H68" i="161"/>
  <c r="I68" i="161"/>
  <c r="G782" i="9"/>
  <c r="G65" i="9"/>
  <c r="G164" i="9"/>
  <c r="G166" i="9" s="1"/>
  <c r="G792" i="9" s="1"/>
  <c r="J792" i="9" s="1"/>
  <c r="K792" i="9" s="1"/>
  <c r="F65" i="159"/>
  <c r="G782" i="159"/>
  <c r="H782" i="159"/>
  <c r="F164" i="159"/>
  <c r="I782" i="159"/>
  <c r="K388" i="162"/>
  <c r="L388" i="162" s="1"/>
  <c r="F388" i="164"/>
  <c r="K388" i="164" s="1"/>
  <c r="J115" i="9"/>
  <c r="J165" i="9" s="1"/>
  <c r="K165" i="9" s="1"/>
  <c r="K114" i="9"/>
  <c r="K115" i="9" s="1"/>
  <c r="F123" i="157"/>
  <c r="J123" i="9"/>
  <c r="K123" i="9" s="1"/>
  <c r="H446" i="9"/>
  <c r="H267" i="9"/>
  <c r="H268" i="9"/>
  <c r="G114" i="159"/>
  <c r="K385" i="164"/>
  <c r="J732" i="9"/>
  <c r="K732" i="9" s="1"/>
  <c r="H59" i="158"/>
  <c r="J58" i="158"/>
  <c r="K58" i="158" s="1"/>
  <c r="G853" i="160"/>
  <c r="K853" i="160" s="1"/>
  <c r="L853" i="160" s="1"/>
  <c r="G732" i="155"/>
  <c r="K732" i="155" s="1"/>
  <c r="P732" i="155" s="1"/>
  <c r="H381" i="164"/>
  <c r="K381" i="155"/>
  <c r="G853" i="158"/>
  <c r="H853" i="158"/>
  <c r="G853" i="157"/>
  <c r="H853" i="157"/>
  <c r="H376" i="161"/>
  <c r="I376" i="161"/>
  <c r="J376" i="161"/>
  <c r="I58" i="166"/>
  <c r="K57" i="9"/>
  <c r="J57" i="159"/>
  <c r="F57" i="160"/>
  <c r="H367" i="158"/>
  <c r="I367" i="158"/>
  <c r="L381" i="160"/>
  <c r="I370" i="9"/>
  <c r="F370" i="159" s="1"/>
  <c r="I71" i="9"/>
  <c r="I853" i="9"/>
  <c r="I372" i="9"/>
  <c r="F372" i="159" s="1"/>
  <c r="I377" i="9"/>
  <c r="F377" i="159" s="1"/>
  <c r="I114" i="157"/>
  <c r="I115" i="157" s="1"/>
  <c r="I165" i="157" s="1"/>
  <c r="H114" i="157"/>
  <c r="F115" i="157"/>
  <c r="F165" i="157" s="1"/>
  <c r="J57" i="158"/>
  <c r="G59" i="158"/>
  <c r="G69" i="158"/>
  <c r="H69" i="158"/>
  <c r="I69" i="158"/>
  <c r="I376" i="158"/>
  <c r="H376" i="158"/>
  <c r="J381" i="167"/>
  <c r="G114" i="158"/>
  <c r="I59" i="158"/>
  <c r="J381" i="165"/>
  <c r="I115" i="159"/>
  <c r="I165" i="159" s="1"/>
  <c r="F114" i="161"/>
  <c r="G68" i="158"/>
  <c r="H68" i="158"/>
  <c r="I68" i="158"/>
  <c r="O732" i="157"/>
  <c r="J732" i="157"/>
  <c r="K732" i="157" s="1"/>
  <c r="I58" i="165"/>
  <c r="I57" i="157"/>
  <c r="G57" i="157"/>
  <c r="H57" i="157"/>
  <c r="F57" i="161"/>
  <c r="I59" i="159"/>
  <c r="H77" i="158"/>
  <c r="G77" i="158"/>
  <c r="I77" i="158"/>
  <c r="G853" i="9"/>
  <c r="H71" i="9"/>
  <c r="H377" i="9"/>
  <c r="H370" i="9"/>
  <c r="H853" i="9"/>
  <c r="H372" i="9"/>
  <c r="F128" i="157"/>
  <c r="J128" i="9"/>
  <c r="K128" i="9" s="1"/>
  <c r="H782" i="158"/>
  <c r="I782" i="158"/>
  <c r="F65" i="158"/>
  <c r="F164" i="158"/>
  <c r="G782" i="158"/>
  <c r="J376" i="9"/>
  <c r="K376" i="9" s="1"/>
  <c r="F376" i="157"/>
  <c r="J122" i="9"/>
  <c r="K122" i="9" s="1"/>
  <c r="F122" i="157"/>
  <c r="G732" i="161"/>
  <c r="G853" i="155"/>
  <c r="K853" i="155" s="1"/>
  <c r="L853" i="155" s="1"/>
  <c r="H58" i="160"/>
  <c r="G58" i="165" s="1"/>
  <c r="J58" i="160"/>
  <c r="G58" i="167" s="1"/>
  <c r="I58" i="160"/>
  <c r="G58" i="166" s="1"/>
  <c r="I268" i="9"/>
  <c r="F268" i="159" s="1"/>
  <c r="I446" i="9"/>
  <c r="I267" i="9"/>
  <c r="F267" i="159" s="1"/>
  <c r="J68" i="9"/>
  <c r="K68" i="9" s="1"/>
  <c r="F68" i="157"/>
  <c r="O732" i="158"/>
  <c r="J732" i="158"/>
  <c r="K732" i="158" s="1"/>
  <c r="F68" i="160"/>
  <c r="J68" i="159"/>
  <c r="K68" i="159" s="1"/>
  <c r="I58" i="167"/>
  <c r="I369" i="158"/>
  <c r="H369" i="158"/>
  <c r="G732" i="160"/>
  <c r="K732" i="160" s="1"/>
  <c r="P732" i="160" s="1"/>
  <c r="K387" i="164" l="1"/>
  <c r="G58" i="157"/>
  <c r="G59" i="157" s="1"/>
  <c r="H65" i="159"/>
  <c r="F59" i="157"/>
  <c r="F164" i="157" s="1"/>
  <c r="J59" i="9"/>
  <c r="J164" i="9" s="1"/>
  <c r="K59" i="9"/>
  <c r="K65" i="9" s="1"/>
  <c r="I58" i="157"/>
  <c r="J782" i="9"/>
  <c r="K782" i="9" s="1"/>
  <c r="G164" i="159"/>
  <c r="F369" i="157"/>
  <c r="H369" i="157" s="1"/>
  <c r="F369" i="155" s="1"/>
  <c r="I369" i="161"/>
  <c r="J369" i="161"/>
  <c r="I369" i="167" s="1"/>
  <c r="H128" i="159"/>
  <c r="G128" i="159" s="1"/>
  <c r="G369" i="159"/>
  <c r="F369" i="160" s="1"/>
  <c r="I369" i="160" s="1"/>
  <c r="G369" i="166" s="1"/>
  <c r="L732" i="155"/>
  <c r="I123" i="159"/>
  <c r="F123" i="161" s="1"/>
  <c r="I123" i="161" s="1"/>
  <c r="H367" i="161"/>
  <c r="I367" i="165" s="1"/>
  <c r="I367" i="161"/>
  <c r="I367" i="166" s="1"/>
  <c r="J367" i="9"/>
  <c r="K367" i="9" s="1"/>
  <c r="G367" i="159"/>
  <c r="F367" i="160" s="1"/>
  <c r="H367" i="160" s="1"/>
  <c r="G367" i="165" s="1"/>
  <c r="I69" i="161"/>
  <c r="I69" i="166" s="1"/>
  <c r="J69" i="159"/>
  <c r="K69" i="159" s="1"/>
  <c r="I122" i="159"/>
  <c r="F122" i="161" s="1"/>
  <c r="J122" i="161" s="1"/>
  <c r="J77" i="159"/>
  <c r="K77" i="159" s="1"/>
  <c r="J69" i="161"/>
  <c r="I69" i="167" s="1"/>
  <c r="J69" i="9"/>
  <c r="K69" i="9" s="1"/>
  <c r="F74" i="157"/>
  <c r="I74" i="157" s="1"/>
  <c r="I74" i="161"/>
  <c r="I74" i="166" s="1"/>
  <c r="J74" i="161"/>
  <c r="I74" i="167" s="1"/>
  <c r="J74" i="159"/>
  <c r="K74" i="159" s="1"/>
  <c r="F77" i="157"/>
  <c r="H77" i="157" s="1"/>
  <c r="F77" i="155" s="1"/>
  <c r="J376" i="159"/>
  <c r="K376" i="159" s="1"/>
  <c r="I373" i="160"/>
  <c r="G373" i="166" s="1"/>
  <c r="H373" i="160"/>
  <c r="G373" i="165" s="1"/>
  <c r="H777" i="9"/>
  <c r="G129" i="9"/>
  <c r="F129" i="158"/>
  <c r="F75" i="159"/>
  <c r="I775" i="9"/>
  <c r="G75" i="9"/>
  <c r="H775" i="9"/>
  <c r="F75" i="158"/>
  <c r="I777" i="9"/>
  <c r="F129" i="159"/>
  <c r="L734" i="155"/>
  <c r="L734" i="161"/>
  <c r="P734" i="161"/>
  <c r="L734" i="160"/>
  <c r="K381" i="162"/>
  <c r="L381" i="162" s="1"/>
  <c r="K381" i="166"/>
  <c r="J768" i="159"/>
  <c r="K768" i="159" s="1"/>
  <c r="I58" i="164"/>
  <c r="J381" i="164"/>
  <c r="G126" i="157"/>
  <c r="G770" i="157" s="1"/>
  <c r="G376" i="158"/>
  <c r="J376" i="158" s="1"/>
  <c r="K376" i="158" s="1"/>
  <c r="I373" i="164"/>
  <c r="K373" i="161"/>
  <c r="L373" i="161" s="1"/>
  <c r="I126" i="161"/>
  <c r="H126" i="161"/>
  <c r="J126" i="161"/>
  <c r="J72" i="160"/>
  <c r="I72" i="160"/>
  <c r="H72" i="160"/>
  <c r="J126" i="158"/>
  <c r="K126" i="158" s="1"/>
  <c r="G770" i="158"/>
  <c r="J770" i="158" s="1"/>
  <c r="K770" i="158" s="1"/>
  <c r="G373" i="167"/>
  <c r="H72" i="161"/>
  <c r="I72" i="161"/>
  <c r="J72" i="161"/>
  <c r="G373" i="157"/>
  <c r="J373" i="157" s="1"/>
  <c r="K373" i="157" s="1"/>
  <c r="H768" i="157"/>
  <c r="F72" i="155"/>
  <c r="G770" i="159"/>
  <c r="J770" i="159" s="1"/>
  <c r="K770" i="159" s="1"/>
  <c r="J126" i="159"/>
  <c r="K126" i="159" s="1"/>
  <c r="F126" i="160"/>
  <c r="F770" i="160"/>
  <c r="G367" i="158"/>
  <c r="J367" i="158" s="1"/>
  <c r="K367" i="158" s="1"/>
  <c r="G376" i="161"/>
  <c r="I376" i="164" s="1"/>
  <c r="J853" i="157"/>
  <c r="K853" i="157" s="1"/>
  <c r="F126" i="155"/>
  <c r="H770" i="157"/>
  <c r="G768" i="157"/>
  <c r="J72" i="157"/>
  <c r="K72" i="157" s="1"/>
  <c r="J373" i="155"/>
  <c r="H373" i="167" s="1"/>
  <c r="I373" i="155"/>
  <c r="H373" i="166" s="1"/>
  <c r="H373" i="155"/>
  <c r="H373" i="165" s="1"/>
  <c r="K381" i="165"/>
  <c r="J853" i="158"/>
  <c r="K853" i="158" s="1"/>
  <c r="G77" i="161"/>
  <c r="K77" i="161" s="1"/>
  <c r="L77" i="161" s="1"/>
  <c r="J69" i="158"/>
  <c r="K69" i="158" s="1"/>
  <c r="J74" i="158"/>
  <c r="K74" i="158" s="1"/>
  <c r="I74" i="165"/>
  <c r="F446" i="159"/>
  <c r="I447" i="9"/>
  <c r="I831" i="9" s="1"/>
  <c r="H376" i="157"/>
  <c r="F376" i="155" s="1"/>
  <c r="I376" i="157"/>
  <c r="I164" i="159"/>
  <c r="I166" i="159" s="1"/>
  <c r="I65" i="159"/>
  <c r="I77" i="160"/>
  <c r="G77" i="166" s="1"/>
  <c r="H77" i="160"/>
  <c r="G77" i="165" s="1"/>
  <c r="J77" i="160"/>
  <c r="G77" i="167" s="1"/>
  <c r="I367" i="167"/>
  <c r="G115" i="158"/>
  <c r="G165" i="158" s="1"/>
  <c r="J114" i="158"/>
  <c r="I69" i="160"/>
  <c r="G69" i="166" s="1"/>
  <c r="H69" i="160"/>
  <c r="G69" i="165" s="1"/>
  <c r="J69" i="160"/>
  <c r="G69" i="167" s="1"/>
  <c r="K57" i="158"/>
  <c r="K59" i="158" s="1"/>
  <c r="K65" i="158" s="1"/>
  <c r="J59" i="158"/>
  <c r="H377" i="159"/>
  <c r="I377" i="159"/>
  <c r="F377" i="161" s="1"/>
  <c r="I767" i="9"/>
  <c r="F71" i="159"/>
  <c r="I376" i="166"/>
  <c r="F114" i="160"/>
  <c r="G115" i="159"/>
  <c r="G165" i="159" s="1"/>
  <c r="J114" i="159"/>
  <c r="F268" i="158"/>
  <c r="G268" i="9"/>
  <c r="I69" i="165"/>
  <c r="I367" i="157"/>
  <c r="H367" i="157"/>
  <c r="F367" i="155" s="1"/>
  <c r="I68" i="167"/>
  <c r="I77" i="165"/>
  <c r="L732" i="160"/>
  <c r="J853" i="9"/>
  <c r="K853" i="9" s="1"/>
  <c r="H128" i="161"/>
  <c r="I128" i="161"/>
  <c r="J128" i="161"/>
  <c r="I376" i="160"/>
  <c r="G376" i="166" s="1"/>
  <c r="J376" i="160"/>
  <c r="G376" i="167" s="1"/>
  <c r="H376" i="160"/>
  <c r="G376" i="165" s="1"/>
  <c r="H122" i="157"/>
  <c r="F122" i="155" s="1"/>
  <c r="I122" i="157"/>
  <c r="F166" i="158"/>
  <c r="G71" i="9"/>
  <c r="F71" i="158"/>
  <c r="H767" i="9"/>
  <c r="J57" i="157"/>
  <c r="G65" i="158"/>
  <c r="G164" i="158"/>
  <c r="J59" i="159"/>
  <c r="K57" i="159"/>
  <c r="K59" i="159" s="1"/>
  <c r="K65" i="159" s="1"/>
  <c r="I376" i="167"/>
  <c r="H123" i="157"/>
  <c r="F123" i="155" s="1"/>
  <c r="I123" i="157"/>
  <c r="J58" i="155"/>
  <c r="I58" i="155"/>
  <c r="H58" i="166" s="1"/>
  <c r="J58" i="166" s="1"/>
  <c r="H58" i="155"/>
  <c r="H58" i="165" s="1"/>
  <c r="J58" i="165" s="1"/>
  <c r="J782" i="159"/>
  <c r="K782" i="159" s="1"/>
  <c r="O782" i="159"/>
  <c r="I68" i="165"/>
  <c r="J68" i="158"/>
  <c r="K68" i="158" s="1"/>
  <c r="I69" i="157"/>
  <c r="G69" i="157"/>
  <c r="H69" i="157"/>
  <c r="F69" i="155" s="1"/>
  <c r="O782" i="158"/>
  <c r="J782" i="158"/>
  <c r="K782" i="158" s="1"/>
  <c r="F372" i="158"/>
  <c r="G372" i="9"/>
  <c r="F377" i="158"/>
  <c r="G377" i="9"/>
  <c r="F57" i="155"/>
  <c r="H59" i="157"/>
  <c r="I114" i="161"/>
  <c r="F115" i="161"/>
  <c r="F165" i="161" s="1"/>
  <c r="J114" i="161"/>
  <c r="H114" i="161"/>
  <c r="G114" i="157"/>
  <c r="F114" i="155"/>
  <c r="H115" i="157"/>
  <c r="H165" i="157" s="1"/>
  <c r="H57" i="160"/>
  <c r="F59" i="160"/>
  <c r="J57" i="160"/>
  <c r="I57" i="160"/>
  <c r="L381" i="155"/>
  <c r="F446" i="158"/>
  <c r="H447" i="9"/>
  <c r="H831" i="9" s="1"/>
  <c r="G446" i="9"/>
  <c r="I68" i="166"/>
  <c r="I77" i="167"/>
  <c r="I369" i="165"/>
  <c r="G369" i="158"/>
  <c r="J369" i="158" s="1"/>
  <c r="K369" i="158" s="1"/>
  <c r="G58" i="160"/>
  <c r="J77" i="158"/>
  <c r="K77" i="158" s="1"/>
  <c r="K381" i="167"/>
  <c r="J68" i="160"/>
  <c r="G68" i="167" s="1"/>
  <c r="H68" i="160"/>
  <c r="G68" i="165" s="1"/>
  <c r="I68" i="160"/>
  <c r="G68" i="166" s="1"/>
  <c r="H68" i="157"/>
  <c r="F68" i="155" s="1"/>
  <c r="G68" i="157"/>
  <c r="I68" i="157"/>
  <c r="K732" i="161"/>
  <c r="G853" i="161"/>
  <c r="K853" i="161" s="1"/>
  <c r="L853" i="161" s="1"/>
  <c r="H128" i="157"/>
  <c r="F128" i="155" s="1"/>
  <c r="I128" i="157"/>
  <c r="G370" i="9"/>
  <c r="F370" i="158"/>
  <c r="F59" i="161"/>
  <c r="J57" i="161"/>
  <c r="H57" i="161"/>
  <c r="I57" i="161"/>
  <c r="I65" i="158"/>
  <c r="I164" i="158"/>
  <c r="I166" i="158" s="1"/>
  <c r="H74" i="160"/>
  <c r="G74" i="165" s="1"/>
  <c r="J74" i="160"/>
  <c r="G74" i="167" s="1"/>
  <c r="I74" i="160"/>
  <c r="G74" i="166" s="1"/>
  <c r="H372" i="159"/>
  <c r="I372" i="159"/>
  <c r="F372" i="161" s="1"/>
  <c r="H370" i="159"/>
  <c r="I370" i="159"/>
  <c r="F370" i="161" s="1"/>
  <c r="I376" i="165"/>
  <c r="H164" i="158"/>
  <c r="H166" i="158" s="1"/>
  <c r="H65" i="158"/>
  <c r="F267" i="158"/>
  <c r="G267" i="9"/>
  <c r="F166" i="159"/>
  <c r="I77" i="166"/>
  <c r="G68" i="161"/>
  <c r="J58" i="157" l="1"/>
  <c r="K58" i="157" s="1"/>
  <c r="F65" i="157"/>
  <c r="J65" i="9"/>
  <c r="I369" i="157"/>
  <c r="G369" i="157" s="1"/>
  <c r="J369" i="157" s="1"/>
  <c r="K369" i="157" s="1"/>
  <c r="I59" i="157"/>
  <c r="I782" i="157" s="1"/>
  <c r="G166" i="159"/>
  <c r="G369" i="161"/>
  <c r="I369" i="164" s="1"/>
  <c r="H369" i="160"/>
  <c r="G369" i="165" s="1"/>
  <c r="I369" i="166"/>
  <c r="J369" i="160"/>
  <c r="G369" i="167" s="1"/>
  <c r="J369" i="159"/>
  <c r="K369" i="159" s="1"/>
  <c r="G123" i="159"/>
  <c r="F123" i="160" s="1"/>
  <c r="I123" i="160" s="1"/>
  <c r="G123" i="166" s="1"/>
  <c r="H123" i="161"/>
  <c r="I123" i="165" s="1"/>
  <c r="J123" i="161"/>
  <c r="I122" i="161"/>
  <c r="I122" i="166" s="1"/>
  <c r="J367" i="160"/>
  <c r="G367" i="167" s="1"/>
  <c r="G367" i="161"/>
  <c r="I367" i="164" s="1"/>
  <c r="H122" i="161"/>
  <c r="G74" i="157"/>
  <c r="G122" i="159"/>
  <c r="J122" i="159" s="1"/>
  <c r="K122" i="159" s="1"/>
  <c r="I367" i="160"/>
  <c r="G367" i="166" s="1"/>
  <c r="J367" i="159"/>
  <c r="K367" i="159" s="1"/>
  <c r="G69" i="161"/>
  <c r="K69" i="161" s="1"/>
  <c r="L69" i="161" s="1"/>
  <c r="G74" i="161"/>
  <c r="K74" i="161" s="1"/>
  <c r="L74" i="161" s="1"/>
  <c r="H74" i="157"/>
  <c r="F74" i="155" s="1"/>
  <c r="I74" i="155" s="1"/>
  <c r="H74" i="166" s="1"/>
  <c r="J74" i="166" s="1"/>
  <c r="G77" i="157"/>
  <c r="I77" i="157"/>
  <c r="G373" i="160"/>
  <c r="G373" i="164" s="1"/>
  <c r="I129" i="159"/>
  <c r="H129" i="159"/>
  <c r="H777" i="159" s="1"/>
  <c r="F775" i="155"/>
  <c r="F75" i="157"/>
  <c r="J75" i="9"/>
  <c r="K75" i="9" s="1"/>
  <c r="F775" i="157"/>
  <c r="G775" i="9"/>
  <c r="F129" i="157"/>
  <c r="F777" i="157"/>
  <c r="J129" i="9"/>
  <c r="K129" i="9" s="1"/>
  <c r="F777" i="155"/>
  <c r="G777" i="9"/>
  <c r="J777" i="9" s="1"/>
  <c r="K777" i="9" s="1"/>
  <c r="H129" i="158"/>
  <c r="H777" i="158" s="1"/>
  <c r="I129" i="158"/>
  <c r="I777" i="158" s="1"/>
  <c r="I75" i="158"/>
  <c r="I775" i="158" s="1"/>
  <c r="G75" i="158"/>
  <c r="H75" i="158"/>
  <c r="H775" i="158" s="1"/>
  <c r="H75" i="159"/>
  <c r="H775" i="159" s="1"/>
  <c r="G75" i="159"/>
  <c r="I75" i="159"/>
  <c r="F767" i="155"/>
  <c r="F767" i="157"/>
  <c r="K381" i="164"/>
  <c r="G367" i="157"/>
  <c r="J367" i="157" s="1"/>
  <c r="K367" i="157" s="1"/>
  <c r="J126" i="157"/>
  <c r="K126" i="157" s="1"/>
  <c r="I77" i="164"/>
  <c r="K376" i="161"/>
  <c r="L376" i="161" s="1"/>
  <c r="J373" i="166"/>
  <c r="H373" i="162"/>
  <c r="F373" i="165" s="1"/>
  <c r="I373" i="162"/>
  <c r="F373" i="166" s="1"/>
  <c r="H768" i="161"/>
  <c r="I72" i="165"/>
  <c r="J768" i="160"/>
  <c r="G72" i="167"/>
  <c r="I770" i="161"/>
  <c r="I126" i="166"/>
  <c r="G370" i="159"/>
  <c r="J370" i="159" s="1"/>
  <c r="K370" i="159" s="1"/>
  <c r="J768" i="157"/>
  <c r="K768" i="157" s="1"/>
  <c r="J770" i="157"/>
  <c r="K770" i="157" s="1"/>
  <c r="J126" i="160"/>
  <c r="I126" i="160"/>
  <c r="H126" i="160"/>
  <c r="I768" i="161"/>
  <c r="I72" i="166"/>
  <c r="G72" i="166"/>
  <c r="I768" i="160"/>
  <c r="H770" i="161"/>
  <c r="I126" i="165"/>
  <c r="G377" i="159"/>
  <c r="F377" i="160" s="1"/>
  <c r="G373" i="155"/>
  <c r="J126" i="155"/>
  <c r="I126" i="155"/>
  <c r="H126" i="155"/>
  <c r="J72" i="155"/>
  <c r="J72" i="162" s="1"/>
  <c r="F72" i="167" s="1"/>
  <c r="I72" i="155"/>
  <c r="H72" i="155"/>
  <c r="H72" i="162" s="1"/>
  <c r="F72" i="165" s="1"/>
  <c r="J768" i="161"/>
  <c r="I72" i="167"/>
  <c r="G72" i="165"/>
  <c r="H768" i="160"/>
  <c r="I126" i="167"/>
  <c r="J770" i="161"/>
  <c r="J373" i="162"/>
  <c r="F373" i="167" s="1"/>
  <c r="G166" i="158"/>
  <c r="J373" i="165"/>
  <c r="G72" i="161"/>
  <c r="J373" i="167"/>
  <c r="G72" i="160"/>
  <c r="G126" i="161"/>
  <c r="G74" i="160"/>
  <c r="K74" i="160" s="1"/>
  <c r="L74" i="160" s="1"/>
  <c r="H58" i="162"/>
  <c r="F58" i="165" s="1"/>
  <c r="K58" i="165" s="1"/>
  <c r="G57" i="160"/>
  <c r="G59" i="160" s="1"/>
  <c r="G58" i="155"/>
  <c r="H58" i="164" s="1"/>
  <c r="G57" i="161"/>
  <c r="K57" i="161" s="1"/>
  <c r="G68" i="160"/>
  <c r="G68" i="164" s="1"/>
  <c r="G128" i="161"/>
  <c r="I128" i="164" s="1"/>
  <c r="G792" i="159"/>
  <c r="I792" i="159"/>
  <c r="I446" i="159" s="1"/>
  <c r="H792" i="159"/>
  <c r="H446" i="159" s="1"/>
  <c r="H447" i="159" s="1"/>
  <c r="F164" i="161"/>
  <c r="H782" i="161"/>
  <c r="I782" i="161"/>
  <c r="J782" i="161"/>
  <c r="F65" i="161"/>
  <c r="H128" i="155"/>
  <c r="H128" i="165" s="1"/>
  <c r="I128" i="155"/>
  <c r="H128" i="166" s="1"/>
  <c r="J128" i="155"/>
  <c r="H128" i="167" s="1"/>
  <c r="L732" i="161"/>
  <c r="P732" i="161"/>
  <c r="I122" i="167"/>
  <c r="F447" i="158"/>
  <c r="G57" i="165"/>
  <c r="H59" i="160"/>
  <c r="H115" i="161"/>
  <c r="H165" i="161" s="1"/>
  <c r="I114" i="165"/>
  <c r="I115" i="165" s="1"/>
  <c r="I165" i="165" s="1"/>
  <c r="H65" i="157"/>
  <c r="H164" i="157"/>
  <c r="H166" i="157" s="1"/>
  <c r="J372" i="9"/>
  <c r="K372" i="9" s="1"/>
  <c r="F372" i="157"/>
  <c r="G164" i="157"/>
  <c r="G65" i="157"/>
  <c r="I71" i="158"/>
  <c r="H71" i="158"/>
  <c r="G71" i="158"/>
  <c r="I128" i="167"/>
  <c r="J115" i="159"/>
  <c r="J165" i="159" s="1"/>
  <c r="K165" i="159" s="1"/>
  <c r="K114" i="159"/>
  <c r="K115" i="159" s="1"/>
  <c r="J68" i="157"/>
  <c r="K68" i="157" s="1"/>
  <c r="G123" i="157"/>
  <c r="J123" i="157" s="1"/>
  <c r="K123" i="157" s="1"/>
  <c r="I58" i="162"/>
  <c r="F58" i="166" s="1"/>
  <c r="K58" i="166" s="1"/>
  <c r="G782" i="157"/>
  <c r="H782" i="157"/>
  <c r="I370" i="161"/>
  <c r="I370" i="166" s="1"/>
  <c r="H370" i="161"/>
  <c r="I370" i="165" s="1"/>
  <c r="J370" i="161"/>
  <c r="I370" i="167" s="1"/>
  <c r="I57" i="167"/>
  <c r="I59" i="167" s="1"/>
  <c r="J59" i="161"/>
  <c r="J782" i="160"/>
  <c r="F65" i="160"/>
  <c r="F164" i="160"/>
  <c r="I782" i="160"/>
  <c r="H782" i="160"/>
  <c r="J114" i="157"/>
  <c r="G115" i="157"/>
  <c r="G165" i="157" s="1"/>
  <c r="I115" i="161"/>
  <c r="I165" i="161" s="1"/>
  <c r="I114" i="166"/>
  <c r="I115" i="166" s="1"/>
  <c r="I165" i="166" s="1"/>
  <c r="H377" i="158"/>
  <c r="I377" i="158"/>
  <c r="G792" i="158"/>
  <c r="H792" i="158"/>
  <c r="H446" i="158" s="1"/>
  <c r="H447" i="158" s="1"/>
  <c r="I792" i="158"/>
  <c r="I446" i="158" s="1"/>
  <c r="I447" i="158" s="1"/>
  <c r="G71" i="159"/>
  <c r="I71" i="159"/>
  <c r="H71" i="159"/>
  <c r="H377" i="161"/>
  <c r="I377" i="165" s="1"/>
  <c r="J377" i="161"/>
  <c r="I377" i="167" s="1"/>
  <c r="I377" i="161"/>
  <c r="I377" i="166" s="1"/>
  <c r="J115" i="158"/>
  <c r="J165" i="158" s="1"/>
  <c r="K165" i="158" s="1"/>
  <c r="K114" i="158"/>
  <c r="K115" i="158" s="1"/>
  <c r="F447" i="159"/>
  <c r="G128" i="157"/>
  <c r="J128" i="157" s="1"/>
  <c r="K128" i="157" s="1"/>
  <c r="G114" i="161"/>
  <c r="J69" i="157"/>
  <c r="K69" i="157" s="1"/>
  <c r="G122" i="157"/>
  <c r="J122" i="157" s="1"/>
  <c r="K122" i="157" s="1"/>
  <c r="G376" i="160"/>
  <c r="G69" i="160"/>
  <c r="G376" i="157"/>
  <c r="J376" i="157" s="1"/>
  <c r="K376" i="157" s="1"/>
  <c r="I68" i="164"/>
  <c r="K68" i="161"/>
  <c r="L68" i="161" s="1"/>
  <c r="J369" i="155"/>
  <c r="H369" i="155"/>
  <c r="I369" i="155"/>
  <c r="H369" i="166" s="1"/>
  <c r="F267" i="157"/>
  <c r="J267" i="9"/>
  <c r="K267" i="9" s="1"/>
  <c r="I57" i="165"/>
  <c r="I59" i="165" s="1"/>
  <c r="H59" i="161"/>
  <c r="J370" i="9"/>
  <c r="K370" i="9" s="1"/>
  <c r="F370" i="157"/>
  <c r="J446" i="9"/>
  <c r="F446" i="157"/>
  <c r="G447" i="9"/>
  <c r="G831" i="9" s="1"/>
  <c r="J831" i="9" s="1"/>
  <c r="K831" i="9" s="1"/>
  <c r="J166" i="9"/>
  <c r="K164" i="9"/>
  <c r="K166" i="9" s="1"/>
  <c r="J59" i="160"/>
  <c r="G57" i="167"/>
  <c r="I114" i="155"/>
  <c r="J114" i="155"/>
  <c r="F115" i="155"/>
  <c r="F165" i="155" s="1"/>
  <c r="H114" i="155"/>
  <c r="F377" i="157"/>
  <c r="J377" i="9"/>
  <c r="K377" i="9" s="1"/>
  <c r="I69" i="155"/>
  <c r="J69" i="155"/>
  <c r="H69" i="155"/>
  <c r="J123" i="155"/>
  <c r="H123" i="167" s="1"/>
  <c r="I123" i="155"/>
  <c r="H123" i="166" s="1"/>
  <c r="H123" i="155"/>
  <c r="H123" i="165" s="1"/>
  <c r="J65" i="159"/>
  <c r="J164" i="159"/>
  <c r="I128" i="165"/>
  <c r="J367" i="155"/>
  <c r="H367" i="167" s="1"/>
  <c r="H367" i="155"/>
  <c r="I367" i="155"/>
  <c r="H367" i="166" s="1"/>
  <c r="F268" i="157"/>
  <c r="J268" i="9"/>
  <c r="K268" i="9" s="1"/>
  <c r="H114" i="160"/>
  <c r="J114" i="160"/>
  <c r="F115" i="160"/>
  <c r="F165" i="160" s="1"/>
  <c r="I114" i="160"/>
  <c r="I77" i="155"/>
  <c r="H77" i="155"/>
  <c r="J77" i="155"/>
  <c r="G372" i="159"/>
  <c r="G77" i="160"/>
  <c r="J372" i="161"/>
  <c r="I372" i="161"/>
  <c r="I372" i="166" s="1"/>
  <c r="H372" i="161"/>
  <c r="I372" i="165" s="1"/>
  <c r="I57" i="166"/>
  <c r="I59" i="166" s="1"/>
  <c r="I59" i="161"/>
  <c r="H370" i="158"/>
  <c r="I370" i="158"/>
  <c r="I68" i="155"/>
  <c r="H68" i="166" s="1"/>
  <c r="J68" i="166" s="1"/>
  <c r="H68" i="155"/>
  <c r="H68" i="165" s="1"/>
  <c r="J68" i="165" s="1"/>
  <c r="J68" i="155"/>
  <c r="H68" i="167" s="1"/>
  <c r="J68" i="167" s="1"/>
  <c r="K58" i="160"/>
  <c r="L58" i="160" s="1"/>
  <c r="G58" i="164"/>
  <c r="J128" i="159"/>
  <c r="K128" i="159" s="1"/>
  <c r="F128" i="160"/>
  <c r="G57" i="166"/>
  <c r="I59" i="160"/>
  <c r="J115" i="161"/>
  <c r="J165" i="161" s="1"/>
  <c r="I114" i="167"/>
  <c r="I115" i="167" s="1"/>
  <c r="I165" i="167" s="1"/>
  <c r="H57" i="155"/>
  <c r="H57" i="162" s="1"/>
  <c r="J57" i="155"/>
  <c r="I57" i="155"/>
  <c r="F59" i="155"/>
  <c r="I372" i="158"/>
  <c r="H372" i="158"/>
  <c r="H58" i="167"/>
  <c r="J58" i="167" s="1"/>
  <c r="J58" i="162"/>
  <c r="F58" i="167" s="1"/>
  <c r="I123" i="166"/>
  <c r="K57" i="157"/>
  <c r="K59" i="157" s="1"/>
  <c r="K65" i="157" s="1"/>
  <c r="J59" i="157"/>
  <c r="G767" i="9"/>
  <c r="F71" i="157"/>
  <c r="J71" i="9"/>
  <c r="J122" i="155"/>
  <c r="H122" i="167" s="1"/>
  <c r="I122" i="155"/>
  <c r="H122" i="166" s="1"/>
  <c r="H122" i="155"/>
  <c r="H122" i="165" s="1"/>
  <c r="I128" i="166"/>
  <c r="J164" i="158"/>
  <c r="J65" i="158"/>
  <c r="F166" i="157"/>
  <c r="J376" i="155"/>
  <c r="H376" i="155"/>
  <c r="I376" i="155"/>
  <c r="H376" i="166" s="1"/>
  <c r="J376" i="166" s="1"/>
  <c r="I164" i="157" l="1"/>
  <c r="I166" i="157" s="1"/>
  <c r="I65" i="157"/>
  <c r="K369" i="161"/>
  <c r="L369" i="161" s="1"/>
  <c r="J369" i="166"/>
  <c r="H123" i="160"/>
  <c r="G123" i="165" s="1"/>
  <c r="J123" i="165" s="1"/>
  <c r="G369" i="160"/>
  <c r="K369" i="160" s="1"/>
  <c r="L369" i="160" s="1"/>
  <c r="J123" i="159"/>
  <c r="K123" i="159" s="1"/>
  <c r="J123" i="160"/>
  <c r="G123" i="167" s="1"/>
  <c r="G123" i="161"/>
  <c r="I123" i="164" s="1"/>
  <c r="G122" i="161"/>
  <c r="I122" i="164" s="1"/>
  <c r="I123" i="167"/>
  <c r="K367" i="161"/>
  <c r="L367" i="161" s="1"/>
  <c r="I74" i="164"/>
  <c r="J367" i="167"/>
  <c r="I69" i="164"/>
  <c r="J77" i="157"/>
  <c r="K77" i="157" s="1"/>
  <c r="F122" i="160"/>
  <c r="J122" i="160" s="1"/>
  <c r="G122" i="167" s="1"/>
  <c r="J122" i="167" s="1"/>
  <c r="I122" i="165"/>
  <c r="G367" i="160"/>
  <c r="G367" i="164" s="1"/>
  <c r="J367" i="166"/>
  <c r="H74" i="155"/>
  <c r="H74" i="165" s="1"/>
  <c r="J74" i="165" s="1"/>
  <c r="J74" i="155"/>
  <c r="H74" i="167" s="1"/>
  <c r="J74" i="167" s="1"/>
  <c r="J74" i="157"/>
  <c r="K74" i="157" s="1"/>
  <c r="K373" i="160"/>
  <c r="L373" i="160" s="1"/>
  <c r="G373" i="162"/>
  <c r="F373" i="164" s="1"/>
  <c r="H126" i="162"/>
  <c r="F126" i="165" s="1"/>
  <c r="J126" i="162"/>
  <c r="F126" i="167" s="1"/>
  <c r="J377" i="159"/>
  <c r="K377" i="159" s="1"/>
  <c r="J775" i="9"/>
  <c r="K775" i="9" s="1"/>
  <c r="G129" i="158"/>
  <c r="I129" i="157"/>
  <c r="I777" i="157" s="1"/>
  <c r="H129" i="157"/>
  <c r="I75" i="157"/>
  <c r="I775" i="157" s="1"/>
  <c r="H75" i="157"/>
  <c r="G75" i="157"/>
  <c r="I777" i="159"/>
  <c r="F777" i="161"/>
  <c r="F129" i="161"/>
  <c r="G775" i="159"/>
  <c r="J75" i="159"/>
  <c r="K75" i="159" s="1"/>
  <c r="F75" i="160"/>
  <c r="F775" i="160"/>
  <c r="F775" i="161"/>
  <c r="I775" i="159"/>
  <c r="F75" i="161"/>
  <c r="J75" i="158"/>
  <c r="K75" i="158" s="1"/>
  <c r="G775" i="158"/>
  <c r="G129" i="159"/>
  <c r="K373" i="165"/>
  <c r="K373" i="166"/>
  <c r="J114" i="162"/>
  <c r="F114" i="167" s="1"/>
  <c r="K68" i="160"/>
  <c r="L68" i="160" s="1"/>
  <c r="H268" i="158"/>
  <c r="H68" i="162"/>
  <c r="F68" i="165" s="1"/>
  <c r="K68" i="165" s="1"/>
  <c r="K57" i="160"/>
  <c r="K59" i="160" s="1"/>
  <c r="G377" i="158"/>
  <c r="J377" i="158" s="1"/>
  <c r="K377" i="158" s="1"/>
  <c r="I126" i="162"/>
  <c r="F126" i="166" s="1"/>
  <c r="G372" i="158"/>
  <c r="J372" i="158" s="1"/>
  <c r="K372" i="158" s="1"/>
  <c r="G58" i="162"/>
  <c r="K58" i="162" s="1"/>
  <c r="L58" i="162" s="1"/>
  <c r="G74" i="164"/>
  <c r="I367" i="162"/>
  <c r="F367" i="166" s="1"/>
  <c r="K58" i="155"/>
  <c r="L58" i="155" s="1"/>
  <c r="F370" i="160"/>
  <c r="H370" i="160" s="1"/>
  <c r="I268" i="158"/>
  <c r="J58" i="164"/>
  <c r="K128" i="161"/>
  <c r="L128" i="161" s="1"/>
  <c r="G770" i="161"/>
  <c r="K126" i="161"/>
  <c r="I126" i="164"/>
  <c r="J768" i="155"/>
  <c r="H72" i="167"/>
  <c r="J72" i="167" s="1"/>
  <c r="K72" i="167" s="1"/>
  <c r="H770" i="160"/>
  <c r="G126" i="165"/>
  <c r="K373" i="167"/>
  <c r="I72" i="164"/>
  <c r="K72" i="161"/>
  <c r="G768" i="161"/>
  <c r="I72" i="162"/>
  <c r="F72" i="166" s="1"/>
  <c r="I768" i="155"/>
  <c r="H72" i="166"/>
  <c r="J72" i="166" s="1"/>
  <c r="H126" i="167"/>
  <c r="J770" i="155"/>
  <c r="I57" i="164"/>
  <c r="I59" i="164" s="1"/>
  <c r="I164" i="164" s="1"/>
  <c r="G126" i="160"/>
  <c r="H768" i="155"/>
  <c r="H72" i="165"/>
  <c r="J72" i="165" s="1"/>
  <c r="K72" i="165" s="1"/>
  <c r="I770" i="155"/>
  <c r="H126" i="166"/>
  <c r="J770" i="160"/>
  <c r="G126" i="167"/>
  <c r="G768" i="160"/>
  <c r="K72" i="160"/>
  <c r="G72" i="164"/>
  <c r="G126" i="155"/>
  <c r="H770" i="155"/>
  <c r="H126" i="165"/>
  <c r="K373" i="155"/>
  <c r="L373" i="155" s="1"/>
  <c r="H373" i="164"/>
  <c r="J373" i="164" s="1"/>
  <c r="I770" i="160"/>
  <c r="G126" i="166"/>
  <c r="G72" i="155"/>
  <c r="G72" i="162" s="1"/>
  <c r="G57" i="164"/>
  <c r="G59" i="164" s="1"/>
  <c r="G59" i="161"/>
  <c r="G65" i="161" s="1"/>
  <c r="J123" i="166"/>
  <c r="G57" i="155"/>
  <c r="G57" i="162" s="1"/>
  <c r="G370" i="158"/>
  <c r="J370" i="158" s="1"/>
  <c r="K370" i="158" s="1"/>
  <c r="G114" i="155"/>
  <c r="H114" i="164" s="1"/>
  <c r="H115" i="164" s="1"/>
  <c r="H165" i="164" s="1"/>
  <c r="G77" i="155"/>
  <c r="H77" i="164" s="1"/>
  <c r="G782" i="160"/>
  <c r="K782" i="160" s="1"/>
  <c r="P782" i="160" s="1"/>
  <c r="I68" i="162"/>
  <c r="F68" i="166" s="1"/>
  <c r="K68" i="166" s="1"/>
  <c r="G367" i="155"/>
  <c r="G369" i="155"/>
  <c r="K369" i="155" s="1"/>
  <c r="L369" i="155" s="1"/>
  <c r="G782" i="161"/>
  <c r="K782" i="161" s="1"/>
  <c r="P782" i="161" s="1"/>
  <c r="F57" i="165"/>
  <c r="H59" i="162"/>
  <c r="H376" i="167"/>
  <c r="J376" i="167" s="1"/>
  <c r="J376" i="162"/>
  <c r="F376" i="167" s="1"/>
  <c r="J767" i="9"/>
  <c r="K767" i="9" s="1"/>
  <c r="H57" i="167"/>
  <c r="H59" i="167" s="1"/>
  <c r="J59" i="155"/>
  <c r="I65" i="161"/>
  <c r="I164" i="161"/>
  <c r="I166" i="161" s="1"/>
  <c r="H77" i="167"/>
  <c r="J77" i="167" s="1"/>
  <c r="J77" i="162"/>
  <c r="F77" i="167" s="1"/>
  <c r="G114" i="160"/>
  <c r="I115" i="160"/>
  <c r="I165" i="160" s="1"/>
  <c r="G114" i="166"/>
  <c r="H69" i="166"/>
  <c r="J69" i="166" s="1"/>
  <c r="I69" i="162"/>
  <c r="F69" i="166" s="1"/>
  <c r="H114" i="166"/>
  <c r="H115" i="166" s="1"/>
  <c r="H165" i="166" s="1"/>
  <c r="I115" i="155"/>
  <c r="I165" i="155" s="1"/>
  <c r="H767" i="159"/>
  <c r="J792" i="158"/>
  <c r="K792" i="158" s="1"/>
  <c r="O792" i="158"/>
  <c r="J115" i="157"/>
  <c r="J165" i="157" s="1"/>
  <c r="K165" i="157" s="1"/>
  <c r="K114" i="157"/>
  <c r="K115" i="157" s="1"/>
  <c r="J65" i="161"/>
  <c r="J164" i="161"/>
  <c r="J166" i="161" s="1"/>
  <c r="H767" i="158"/>
  <c r="H65" i="160"/>
  <c r="H164" i="160"/>
  <c r="I831" i="158"/>
  <c r="H831" i="158"/>
  <c r="G831" i="158"/>
  <c r="F166" i="161"/>
  <c r="I268" i="159"/>
  <c r="F268" i="161" s="1"/>
  <c r="I267" i="159"/>
  <c r="F267" i="161" s="1"/>
  <c r="K59" i="161"/>
  <c r="L57" i="161"/>
  <c r="L59" i="161" s="1"/>
  <c r="L65" i="161" s="1"/>
  <c r="J377" i="160"/>
  <c r="H377" i="160"/>
  <c r="I377" i="160"/>
  <c r="G68" i="155"/>
  <c r="I376" i="162"/>
  <c r="F376" i="166" s="1"/>
  <c r="K376" i="166" s="1"/>
  <c r="I114" i="162"/>
  <c r="I267" i="158"/>
  <c r="G128" i="155"/>
  <c r="G372" i="161"/>
  <c r="H376" i="165"/>
  <c r="J376" i="165" s="1"/>
  <c r="H376" i="162"/>
  <c r="F376" i="165" s="1"/>
  <c r="H57" i="166"/>
  <c r="H59" i="166" s="1"/>
  <c r="I59" i="155"/>
  <c r="K77" i="160"/>
  <c r="L77" i="160" s="1"/>
  <c r="G77" i="164"/>
  <c r="H114" i="162"/>
  <c r="G114" i="165"/>
  <c r="H115" i="160"/>
  <c r="H165" i="160" s="1"/>
  <c r="H69" i="167"/>
  <c r="J69" i="167" s="1"/>
  <c r="J69" i="162"/>
  <c r="F69" i="167" s="1"/>
  <c r="H114" i="167"/>
  <c r="H115" i="167" s="1"/>
  <c r="H165" i="167" s="1"/>
  <c r="J115" i="155"/>
  <c r="J165" i="155" s="1"/>
  <c r="K446" i="9"/>
  <c r="K447" i="9" s="1"/>
  <c r="J447" i="9"/>
  <c r="H370" i="157"/>
  <c r="F370" i="155" s="1"/>
  <c r="I370" i="157"/>
  <c r="H369" i="167"/>
  <c r="J369" i="167" s="1"/>
  <c r="J369" i="162"/>
  <c r="F369" i="167" s="1"/>
  <c r="K69" i="160"/>
  <c r="L69" i="160" s="1"/>
  <c r="G69" i="164"/>
  <c r="G115" i="161"/>
  <c r="G165" i="161" s="1"/>
  <c r="K114" i="161"/>
  <c r="I114" i="164"/>
  <c r="I115" i="164" s="1"/>
  <c r="I165" i="164" s="1"/>
  <c r="G831" i="159"/>
  <c r="H831" i="159"/>
  <c r="I831" i="159"/>
  <c r="J782" i="157"/>
  <c r="K782" i="157" s="1"/>
  <c r="O782" i="157"/>
  <c r="H267" i="159"/>
  <c r="H268" i="159"/>
  <c r="G164" i="160"/>
  <c r="G65" i="160"/>
  <c r="I123" i="162"/>
  <c r="F123" i="166" s="1"/>
  <c r="K58" i="167"/>
  <c r="I57" i="162"/>
  <c r="G123" i="155"/>
  <c r="I74" i="162"/>
  <c r="F74" i="166" s="1"/>
  <c r="K74" i="166" s="1"/>
  <c r="G377" i="161"/>
  <c r="J57" i="162"/>
  <c r="H267" i="158"/>
  <c r="I369" i="162"/>
  <c r="F369" i="166" s="1"/>
  <c r="G166" i="157"/>
  <c r="G792" i="157" s="1"/>
  <c r="G446" i="158"/>
  <c r="I792" i="157"/>
  <c r="I267" i="157" s="1"/>
  <c r="H792" i="157"/>
  <c r="H267" i="157" s="1"/>
  <c r="J166" i="158"/>
  <c r="K164" i="158"/>
  <c r="K166" i="158" s="1"/>
  <c r="H71" i="157"/>
  <c r="I71" i="157"/>
  <c r="G71" i="157"/>
  <c r="G59" i="166"/>
  <c r="H128" i="160"/>
  <c r="I128" i="160"/>
  <c r="J128" i="160"/>
  <c r="I372" i="167"/>
  <c r="H77" i="166"/>
  <c r="J77" i="166" s="1"/>
  <c r="I77" i="162"/>
  <c r="F77" i="166" s="1"/>
  <c r="G114" i="167"/>
  <c r="J115" i="160"/>
  <c r="J165" i="160" s="1"/>
  <c r="H69" i="165"/>
  <c r="J69" i="165" s="1"/>
  <c r="H69" i="162"/>
  <c r="F69" i="165" s="1"/>
  <c r="I377" i="157"/>
  <c r="H377" i="157"/>
  <c r="F377" i="155" s="1"/>
  <c r="J65" i="160"/>
  <c r="J164" i="160"/>
  <c r="F447" i="157"/>
  <c r="I65" i="165"/>
  <c r="I164" i="165"/>
  <c r="I166" i="165" s="1"/>
  <c r="H369" i="165"/>
  <c r="J369" i="165" s="1"/>
  <c r="H369" i="162"/>
  <c r="F369" i="165" s="1"/>
  <c r="G376" i="164"/>
  <c r="K376" i="160"/>
  <c r="L376" i="160" s="1"/>
  <c r="F446" i="161"/>
  <c r="I447" i="159"/>
  <c r="G767" i="159"/>
  <c r="J71" i="159"/>
  <c r="F767" i="160"/>
  <c r="F71" i="160"/>
  <c r="G767" i="158"/>
  <c r="J71" i="158"/>
  <c r="H372" i="157"/>
  <c r="F372" i="155" s="1"/>
  <c r="I372" i="157"/>
  <c r="J68" i="162"/>
  <c r="F68" i="167" s="1"/>
  <c r="K68" i="167" s="1"/>
  <c r="G370" i="161"/>
  <c r="K71" i="9"/>
  <c r="J164" i="157"/>
  <c r="J65" i="157"/>
  <c r="F65" i="155"/>
  <c r="F164" i="155"/>
  <c r="F166" i="155" s="1"/>
  <c r="H57" i="165"/>
  <c r="H59" i="165" s="1"/>
  <c r="H59" i="155"/>
  <c r="I65" i="160"/>
  <c r="I164" i="160"/>
  <c r="I65" i="166"/>
  <c r="I164" i="166"/>
  <c r="I166" i="166" s="1"/>
  <c r="F372" i="160"/>
  <c r="J372" i="159"/>
  <c r="K372" i="159" s="1"/>
  <c r="H77" i="165"/>
  <c r="J77" i="165" s="1"/>
  <c r="H77" i="162"/>
  <c r="F77" i="165" s="1"/>
  <c r="F166" i="160"/>
  <c r="H367" i="162"/>
  <c r="F367" i="165" s="1"/>
  <c r="H367" i="165"/>
  <c r="J367" i="165" s="1"/>
  <c r="J166" i="159"/>
  <c r="K164" i="159"/>
  <c r="K166" i="159" s="1"/>
  <c r="H114" i="165"/>
  <c r="H115" i="165" s="1"/>
  <c r="H165" i="165" s="1"/>
  <c r="H115" i="155"/>
  <c r="H165" i="155" s="1"/>
  <c r="G59" i="167"/>
  <c r="H65" i="161"/>
  <c r="H164" i="161"/>
  <c r="H166" i="161" s="1"/>
  <c r="I767" i="159"/>
  <c r="F767" i="161"/>
  <c r="F71" i="161"/>
  <c r="I65" i="167"/>
  <c r="I164" i="167"/>
  <c r="I166" i="167" s="1"/>
  <c r="I767" i="158"/>
  <c r="G59" i="165"/>
  <c r="O792" i="159"/>
  <c r="J792" i="159"/>
  <c r="K792" i="159" s="1"/>
  <c r="G376" i="155"/>
  <c r="G122" i="155"/>
  <c r="G69" i="155"/>
  <c r="G446" i="159"/>
  <c r="J367" i="162"/>
  <c r="F367" i="167" s="1"/>
  <c r="K369" i="166" l="1"/>
  <c r="H123" i="162"/>
  <c r="F123" i="165" s="1"/>
  <c r="K123" i="165" s="1"/>
  <c r="G369" i="164"/>
  <c r="K123" i="161"/>
  <c r="L123" i="161" s="1"/>
  <c r="J123" i="162"/>
  <c r="F123" i="167" s="1"/>
  <c r="G123" i="160"/>
  <c r="K123" i="160" s="1"/>
  <c r="L123" i="160" s="1"/>
  <c r="J123" i="167"/>
  <c r="K122" i="161"/>
  <c r="L122" i="161" s="1"/>
  <c r="K367" i="167"/>
  <c r="J74" i="162"/>
  <c r="F74" i="167" s="1"/>
  <c r="K74" i="167" s="1"/>
  <c r="J122" i="162"/>
  <c r="F122" i="167" s="1"/>
  <c r="K122" i="167" s="1"/>
  <c r="I122" i="160"/>
  <c r="G122" i="166" s="1"/>
  <c r="J122" i="166" s="1"/>
  <c r="H122" i="160"/>
  <c r="G122" i="165" s="1"/>
  <c r="J122" i="165" s="1"/>
  <c r="K367" i="160"/>
  <c r="L367" i="160" s="1"/>
  <c r="G367" i="162"/>
  <c r="F367" i="164" s="1"/>
  <c r="G74" i="155"/>
  <c r="H74" i="164" s="1"/>
  <c r="J74" i="164" s="1"/>
  <c r="K367" i="166"/>
  <c r="H74" i="162"/>
  <c r="F74" i="165" s="1"/>
  <c r="K74" i="165" s="1"/>
  <c r="J126" i="166"/>
  <c r="K126" i="166" s="1"/>
  <c r="L57" i="160"/>
  <c r="L59" i="160" s="1"/>
  <c r="L65" i="160" s="1"/>
  <c r="K373" i="162"/>
  <c r="L373" i="162" s="1"/>
  <c r="G164" i="161"/>
  <c r="G166" i="161" s="1"/>
  <c r="J370" i="160"/>
  <c r="G370" i="167" s="1"/>
  <c r="G267" i="158"/>
  <c r="J267" i="158" s="1"/>
  <c r="K267" i="158" s="1"/>
  <c r="H166" i="160"/>
  <c r="G268" i="158"/>
  <c r="J268" i="158" s="1"/>
  <c r="K268" i="158" s="1"/>
  <c r="G129" i="157"/>
  <c r="G777" i="157" s="1"/>
  <c r="J775" i="158"/>
  <c r="K775" i="158" s="1"/>
  <c r="J775" i="159"/>
  <c r="K775" i="159" s="1"/>
  <c r="F777" i="160"/>
  <c r="F129" i="160"/>
  <c r="G777" i="159"/>
  <c r="J129" i="159"/>
  <c r="K129" i="159" s="1"/>
  <c r="H75" i="161"/>
  <c r="J75" i="161"/>
  <c r="I75" i="161"/>
  <c r="I75" i="160"/>
  <c r="J75" i="160"/>
  <c r="H75" i="160"/>
  <c r="I129" i="161"/>
  <c r="J129" i="161"/>
  <c r="H129" i="161"/>
  <c r="H775" i="157"/>
  <c r="F75" i="155"/>
  <c r="G775" i="157"/>
  <c r="J75" i="157"/>
  <c r="K75" i="157" s="1"/>
  <c r="F129" i="155"/>
  <c r="H777" i="157"/>
  <c r="J129" i="158"/>
  <c r="K129" i="158" s="1"/>
  <c r="G777" i="158"/>
  <c r="J777" i="158" s="1"/>
  <c r="K777" i="158" s="1"/>
  <c r="I65" i="164"/>
  <c r="I370" i="160"/>
  <c r="G370" i="166" s="1"/>
  <c r="G59" i="155"/>
  <c r="G65" i="155" s="1"/>
  <c r="F58" i="164"/>
  <c r="K58" i="164" s="1"/>
  <c r="G59" i="162"/>
  <c r="G65" i="162" s="1"/>
  <c r="G77" i="162"/>
  <c r="K77" i="162" s="1"/>
  <c r="L77" i="162" s="1"/>
  <c r="J115" i="162"/>
  <c r="J165" i="162" s="1"/>
  <c r="G268" i="159"/>
  <c r="F268" i="160" s="1"/>
  <c r="I268" i="157"/>
  <c r="J57" i="166"/>
  <c r="J59" i="166" s="1"/>
  <c r="J164" i="166" s="1"/>
  <c r="K376" i="165"/>
  <c r="H268" i="157"/>
  <c r="F268" i="155" s="1"/>
  <c r="H446" i="157"/>
  <c r="F446" i="155" s="1"/>
  <c r="G369" i="162"/>
  <c r="F369" i="164" s="1"/>
  <c r="K123" i="166"/>
  <c r="F72" i="164"/>
  <c r="K72" i="162"/>
  <c r="L72" i="162" s="1"/>
  <c r="G770" i="160"/>
  <c r="K126" i="160"/>
  <c r="G126" i="164"/>
  <c r="K77" i="155"/>
  <c r="L77" i="155" s="1"/>
  <c r="G115" i="155"/>
  <c r="G165" i="155" s="1"/>
  <c r="K72" i="166"/>
  <c r="G126" i="162"/>
  <c r="L72" i="160"/>
  <c r="K768" i="160"/>
  <c r="L768" i="160" s="1"/>
  <c r="J126" i="167"/>
  <c r="K126" i="167" s="1"/>
  <c r="G768" i="155"/>
  <c r="H72" i="164"/>
  <c r="J72" i="164" s="1"/>
  <c r="K72" i="155"/>
  <c r="L126" i="161"/>
  <c r="K770" i="161"/>
  <c r="L770" i="161" s="1"/>
  <c r="K373" i="164"/>
  <c r="H126" i="164"/>
  <c r="G770" i="155"/>
  <c r="K126" i="155"/>
  <c r="K768" i="161"/>
  <c r="L768" i="161" s="1"/>
  <c r="L72" i="161"/>
  <c r="J57" i="165"/>
  <c r="J59" i="165" s="1"/>
  <c r="J65" i="165" s="1"/>
  <c r="K77" i="166"/>
  <c r="K367" i="155"/>
  <c r="L367" i="155" s="1"/>
  <c r="J126" i="165"/>
  <c r="K126" i="165" s="1"/>
  <c r="L782" i="160"/>
  <c r="I446" i="157"/>
  <c r="I447" i="157" s="1"/>
  <c r="I831" i="157" s="1"/>
  <c r="G128" i="160"/>
  <c r="G128" i="162" s="1"/>
  <c r="L782" i="161"/>
  <c r="K369" i="167"/>
  <c r="K77" i="167"/>
  <c r="H369" i="164"/>
  <c r="K114" i="155"/>
  <c r="L114" i="155" s="1"/>
  <c r="L115" i="155" s="1"/>
  <c r="F57" i="164"/>
  <c r="K57" i="155"/>
  <c r="L57" i="155" s="1"/>
  <c r="L59" i="155" s="1"/>
  <c r="L65" i="155" s="1"/>
  <c r="G114" i="162"/>
  <c r="G115" i="162" s="1"/>
  <c r="G165" i="162" s="1"/>
  <c r="J57" i="167"/>
  <c r="J59" i="167" s="1"/>
  <c r="J65" i="167" s="1"/>
  <c r="H57" i="164"/>
  <c r="G267" i="159"/>
  <c r="J267" i="159" s="1"/>
  <c r="K267" i="159" s="1"/>
  <c r="H367" i="164"/>
  <c r="J367" i="164" s="1"/>
  <c r="K69" i="166"/>
  <c r="F267" i="155"/>
  <c r="G267" i="157"/>
  <c r="J267" i="157" s="1"/>
  <c r="K267" i="157" s="1"/>
  <c r="O792" i="157"/>
  <c r="J792" i="157"/>
  <c r="K792" i="157" s="1"/>
  <c r="K69" i="155"/>
  <c r="L69" i="155" s="1"/>
  <c r="H69" i="164"/>
  <c r="J69" i="164" s="1"/>
  <c r="K376" i="155"/>
  <c r="L376" i="155" s="1"/>
  <c r="H376" i="164"/>
  <c r="J376" i="164" s="1"/>
  <c r="G65" i="165"/>
  <c r="G164" i="165"/>
  <c r="I71" i="161"/>
  <c r="J71" i="161"/>
  <c r="H71" i="161"/>
  <c r="K164" i="160"/>
  <c r="K65" i="160"/>
  <c r="J767" i="158"/>
  <c r="K767" i="158" s="1"/>
  <c r="K71" i="159"/>
  <c r="G115" i="167"/>
  <c r="G165" i="167" s="1"/>
  <c r="J114" i="167"/>
  <c r="J115" i="167" s="1"/>
  <c r="J165" i="167" s="1"/>
  <c r="G128" i="167"/>
  <c r="J128" i="167" s="1"/>
  <c r="J128" i="162"/>
  <c r="F128" i="167" s="1"/>
  <c r="G447" i="158"/>
  <c r="J446" i="158"/>
  <c r="I377" i="164"/>
  <c r="K377" i="161"/>
  <c r="L377" i="161" s="1"/>
  <c r="F57" i="166"/>
  <c r="I59" i="162"/>
  <c r="O831" i="159"/>
  <c r="J831" i="159"/>
  <c r="K831" i="159" s="1"/>
  <c r="H128" i="164"/>
  <c r="K128" i="155"/>
  <c r="L128" i="155" s="1"/>
  <c r="K68" i="155"/>
  <c r="L68" i="155" s="1"/>
  <c r="H68" i="164"/>
  <c r="J68" i="164" s="1"/>
  <c r="G68" i="162"/>
  <c r="G377" i="167"/>
  <c r="G115" i="166"/>
  <c r="G165" i="166" s="1"/>
  <c r="J114" i="166"/>
  <c r="J115" i="166" s="1"/>
  <c r="J165" i="166" s="1"/>
  <c r="H164" i="167"/>
  <c r="H166" i="167" s="1"/>
  <c r="H65" i="167"/>
  <c r="G376" i="162"/>
  <c r="G377" i="157"/>
  <c r="J377" i="157" s="1"/>
  <c r="K377" i="157" s="1"/>
  <c r="G370" i="157"/>
  <c r="J370" i="157" s="1"/>
  <c r="K370" i="157" s="1"/>
  <c r="H122" i="164"/>
  <c r="K122" i="155"/>
  <c r="L122" i="155" s="1"/>
  <c r="G65" i="167"/>
  <c r="G164" i="167"/>
  <c r="K370" i="161"/>
  <c r="L370" i="161" s="1"/>
  <c r="I370" i="164"/>
  <c r="K71" i="158"/>
  <c r="F447" i="161"/>
  <c r="G65" i="166"/>
  <c r="G164" i="166"/>
  <c r="I767" i="157"/>
  <c r="K115" i="161"/>
  <c r="K165" i="161" s="1"/>
  <c r="L165" i="161" s="1"/>
  <c r="L114" i="161"/>
  <c r="L115" i="161" s="1"/>
  <c r="H115" i="162"/>
  <c r="H165" i="162" s="1"/>
  <c r="F114" i="165"/>
  <c r="I372" i="164"/>
  <c r="K372" i="161"/>
  <c r="L372" i="161" s="1"/>
  <c r="G377" i="165"/>
  <c r="J831" i="158"/>
  <c r="K831" i="158" s="1"/>
  <c r="O831" i="158"/>
  <c r="J782" i="155"/>
  <c r="J164" i="155"/>
  <c r="J166" i="155" s="1"/>
  <c r="J792" i="155" s="1"/>
  <c r="J65" i="155"/>
  <c r="K77" i="165"/>
  <c r="G372" i="157"/>
  <c r="J372" i="157" s="1"/>
  <c r="K372" i="157" s="1"/>
  <c r="K369" i="165"/>
  <c r="K69" i="165"/>
  <c r="J166" i="160"/>
  <c r="K69" i="167"/>
  <c r="J77" i="164"/>
  <c r="K57" i="162"/>
  <c r="J446" i="159"/>
  <c r="F446" i="160"/>
  <c r="G447" i="159"/>
  <c r="H792" i="160"/>
  <c r="I792" i="160"/>
  <c r="J792" i="160"/>
  <c r="J372" i="160"/>
  <c r="H372" i="160"/>
  <c r="I372" i="160"/>
  <c r="H164" i="165"/>
  <c r="H166" i="165" s="1"/>
  <c r="H65" i="165"/>
  <c r="J166" i="157"/>
  <c r="K164" i="157"/>
  <c r="K166" i="157" s="1"/>
  <c r="G128" i="165"/>
  <c r="J128" i="165" s="1"/>
  <c r="H128" i="162"/>
  <c r="F128" i="165" s="1"/>
  <c r="F115" i="167"/>
  <c r="F165" i="167" s="1"/>
  <c r="J71" i="157"/>
  <c r="G767" i="157"/>
  <c r="I370" i="155"/>
  <c r="H370" i="166" s="1"/>
  <c r="H370" i="155"/>
  <c r="H370" i="165" s="1"/>
  <c r="J370" i="155"/>
  <c r="H370" i="167" s="1"/>
  <c r="G115" i="165"/>
  <c r="G165" i="165" s="1"/>
  <c r="J114" i="165"/>
  <c r="J115" i="165" s="1"/>
  <c r="J165" i="165" s="1"/>
  <c r="H65" i="166"/>
  <c r="H164" i="166"/>
  <c r="H166" i="166" s="1"/>
  <c r="F114" i="166"/>
  <c r="I115" i="162"/>
  <c r="I165" i="162" s="1"/>
  <c r="G377" i="166"/>
  <c r="K164" i="161"/>
  <c r="K65" i="161"/>
  <c r="J792" i="161"/>
  <c r="J268" i="161" s="1"/>
  <c r="I792" i="161"/>
  <c r="I446" i="161" s="1"/>
  <c r="H792" i="161"/>
  <c r="G115" i="160"/>
  <c r="G165" i="160" s="1"/>
  <c r="G166" i="160" s="1"/>
  <c r="K114" i="160"/>
  <c r="G114" i="164"/>
  <c r="F59" i="165"/>
  <c r="K376" i="167"/>
  <c r="G69" i="162"/>
  <c r="G65" i="164"/>
  <c r="G164" i="164"/>
  <c r="H782" i="155"/>
  <c r="H164" i="155"/>
  <c r="H166" i="155" s="1"/>
  <c r="H792" i="155" s="1"/>
  <c r="H65" i="155"/>
  <c r="H372" i="155"/>
  <c r="H372" i="165" s="1"/>
  <c r="J372" i="155"/>
  <c r="H372" i="167" s="1"/>
  <c r="I372" i="155"/>
  <c r="H372" i="166" s="1"/>
  <c r="I71" i="160"/>
  <c r="J71" i="160"/>
  <c r="H71" i="160"/>
  <c r="J767" i="159"/>
  <c r="K767" i="159" s="1"/>
  <c r="I377" i="155"/>
  <c r="H377" i="166" s="1"/>
  <c r="J377" i="155"/>
  <c r="H377" i="167" s="1"/>
  <c r="H377" i="155"/>
  <c r="H377" i="165" s="1"/>
  <c r="G128" i="166"/>
  <c r="J128" i="166" s="1"/>
  <c r="I128" i="162"/>
  <c r="F128" i="166" s="1"/>
  <c r="H767" i="157"/>
  <c r="F71" i="155"/>
  <c r="F57" i="167"/>
  <c r="J59" i="162"/>
  <c r="K123" i="155"/>
  <c r="L123" i="155" s="1"/>
  <c r="H123" i="164"/>
  <c r="I782" i="155"/>
  <c r="I65" i="155"/>
  <c r="I164" i="155"/>
  <c r="I166" i="155" s="1"/>
  <c r="I792" i="155" s="1"/>
  <c r="G370" i="165"/>
  <c r="H65" i="162"/>
  <c r="H164" i="162"/>
  <c r="K367" i="165"/>
  <c r="I166" i="164"/>
  <c r="G377" i="160"/>
  <c r="I166" i="160"/>
  <c r="J369" i="164" l="1"/>
  <c r="K369" i="164" s="1"/>
  <c r="K123" i="167"/>
  <c r="G123" i="164"/>
  <c r="J123" i="164" s="1"/>
  <c r="G123" i="162"/>
  <c r="K123" i="162" s="1"/>
  <c r="L123" i="162" s="1"/>
  <c r="I122" i="162"/>
  <c r="F122" i="166" s="1"/>
  <c r="K122" i="166" s="1"/>
  <c r="K367" i="162"/>
  <c r="L367" i="162" s="1"/>
  <c r="G122" i="160"/>
  <c r="K122" i="160" s="1"/>
  <c r="L122" i="160" s="1"/>
  <c r="H122" i="162"/>
  <c r="F122" i="165" s="1"/>
  <c r="K122" i="165" s="1"/>
  <c r="G74" i="162"/>
  <c r="F74" i="164" s="1"/>
  <c r="K74" i="164" s="1"/>
  <c r="K74" i="155"/>
  <c r="L74" i="155" s="1"/>
  <c r="J268" i="159"/>
  <c r="K268" i="159" s="1"/>
  <c r="F267" i="160"/>
  <c r="J267" i="160" s="1"/>
  <c r="G267" i="167" s="1"/>
  <c r="J129" i="157"/>
  <c r="K129" i="157" s="1"/>
  <c r="G75" i="160"/>
  <c r="G775" i="160" s="1"/>
  <c r="G75" i="161"/>
  <c r="K75" i="161" s="1"/>
  <c r="J775" i="157"/>
  <c r="K775" i="157" s="1"/>
  <c r="I129" i="166"/>
  <c r="I777" i="161"/>
  <c r="G75" i="167"/>
  <c r="J775" i="160"/>
  <c r="I75" i="166"/>
  <c r="I775" i="161"/>
  <c r="J777" i="159"/>
  <c r="K777" i="159" s="1"/>
  <c r="H75" i="155"/>
  <c r="I75" i="155"/>
  <c r="J75" i="155"/>
  <c r="J75" i="162" s="1"/>
  <c r="F75" i="167" s="1"/>
  <c r="J777" i="161"/>
  <c r="I129" i="167"/>
  <c r="G75" i="165"/>
  <c r="H775" i="160"/>
  <c r="J777" i="157"/>
  <c r="K777" i="157" s="1"/>
  <c r="H129" i="155"/>
  <c r="I129" i="155"/>
  <c r="J129" i="155"/>
  <c r="I129" i="165"/>
  <c r="H777" i="161"/>
  <c r="I75" i="165"/>
  <c r="H775" i="161"/>
  <c r="I775" i="160"/>
  <c r="G75" i="166"/>
  <c r="J775" i="161"/>
  <c r="I75" i="167"/>
  <c r="J129" i="160"/>
  <c r="I129" i="160"/>
  <c r="H129" i="160"/>
  <c r="G129" i="161"/>
  <c r="G370" i="160"/>
  <c r="K370" i="160" s="1"/>
  <c r="L370" i="160" s="1"/>
  <c r="K128" i="160"/>
  <c r="L128" i="160" s="1"/>
  <c r="G128" i="164"/>
  <c r="J128" i="164" s="1"/>
  <c r="F59" i="164"/>
  <c r="F164" i="164" s="1"/>
  <c r="G164" i="155"/>
  <c r="G166" i="155" s="1"/>
  <c r="F77" i="164"/>
  <c r="K77" i="164" s="1"/>
  <c r="F114" i="164"/>
  <c r="F115" i="164" s="1"/>
  <c r="F165" i="164" s="1"/>
  <c r="K114" i="167"/>
  <c r="K115" i="167" s="1"/>
  <c r="J65" i="166"/>
  <c r="I268" i="155"/>
  <c r="H268" i="166" s="1"/>
  <c r="J268" i="155"/>
  <c r="H268" i="167" s="1"/>
  <c r="K369" i="162"/>
  <c r="L369" i="162" s="1"/>
  <c r="K59" i="155"/>
  <c r="K65" i="155" s="1"/>
  <c r="G164" i="162"/>
  <c r="G166" i="162" s="1"/>
  <c r="J164" i="165"/>
  <c r="J166" i="165" s="1"/>
  <c r="K114" i="162"/>
  <c r="K115" i="162" s="1"/>
  <c r="K165" i="162" s="1"/>
  <c r="L165" i="162" s="1"/>
  <c r="I268" i="160"/>
  <c r="G268" i="166" s="1"/>
  <c r="K115" i="155"/>
  <c r="K165" i="155" s="1"/>
  <c r="L165" i="155" s="1"/>
  <c r="K165" i="167"/>
  <c r="J268" i="160"/>
  <c r="G268" i="167" s="1"/>
  <c r="H370" i="162"/>
  <c r="F370" i="165" s="1"/>
  <c r="H166" i="162"/>
  <c r="H447" i="157"/>
  <c r="H831" i="157" s="1"/>
  <c r="K57" i="165"/>
  <c r="K59" i="165" s="1"/>
  <c r="K65" i="165" s="1"/>
  <c r="G268" i="157"/>
  <c r="J268" i="157" s="1"/>
  <c r="K268" i="157" s="1"/>
  <c r="K126" i="162"/>
  <c r="L126" i="162" s="1"/>
  <c r="F126" i="164"/>
  <c r="J164" i="167"/>
  <c r="J166" i="167" s="1"/>
  <c r="J126" i="164"/>
  <c r="K72" i="164"/>
  <c r="L126" i="155"/>
  <c r="K770" i="155"/>
  <c r="L770" i="155" s="1"/>
  <c r="L72" i="155"/>
  <c r="K768" i="155"/>
  <c r="L768" i="155" s="1"/>
  <c r="L126" i="160"/>
  <c r="K770" i="160"/>
  <c r="L770" i="160" s="1"/>
  <c r="J370" i="166"/>
  <c r="J377" i="165"/>
  <c r="G446" i="157"/>
  <c r="G447" i="157" s="1"/>
  <c r="G831" i="157" s="1"/>
  <c r="H59" i="164"/>
  <c r="J57" i="164"/>
  <c r="J59" i="164" s="1"/>
  <c r="J370" i="165"/>
  <c r="J377" i="167"/>
  <c r="G166" i="165"/>
  <c r="G377" i="155"/>
  <c r="G377" i="162" s="1"/>
  <c r="G792" i="161"/>
  <c r="K792" i="161" s="1"/>
  <c r="L792" i="161" s="1"/>
  <c r="I370" i="162"/>
  <c r="F370" i="166" s="1"/>
  <c r="G71" i="161"/>
  <c r="K71" i="161" s="1"/>
  <c r="I268" i="167"/>
  <c r="G792" i="155"/>
  <c r="K792" i="155" s="1"/>
  <c r="H268" i="155"/>
  <c r="I447" i="161"/>
  <c r="I446" i="166"/>
  <c r="I447" i="166" s="1"/>
  <c r="G377" i="164"/>
  <c r="K377" i="160"/>
  <c r="L377" i="160" s="1"/>
  <c r="I767" i="160"/>
  <c r="G71" i="166"/>
  <c r="K115" i="160"/>
  <c r="K165" i="160" s="1"/>
  <c r="L165" i="160" s="1"/>
  <c r="L114" i="160"/>
  <c r="L115" i="160" s="1"/>
  <c r="K166" i="161"/>
  <c r="L164" i="161"/>
  <c r="L166" i="161" s="1"/>
  <c r="F115" i="166"/>
  <c r="F165" i="166" s="1"/>
  <c r="K165" i="166" s="1"/>
  <c r="K114" i="166"/>
  <c r="K115" i="166" s="1"/>
  <c r="G372" i="165"/>
  <c r="J372" i="165" s="1"/>
  <c r="H372" i="162"/>
  <c r="F372" i="165" s="1"/>
  <c r="L57" i="162"/>
  <c r="L59" i="162" s="1"/>
  <c r="L65" i="162" s="1"/>
  <c r="K59" i="162"/>
  <c r="K376" i="162"/>
  <c r="L376" i="162" s="1"/>
  <c r="F376" i="164"/>
  <c r="K376" i="164" s="1"/>
  <c r="K68" i="162"/>
  <c r="L68" i="162" s="1"/>
  <c r="F68" i="164"/>
  <c r="K68" i="164" s="1"/>
  <c r="L164" i="160"/>
  <c r="I767" i="161"/>
  <c r="I71" i="166"/>
  <c r="I267" i="155"/>
  <c r="H267" i="166" s="1"/>
  <c r="J267" i="155"/>
  <c r="H267" i="167" s="1"/>
  <c r="H267" i="155"/>
  <c r="H267" i="165" s="1"/>
  <c r="G792" i="160"/>
  <c r="K792" i="160" s="1"/>
  <c r="J267" i="161"/>
  <c r="H446" i="161"/>
  <c r="G166" i="166"/>
  <c r="I268" i="161"/>
  <c r="J166" i="166"/>
  <c r="G166" i="167"/>
  <c r="K57" i="167"/>
  <c r="K59" i="167" s="1"/>
  <c r="K65" i="167" s="1"/>
  <c r="F59" i="167"/>
  <c r="G71" i="167"/>
  <c r="J767" i="160"/>
  <c r="G115" i="164"/>
  <c r="G165" i="164" s="1"/>
  <c r="G166" i="164" s="1"/>
  <c r="J114" i="164"/>
  <c r="J115" i="164" s="1"/>
  <c r="J165" i="164" s="1"/>
  <c r="G372" i="166"/>
  <c r="J372" i="166" s="1"/>
  <c r="I372" i="162"/>
  <c r="F372" i="166" s="1"/>
  <c r="J447" i="159"/>
  <c r="K446" i="159"/>
  <c r="K447" i="159" s="1"/>
  <c r="K57" i="166"/>
  <c r="K59" i="166" s="1"/>
  <c r="K65" i="166" s="1"/>
  <c r="F59" i="166"/>
  <c r="I71" i="167"/>
  <c r="J767" i="161"/>
  <c r="I267" i="161"/>
  <c r="K367" i="164"/>
  <c r="H268" i="161"/>
  <c r="J65" i="162"/>
  <c r="J164" i="162"/>
  <c r="J166" i="162" s="1"/>
  <c r="H767" i="160"/>
  <c r="G71" i="165"/>
  <c r="K71" i="157"/>
  <c r="H446" i="160"/>
  <c r="J446" i="160"/>
  <c r="I446" i="160"/>
  <c r="F447" i="160"/>
  <c r="J831" i="161"/>
  <c r="H831" i="161"/>
  <c r="I831" i="161"/>
  <c r="I65" i="162"/>
  <c r="I164" i="162"/>
  <c r="I166" i="162" s="1"/>
  <c r="J447" i="158"/>
  <c r="K446" i="158"/>
  <c r="K447" i="158" s="1"/>
  <c r="H446" i="155"/>
  <c r="F447" i="155"/>
  <c r="I446" i="155"/>
  <c r="J446" i="155"/>
  <c r="I71" i="165"/>
  <c r="H767" i="161"/>
  <c r="G372" i="155"/>
  <c r="G782" i="155"/>
  <c r="K782" i="155" s="1"/>
  <c r="J377" i="166"/>
  <c r="K128" i="165"/>
  <c r="G372" i="160"/>
  <c r="H267" i="161"/>
  <c r="J370" i="167"/>
  <c r="J377" i="162"/>
  <c r="F377" i="167" s="1"/>
  <c r="H71" i="155"/>
  <c r="H71" i="162" s="1"/>
  <c r="I71" i="155"/>
  <c r="J71" i="155"/>
  <c r="J71" i="162" s="1"/>
  <c r="K69" i="162"/>
  <c r="L69" i="162" s="1"/>
  <c r="F69" i="164"/>
  <c r="K69" i="164" s="1"/>
  <c r="F65" i="165"/>
  <c r="F164" i="165"/>
  <c r="J767" i="157"/>
  <c r="K767" i="157" s="1"/>
  <c r="G372" i="167"/>
  <c r="J372" i="167" s="1"/>
  <c r="J372" i="162"/>
  <c r="F372" i="167" s="1"/>
  <c r="F115" i="165"/>
  <c r="F165" i="165" s="1"/>
  <c r="K165" i="165" s="1"/>
  <c r="K114" i="165"/>
  <c r="K115" i="165" s="1"/>
  <c r="H268" i="160"/>
  <c r="G268" i="165" s="1"/>
  <c r="K128" i="162"/>
  <c r="L128" i="162" s="1"/>
  <c r="F128" i="164"/>
  <c r="K128" i="166"/>
  <c r="G71" i="160"/>
  <c r="I377" i="162"/>
  <c r="F377" i="166" s="1"/>
  <c r="G370" i="155"/>
  <c r="H377" i="162"/>
  <c r="F377" i="165" s="1"/>
  <c r="J446" i="161"/>
  <c r="J370" i="162"/>
  <c r="F370" i="167" s="1"/>
  <c r="K128" i="167"/>
  <c r="F123" i="164" l="1"/>
  <c r="K123" i="164" s="1"/>
  <c r="G122" i="162"/>
  <c r="F122" i="164" s="1"/>
  <c r="G122" i="164"/>
  <c r="J122" i="164" s="1"/>
  <c r="K74" i="162"/>
  <c r="L74" i="162" s="1"/>
  <c r="K370" i="166"/>
  <c r="H267" i="160"/>
  <c r="G267" i="165" s="1"/>
  <c r="I267" i="160"/>
  <c r="G267" i="166" s="1"/>
  <c r="G767" i="161"/>
  <c r="G370" i="164"/>
  <c r="I75" i="164"/>
  <c r="G775" i="161"/>
  <c r="G75" i="155"/>
  <c r="K75" i="155" s="1"/>
  <c r="G75" i="164"/>
  <c r="K75" i="160"/>
  <c r="L75" i="160" s="1"/>
  <c r="H75" i="162"/>
  <c r="F75" i="165" s="1"/>
  <c r="G129" i="165"/>
  <c r="H777" i="160"/>
  <c r="H129" i="162"/>
  <c r="F129" i="165" s="1"/>
  <c r="H129" i="165"/>
  <c r="H777" i="155"/>
  <c r="H75" i="167"/>
  <c r="J75" i="167" s="1"/>
  <c r="K75" i="167" s="1"/>
  <c r="J775" i="155"/>
  <c r="K775" i="161"/>
  <c r="L75" i="161"/>
  <c r="I129" i="162"/>
  <c r="F129" i="166" s="1"/>
  <c r="I777" i="155"/>
  <c r="H129" i="166"/>
  <c r="G129" i="160"/>
  <c r="G129" i="167"/>
  <c r="J777" i="160"/>
  <c r="J129" i="162"/>
  <c r="F129" i="167" s="1"/>
  <c r="J777" i="155"/>
  <c r="H129" i="167"/>
  <c r="H75" i="165"/>
  <c r="J75" i="165" s="1"/>
  <c r="H775" i="155"/>
  <c r="I129" i="164"/>
  <c r="G777" i="161"/>
  <c r="K129" i="161"/>
  <c r="I777" i="160"/>
  <c r="G129" i="166"/>
  <c r="H75" i="166"/>
  <c r="J75" i="166" s="1"/>
  <c r="I775" i="155"/>
  <c r="G129" i="155"/>
  <c r="I75" i="162"/>
  <c r="F75" i="166" s="1"/>
  <c r="F65" i="164"/>
  <c r="K377" i="167"/>
  <c r="I71" i="164"/>
  <c r="K164" i="155"/>
  <c r="L164" i="155" s="1"/>
  <c r="L166" i="155" s="1"/>
  <c r="J268" i="162"/>
  <c r="F268" i="167" s="1"/>
  <c r="K377" i="165"/>
  <c r="K370" i="165"/>
  <c r="L114" i="162"/>
  <c r="L115" i="162" s="1"/>
  <c r="J446" i="157"/>
  <c r="K446" i="157" s="1"/>
  <c r="K447" i="157" s="1"/>
  <c r="K377" i="155"/>
  <c r="L377" i="155" s="1"/>
  <c r="H377" i="164"/>
  <c r="J377" i="164" s="1"/>
  <c r="J268" i="167"/>
  <c r="K128" i="164"/>
  <c r="K126" i="164"/>
  <c r="G446" i="160"/>
  <c r="K446" i="160" s="1"/>
  <c r="J164" i="164"/>
  <c r="J166" i="164" s="1"/>
  <c r="J65" i="164"/>
  <c r="K370" i="167"/>
  <c r="K377" i="166"/>
  <c r="G71" i="155"/>
  <c r="K71" i="155" s="1"/>
  <c r="P792" i="161"/>
  <c r="K57" i="164"/>
  <c r="K59" i="164" s="1"/>
  <c r="K65" i="164" s="1"/>
  <c r="G446" i="155"/>
  <c r="G447" i="155" s="1"/>
  <c r="H164" i="164"/>
  <c r="H166" i="164" s="1"/>
  <c r="H65" i="164"/>
  <c r="K372" i="167"/>
  <c r="K114" i="164"/>
  <c r="K115" i="164" s="1"/>
  <c r="K372" i="165"/>
  <c r="F71" i="165"/>
  <c r="F71" i="167"/>
  <c r="I446" i="167"/>
  <c r="I447" i="167" s="1"/>
  <c r="J447" i="161"/>
  <c r="J446" i="162"/>
  <c r="G767" i="160"/>
  <c r="G71" i="164"/>
  <c r="K71" i="160"/>
  <c r="F166" i="164"/>
  <c r="G372" i="164"/>
  <c r="K372" i="160"/>
  <c r="L372" i="160" s="1"/>
  <c r="G372" i="162"/>
  <c r="L782" i="155"/>
  <c r="P782" i="155"/>
  <c r="H446" i="167"/>
  <c r="H447" i="167" s="1"/>
  <c r="J447" i="155"/>
  <c r="J831" i="155" s="1"/>
  <c r="I831" i="160"/>
  <c r="J831" i="160"/>
  <c r="H831" i="160"/>
  <c r="I267" i="167"/>
  <c r="J267" i="167" s="1"/>
  <c r="J267" i="162"/>
  <c r="F267" i="167" s="1"/>
  <c r="P792" i="155"/>
  <c r="L792" i="155"/>
  <c r="G268" i="160"/>
  <c r="K165" i="164"/>
  <c r="G267" i="155"/>
  <c r="K166" i="160"/>
  <c r="F166" i="165"/>
  <c r="K164" i="165"/>
  <c r="K166" i="165" s="1"/>
  <c r="H71" i="165"/>
  <c r="H767" i="155"/>
  <c r="I267" i="165"/>
  <c r="G267" i="161"/>
  <c r="H446" i="165"/>
  <c r="H447" i="165" s="1"/>
  <c r="H447" i="155"/>
  <c r="H831" i="155" s="1"/>
  <c r="G446" i="165"/>
  <c r="H447" i="160"/>
  <c r="I267" i="166"/>
  <c r="I268" i="166"/>
  <c r="J268" i="166" s="1"/>
  <c r="I268" i="162"/>
  <c r="F268" i="166" s="1"/>
  <c r="H268" i="165"/>
  <c r="G268" i="155"/>
  <c r="L166" i="160"/>
  <c r="H370" i="164"/>
  <c r="K370" i="155"/>
  <c r="L370" i="155" s="1"/>
  <c r="I71" i="162"/>
  <c r="I767" i="155"/>
  <c r="H71" i="166"/>
  <c r="H372" i="164"/>
  <c r="K372" i="155"/>
  <c r="L372" i="155" s="1"/>
  <c r="J447" i="160"/>
  <c r="G446" i="167"/>
  <c r="F65" i="167"/>
  <c r="F164" i="167"/>
  <c r="I446" i="165"/>
  <c r="I447" i="165" s="1"/>
  <c r="H447" i="161"/>
  <c r="H446" i="162"/>
  <c r="G446" i="161"/>
  <c r="K377" i="162"/>
  <c r="L377" i="162" s="1"/>
  <c r="F377" i="164"/>
  <c r="G370" i="162"/>
  <c r="K372" i="166"/>
  <c r="O831" i="157"/>
  <c r="J831" i="157"/>
  <c r="K831" i="157" s="1"/>
  <c r="H71" i="167"/>
  <c r="J767" i="155"/>
  <c r="I447" i="155"/>
  <c r="I831" i="155" s="1"/>
  <c r="H446" i="166"/>
  <c r="H447" i="166" s="1"/>
  <c r="I447" i="160"/>
  <c r="G446" i="166"/>
  <c r="I268" i="165"/>
  <c r="H268" i="162"/>
  <c r="F268" i="165" s="1"/>
  <c r="G268" i="161"/>
  <c r="F65" i="166"/>
  <c r="F164" i="166"/>
  <c r="P792" i="160"/>
  <c r="L792" i="160"/>
  <c r="K164" i="162"/>
  <c r="K65" i="162"/>
  <c r="L71" i="161"/>
  <c r="K767" i="161"/>
  <c r="G831" i="161"/>
  <c r="K831" i="161" s="1"/>
  <c r="I446" i="162"/>
  <c r="K122" i="164" l="1"/>
  <c r="K122" i="162"/>
  <c r="L122" i="162" s="1"/>
  <c r="I267" i="162"/>
  <c r="F267" i="166" s="1"/>
  <c r="H267" i="162"/>
  <c r="F267" i="165" s="1"/>
  <c r="G267" i="160"/>
  <c r="G267" i="164" s="1"/>
  <c r="J267" i="165"/>
  <c r="J267" i="166"/>
  <c r="J129" i="167"/>
  <c r="K129" i="167" s="1"/>
  <c r="J447" i="157"/>
  <c r="G71" i="162"/>
  <c r="F71" i="164" s="1"/>
  <c r="J370" i="164"/>
  <c r="G75" i="162"/>
  <c r="K75" i="162" s="1"/>
  <c r="L75" i="162" s="1"/>
  <c r="G775" i="155"/>
  <c r="H75" i="164"/>
  <c r="J75" i="164" s="1"/>
  <c r="K775" i="160"/>
  <c r="L775" i="160" s="1"/>
  <c r="K75" i="165"/>
  <c r="J129" i="165"/>
  <c r="K129" i="165" s="1"/>
  <c r="K75" i="166"/>
  <c r="K775" i="155"/>
  <c r="L75" i="155"/>
  <c r="G777" i="160"/>
  <c r="K129" i="160"/>
  <c r="G129" i="164"/>
  <c r="L775" i="161"/>
  <c r="L129" i="161"/>
  <c r="K777" i="161"/>
  <c r="L777" i="161" s="1"/>
  <c r="J129" i="166"/>
  <c r="K129" i="166" s="1"/>
  <c r="H129" i="164"/>
  <c r="K129" i="155"/>
  <c r="G777" i="155"/>
  <c r="G129" i="162"/>
  <c r="G447" i="160"/>
  <c r="K166" i="155"/>
  <c r="K268" i="167"/>
  <c r="H446" i="164"/>
  <c r="H447" i="164" s="1"/>
  <c r="J268" i="165"/>
  <c r="K268" i="165" s="1"/>
  <c r="G446" i="164"/>
  <c r="K446" i="155"/>
  <c r="L446" i="155" s="1"/>
  <c r="L447" i="155" s="1"/>
  <c r="J71" i="165"/>
  <c r="K377" i="164"/>
  <c r="H71" i="164"/>
  <c r="G767" i="155"/>
  <c r="J71" i="166"/>
  <c r="K164" i="164"/>
  <c r="K166" i="164" s="1"/>
  <c r="I447" i="162"/>
  <c r="F446" i="166"/>
  <c r="K446" i="161"/>
  <c r="I446" i="164"/>
  <c r="I447" i="164" s="1"/>
  <c r="G447" i="161"/>
  <c r="G446" i="162"/>
  <c r="F166" i="167"/>
  <c r="K164" i="167"/>
  <c r="K166" i="167" s="1"/>
  <c r="K447" i="160"/>
  <c r="L446" i="160"/>
  <c r="L447" i="160" s="1"/>
  <c r="K767" i="160"/>
  <c r="L71" i="160"/>
  <c r="F446" i="167"/>
  <c r="J447" i="162"/>
  <c r="F370" i="164"/>
  <c r="K370" i="162"/>
  <c r="L370" i="162" s="1"/>
  <c r="G447" i="167"/>
  <c r="J446" i="167"/>
  <c r="J447" i="167" s="1"/>
  <c r="I267" i="164"/>
  <c r="K267" i="161"/>
  <c r="L267" i="161" s="1"/>
  <c r="H267" i="164"/>
  <c r="K267" i="155"/>
  <c r="L267" i="155" s="1"/>
  <c r="K268" i="160"/>
  <c r="L268" i="160" s="1"/>
  <c r="G268" i="164"/>
  <c r="J372" i="164"/>
  <c r="P831" i="161"/>
  <c r="L831" i="161"/>
  <c r="K268" i="161"/>
  <c r="L268" i="161" s="1"/>
  <c r="I268" i="164"/>
  <c r="G268" i="162"/>
  <c r="H268" i="164"/>
  <c r="K268" i="155"/>
  <c r="L268" i="155" s="1"/>
  <c r="G447" i="165"/>
  <c r="J446" i="165"/>
  <c r="J447" i="165" s="1"/>
  <c r="L71" i="155"/>
  <c r="K767" i="155"/>
  <c r="J71" i="167"/>
  <c r="G831" i="155"/>
  <c r="K831" i="155" s="1"/>
  <c r="K267" i="167"/>
  <c r="G831" i="160"/>
  <c r="K831" i="160" s="1"/>
  <c r="L767" i="161"/>
  <c r="K166" i="162"/>
  <c r="L164" i="162"/>
  <c r="L166" i="162" s="1"/>
  <c r="F166" i="166"/>
  <c r="K164" i="166"/>
  <c r="K166" i="166" s="1"/>
  <c r="G447" i="166"/>
  <c r="J446" i="166"/>
  <c r="J447" i="166" s="1"/>
  <c r="F446" i="165"/>
  <c r="H447" i="162"/>
  <c r="F71" i="166"/>
  <c r="F372" i="164"/>
  <c r="K372" i="162"/>
  <c r="L372" i="162" s="1"/>
  <c r="K268" i="166"/>
  <c r="G267" i="162" l="1"/>
  <c r="F267" i="164" s="1"/>
  <c r="K267" i="166"/>
  <c r="K267" i="160"/>
  <c r="L267" i="160" s="1"/>
  <c r="K267" i="165"/>
  <c r="K370" i="164"/>
  <c r="F75" i="164"/>
  <c r="K75" i="164" s="1"/>
  <c r="K71" i="162"/>
  <c r="L71" i="162" s="1"/>
  <c r="K777" i="160"/>
  <c r="L129" i="160"/>
  <c r="L775" i="155"/>
  <c r="F129" i="164"/>
  <c r="K129" i="162"/>
  <c r="L129" i="162" s="1"/>
  <c r="J129" i="164"/>
  <c r="L129" i="155"/>
  <c r="K777" i="155"/>
  <c r="L777" i="155" s="1"/>
  <c r="K447" i="155"/>
  <c r="J446" i="164"/>
  <c r="J447" i="164" s="1"/>
  <c r="G447" i="164"/>
  <c r="K71" i="165"/>
  <c r="K372" i="164"/>
  <c r="J71" i="164"/>
  <c r="J267" i="164"/>
  <c r="L831" i="160"/>
  <c r="P831" i="160"/>
  <c r="P831" i="155"/>
  <c r="L831" i="155"/>
  <c r="K446" i="166"/>
  <c r="K447" i="166" s="1"/>
  <c r="F447" i="166"/>
  <c r="K71" i="167"/>
  <c r="L767" i="155"/>
  <c r="F447" i="167"/>
  <c r="K446" i="167"/>
  <c r="K447" i="167" s="1"/>
  <c r="K71" i="166"/>
  <c r="F447" i="165"/>
  <c r="K446" i="165"/>
  <c r="K447" i="165" s="1"/>
  <c r="K268" i="162"/>
  <c r="L268" i="162" s="1"/>
  <c r="F268" i="164"/>
  <c r="L767" i="160"/>
  <c r="G447" i="162"/>
  <c r="F446" i="164"/>
  <c r="K446" i="162"/>
  <c r="K447" i="161"/>
  <c r="L446" i="161"/>
  <c r="L447" i="161" s="1"/>
  <c r="J268" i="164"/>
  <c r="K267" i="162" l="1"/>
  <c r="L267" i="162" s="1"/>
  <c r="L777" i="160"/>
  <c r="K129" i="164"/>
  <c r="K267" i="164"/>
  <c r="K71" i="164"/>
  <c r="K446" i="164"/>
  <c r="K447" i="164" s="1"/>
  <c r="F447" i="164"/>
  <c r="K268" i="164"/>
  <c r="K447" i="162"/>
  <c r="L446" i="162"/>
  <c r="L447" i="162" s="1"/>
  <c r="J729" i="160" l="1"/>
  <c r="K729" i="160"/>
  <c r="D141" i="25"/>
  <c r="J729" i="155" l="1"/>
  <c r="J729" i="161"/>
  <c r="K729" i="161" s="1"/>
  <c r="K729" i="155"/>
  <c r="F729" i="155"/>
  <c r="F729" i="158"/>
  <c r="E138" i="25"/>
  <c r="F729" i="160"/>
  <c r="F729" i="157"/>
  <c r="E140" i="25"/>
  <c r="F729" i="159"/>
  <c r="E139" i="25"/>
  <c r="F729" i="161"/>
  <c r="I729" i="159"/>
  <c r="H729" i="157"/>
  <c r="G729" i="158"/>
  <c r="I729" i="9"/>
  <c r="F729" i="9"/>
  <c r="H730" i="9" l="1"/>
  <c r="I730" i="9"/>
  <c r="G730" i="9"/>
  <c r="J730" i="9" s="1"/>
  <c r="K730" i="9" s="1"/>
  <c r="J729" i="9"/>
  <c r="K729" i="9" s="1"/>
  <c r="L729" i="160"/>
  <c r="F730" i="160"/>
  <c r="I730" i="160"/>
  <c r="H730" i="160"/>
  <c r="J730" i="160"/>
  <c r="I730" i="157"/>
  <c r="J729" i="157"/>
  <c r="K729" i="157" s="1"/>
  <c r="G730" i="157"/>
  <c r="H730" i="157"/>
  <c r="G730" i="159"/>
  <c r="I730" i="159"/>
  <c r="J729" i="159"/>
  <c r="K729" i="159" s="1"/>
  <c r="H730" i="159"/>
  <c r="I730" i="161"/>
  <c r="H730" i="161"/>
  <c r="L729" i="161"/>
  <c r="J730" i="161"/>
  <c r="L729" i="155"/>
  <c r="I730" i="155"/>
  <c r="F730" i="155"/>
  <c r="H730" i="155"/>
  <c r="E137" i="25"/>
  <c r="E141" i="25" s="1"/>
  <c r="J729" i="158"/>
  <c r="K729" i="158" s="1"/>
  <c r="H730" i="158"/>
  <c r="G730" i="158"/>
  <c r="I730" i="158"/>
  <c r="J730" i="155"/>
  <c r="G730" i="160" l="1"/>
  <c r="K730" i="160" s="1"/>
  <c r="P730" i="160" s="1"/>
  <c r="O730" i="158"/>
  <c r="J730" i="158"/>
  <c r="K730" i="158" s="1"/>
  <c r="G730" i="155"/>
  <c r="K730" i="155" s="1"/>
  <c r="P730" i="155" s="1"/>
  <c r="O730" i="159"/>
  <c r="J730" i="159"/>
  <c r="K730" i="159" s="1"/>
  <c r="L730" i="160"/>
  <c r="G730" i="161"/>
  <c r="K730" i="161" s="1"/>
  <c r="O730" i="157"/>
  <c r="J730" i="157"/>
  <c r="K730" i="157" s="1"/>
  <c r="I256" i="9"/>
  <c r="F256" i="159" s="1"/>
  <c r="I426" i="9"/>
  <c r="F426" i="159" s="1"/>
  <c r="I219" i="9"/>
  <c r="F219" i="159" s="1"/>
  <c r="I127" i="9"/>
  <c r="I218" i="9"/>
  <c r="F218" i="159" s="1"/>
  <c r="I272" i="9"/>
  <c r="F272" i="159" s="1"/>
  <c r="I427" i="9"/>
  <c r="F427" i="159" s="1"/>
  <c r="I73" i="9"/>
  <c r="I207" i="9"/>
  <c r="F207" i="159" s="1"/>
  <c r="H427" i="9"/>
  <c r="H73" i="9"/>
  <c r="H256" i="9"/>
  <c r="H272" i="9"/>
  <c r="H426" i="9"/>
  <c r="H127" i="9"/>
  <c r="H218" i="9"/>
  <c r="H219" i="9"/>
  <c r="H207" i="9"/>
  <c r="L730" i="155" l="1"/>
  <c r="F426" i="158"/>
  <c r="G426" i="9"/>
  <c r="H427" i="159"/>
  <c r="I427" i="159"/>
  <c r="F427" i="161" s="1"/>
  <c r="F272" i="158"/>
  <c r="G272" i="9"/>
  <c r="H272" i="159"/>
  <c r="I272" i="159"/>
  <c r="F272" i="161" s="1"/>
  <c r="P730" i="161"/>
  <c r="L730" i="161"/>
  <c r="G256" i="9"/>
  <c r="F256" i="158"/>
  <c r="H774" i="9"/>
  <c r="H78" i="9"/>
  <c r="G73" i="9"/>
  <c r="F73" i="158"/>
  <c r="F207" i="158"/>
  <c r="G207" i="9"/>
  <c r="F219" i="158"/>
  <c r="G219" i="9"/>
  <c r="H426" i="159"/>
  <c r="I426" i="159"/>
  <c r="F426" i="161" s="1"/>
  <c r="I218" i="159"/>
  <c r="F218" i="161" s="1"/>
  <c r="H218" i="159"/>
  <c r="I776" i="9"/>
  <c r="F127" i="159"/>
  <c r="G427" i="9"/>
  <c r="F427" i="158"/>
  <c r="F218" i="158"/>
  <c r="G218" i="9"/>
  <c r="I207" i="159"/>
  <c r="F207" i="161" s="1"/>
  <c r="H207" i="159"/>
  <c r="H256" i="159"/>
  <c r="I256" i="159"/>
  <c r="F256" i="161" s="1"/>
  <c r="H219" i="159"/>
  <c r="I219" i="159"/>
  <c r="F219" i="161" s="1"/>
  <c r="F127" i="158"/>
  <c r="G127" i="9"/>
  <c r="H776" i="9"/>
  <c r="I774" i="9"/>
  <c r="I78" i="9"/>
  <c r="F73" i="159"/>
  <c r="I778" i="9" l="1"/>
  <c r="I759" i="9" s="1"/>
  <c r="G272" i="159"/>
  <c r="J272" i="159" s="1"/>
  <c r="K272" i="159" s="1"/>
  <c r="G427" i="159"/>
  <c r="F427" i="160" s="1"/>
  <c r="G426" i="159"/>
  <c r="F426" i="160" s="1"/>
  <c r="G219" i="159"/>
  <c r="J219" i="159" s="1"/>
  <c r="K219" i="159" s="1"/>
  <c r="G256" i="159"/>
  <c r="J256" i="159" s="1"/>
  <c r="K256" i="159" s="1"/>
  <c r="G207" i="159"/>
  <c r="F207" i="160" s="1"/>
  <c r="H778" i="9"/>
  <c r="H759" i="9" s="1"/>
  <c r="G218" i="159"/>
  <c r="J218" i="159" s="1"/>
  <c r="K218" i="159" s="1"/>
  <c r="F272" i="160"/>
  <c r="H427" i="158"/>
  <c r="I427" i="158"/>
  <c r="I426" i="161"/>
  <c r="J426" i="161"/>
  <c r="H426" i="161"/>
  <c r="H81" i="9"/>
  <c r="H784" i="9" s="1"/>
  <c r="H80" i="9"/>
  <c r="H783" i="9"/>
  <c r="H174" i="9"/>
  <c r="I256" i="161"/>
  <c r="J256" i="161"/>
  <c r="H256" i="161"/>
  <c r="F427" i="157"/>
  <c r="J427" i="9"/>
  <c r="K427" i="9" s="1"/>
  <c r="F272" i="157"/>
  <c r="J272" i="9"/>
  <c r="K272" i="9" s="1"/>
  <c r="F219" i="157"/>
  <c r="J219" i="9"/>
  <c r="K219" i="9" s="1"/>
  <c r="I127" i="158"/>
  <c r="H127" i="158"/>
  <c r="J207" i="161"/>
  <c r="H207" i="161"/>
  <c r="I207" i="161"/>
  <c r="I207" i="158"/>
  <c r="H207" i="158"/>
  <c r="F776" i="155"/>
  <c r="F127" i="157"/>
  <c r="J127" i="9"/>
  <c r="G776" i="9"/>
  <c r="J776" i="9" s="1"/>
  <c r="K776" i="9" s="1"/>
  <c r="F776" i="157"/>
  <c r="I272" i="158"/>
  <c r="H272" i="158"/>
  <c r="H127" i="159"/>
  <c r="I127" i="159"/>
  <c r="F256" i="157"/>
  <c r="J256" i="9"/>
  <c r="K256" i="9" s="1"/>
  <c r="I427" i="161"/>
  <c r="H427" i="161"/>
  <c r="J427" i="161"/>
  <c r="G73" i="159"/>
  <c r="F78" i="159"/>
  <c r="H73" i="159"/>
  <c r="I73" i="159"/>
  <c r="I219" i="161"/>
  <c r="I219" i="166" s="1"/>
  <c r="J219" i="161"/>
  <c r="I219" i="167" s="1"/>
  <c r="H219" i="161"/>
  <c r="J218" i="9"/>
  <c r="K218" i="9" s="1"/>
  <c r="F218" i="157"/>
  <c r="I218" i="161"/>
  <c r="J218" i="161"/>
  <c r="H218" i="161"/>
  <c r="F78" i="158"/>
  <c r="I73" i="158"/>
  <c r="G73" i="158"/>
  <c r="H73" i="158"/>
  <c r="F426" i="157"/>
  <c r="J426" i="9"/>
  <c r="K426" i="9" s="1"/>
  <c r="H256" i="158"/>
  <c r="I256" i="158"/>
  <c r="I219" i="158"/>
  <c r="H219" i="158"/>
  <c r="J207" i="9"/>
  <c r="K207" i="9" s="1"/>
  <c r="F207" i="157"/>
  <c r="I80" i="9"/>
  <c r="I81" i="9"/>
  <c r="I174" i="9"/>
  <c r="H218" i="158"/>
  <c r="I218" i="158"/>
  <c r="J73" i="9"/>
  <c r="F73" i="157"/>
  <c r="G78" i="9"/>
  <c r="F774" i="155"/>
  <c r="F774" i="157"/>
  <c r="G774" i="9"/>
  <c r="H272" i="161"/>
  <c r="J272" i="161"/>
  <c r="I272" i="161"/>
  <c r="H426" i="158"/>
  <c r="I426" i="158"/>
  <c r="J427" i="159" l="1"/>
  <c r="K427" i="159" s="1"/>
  <c r="J426" i="159"/>
  <c r="K426" i="159" s="1"/>
  <c r="G127" i="158"/>
  <c r="G776" i="158" s="1"/>
  <c r="F219" i="160"/>
  <c r="I219" i="160" s="1"/>
  <c r="G219" i="166" s="1"/>
  <c r="F256" i="160"/>
  <c r="J256" i="160" s="1"/>
  <c r="G256" i="167" s="1"/>
  <c r="J207" i="159"/>
  <c r="K207" i="159" s="1"/>
  <c r="G426" i="161"/>
  <c r="K426" i="161" s="1"/>
  <c r="L426" i="161" s="1"/>
  <c r="G426" i="158"/>
  <c r="J426" i="158" s="1"/>
  <c r="K426" i="158" s="1"/>
  <c r="G272" i="161"/>
  <c r="I272" i="164" s="1"/>
  <c r="F218" i="160"/>
  <c r="I218" i="160" s="1"/>
  <c r="G218" i="166" s="1"/>
  <c r="G256" i="161"/>
  <c r="K256" i="161" s="1"/>
  <c r="L256" i="161" s="1"/>
  <c r="G218" i="158"/>
  <c r="J218" i="158" s="1"/>
  <c r="K218" i="158" s="1"/>
  <c r="G218" i="161"/>
  <c r="I218" i="164" s="1"/>
  <c r="G219" i="158"/>
  <c r="J219" i="158" s="1"/>
  <c r="K219" i="158" s="1"/>
  <c r="G427" i="158"/>
  <c r="J427" i="158" s="1"/>
  <c r="K427" i="158" s="1"/>
  <c r="G256" i="158"/>
  <c r="J256" i="158" s="1"/>
  <c r="K256" i="158" s="1"/>
  <c r="G73" i="157"/>
  <c r="F78" i="157"/>
  <c r="H73" i="157"/>
  <c r="I73" i="157"/>
  <c r="F81" i="158"/>
  <c r="F174" i="158"/>
  <c r="H783" i="158"/>
  <c r="F80" i="158"/>
  <c r="G783" i="158"/>
  <c r="I427" i="167"/>
  <c r="H776" i="159"/>
  <c r="I207" i="167"/>
  <c r="I272" i="166"/>
  <c r="J78" i="9"/>
  <c r="K73" i="9"/>
  <c r="K78" i="9" s="1"/>
  <c r="H207" i="157"/>
  <c r="F207" i="155" s="1"/>
  <c r="I207" i="157"/>
  <c r="I427" i="165"/>
  <c r="G272" i="158"/>
  <c r="J272" i="158" s="1"/>
  <c r="K272" i="158" s="1"/>
  <c r="G207" i="158"/>
  <c r="J207" i="158" s="1"/>
  <c r="K207" i="158" s="1"/>
  <c r="H427" i="160"/>
  <c r="G427" i="165" s="1"/>
  <c r="J427" i="160"/>
  <c r="G427" i="167" s="1"/>
  <c r="I427" i="160"/>
  <c r="G427" i="166" s="1"/>
  <c r="H427" i="157"/>
  <c r="F427" i="155" s="1"/>
  <c r="I427" i="157"/>
  <c r="I427" i="166"/>
  <c r="I272" i="165"/>
  <c r="I78" i="159"/>
  <c r="I774" i="159"/>
  <c r="F774" i="161"/>
  <c r="F73" i="161"/>
  <c r="I426" i="165"/>
  <c r="F778" i="157"/>
  <c r="F759" i="157" s="1"/>
  <c r="H774" i="158"/>
  <c r="H78" i="158"/>
  <c r="H218" i="157"/>
  <c r="F218" i="155" s="1"/>
  <c r="I218" i="157"/>
  <c r="F174" i="159"/>
  <c r="F80" i="159"/>
  <c r="F81" i="159"/>
  <c r="K127" i="9"/>
  <c r="G207" i="161"/>
  <c r="I219" i="157"/>
  <c r="H219" i="157"/>
  <c r="F219" i="155" s="1"/>
  <c r="I256" i="166"/>
  <c r="I426" i="166"/>
  <c r="J426" i="160"/>
  <c r="G426" i="167" s="1"/>
  <c r="I426" i="160"/>
  <c r="G426" i="166" s="1"/>
  <c r="H426" i="160"/>
  <c r="G426" i="165" s="1"/>
  <c r="I272" i="167"/>
  <c r="I218" i="167"/>
  <c r="I207" i="160"/>
  <c r="G207" i="166" s="1"/>
  <c r="J207" i="160"/>
  <c r="G207" i="167" s="1"/>
  <c r="H207" i="160"/>
  <c r="G207" i="165" s="1"/>
  <c r="H78" i="159"/>
  <c r="H774" i="159"/>
  <c r="I426" i="167"/>
  <c r="F778" i="155"/>
  <c r="F759" i="155" s="1"/>
  <c r="G774" i="158"/>
  <c r="J73" i="158"/>
  <c r="G78" i="158"/>
  <c r="F774" i="160"/>
  <c r="G774" i="159"/>
  <c r="G78" i="159"/>
  <c r="F73" i="160"/>
  <c r="J73" i="159"/>
  <c r="G127" i="159"/>
  <c r="F776" i="161"/>
  <c r="I776" i="159"/>
  <c r="F127" i="161"/>
  <c r="I207" i="166"/>
  <c r="H776" i="158"/>
  <c r="I218" i="165"/>
  <c r="H426" i="157"/>
  <c r="F426" i="155" s="1"/>
  <c r="I426" i="157"/>
  <c r="I256" i="165"/>
  <c r="G778" i="9"/>
  <c r="J774" i="9"/>
  <c r="K774" i="9" s="1"/>
  <c r="I218" i="166"/>
  <c r="H256" i="157"/>
  <c r="F256" i="155" s="1"/>
  <c r="I256" i="157"/>
  <c r="I256" i="167"/>
  <c r="G81" i="9"/>
  <c r="G784" i="9" s="1"/>
  <c r="I784" i="9" s="1"/>
  <c r="J784" i="9" s="1"/>
  <c r="K784" i="9" s="1"/>
  <c r="G783" i="9"/>
  <c r="I783" i="9" s="1"/>
  <c r="J783" i="9" s="1"/>
  <c r="K783" i="9" s="1"/>
  <c r="G80" i="9"/>
  <c r="G174" i="9"/>
  <c r="I78" i="158"/>
  <c r="I774" i="158"/>
  <c r="G219" i="161"/>
  <c r="I219" i="165"/>
  <c r="G427" i="161"/>
  <c r="H127" i="157"/>
  <c r="I127" i="157"/>
  <c r="I207" i="165"/>
  <c r="I776" i="158"/>
  <c r="H272" i="157"/>
  <c r="F272" i="155" s="1"/>
  <c r="I272" i="157"/>
  <c r="I272" i="160"/>
  <c r="G272" i="166" s="1"/>
  <c r="H272" i="160"/>
  <c r="G272" i="165" s="1"/>
  <c r="J272" i="160"/>
  <c r="G272" i="167" s="1"/>
  <c r="H219" i="160" l="1"/>
  <c r="G219" i="165" s="1"/>
  <c r="J219" i="160"/>
  <c r="G219" i="167" s="1"/>
  <c r="J127" i="158"/>
  <c r="K127" i="158" s="1"/>
  <c r="I256" i="160"/>
  <c r="G256" i="166" s="1"/>
  <c r="H256" i="160"/>
  <c r="G256" i="165" s="1"/>
  <c r="I426" i="164"/>
  <c r="G256" i="157"/>
  <c r="J256" i="157" s="1"/>
  <c r="K256" i="157" s="1"/>
  <c r="K272" i="161"/>
  <c r="L272" i="161" s="1"/>
  <c r="J218" i="160"/>
  <c r="G218" i="167" s="1"/>
  <c r="G219" i="157"/>
  <c r="J219" i="157" s="1"/>
  <c r="K219" i="157" s="1"/>
  <c r="H218" i="160"/>
  <c r="G218" i="165" s="1"/>
  <c r="G426" i="157"/>
  <c r="J426" i="157" s="1"/>
  <c r="K426" i="157" s="1"/>
  <c r="H778" i="159"/>
  <c r="H759" i="159" s="1"/>
  <c r="K218" i="161"/>
  <c r="L218" i="161" s="1"/>
  <c r="G426" i="160"/>
  <c r="G426" i="164" s="1"/>
  <c r="I256" i="164"/>
  <c r="G272" i="157"/>
  <c r="J272" i="157" s="1"/>
  <c r="K272" i="157" s="1"/>
  <c r="G778" i="158"/>
  <c r="G759" i="158" s="1"/>
  <c r="K427" i="161"/>
  <c r="L427" i="161" s="1"/>
  <c r="I427" i="164"/>
  <c r="G272" i="160"/>
  <c r="G207" i="160"/>
  <c r="I427" i="155"/>
  <c r="H427" i="166" s="1"/>
  <c r="J427" i="166" s="1"/>
  <c r="H427" i="155"/>
  <c r="H427" i="165" s="1"/>
  <c r="J427" i="165" s="1"/>
  <c r="J427" i="155"/>
  <c r="H427" i="167" s="1"/>
  <c r="J427" i="167" s="1"/>
  <c r="J73" i="157"/>
  <c r="G78" i="157"/>
  <c r="G774" i="157"/>
  <c r="G80" i="158"/>
  <c r="G81" i="158"/>
  <c r="G174" i="158"/>
  <c r="G218" i="157"/>
  <c r="J218" i="157" s="1"/>
  <c r="K218" i="157" s="1"/>
  <c r="G427" i="160"/>
  <c r="G207" i="157"/>
  <c r="J207" i="157" s="1"/>
  <c r="K207" i="157" s="1"/>
  <c r="F776" i="160"/>
  <c r="F778" i="160" s="1"/>
  <c r="F759" i="160" s="1"/>
  <c r="G776" i="159"/>
  <c r="J776" i="159" s="1"/>
  <c r="K776" i="159" s="1"/>
  <c r="F127" i="160"/>
  <c r="J127" i="159"/>
  <c r="H783" i="159"/>
  <c r="H81" i="159"/>
  <c r="H784" i="159" s="1"/>
  <c r="H80" i="159"/>
  <c r="H174" i="159"/>
  <c r="I207" i="164"/>
  <c r="K207" i="161"/>
  <c r="L207" i="161" s="1"/>
  <c r="G784" i="158"/>
  <c r="H784" i="158"/>
  <c r="J78" i="159"/>
  <c r="K73" i="159"/>
  <c r="K78" i="159" s="1"/>
  <c r="H174" i="158"/>
  <c r="H81" i="158"/>
  <c r="H80" i="158"/>
  <c r="G127" i="157"/>
  <c r="I776" i="157"/>
  <c r="J774" i="158"/>
  <c r="K774" i="158" s="1"/>
  <c r="I778" i="158"/>
  <c r="I759" i="158" s="1"/>
  <c r="I760" i="158" s="1"/>
  <c r="J73" i="160"/>
  <c r="H73" i="160"/>
  <c r="I73" i="160"/>
  <c r="F78" i="160"/>
  <c r="H778" i="158"/>
  <c r="H759" i="158" s="1"/>
  <c r="H760" i="158" s="1"/>
  <c r="F778" i="161"/>
  <c r="F759" i="161" s="1"/>
  <c r="J174" i="9"/>
  <c r="J80" i="9"/>
  <c r="J81" i="9"/>
  <c r="I78" i="157"/>
  <c r="I774" i="157"/>
  <c r="G759" i="9"/>
  <c r="J778" i="9"/>
  <c r="K778" i="9" s="1"/>
  <c r="J78" i="158"/>
  <c r="K73" i="158"/>
  <c r="K78" i="158" s="1"/>
  <c r="H218" i="155"/>
  <c r="I218" i="155"/>
  <c r="J218" i="155"/>
  <c r="I219" i="164"/>
  <c r="K219" i="161"/>
  <c r="L219" i="161" s="1"/>
  <c r="H73" i="161"/>
  <c r="J73" i="161"/>
  <c r="I73" i="161"/>
  <c r="F78" i="161"/>
  <c r="K81" i="9"/>
  <c r="K80" i="9"/>
  <c r="J272" i="155"/>
  <c r="H272" i="155"/>
  <c r="H272" i="165" s="1"/>
  <c r="J272" i="165" s="1"/>
  <c r="I272" i="155"/>
  <c r="H272" i="166" s="1"/>
  <c r="J272" i="166" s="1"/>
  <c r="F127" i="155"/>
  <c r="H776" i="157"/>
  <c r="I174" i="158"/>
  <c r="I81" i="158"/>
  <c r="I80" i="158"/>
  <c r="H256" i="155"/>
  <c r="J256" i="155"/>
  <c r="I256" i="155"/>
  <c r="G783" i="159"/>
  <c r="G81" i="159"/>
  <c r="G784" i="159" s="1"/>
  <c r="G80" i="159"/>
  <c r="G174" i="159"/>
  <c r="J760" i="155"/>
  <c r="F760" i="155"/>
  <c r="H760" i="155"/>
  <c r="I760" i="155"/>
  <c r="I219" i="155"/>
  <c r="H219" i="166" s="1"/>
  <c r="J219" i="166" s="1"/>
  <c r="H219" i="155"/>
  <c r="H219" i="165" s="1"/>
  <c r="J219" i="155"/>
  <c r="H219" i="167" s="1"/>
  <c r="I778" i="159"/>
  <c r="I759" i="159" s="1"/>
  <c r="G427" i="157"/>
  <c r="J427" i="157" s="1"/>
  <c r="K427" i="157" s="1"/>
  <c r="H774" i="157"/>
  <c r="H78" i="157"/>
  <c r="F73" i="155"/>
  <c r="J207" i="155"/>
  <c r="H207" i="167" s="1"/>
  <c r="J207" i="167" s="1"/>
  <c r="H207" i="155"/>
  <c r="I207" i="155"/>
  <c r="H207" i="166" s="1"/>
  <c r="J207" i="166" s="1"/>
  <c r="I426" i="155"/>
  <c r="J426" i="155"/>
  <c r="H426" i="155"/>
  <c r="H127" i="161"/>
  <c r="J127" i="161"/>
  <c r="I127" i="161"/>
  <c r="J774" i="159"/>
  <c r="K774" i="159" s="1"/>
  <c r="J776" i="158"/>
  <c r="K776" i="158" s="1"/>
  <c r="I80" i="159"/>
  <c r="I174" i="159"/>
  <c r="I81" i="159"/>
  <c r="I783" i="158"/>
  <c r="O783" i="158" s="1"/>
  <c r="F80" i="157"/>
  <c r="F174" i="157"/>
  <c r="H783" i="157"/>
  <c r="F81" i="157"/>
  <c r="G783" i="157"/>
  <c r="J219" i="167" l="1"/>
  <c r="G219" i="160"/>
  <c r="G219" i="164" s="1"/>
  <c r="G256" i="160"/>
  <c r="G256" i="164" s="1"/>
  <c r="H427" i="162"/>
  <c r="F427" i="165" s="1"/>
  <c r="K427" i="165" s="1"/>
  <c r="J427" i="162"/>
  <c r="F427" i="167" s="1"/>
  <c r="K427" i="167" s="1"/>
  <c r="K426" i="160"/>
  <c r="L426" i="160" s="1"/>
  <c r="G426" i="155"/>
  <c r="K426" i="155" s="1"/>
  <c r="L426" i="155" s="1"/>
  <c r="G218" i="155"/>
  <c r="H218" i="164" s="1"/>
  <c r="G218" i="160"/>
  <c r="I778" i="157"/>
  <c r="I759" i="157" s="1"/>
  <c r="I760" i="157" s="1"/>
  <c r="J207" i="162"/>
  <c r="F207" i="167" s="1"/>
  <c r="K207" i="167" s="1"/>
  <c r="G73" i="160"/>
  <c r="K73" i="160" s="1"/>
  <c r="I784" i="158"/>
  <c r="J784" i="158" s="1"/>
  <c r="K784" i="158" s="1"/>
  <c r="H778" i="157"/>
  <c r="H759" i="157" s="1"/>
  <c r="H760" i="157" s="1"/>
  <c r="G256" i="155"/>
  <c r="H256" i="164" s="1"/>
  <c r="J783" i="158"/>
  <c r="K783" i="158" s="1"/>
  <c r="H760" i="160"/>
  <c r="F760" i="160"/>
  <c r="J760" i="160"/>
  <c r="I760" i="160"/>
  <c r="I127" i="167"/>
  <c r="J776" i="161"/>
  <c r="I73" i="166"/>
  <c r="I78" i="166" s="1"/>
  <c r="I774" i="161"/>
  <c r="I78" i="161"/>
  <c r="J127" i="160"/>
  <c r="I127" i="160"/>
  <c r="H127" i="160"/>
  <c r="J774" i="157"/>
  <c r="K774" i="157" s="1"/>
  <c r="I73" i="165"/>
  <c r="I78" i="165" s="1"/>
  <c r="H774" i="161"/>
  <c r="H78" i="161"/>
  <c r="H218" i="165"/>
  <c r="J218" i="165" s="1"/>
  <c r="H218" i="162"/>
  <c r="F218" i="165" s="1"/>
  <c r="J78" i="157"/>
  <c r="K73" i="157"/>
  <c r="K78" i="157" s="1"/>
  <c r="I783" i="157"/>
  <c r="J783" i="157" s="1"/>
  <c r="K783" i="157" s="1"/>
  <c r="H426" i="165"/>
  <c r="J426" i="165" s="1"/>
  <c r="H426" i="162"/>
  <c r="F426" i="165" s="1"/>
  <c r="I783" i="159"/>
  <c r="J783" i="159" s="1"/>
  <c r="K783" i="159" s="1"/>
  <c r="J759" i="158"/>
  <c r="K759" i="158" s="1"/>
  <c r="G760" i="158"/>
  <c r="K80" i="158"/>
  <c r="K81" i="158"/>
  <c r="F174" i="160"/>
  <c r="F81" i="160"/>
  <c r="F80" i="160"/>
  <c r="J219" i="162"/>
  <c r="F219" i="167" s="1"/>
  <c r="G272" i="164"/>
  <c r="K272" i="160"/>
  <c r="L272" i="160" s="1"/>
  <c r="J78" i="161"/>
  <c r="J783" i="161" s="1"/>
  <c r="J774" i="161"/>
  <c r="I73" i="167"/>
  <c r="I78" i="167" s="1"/>
  <c r="I127" i="165"/>
  <c r="H776" i="161"/>
  <c r="G778" i="159"/>
  <c r="H426" i="167"/>
  <c r="J426" i="167" s="1"/>
  <c r="J426" i="162"/>
  <c r="F426" i="167" s="1"/>
  <c r="I784" i="159"/>
  <c r="J784" i="159" s="1"/>
  <c r="K784" i="159" s="1"/>
  <c r="J778" i="158"/>
  <c r="K778" i="158" s="1"/>
  <c r="J80" i="158"/>
  <c r="J174" i="158"/>
  <c r="J81" i="158"/>
  <c r="K174" i="9"/>
  <c r="G73" i="166"/>
  <c r="I774" i="160"/>
  <c r="I78" i="160"/>
  <c r="J127" i="157"/>
  <c r="G776" i="157"/>
  <c r="J776" i="157" s="1"/>
  <c r="K776" i="157" s="1"/>
  <c r="I207" i="162"/>
  <c r="F207" i="166" s="1"/>
  <c r="K207" i="166" s="1"/>
  <c r="G427" i="155"/>
  <c r="H207" i="165"/>
  <c r="J207" i="165" s="1"/>
  <c r="H207" i="162"/>
  <c r="F207" i="165" s="1"/>
  <c r="H256" i="165"/>
  <c r="J256" i="165" s="1"/>
  <c r="H256" i="162"/>
  <c r="F256" i="165" s="1"/>
  <c r="H218" i="167"/>
  <c r="J218" i="167" s="1"/>
  <c r="J218" i="162"/>
  <c r="F218" i="167" s="1"/>
  <c r="H272" i="167"/>
  <c r="J272" i="167" s="1"/>
  <c r="J272" i="162"/>
  <c r="F272" i="167" s="1"/>
  <c r="G81" i="157"/>
  <c r="G784" i="157" s="1"/>
  <c r="G174" i="157"/>
  <c r="G80" i="157"/>
  <c r="I219" i="162"/>
  <c r="F219" i="166" s="1"/>
  <c r="K219" i="166" s="1"/>
  <c r="G127" i="161"/>
  <c r="H426" i="166"/>
  <c r="J426" i="166" s="1"/>
  <c r="I426" i="162"/>
  <c r="F426" i="166" s="1"/>
  <c r="G207" i="155"/>
  <c r="G219" i="155"/>
  <c r="H256" i="166"/>
  <c r="J256" i="166" s="1"/>
  <c r="I256" i="162"/>
  <c r="F256" i="166" s="1"/>
  <c r="I127" i="155"/>
  <c r="J127" i="155"/>
  <c r="H127" i="155"/>
  <c r="G73" i="161"/>
  <c r="H219" i="162"/>
  <c r="F219" i="165" s="1"/>
  <c r="H78" i="160"/>
  <c r="H774" i="160"/>
  <c r="G73" i="165"/>
  <c r="I427" i="162"/>
  <c r="F427" i="166" s="1"/>
  <c r="K427" i="166" s="1"/>
  <c r="K81" i="159"/>
  <c r="K80" i="159"/>
  <c r="K207" i="160"/>
  <c r="L207" i="160" s="1"/>
  <c r="G207" i="164"/>
  <c r="H80" i="157"/>
  <c r="H174" i="157"/>
  <c r="H81" i="157"/>
  <c r="H784" i="157" s="1"/>
  <c r="K127" i="159"/>
  <c r="I80" i="157"/>
  <c r="I81" i="157"/>
  <c r="I174" i="157"/>
  <c r="H272" i="162"/>
  <c r="F272" i="165" s="1"/>
  <c r="K272" i="165" s="1"/>
  <c r="I272" i="162"/>
  <c r="F272" i="166" s="1"/>
  <c r="K272" i="166" s="1"/>
  <c r="H218" i="166"/>
  <c r="J218" i="166" s="1"/>
  <c r="I218" i="162"/>
  <c r="F218" i="166" s="1"/>
  <c r="G427" i="164"/>
  <c r="K427" i="160"/>
  <c r="L427" i="160" s="1"/>
  <c r="I127" i="166"/>
  <c r="I776" i="161"/>
  <c r="I73" i="155"/>
  <c r="I73" i="162" s="1"/>
  <c r="F78" i="155"/>
  <c r="H73" i="155"/>
  <c r="J73" i="155"/>
  <c r="J73" i="162" s="1"/>
  <c r="H256" i="167"/>
  <c r="J256" i="167" s="1"/>
  <c r="J256" i="162"/>
  <c r="F256" i="167" s="1"/>
  <c r="G272" i="155"/>
  <c r="F81" i="161"/>
  <c r="F80" i="161"/>
  <c r="F174" i="161"/>
  <c r="J219" i="165"/>
  <c r="J759" i="9"/>
  <c r="K759" i="9" s="1"/>
  <c r="G760" i="9"/>
  <c r="H760" i="9"/>
  <c r="H371" i="9" s="1"/>
  <c r="I760" i="9"/>
  <c r="I371" i="9" s="1"/>
  <c r="J774" i="160"/>
  <c r="G73" i="167"/>
  <c r="J78" i="160"/>
  <c r="J174" i="159"/>
  <c r="J81" i="159"/>
  <c r="J80" i="159"/>
  <c r="J256" i="164" l="1"/>
  <c r="K219" i="167"/>
  <c r="K219" i="160"/>
  <c r="L219" i="160" s="1"/>
  <c r="K256" i="160"/>
  <c r="L256" i="160" s="1"/>
  <c r="K426" i="165"/>
  <c r="G73" i="164"/>
  <c r="G78" i="164" s="1"/>
  <c r="H426" i="164"/>
  <c r="J426" i="164" s="1"/>
  <c r="G426" i="162"/>
  <c r="K426" i="162" s="1"/>
  <c r="L426" i="162" s="1"/>
  <c r="G774" i="160"/>
  <c r="G78" i="160"/>
  <c r="G174" i="160" s="1"/>
  <c r="O784" i="158"/>
  <c r="K218" i="155"/>
  <c r="L218" i="155" s="1"/>
  <c r="G218" i="164"/>
  <c r="J218" i="164" s="1"/>
  <c r="K218" i="160"/>
  <c r="L218" i="160" s="1"/>
  <c r="G218" i="162"/>
  <c r="K218" i="162" s="1"/>
  <c r="L218" i="162" s="1"/>
  <c r="K207" i="165"/>
  <c r="G127" i="160"/>
  <c r="G127" i="164" s="1"/>
  <c r="K256" i="166"/>
  <c r="O783" i="157"/>
  <c r="K218" i="166"/>
  <c r="K256" i="167"/>
  <c r="G127" i="155"/>
  <c r="I127" i="162"/>
  <c r="K219" i="165"/>
  <c r="K256" i="155"/>
  <c r="L256" i="155" s="1"/>
  <c r="J778" i="161"/>
  <c r="J759" i="161" s="1"/>
  <c r="J760" i="161" s="1"/>
  <c r="G256" i="162"/>
  <c r="K256" i="162" s="1"/>
  <c r="L256" i="162" s="1"/>
  <c r="K272" i="167"/>
  <c r="K256" i="165"/>
  <c r="G73" i="155"/>
  <c r="K73" i="155" s="1"/>
  <c r="I778" i="161"/>
  <c r="I759" i="161" s="1"/>
  <c r="I760" i="161" s="1"/>
  <c r="K426" i="166"/>
  <c r="K426" i="167"/>
  <c r="H73" i="162"/>
  <c r="H78" i="162" s="1"/>
  <c r="J127" i="162"/>
  <c r="F127" i="167" s="1"/>
  <c r="O783" i="159"/>
  <c r="K218" i="165"/>
  <c r="K127" i="157"/>
  <c r="J760" i="9"/>
  <c r="K760" i="9" s="1"/>
  <c r="I783" i="161"/>
  <c r="I174" i="161"/>
  <c r="I81" i="161"/>
  <c r="I784" i="161" s="1"/>
  <c r="I80" i="161"/>
  <c r="K219" i="155"/>
  <c r="L219" i="155" s="1"/>
  <c r="H219" i="164"/>
  <c r="J219" i="164" s="1"/>
  <c r="G219" i="162"/>
  <c r="G207" i="162"/>
  <c r="K207" i="155"/>
  <c r="L207" i="155" s="1"/>
  <c r="H207" i="164"/>
  <c r="J207" i="164" s="1"/>
  <c r="G127" i="165"/>
  <c r="H776" i="160"/>
  <c r="H778" i="160" s="1"/>
  <c r="H759" i="160" s="1"/>
  <c r="J783" i="160"/>
  <c r="J80" i="160"/>
  <c r="J81" i="160"/>
  <c r="J784" i="160" s="1"/>
  <c r="J174" i="160"/>
  <c r="J774" i="155"/>
  <c r="H73" i="167"/>
  <c r="H78" i="167" s="1"/>
  <c r="J78" i="155"/>
  <c r="H127" i="165"/>
  <c r="H776" i="155"/>
  <c r="O784" i="159"/>
  <c r="I174" i="167"/>
  <c r="I81" i="167"/>
  <c r="I80" i="167"/>
  <c r="K81" i="157"/>
  <c r="K80" i="157"/>
  <c r="H783" i="161"/>
  <c r="H81" i="161"/>
  <c r="H784" i="161" s="1"/>
  <c r="H174" i="161"/>
  <c r="H80" i="161"/>
  <c r="G127" i="166"/>
  <c r="I776" i="160"/>
  <c r="I778" i="160" s="1"/>
  <c r="I759" i="160" s="1"/>
  <c r="K272" i="155"/>
  <c r="L272" i="155" s="1"/>
  <c r="H272" i="164"/>
  <c r="J272" i="164" s="1"/>
  <c r="G78" i="167"/>
  <c r="H774" i="155"/>
  <c r="H73" i="165"/>
  <c r="H78" i="165" s="1"/>
  <c r="H78" i="155"/>
  <c r="G78" i="165"/>
  <c r="H127" i="167"/>
  <c r="J776" i="155"/>
  <c r="J174" i="157"/>
  <c r="J81" i="157"/>
  <c r="J80" i="157"/>
  <c r="H778" i="161"/>
  <c r="H759" i="161" s="1"/>
  <c r="H760" i="161" s="1"/>
  <c r="F371" i="158"/>
  <c r="G371" i="9"/>
  <c r="F73" i="166"/>
  <c r="I78" i="162"/>
  <c r="K774" i="160"/>
  <c r="K78" i="160"/>
  <c r="L73" i="160"/>
  <c r="L78" i="160" s="1"/>
  <c r="H427" i="164"/>
  <c r="J427" i="164" s="1"/>
  <c r="K427" i="155"/>
  <c r="L427" i="155" s="1"/>
  <c r="O760" i="158"/>
  <c r="J760" i="158"/>
  <c r="K760" i="158" s="1"/>
  <c r="I81" i="166"/>
  <c r="I174" i="166"/>
  <c r="I80" i="166"/>
  <c r="F174" i="155"/>
  <c r="F80" i="155"/>
  <c r="H783" i="155"/>
  <c r="F81" i="155"/>
  <c r="I783" i="155"/>
  <c r="J783" i="155"/>
  <c r="G776" i="161"/>
  <c r="I127" i="164"/>
  <c r="K127" i="161"/>
  <c r="J778" i="159"/>
  <c r="K778" i="159" s="1"/>
  <c r="G759" i="159"/>
  <c r="J174" i="161"/>
  <c r="J81" i="161"/>
  <c r="J784" i="161" s="1"/>
  <c r="J80" i="161"/>
  <c r="I81" i="165"/>
  <c r="I80" i="165"/>
  <c r="I174" i="165"/>
  <c r="G127" i="167"/>
  <c r="J776" i="160"/>
  <c r="J778" i="160" s="1"/>
  <c r="J759" i="160" s="1"/>
  <c r="G774" i="161"/>
  <c r="K73" i="161"/>
  <c r="G78" i="161"/>
  <c r="I73" i="164"/>
  <c r="I78" i="164" s="1"/>
  <c r="I783" i="160"/>
  <c r="I174" i="160"/>
  <c r="I81" i="160"/>
  <c r="I784" i="160" s="1"/>
  <c r="I80" i="160"/>
  <c r="I784" i="157"/>
  <c r="O784" i="157" s="1"/>
  <c r="K174" i="159"/>
  <c r="G78" i="166"/>
  <c r="F73" i="167"/>
  <c r="J78" i="162"/>
  <c r="F371" i="159"/>
  <c r="I78" i="155"/>
  <c r="H73" i="166"/>
  <c r="H78" i="166" s="1"/>
  <c r="I774" i="155"/>
  <c r="H783" i="160"/>
  <c r="H174" i="160"/>
  <c r="H81" i="160"/>
  <c r="H784" i="160" s="1"/>
  <c r="H80" i="160"/>
  <c r="H127" i="166"/>
  <c r="I776" i="155"/>
  <c r="K218" i="167"/>
  <c r="K174" i="158"/>
  <c r="H127" i="162"/>
  <c r="G272" i="162"/>
  <c r="G778" i="157"/>
  <c r="G427" i="162"/>
  <c r="F426" i="164" l="1"/>
  <c r="K426" i="164" s="1"/>
  <c r="F73" i="165"/>
  <c r="F78" i="165" s="1"/>
  <c r="F256" i="164"/>
  <c r="K256" i="164" s="1"/>
  <c r="G80" i="160"/>
  <c r="G81" i="160"/>
  <c r="K127" i="160"/>
  <c r="G776" i="160"/>
  <c r="G778" i="160" s="1"/>
  <c r="G759" i="160" s="1"/>
  <c r="F218" i="164"/>
  <c r="K218" i="164" s="1"/>
  <c r="K127" i="155"/>
  <c r="K776" i="155" s="1"/>
  <c r="L776" i="155" s="1"/>
  <c r="H127" i="164"/>
  <c r="H778" i="155"/>
  <c r="H759" i="155" s="1"/>
  <c r="F127" i="166"/>
  <c r="G776" i="155"/>
  <c r="H73" i="164"/>
  <c r="H78" i="164" s="1"/>
  <c r="H174" i="164" s="1"/>
  <c r="G127" i="162"/>
  <c r="K127" i="162" s="1"/>
  <c r="I778" i="155"/>
  <c r="I759" i="155" s="1"/>
  <c r="G784" i="161"/>
  <c r="K784" i="161" s="1"/>
  <c r="L784" i="161" s="1"/>
  <c r="G774" i="155"/>
  <c r="G78" i="155"/>
  <c r="G174" i="155" s="1"/>
  <c r="G73" i="162"/>
  <c r="F73" i="164" s="1"/>
  <c r="J73" i="166"/>
  <c r="J78" i="166" s="1"/>
  <c r="J80" i="166" s="1"/>
  <c r="G783" i="161"/>
  <c r="K783" i="161" s="1"/>
  <c r="L783" i="161" s="1"/>
  <c r="J73" i="167"/>
  <c r="J78" i="167" s="1"/>
  <c r="J80" i="167" s="1"/>
  <c r="G778" i="161"/>
  <c r="G759" i="161" s="1"/>
  <c r="I81" i="155"/>
  <c r="I784" i="155" s="1"/>
  <c r="I80" i="155"/>
  <c r="I174" i="155"/>
  <c r="G759" i="157"/>
  <c r="J778" i="157"/>
  <c r="K778" i="157" s="1"/>
  <c r="J80" i="162"/>
  <c r="J81" i="162"/>
  <c r="J174" i="162"/>
  <c r="H80" i="165"/>
  <c r="H81" i="165"/>
  <c r="H174" i="165"/>
  <c r="G174" i="167"/>
  <c r="G80" i="167"/>
  <c r="G81" i="167"/>
  <c r="J778" i="155"/>
  <c r="J759" i="155" s="1"/>
  <c r="J127" i="165"/>
  <c r="H174" i="166"/>
  <c r="H80" i="166"/>
  <c r="H81" i="166"/>
  <c r="F78" i="167"/>
  <c r="J784" i="157"/>
  <c r="K784" i="157" s="1"/>
  <c r="J759" i="159"/>
  <c r="K759" i="159" s="1"/>
  <c r="G760" i="159"/>
  <c r="H760" i="159"/>
  <c r="H371" i="159" s="1"/>
  <c r="I760" i="159"/>
  <c r="I371" i="159" s="1"/>
  <c r="L81" i="160"/>
  <c r="L80" i="160"/>
  <c r="J371" i="9"/>
  <c r="F371" i="157"/>
  <c r="K219" i="162"/>
  <c r="L219" i="162" s="1"/>
  <c r="F219" i="164"/>
  <c r="K219" i="164" s="1"/>
  <c r="G81" i="166"/>
  <c r="G174" i="166"/>
  <c r="G80" i="166"/>
  <c r="K272" i="162"/>
  <c r="L272" i="162" s="1"/>
  <c r="F272" i="164"/>
  <c r="K272" i="164" s="1"/>
  <c r="G81" i="164"/>
  <c r="G80" i="164"/>
  <c r="G174" i="164"/>
  <c r="I81" i="162"/>
  <c r="I174" i="162"/>
  <c r="I80" i="162"/>
  <c r="F127" i="165"/>
  <c r="G784" i="160"/>
  <c r="K784" i="160" s="1"/>
  <c r="K774" i="161"/>
  <c r="K78" i="161"/>
  <c r="L73" i="161"/>
  <c r="L78" i="161" s="1"/>
  <c r="G783" i="155"/>
  <c r="K783" i="155" s="1"/>
  <c r="K78" i="155"/>
  <c r="K774" i="155"/>
  <c r="L73" i="155"/>
  <c r="L78" i="155" s="1"/>
  <c r="F78" i="166"/>
  <c r="K174" i="157"/>
  <c r="J73" i="165"/>
  <c r="J78" i="165" s="1"/>
  <c r="I81" i="164"/>
  <c r="I80" i="164"/>
  <c r="I174" i="164"/>
  <c r="K776" i="161"/>
  <c r="L776" i="161" s="1"/>
  <c r="L127" i="161"/>
  <c r="L774" i="160"/>
  <c r="F207" i="164"/>
  <c r="K207" i="164" s="1"/>
  <c r="K207" i="162"/>
  <c r="L207" i="162" s="1"/>
  <c r="J127" i="167"/>
  <c r="G81" i="165"/>
  <c r="G174" i="165"/>
  <c r="G80" i="165"/>
  <c r="J127" i="166"/>
  <c r="J80" i="155"/>
  <c r="J174" i="155"/>
  <c r="J81" i="155"/>
  <c r="J784" i="155" s="1"/>
  <c r="K80" i="160"/>
  <c r="K174" i="160"/>
  <c r="K81" i="160"/>
  <c r="I371" i="158"/>
  <c r="H371" i="158"/>
  <c r="G81" i="161"/>
  <c r="G174" i="161"/>
  <c r="G80" i="161"/>
  <c r="K427" i="162"/>
  <c r="L427" i="162" s="1"/>
  <c r="F427" i="164"/>
  <c r="K427" i="164" s="1"/>
  <c r="G783" i="160"/>
  <c r="K783" i="160" s="1"/>
  <c r="H81" i="162"/>
  <c r="H80" i="162"/>
  <c r="H174" i="162"/>
  <c r="H81" i="155"/>
  <c r="H784" i="155" s="1"/>
  <c r="H174" i="155"/>
  <c r="H80" i="155"/>
  <c r="H80" i="167"/>
  <c r="H174" i="167"/>
  <c r="H81" i="167"/>
  <c r="K776" i="160" l="1"/>
  <c r="L776" i="160" s="1"/>
  <c r="L778" i="160" s="1"/>
  <c r="L127" i="160"/>
  <c r="H81" i="164"/>
  <c r="J127" i="164"/>
  <c r="L127" i="155"/>
  <c r="H80" i="164"/>
  <c r="F127" i="164"/>
  <c r="G81" i="155"/>
  <c r="G778" i="155"/>
  <c r="G759" i="155" s="1"/>
  <c r="P784" i="161"/>
  <c r="J73" i="164"/>
  <c r="J78" i="164" s="1"/>
  <c r="J174" i="164" s="1"/>
  <c r="J81" i="166"/>
  <c r="J174" i="166"/>
  <c r="K73" i="166"/>
  <c r="K78" i="166" s="1"/>
  <c r="K80" i="166" s="1"/>
  <c r="P783" i="161"/>
  <c r="G78" i="162"/>
  <c r="G81" i="162" s="1"/>
  <c r="G80" i="155"/>
  <c r="K73" i="162"/>
  <c r="L73" i="162" s="1"/>
  <c r="L78" i="162" s="1"/>
  <c r="J81" i="167"/>
  <c r="J174" i="167"/>
  <c r="K73" i="167"/>
  <c r="K78" i="167" s="1"/>
  <c r="K81" i="167" s="1"/>
  <c r="F371" i="161"/>
  <c r="G371" i="159"/>
  <c r="J81" i="165"/>
  <c r="J174" i="165"/>
  <c r="J80" i="165"/>
  <c r="G371" i="158"/>
  <c r="L81" i="155"/>
  <c r="L80" i="155"/>
  <c r="I371" i="157"/>
  <c r="H371" i="157"/>
  <c r="L783" i="160"/>
  <c r="P783" i="160"/>
  <c r="K127" i="166"/>
  <c r="G784" i="155"/>
  <c r="K784" i="155" s="1"/>
  <c r="L774" i="155"/>
  <c r="L778" i="155" s="1"/>
  <c r="K778" i="155"/>
  <c r="K759" i="155" s="1"/>
  <c r="L759" i="155" s="1"/>
  <c r="G760" i="155" s="1"/>
  <c r="K760" i="155" s="1"/>
  <c r="K371" i="9"/>
  <c r="L174" i="160"/>
  <c r="K778" i="161"/>
  <c r="K759" i="161" s="1"/>
  <c r="L759" i="161" s="1"/>
  <c r="G760" i="161" s="1"/>
  <c r="K760" i="161" s="1"/>
  <c r="L774" i="161"/>
  <c r="L778" i="161" s="1"/>
  <c r="K174" i="155"/>
  <c r="K81" i="155"/>
  <c r="K80" i="155"/>
  <c r="F174" i="167"/>
  <c r="F80" i="167"/>
  <c r="F81" i="167"/>
  <c r="L127" i="162"/>
  <c r="K81" i="161"/>
  <c r="K174" i="161"/>
  <c r="K80" i="161"/>
  <c r="K127" i="165"/>
  <c r="K127" i="167"/>
  <c r="F81" i="165"/>
  <c r="F174" i="165"/>
  <c r="F80" i="165"/>
  <c r="O760" i="159"/>
  <c r="J760" i="159"/>
  <c r="K760" i="159" s="1"/>
  <c r="L783" i="155"/>
  <c r="P783" i="155"/>
  <c r="L80" i="161"/>
  <c r="L81" i="161"/>
  <c r="L784" i="160"/>
  <c r="P784" i="160"/>
  <c r="K73" i="165"/>
  <c r="K78" i="165" s="1"/>
  <c r="F80" i="166"/>
  <c r="F81" i="166"/>
  <c r="F174" i="166"/>
  <c r="F78" i="164"/>
  <c r="J759" i="157"/>
  <c r="K759" i="157" s="1"/>
  <c r="G760" i="157"/>
  <c r="K778" i="160" l="1"/>
  <c r="K759" i="160" s="1"/>
  <c r="L759" i="160" s="1"/>
  <c r="G760" i="160" s="1"/>
  <c r="K760" i="160" s="1"/>
  <c r="L760" i="160" s="1"/>
  <c r="G174" i="162"/>
  <c r="K127" i="164"/>
  <c r="G80" i="162"/>
  <c r="K73" i="164"/>
  <c r="K78" i="164" s="1"/>
  <c r="K81" i="164" s="1"/>
  <c r="J81" i="164"/>
  <c r="J80" i="164"/>
  <c r="K81" i="166"/>
  <c r="K80" i="167"/>
  <c r="K78" i="162"/>
  <c r="K81" i="162" s="1"/>
  <c r="G371" i="157"/>
  <c r="J371" i="157" s="1"/>
  <c r="L784" i="155"/>
  <c r="P784" i="155"/>
  <c r="K80" i="165"/>
  <c r="K81" i="165"/>
  <c r="L174" i="155"/>
  <c r="P760" i="155"/>
  <c r="L760" i="155"/>
  <c r="F371" i="160"/>
  <c r="J371" i="159"/>
  <c r="K174" i="165"/>
  <c r="L80" i="162"/>
  <c r="L81" i="162"/>
  <c r="K174" i="167"/>
  <c r="L174" i="161"/>
  <c r="J371" i="158"/>
  <c r="F81" i="164"/>
  <c r="F80" i="164"/>
  <c r="F174" i="164"/>
  <c r="F371" i="155"/>
  <c r="J371" i="161"/>
  <c r="I371" i="161"/>
  <c r="H371" i="161"/>
  <c r="J760" i="157"/>
  <c r="K760" i="157" s="1"/>
  <c r="O760" i="157"/>
  <c r="K174" i="166"/>
  <c r="L760" i="161"/>
  <c r="P760" i="161"/>
  <c r="P760" i="160" l="1"/>
  <c r="K80" i="164"/>
  <c r="G371" i="161"/>
  <c r="K371" i="161" s="1"/>
  <c r="K174" i="162"/>
  <c r="L174" i="162" s="1"/>
  <c r="K80" i="162"/>
  <c r="J371" i="160"/>
  <c r="G371" i="167" s="1"/>
  <c r="H371" i="160"/>
  <c r="I371" i="160"/>
  <c r="I371" i="167"/>
  <c r="I371" i="166"/>
  <c r="K174" i="164"/>
  <c r="I371" i="165"/>
  <c r="J371" i="155"/>
  <c r="I371" i="155"/>
  <c r="H371" i="155"/>
  <c r="K371" i="158"/>
  <c r="K371" i="159"/>
  <c r="K371" i="157"/>
  <c r="I371" i="164" l="1"/>
  <c r="G371" i="160"/>
  <c r="G371" i="164" s="1"/>
  <c r="J371" i="162"/>
  <c r="F371" i="167" s="1"/>
  <c r="H371" i="165"/>
  <c r="H371" i="166"/>
  <c r="L371" i="161"/>
  <c r="G371" i="165"/>
  <c r="H371" i="167"/>
  <c r="G371" i="166"/>
  <c r="I371" i="162"/>
  <c r="H371" i="162"/>
  <c r="G371" i="155"/>
  <c r="K371" i="160" l="1"/>
  <c r="L371" i="160" s="1"/>
  <c r="G371" i="162"/>
  <c r="K371" i="162" s="1"/>
  <c r="F371" i="165"/>
  <c r="J371" i="165"/>
  <c r="J371" i="166"/>
  <c r="F371" i="166"/>
  <c r="J371" i="167"/>
  <c r="K371" i="155"/>
  <c r="H371" i="164"/>
  <c r="F371" i="164" l="1"/>
  <c r="J371" i="164"/>
  <c r="K371" i="167"/>
  <c r="L371" i="162"/>
  <c r="K371" i="165"/>
  <c r="L371" i="155"/>
  <c r="K371" i="166"/>
  <c r="K371" i="164" l="1"/>
  <c r="H280" i="9" l="1"/>
  <c r="I280" i="9"/>
  <c r="G280" i="159"/>
  <c r="H280" i="159"/>
  <c r="I280" i="159"/>
  <c r="H280" i="160"/>
  <c r="G280" i="165" s="1"/>
  <c r="I280" i="160"/>
  <c r="J280" i="160"/>
  <c r="G280" i="167" s="1"/>
  <c r="H280" i="161"/>
  <c r="I280" i="165" s="1"/>
  <c r="I280" i="161"/>
  <c r="I280" i="166" s="1"/>
  <c r="J280" i="161"/>
  <c r="I280" i="167" s="1"/>
  <c r="G280" i="158"/>
  <c r="H280" i="158"/>
  <c r="I280" i="158"/>
  <c r="J280" i="158" l="1"/>
  <c r="K280" i="158" s="1"/>
  <c r="G280" i="9"/>
  <c r="G280" i="166"/>
  <c r="G280" i="161"/>
  <c r="G280" i="160"/>
  <c r="J280" i="159"/>
  <c r="K280" i="159" s="1"/>
  <c r="J280" i="9" l="1"/>
  <c r="K280" i="9" s="1"/>
  <c r="F280" i="157"/>
  <c r="K280" i="161"/>
  <c r="L280" i="161" s="1"/>
  <c r="I280" i="164"/>
  <c r="K280" i="160"/>
  <c r="L280" i="160" s="1"/>
  <c r="G280" i="164"/>
  <c r="H280" i="157" l="1"/>
  <c r="F280" i="155" s="1"/>
  <c r="G280" i="157"/>
  <c r="I280" i="157"/>
  <c r="F422" i="162"/>
  <c r="H280" i="155" l="1"/>
  <c r="I280" i="155"/>
  <c r="J280" i="155"/>
  <c r="G280" i="155"/>
  <c r="J280" i="157"/>
  <c r="K280" i="157" s="1"/>
  <c r="H280" i="167" l="1"/>
  <c r="J280" i="167" s="1"/>
  <c r="J280" i="162"/>
  <c r="F280" i="167" s="1"/>
  <c r="H280" i="166"/>
  <c r="J280" i="166" s="1"/>
  <c r="I280" i="162"/>
  <c r="F280" i="166" s="1"/>
  <c r="H280" i="164"/>
  <c r="J280" i="164" s="1"/>
  <c r="K280" i="155"/>
  <c r="L280" i="155" s="1"/>
  <c r="G280" i="162"/>
  <c r="H280" i="165"/>
  <c r="J280" i="165" s="1"/>
  <c r="H280" i="162"/>
  <c r="F280" i="165" s="1"/>
  <c r="K280" i="166" l="1"/>
  <c r="K280" i="167"/>
  <c r="K280" i="162"/>
  <c r="L280" i="162" s="1"/>
  <c r="F280" i="164"/>
  <c r="K280" i="164" s="1"/>
  <c r="K280" i="165"/>
  <c r="F491" i="162" l="1"/>
  <c r="F493" i="162" s="1"/>
  <c r="F495" i="162" s="1"/>
  <c r="F20" i="162" s="1"/>
  <c r="F21" i="49" s="1"/>
  <c r="F500" i="162" l="1"/>
  <c r="F493" i="9"/>
  <c r="F495" i="9" l="1"/>
  <c r="C41" i="5"/>
  <c r="E41" i="5" s="1"/>
  <c r="F20" i="9" l="1"/>
  <c r="F500" i="9"/>
  <c r="F125" i="9" l="1"/>
  <c r="F279" i="9"/>
  <c r="F281" i="9"/>
  <c r="F283" i="9" s="1"/>
  <c r="F324" i="9" s="1"/>
  <c r="F348" i="9"/>
  <c r="H348" i="9" s="1"/>
  <c r="I348" i="9"/>
  <c r="G348" i="9" s="1"/>
  <c r="F349" i="9"/>
  <c r="H349" i="9"/>
  <c r="I349" i="9"/>
  <c r="F349" i="159" s="1"/>
  <c r="F383" i="9"/>
  <c r="F384" i="9"/>
  <c r="H384" i="9"/>
  <c r="F384" i="158" s="1"/>
  <c r="F386" i="9"/>
  <c r="H386" i="9" s="1"/>
  <c r="F386" i="158" s="1"/>
  <c r="I386" i="158" s="1"/>
  <c r="F402" i="9"/>
  <c r="F402" i="162" s="1"/>
  <c r="F403" i="162" s="1"/>
  <c r="F406" i="9"/>
  <c r="H406" i="9" s="1"/>
  <c r="F515" i="9"/>
  <c r="F516" i="9"/>
  <c r="F519" i="9"/>
  <c r="F519" i="162" s="1"/>
  <c r="F522" i="162" s="1"/>
  <c r="F522" i="9"/>
  <c r="C47" i="5" s="1"/>
  <c r="F527" i="9"/>
  <c r="F527" i="162" s="1"/>
  <c r="F532" i="162" s="1"/>
  <c r="F532" i="9"/>
  <c r="F543" i="9" s="1"/>
  <c r="F545" i="9" s="1"/>
  <c r="F584" i="9"/>
  <c r="F584" i="158" s="1"/>
  <c r="I584" i="158" s="1"/>
  <c r="I585" i="158" s="1"/>
  <c r="F769" i="9"/>
  <c r="F875" i="9"/>
  <c r="F348" i="157"/>
  <c r="F348" i="159"/>
  <c r="G348" i="159" s="1"/>
  <c r="H348" i="159"/>
  <c r="I348" i="159"/>
  <c r="F348" i="161" s="1"/>
  <c r="F769" i="159"/>
  <c r="F771" i="159" s="1"/>
  <c r="F757" i="159" s="1"/>
  <c r="F348" i="158"/>
  <c r="I348" i="158" s="1"/>
  <c r="H348" i="158"/>
  <c r="F349" i="158"/>
  <c r="I349" i="158" s="1"/>
  <c r="F769" i="158"/>
  <c r="F771" i="158" s="1"/>
  <c r="F757" i="158" s="1"/>
  <c r="F125" i="162"/>
  <c r="F279" i="162"/>
  <c r="F281" i="162" s="1"/>
  <c r="F283" i="162" s="1"/>
  <c r="F324" i="162" s="1"/>
  <c r="F348" i="162"/>
  <c r="F350" i="162" s="1"/>
  <c r="F360" i="162" s="1"/>
  <c r="F349" i="162"/>
  <c r="F383" i="162"/>
  <c r="F384" i="162"/>
  <c r="F386" i="162"/>
  <c r="F406" i="162"/>
  <c r="F407" i="162" s="1"/>
  <c r="F515" i="162"/>
  <c r="F584" i="162"/>
  <c r="F585" i="162"/>
  <c r="F591" i="162" s="1"/>
  <c r="D4" i="5"/>
  <c r="D8" i="5"/>
  <c r="D10" i="5"/>
  <c r="C23" i="5"/>
  <c r="D23" i="5"/>
  <c r="D24" i="5" s="1"/>
  <c r="C24" i="5"/>
  <c r="D29" i="5"/>
  <c r="D32" i="5"/>
  <c r="D33" i="5"/>
  <c r="D34" i="5"/>
  <c r="D35" i="5"/>
  <c r="D37" i="5"/>
  <c r="E37" i="5" s="1"/>
  <c r="C46" i="5"/>
  <c r="D46" i="5"/>
  <c r="E46" i="5" s="1"/>
  <c r="D47" i="5"/>
  <c r="D50" i="5"/>
  <c r="D51" i="5"/>
  <c r="D55" i="5"/>
  <c r="D56" i="5"/>
  <c r="D63" i="5"/>
  <c r="E63" i="5" s="1"/>
  <c r="D66" i="5"/>
  <c r="D71" i="5"/>
  <c r="E71" i="5"/>
  <c r="H13" i="3"/>
  <c r="H19" i="3"/>
  <c r="H14" i="3" s="1"/>
  <c r="H407" i="9" l="1"/>
  <c r="F406" i="158"/>
  <c r="I406" i="158" s="1"/>
  <c r="I407" i="158" s="1"/>
  <c r="H384" i="158"/>
  <c r="I384" i="158"/>
  <c r="G384" i="158" s="1"/>
  <c r="J384" i="158" s="1"/>
  <c r="K384" i="158" s="1"/>
  <c r="F556" i="9"/>
  <c r="F551" i="9"/>
  <c r="E23" i="5"/>
  <c r="G348" i="158"/>
  <c r="F876" i="9"/>
  <c r="F585" i="9"/>
  <c r="F524" i="9"/>
  <c r="E24" i="5"/>
  <c r="E47" i="5"/>
  <c r="F885" i="9"/>
  <c r="H350" i="9"/>
  <c r="H360" i="9" s="1"/>
  <c r="H17" i="3"/>
  <c r="F414" i="9" s="1"/>
  <c r="F414" i="162" s="1"/>
  <c r="C56" i="5"/>
  <c r="E56" i="5" s="1"/>
  <c r="I348" i="157"/>
  <c r="H16" i="3"/>
  <c r="F413" i="9" s="1"/>
  <c r="F413" i="162" s="1"/>
  <c r="H348" i="157"/>
  <c r="F348" i="155" s="1"/>
  <c r="J348" i="155" s="1"/>
  <c r="F350" i="9"/>
  <c r="F411" i="9"/>
  <c r="D58" i="5"/>
  <c r="F543" i="162"/>
  <c r="F545" i="162" s="1"/>
  <c r="F885" i="162"/>
  <c r="D52" i="5"/>
  <c r="D5" i="5"/>
  <c r="D36" i="5"/>
  <c r="E10" i="5"/>
  <c r="D11" i="5"/>
  <c r="H348" i="161"/>
  <c r="I348" i="161"/>
  <c r="J348" i="161"/>
  <c r="F599" i="162"/>
  <c r="F550" i="162"/>
  <c r="F604" i="162"/>
  <c r="F876" i="162"/>
  <c r="J348" i="158"/>
  <c r="H584" i="158"/>
  <c r="H585" i="158" s="1"/>
  <c r="F585" i="158"/>
  <c r="F591" i="158" s="1"/>
  <c r="H349" i="158"/>
  <c r="H350" i="158" s="1"/>
  <c r="H360" i="158" s="1"/>
  <c r="F350" i="158"/>
  <c r="H349" i="159"/>
  <c r="H350" i="159" s="1"/>
  <c r="H360" i="159" s="1"/>
  <c r="F350" i="159"/>
  <c r="I349" i="159"/>
  <c r="H15" i="3"/>
  <c r="F412" i="9" s="1"/>
  <c r="F516" i="162"/>
  <c r="F875" i="162" s="1"/>
  <c r="F389" i="162"/>
  <c r="F131" i="162"/>
  <c r="I350" i="158"/>
  <c r="I360" i="158" s="1"/>
  <c r="J348" i="159"/>
  <c r="F348" i="160"/>
  <c r="H18" i="3"/>
  <c r="F415" i="9" s="1"/>
  <c r="G406" i="158"/>
  <c r="H406" i="158"/>
  <c r="H407" i="158" s="1"/>
  <c r="F407" i="158"/>
  <c r="H386" i="158"/>
  <c r="G386" i="158" s="1"/>
  <c r="J386" i="158" s="1"/>
  <c r="K386" i="158" s="1"/>
  <c r="F771" i="9"/>
  <c r="G349" i="9"/>
  <c r="G350" i="9" s="1"/>
  <c r="I350" i="9"/>
  <c r="I402" i="9"/>
  <c r="H402" i="9"/>
  <c r="G402" i="9" s="1"/>
  <c r="F403" i="9"/>
  <c r="J348" i="9"/>
  <c r="I384" i="9"/>
  <c r="F384" i="159" s="1"/>
  <c r="I383" i="9"/>
  <c r="H383" i="9"/>
  <c r="G383" i="9" s="1"/>
  <c r="F389" i="9"/>
  <c r="I406" i="9"/>
  <c r="G406" i="9" s="1"/>
  <c r="G386" i="9"/>
  <c r="I386" i="9"/>
  <c r="F386" i="159" s="1"/>
  <c r="F407" i="9"/>
  <c r="H125" i="9"/>
  <c r="F131" i="9"/>
  <c r="I125" i="9"/>
  <c r="G384" i="9" l="1"/>
  <c r="F591" i="9"/>
  <c r="C51" i="5"/>
  <c r="E51" i="5" s="1"/>
  <c r="G348" i="157"/>
  <c r="J348" i="157" s="1"/>
  <c r="K348" i="157" s="1"/>
  <c r="F524" i="162"/>
  <c r="F597" i="162" s="1"/>
  <c r="F549" i="9"/>
  <c r="F597" i="9"/>
  <c r="H348" i="155"/>
  <c r="I348" i="155"/>
  <c r="H348" i="166" s="1"/>
  <c r="F360" i="9"/>
  <c r="H821" i="9"/>
  <c r="C33" i="5"/>
  <c r="E33" i="5" s="1"/>
  <c r="F757" i="9"/>
  <c r="I348" i="166"/>
  <c r="G348" i="161"/>
  <c r="J386" i="9"/>
  <c r="K386" i="9" s="1"/>
  <c r="F386" i="157"/>
  <c r="C32" i="5"/>
  <c r="G389" i="9"/>
  <c r="G824" i="9" s="1"/>
  <c r="J383" i="9"/>
  <c r="F383" i="157"/>
  <c r="H403" i="9"/>
  <c r="H825" i="9" s="1"/>
  <c r="F402" i="158"/>
  <c r="K348" i="158"/>
  <c r="I131" i="9"/>
  <c r="I175" i="9" s="1"/>
  <c r="I176" i="9" s="1"/>
  <c r="I769" i="9"/>
  <c r="I771" i="9" s="1"/>
  <c r="I757" i="9" s="1"/>
  <c r="F125" i="159"/>
  <c r="H826" i="9"/>
  <c r="I826" i="9"/>
  <c r="C34" i="5"/>
  <c r="E34" i="5" s="1"/>
  <c r="F175" i="9"/>
  <c r="F151" i="9"/>
  <c r="H386" i="159"/>
  <c r="G386" i="159" s="1"/>
  <c r="I386" i="159"/>
  <c r="F386" i="161" s="1"/>
  <c r="I389" i="9"/>
  <c r="F383" i="159"/>
  <c r="K348" i="9"/>
  <c r="G821" i="159"/>
  <c r="F360" i="159"/>
  <c r="H821" i="159"/>
  <c r="I821" i="159"/>
  <c r="G821" i="158"/>
  <c r="F360" i="158"/>
  <c r="I821" i="158"/>
  <c r="H821" i="158"/>
  <c r="F599" i="158"/>
  <c r="F550" i="158"/>
  <c r="F604" i="158"/>
  <c r="I348" i="167"/>
  <c r="I348" i="165"/>
  <c r="D42" i="5"/>
  <c r="D61" i="5"/>
  <c r="G125" i="9"/>
  <c r="H769" i="9"/>
  <c r="H771" i="9" s="1"/>
  <c r="H757" i="9" s="1"/>
  <c r="H131" i="9"/>
  <c r="H175" i="9" s="1"/>
  <c r="H176" i="9" s="1"/>
  <c r="F125" i="158"/>
  <c r="G407" i="9"/>
  <c r="G826" i="9" s="1"/>
  <c r="J826" i="9" s="1"/>
  <c r="K826" i="9" s="1"/>
  <c r="J406" i="9"/>
  <c r="F406" i="157"/>
  <c r="G403" i="9"/>
  <c r="G825" i="9" s="1"/>
  <c r="J402" i="9"/>
  <c r="F402" i="157"/>
  <c r="F175" i="162"/>
  <c r="F151" i="162"/>
  <c r="F13" i="162" s="1"/>
  <c r="J384" i="9"/>
  <c r="K384" i="9" s="1"/>
  <c r="F384" i="157"/>
  <c r="I821" i="9"/>
  <c r="I360" i="9"/>
  <c r="I822" i="9" s="1"/>
  <c r="J406" i="158"/>
  <c r="G407" i="158"/>
  <c r="I348" i="160"/>
  <c r="J348" i="160"/>
  <c r="J348" i="162" s="1"/>
  <c r="H348" i="160"/>
  <c r="G348" i="160" s="1"/>
  <c r="F412" i="162"/>
  <c r="H12" i="3"/>
  <c r="I407" i="9"/>
  <c r="F406" i="159"/>
  <c r="H389" i="9"/>
  <c r="H824" i="9" s="1"/>
  <c r="F383" i="158"/>
  <c r="I384" i="159"/>
  <c r="F384" i="161" s="1"/>
  <c r="H384" i="159"/>
  <c r="G384" i="159" s="1"/>
  <c r="G360" i="9"/>
  <c r="G822" i="9" s="1"/>
  <c r="G821" i="9"/>
  <c r="J821" i="9" s="1"/>
  <c r="K821" i="9" s="1"/>
  <c r="I403" i="9"/>
  <c r="F402" i="159"/>
  <c r="J349" i="9"/>
  <c r="K349" i="9" s="1"/>
  <c r="F349" i="157"/>
  <c r="H348" i="167"/>
  <c r="I826" i="158"/>
  <c r="G826" i="158"/>
  <c r="H826" i="158"/>
  <c r="I415" i="9"/>
  <c r="F415" i="159" s="1"/>
  <c r="H415" i="9"/>
  <c r="F415" i="158" s="1"/>
  <c r="F415" i="162"/>
  <c r="K348" i="159"/>
  <c r="I350" i="159"/>
  <c r="I360" i="159" s="1"/>
  <c r="F349" i="161"/>
  <c r="G349" i="159"/>
  <c r="G349" i="158"/>
  <c r="G584" i="158"/>
  <c r="F549" i="162"/>
  <c r="D26" i="5"/>
  <c r="F556" i="162"/>
  <c r="F551" i="162"/>
  <c r="I411" i="9"/>
  <c r="F411" i="159" s="1"/>
  <c r="H411" i="9"/>
  <c r="F411" i="158" s="1"/>
  <c r="F411" i="162"/>
  <c r="H348" i="165" l="1"/>
  <c r="G348" i="155"/>
  <c r="H135" i="9"/>
  <c r="F135" i="158" s="1"/>
  <c r="H94" i="9"/>
  <c r="F94" i="158" s="1"/>
  <c r="I94" i="158" s="1"/>
  <c r="H85" i="9"/>
  <c r="F85" i="158" s="1"/>
  <c r="H85" i="158" s="1"/>
  <c r="H144" i="9"/>
  <c r="F144" i="158" s="1"/>
  <c r="H144" i="158" s="1"/>
  <c r="G144" i="158" s="1"/>
  <c r="H822" i="9"/>
  <c r="J822" i="9" s="1"/>
  <c r="K822" i="9" s="1"/>
  <c r="C29" i="5"/>
  <c r="E29" i="5" s="1"/>
  <c r="F599" i="9"/>
  <c r="F550" i="9"/>
  <c r="F604" i="9"/>
  <c r="J384" i="159"/>
  <c r="K384" i="159" s="1"/>
  <c r="F384" i="160"/>
  <c r="I825" i="9"/>
  <c r="I824" i="9"/>
  <c r="J824" i="9" s="1"/>
  <c r="K824" i="9" s="1"/>
  <c r="F348" i="167"/>
  <c r="H97" i="9"/>
  <c r="H147" i="9"/>
  <c r="H88" i="9"/>
  <c r="H138" i="9"/>
  <c r="H414" i="9"/>
  <c r="J584" i="158"/>
  <c r="G585" i="158"/>
  <c r="H384" i="161"/>
  <c r="I384" i="161"/>
  <c r="J384" i="161"/>
  <c r="H383" i="158"/>
  <c r="H389" i="158" s="1"/>
  <c r="F389" i="158"/>
  <c r="I383" i="158"/>
  <c r="I389" i="158" s="1"/>
  <c r="F410" i="9"/>
  <c r="H20" i="3"/>
  <c r="G348" i="166"/>
  <c r="H384" i="157"/>
  <c r="F384" i="155" s="1"/>
  <c r="I384" i="157"/>
  <c r="H402" i="157"/>
  <c r="F403" i="157"/>
  <c r="I402" i="157"/>
  <c r="I403" i="157" s="1"/>
  <c r="G402" i="157"/>
  <c r="J407" i="9"/>
  <c r="K406" i="9"/>
  <c r="K407" i="9" s="1"/>
  <c r="K350" i="9"/>
  <c r="K360" i="9" s="1"/>
  <c r="I89" i="9"/>
  <c r="F89" i="159" s="1"/>
  <c r="I139" i="9"/>
  <c r="F139" i="159" s="1"/>
  <c r="I98" i="9"/>
  <c r="F98" i="159" s="1"/>
  <c r="I148" i="9"/>
  <c r="F148" i="159" s="1"/>
  <c r="J389" i="9"/>
  <c r="K383" i="9"/>
  <c r="K389" i="9" s="1"/>
  <c r="H87" i="9"/>
  <c r="H137" i="9"/>
  <c r="H96" i="9"/>
  <c r="H146" i="9"/>
  <c r="H413" i="9"/>
  <c r="I348" i="162"/>
  <c r="G411" i="9"/>
  <c r="J349" i="158"/>
  <c r="G350" i="158"/>
  <c r="G360" i="158" s="1"/>
  <c r="I415" i="158"/>
  <c r="H415" i="158"/>
  <c r="G415" i="158" s="1"/>
  <c r="J415" i="158" s="1"/>
  <c r="K415" i="158" s="1"/>
  <c r="H402" i="159"/>
  <c r="H403" i="159" s="1"/>
  <c r="F403" i="159"/>
  <c r="I402" i="159"/>
  <c r="G402" i="159" s="1"/>
  <c r="I144" i="158"/>
  <c r="G348" i="165"/>
  <c r="J403" i="9"/>
  <c r="K402" i="9"/>
  <c r="K403" i="9" s="1"/>
  <c r="G131" i="9"/>
  <c r="J125" i="9"/>
  <c r="G769" i="9"/>
  <c r="F125" i="157"/>
  <c r="F769" i="155"/>
  <c r="F769" i="157"/>
  <c r="H822" i="158"/>
  <c r="I822" i="158"/>
  <c r="G822" i="158"/>
  <c r="H822" i="159"/>
  <c r="I822" i="159"/>
  <c r="G822" i="159"/>
  <c r="J350" i="9"/>
  <c r="J360" i="9" s="1"/>
  <c r="H383" i="159"/>
  <c r="H389" i="159" s="1"/>
  <c r="F389" i="159"/>
  <c r="I383" i="159"/>
  <c r="F13" i="9"/>
  <c r="C4" i="5"/>
  <c r="H98" i="9"/>
  <c r="H148" i="9"/>
  <c r="H139" i="9"/>
  <c r="H89" i="9"/>
  <c r="I178" i="9"/>
  <c r="I179" i="9"/>
  <c r="H402" i="158"/>
  <c r="H403" i="158" s="1"/>
  <c r="F403" i="158"/>
  <c r="I402" i="158"/>
  <c r="I403" i="158" s="1"/>
  <c r="H386" i="157"/>
  <c r="F386" i="155" s="1"/>
  <c r="I386" i="157"/>
  <c r="G386" i="157"/>
  <c r="J386" i="157" s="1"/>
  <c r="K386" i="157" s="1"/>
  <c r="H135" i="158"/>
  <c r="I135" i="158"/>
  <c r="G135" i="158" s="1"/>
  <c r="I411" i="159"/>
  <c r="F411" i="161" s="1"/>
  <c r="H411" i="159"/>
  <c r="G411" i="159" s="1"/>
  <c r="F349" i="160"/>
  <c r="J349" i="159"/>
  <c r="G350" i="159"/>
  <c r="G360" i="159" s="1"/>
  <c r="J826" i="158"/>
  <c r="K826" i="158" s="1"/>
  <c r="O826" i="158"/>
  <c r="H406" i="159"/>
  <c r="H407" i="159" s="1"/>
  <c r="F407" i="159"/>
  <c r="I406" i="159"/>
  <c r="K348" i="160"/>
  <c r="G348" i="164"/>
  <c r="J407" i="158"/>
  <c r="K406" i="158"/>
  <c r="K407" i="158" s="1"/>
  <c r="G85" i="158"/>
  <c r="F14" i="49"/>
  <c r="H125" i="158"/>
  <c r="F131" i="158"/>
  <c r="I125" i="158"/>
  <c r="G125" i="158"/>
  <c r="J821" i="158"/>
  <c r="K821" i="158" s="1"/>
  <c r="O821" i="158"/>
  <c r="J821" i="159"/>
  <c r="K821" i="159" s="1"/>
  <c r="O821" i="159"/>
  <c r="G94" i="158"/>
  <c r="H94" i="158"/>
  <c r="F386" i="160"/>
  <c r="J386" i="159"/>
  <c r="K386" i="159" s="1"/>
  <c r="F176" i="9"/>
  <c r="E32" i="5"/>
  <c r="I411" i="158"/>
  <c r="H411" i="158"/>
  <c r="G411" i="158"/>
  <c r="J411" i="158" s="1"/>
  <c r="K411" i="158" s="1"/>
  <c r="H349" i="161"/>
  <c r="I349" i="161"/>
  <c r="J349" i="161"/>
  <c r="F350" i="161"/>
  <c r="G415" i="9"/>
  <c r="H349" i="157"/>
  <c r="F350" i="157"/>
  <c r="I349" i="157"/>
  <c r="I350" i="157" s="1"/>
  <c r="I360" i="157" s="1"/>
  <c r="G348" i="167"/>
  <c r="I85" i="9"/>
  <c r="I135" i="9"/>
  <c r="I94" i="9"/>
  <c r="I144" i="9"/>
  <c r="F176" i="162"/>
  <c r="H406" i="157"/>
  <c r="F407" i="157"/>
  <c r="I406" i="157"/>
  <c r="I407" i="157" s="1"/>
  <c r="H179" i="9"/>
  <c r="H178" i="9"/>
  <c r="H348" i="162"/>
  <c r="H386" i="161"/>
  <c r="I386" i="161"/>
  <c r="J386" i="161"/>
  <c r="H788" i="9"/>
  <c r="I125" i="159"/>
  <c r="H125" i="159"/>
  <c r="G125" i="159" s="1"/>
  <c r="F131" i="159"/>
  <c r="H383" i="157"/>
  <c r="F389" i="157"/>
  <c r="I383" i="157"/>
  <c r="K348" i="161"/>
  <c r="I348" i="164"/>
  <c r="G348" i="162"/>
  <c r="G349" i="157" l="1"/>
  <c r="H348" i="164"/>
  <c r="K348" i="155"/>
  <c r="L348" i="155" s="1"/>
  <c r="I85" i="158"/>
  <c r="G131" i="159"/>
  <c r="G175" i="159" s="1"/>
  <c r="G176" i="159" s="1"/>
  <c r="J125" i="159"/>
  <c r="G769" i="159"/>
  <c r="F125" i="160"/>
  <c r="F769" i="160"/>
  <c r="J135" i="158"/>
  <c r="G403" i="159"/>
  <c r="J402" i="159"/>
  <c r="F402" i="160"/>
  <c r="F383" i="155"/>
  <c r="H389" i="157"/>
  <c r="I386" i="165"/>
  <c r="F191" i="162"/>
  <c r="F179" i="162"/>
  <c r="F178" i="162"/>
  <c r="I349" i="166"/>
  <c r="I350" i="166" s="1"/>
  <c r="I360" i="166" s="1"/>
  <c r="I350" i="161"/>
  <c r="I360" i="161" s="1"/>
  <c r="G131" i="158"/>
  <c r="G175" i="158" s="1"/>
  <c r="G176" i="158" s="1"/>
  <c r="G769" i="158"/>
  <c r="J125" i="158"/>
  <c r="K349" i="159"/>
  <c r="K350" i="159" s="1"/>
  <c r="K360" i="159" s="1"/>
  <c r="J350" i="159"/>
  <c r="J360" i="159" s="1"/>
  <c r="J411" i="159"/>
  <c r="K411" i="159" s="1"/>
  <c r="F411" i="160"/>
  <c r="G139" i="9"/>
  <c r="F139" i="158"/>
  <c r="O822" i="158"/>
  <c r="J822" i="158"/>
  <c r="K822" i="158" s="1"/>
  <c r="F771" i="155"/>
  <c r="F757" i="155" s="1"/>
  <c r="G175" i="9"/>
  <c r="G176" i="9" s="1"/>
  <c r="G788" i="9"/>
  <c r="J144" i="158"/>
  <c r="G146" i="9"/>
  <c r="F146" i="158"/>
  <c r="F88" i="158"/>
  <c r="I97" i="9"/>
  <c r="F97" i="159" s="1"/>
  <c r="I147" i="9"/>
  <c r="F147" i="159" s="1"/>
  <c r="I88" i="9"/>
  <c r="F88" i="159" s="1"/>
  <c r="I138" i="9"/>
  <c r="F138" i="159" s="1"/>
  <c r="I414" i="9"/>
  <c r="F414" i="159" s="1"/>
  <c r="F144" i="159"/>
  <c r="G144" i="9"/>
  <c r="I769" i="158"/>
  <c r="I771" i="158" s="1"/>
  <c r="I757" i="158" s="1"/>
  <c r="I758" i="158" s="1"/>
  <c r="I131" i="158"/>
  <c r="I175" i="158" s="1"/>
  <c r="I176" i="158" s="1"/>
  <c r="J349" i="160"/>
  <c r="H349" i="160"/>
  <c r="I349" i="160"/>
  <c r="F350" i="160"/>
  <c r="H411" i="161"/>
  <c r="I411" i="161"/>
  <c r="J411" i="161"/>
  <c r="G148" i="9"/>
  <c r="F148" i="158"/>
  <c r="O822" i="159"/>
  <c r="J822" i="159"/>
  <c r="K822" i="159" s="1"/>
  <c r="I125" i="157"/>
  <c r="F131" i="157"/>
  <c r="H125" i="157"/>
  <c r="G825" i="159"/>
  <c r="H825" i="159"/>
  <c r="J411" i="9"/>
  <c r="K411" i="9" s="1"/>
  <c r="F411" i="157"/>
  <c r="J384" i="155"/>
  <c r="H384" i="167" s="1"/>
  <c r="I384" i="155"/>
  <c r="H384" i="166" s="1"/>
  <c r="H384" i="155"/>
  <c r="H384" i="165" s="1"/>
  <c r="G147" i="9"/>
  <c r="F147" i="158"/>
  <c r="I389" i="157"/>
  <c r="L348" i="161"/>
  <c r="H824" i="157"/>
  <c r="G824" i="157"/>
  <c r="G788" i="159"/>
  <c r="F175" i="159"/>
  <c r="F135" i="159"/>
  <c r="G135" i="9"/>
  <c r="F349" i="155"/>
  <c r="H350" i="157"/>
  <c r="H360" i="157" s="1"/>
  <c r="I349" i="167"/>
  <c r="I350" i="167" s="1"/>
  <c r="I360" i="167" s="1"/>
  <c r="J350" i="161"/>
  <c r="J360" i="161" s="1"/>
  <c r="H769" i="158"/>
  <c r="H771" i="158" s="1"/>
  <c r="H757" i="158" s="1"/>
  <c r="H758" i="158" s="1"/>
  <c r="H131" i="158"/>
  <c r="H175" i="158" s="1"/>
  <c r="H176" i="158" s="1"/>
  <c r="J85" i="158"/>
  <c r="L348" i="160"/>
  <c r="H826" i="159"/>
  <c r="H415" i="159" s="1"/>
  <c r="H386" i="155"/>
  <c r="H386" i="165" s="1"/>
  <c r="J386" i="155"/>
  <c r="H386" i="167" s="1"/>
  <c r="I386" i="155"/>
  <c r="H386" i="166" s="1"/>
  <c r="G89" i="9"/>
  <c r="F89" i="158"/>
  <c r="C5" i="5"/>
  <c r="E4" i="5"/>
  <c r="E5" i="5" s="1"/>
  <c r="I389" i="159"/>
  <c r="F383" i="161"/>
  <c r="G383" i="159"/>
  <c r="F771" i="157"/>
  <c r="J131" i="9"/>
  <c r="J175" i="9" s="1"/>
  <c r="K125" i="9"/>
  <c r="K131" i="9" s="1"/>
  <c r="K349" i="158"/>
  <c r="K350" i="158" s="1"/>
  <c r="K360" i="158" s="1"/>
  <c r="J350" i="158"/>
  <c r="J360" i="158" s="1"/>
  <c r="F413" i="158"/>
  <c r="F87" i="158"/>
  <c r="H148" i="159"/>
  <c r="F402" i="155"/>
  <c r="H403" i="157"/>
  <c r="G384" i="157"/>
  <c r="J384" i="157" s="1"/>
  <c r="K384" i="157" s="1"/>
  <c r="I384" i="166"/>
  <c r="G138" i="9"/>
  <c r="F138" i="158"/>
  <c r="J825" i="9"/>
  <c r="K825" i="9" s="1"/>
  <c r="F348" i="164"/>
  <c r="K348" i="162"/>
  <c r="H769" i="159"/>
  <c r="H771" i="159" s="1"/>
  <c r="H757" i="159" s="1"/>
  <c r="H131" i="159"/>
  <c r="H175" i="159" s="1"/>
  <c r="H176" i="159" s="1"/>
  <c r="G386" i="161"/>
  <c r="F85" i="159"/>
  <c r="G85" i="9"/>
  <c r="J349" i="157"/>
  <c r="G350" i="157"/>
  <c r="G360" i="157" s="1"/>
  <c r="J415" i="9"/>
  <c r="K415" i="9" s="1"/>
  <c r="F415" i="157"/>
  <c r="G402" i="158"/>
  <c r="H824" i="159"/>
  <c r="I403" i="159"/>
  <c r="F402" i="161"/>
  <c r="G403" i="157"/>
  <c r="J402" i="157"/>
  <c r="I410" i="9"/>
  <c r="H410" i="9"/>
  <c r="G410" i="9" s="1"/>
  <c r="F416" i="9"/>
  <c r="F410" i="162"/>
  <c r="G383" i="157"/>
  <c r="I386" i="167"/>
  <c r="I826" i="157"/>
  <c r="H826" i="157"/>
  <c r="G826" i="157"/>
  <c r="F360" i="161"/>
  <c r="I821" i="161"/>
  <c r="J821" i="161"/>
  <c r="H821" i="161"/>
  <c r="J386" i="160"/>
  <c r="G386" i="167" s="1"/>
  <c r="H386" i="160"/>
  <c r="G386" i="165" s="1"/>
  <c r="I386" i="160"/>
  <c r="G386" i="166" s="1"/>
  <c r="G825" i="158"/>
  <c r="H825" i="158"/>
  <c r="F96" i="158"/>
  <c r="G383" i="158"/>
  <c r="I384" i="165"/>
  <c r="H384" i="162"/>
  <c r="F384" i="165" s="1"/>
  <c r="J585" i="158"/>
  <c r="K584" i="158"/>
  <c r="K585" i="158" s="1"/>
  <c r="I384" i="160"/>
  <c r="G384" i="166" s="1"/>
  <c r="J384" i="166" s="1"/>
  <c r="J384" i="160"/>
  <c r="G384" i="167" s="1"/>
  <c r="J384" i="167" s="1"/>
  <c r="H384" i="160"/>
  <c r="G384" i="165" s="1"/>
  <c r="I769" i="159"/>
  <c r="I771" i="159" s="1"/>
  <c r="I757" i="159" s="1"/>
  <c r="I131" i="159"/>
  <c r="I175" i="159" s="1"/>
  <c r="I176" i="159" s="1"/>
  <c r="F125" i="161"/>
  <c r="F769" i="161"/>
  <c r="I386" i="166"/>
  <c r="F348" i="165"/>
  <c r="G406" i="157"/>
  <c r="H407" i="157"/>
  <c r="F406" i="155"/>
  <c r="F94" i="159"/>
  <c r="G94" i="9"/>
  <c r="J348" i="167"/>
  <c r="G821" i="157"/>
  <c r="F360" i="157"/>
  <c r="H821" i="157"/>
  <c r="I821" i="157"/>
  <c r="G349" i="161"/>
  <c r="I349" i="165"/>
  <c r="I350" i="165" s="1"/>
  <c r="I360" i="165" s="1"/>
  <c r="H350" i="161"/>
  <c r="H360" i="161" s="1"/>
  <c r="F178" i="9"/>
  <c r="F179" i="9"/>
  <c r="F191" i="9"/>
  <c r="H793" i="9"/>
  <c r="J94" i="158"/>
  <c r="F175" i="158"/>
  <c r="G788" i="158"/>
  <c r="H788" i="158"/>
  <c r="J348" i="164"/>
  <c r="I407" i="159"/>
  <c r="I826" i="159" s="1"/>
  <c r="F406" i="161"/>
  <c r="G406" i="159"/>
  <c r="G98" i="9"/>
  <c r="F98" i="158"/>
  <c r="J769" i="9"/>
  <c r="K769" i="9" s="1"/>
  <c r="G771" i="9"/>
  <c r="J348" i="165"/>
  <c r="F348" i="166"/>
  <c r="F137" i="158"/>
  <c r="G825" i="157"/>
  <c r="H825" i="157"/>
  <c r="J348" i="166"/>
  <c r="H824" i="158"/>
  <c r="G824" i="158"/>
  <c r="I384" i="167"/>
  <c r="G384" i="161"/>
  <c r="F414" i="158"/>
  <c r="F97" i="158"/>
  <c r="I96" i="9"/>
  <c r="F96" i="159" s="1"/>
  <c r="I146" i="9"/>
  <c r="F146" i="159" s="1"/>
  <c r="I87" i="9"/>
  <c r="F87" i="159" s="1"/>
  <c r="I137" i="9"/>
  <c r="F137" i="159" s="1"/>
  <c r="I413" i="9"/>
  <c r="F413" i="159" s="1"/>
  <c r="H788" i="159" l="1"/>
  <c r="G384" i="155"/>
  <c r="G821" i="161"/>
  <c r="K821" i="161" s="1"/>
  <c r="G87" i="9"/>
  <c r="F87" i="157" s="1"/>
  <c r="J386" i="165"/>
  <c r="G384" i="160"/>
  <c r="I415" i="159"/>
  <c r="F415" i="161" s="1"/>
  <c r="I148" i="159"/>
  <c r="F148" i="161" s="1"/>
  <c r="I89" i="159"/>
  <c r="F89" i="161" s="1"/>
  <c r="I139" i="159"/>
  <c r="F139" i="161" s="1"/>
  <c r="I98" i="159"/>
  <c r="F98" i="161" s="1"/>
  <c r="G96" i="159"/>
  <c r="H96" i="159"/>
  <c r="I824" i="158"/>
  <c r="J824" i="158" s="1"/>
  <c r="K824" i="158" s="1"/>
  <c r="G757" i="9"/>
  <c r="J771" i="9"/>
  <c r="K771" i="9" s="1"/>
  <c r="H233" i="9"/>
  <c r="H208" i="9"/>
  <c r="H273" i="9"/>
  <c r="H232" i="9"/>
  <c r="H278" i="9"/>
  <c r="H318" i="9"/>
  <c r="H374" i="9"/>
  <c r="H453" i="9"/>
  <c r="H628" i="9"/>
  <c r="F628" i="158" s="1"/>
  <c r="K349" i="161"/>
  <c r="I349" i="164"/>
  <c r="I350" i="164" s="1"/>
  <c r="I360" i="164" s="1"/>
  <c r="G350" i="161"/>
  <c r="G360" i="161" s="1"/>
  <c r="G94" i="159"/>
  <c r="H94" i="159"/>
  <c r="I94" i="159"/>
  <c r="G384" i="164"/>
  <c r="K384" i="160"/>
  <c r="L384" i="160" s="1"/>
  <c r="G96" i="158"/>
  <c r="H96" i="158"/>
  <c r="J386" i="166"/>
  <c r="P821" i="161"/>
  <c r="L821" i="161"/>
  <c r="J826" i="157"/>
  <c r="K826" i="157" s="1"/>
  <c r="O826" i="157"/>
  <c r="F416" i="162"/>
  <c r="F431" i="162" s="1"/>
  <c r="F433" i="162" s="1"/>
  <c r="J402" i="158"/>
  <c r="G403" i="158"/>
  <c r="J87" i="9"/>
  <c r="K87" i="9" s="1"/>
  <c r="J176" i="9"/>
  <c r="K175" i="9"/>
  <c r="K176" i="9" s="1"/>
  <c r="J383" i="161"/>
  <c r="F389" i="161"/>
  <c r="H383" i="161"/>
  <c r="I383" i="161"/>
  <c r="G89" i="158"/>
  <c r="H89" i="158"/>
  <c r="I89" i="158"/>
  <c r="H179" i="158"/>
  <c r="H178" i="158"/>
  <c r="J135" i="9"/>
  <c r="F135" i="157"/>
  <c r="J147" i="9"/>
  <c r="K147" i="9" s="1"/>
  <c r="F147" i="157"/>
  <c r="G788" i="157"/>
  <c r="H788" i="157"/>
  <c r="F175" i="157"/>
  <c r="G349" i="165"/>
  <c r="H350" i="160"/>
  <c r="H360" i="160" s="1"/>
  <c r="H414" i="159"/>
  <c r="G179" i="9"/>
  <c r="G178" i="9"/>
  <c r="K135" i="158"/>
  <c r="H137" i="159"/>
  <c r="H97" i="158"/>
  <c r="I97" i="158"/>
  <c r="G97" i="158"/>
  <c r="J97" i="158" s="1"/>
  <c r="K97" i="158" s="1"/>
  <c r="K384" i="161"/>
  <c r="L384" i="161" s="1"/>
  <c r="I384" i="164"/>
  <c r="G384" i="162"/>
  <c r="I825" i="157"/>
  <c r="J825" i="157" s="1"/>
  <c r="K825" i="157" s="1"/>
  <c r="K348" i="166"/>
  <c r="J98" i="9"/>
  <c r="K98" i="9" s="1"/>
  <c r="F98" i="157"/>
  <c r="G793" i="9"/>
  <c r="G96" i="9"/>
  <c r="H98" i="159"/>
  <c r="K386" i="161"/>
  <c r="L386" i="161" s="1"/>
  <c r="I386" i="164"/>
  <c r="J138" i="9"/>
  <c r="K138" i="9" s="1"/>
  <c r="F138" i="157"/>
  <c r="G413" i="9"/>
  <c r="J89" i="9"/>
  <c r="K89" i="9" s="1"/>
  <c r="F89" i="157"/>
  <c r="I788" i="159"/>
  <c r="O788" i="159" s="1"/>
  <c r="I825" i="159"/>
  <c r="I414" i="159" s="1"/>
  <c r="F414" i="161" s="1"/>
  <c r="I131" i="157"/>
  <c r="I175" i="157" s="1"/>
  <c r="I176" i="157" s="1"/>
  <c r="I769" i="157"/>
  <c r="I771" i="157" s="1"/>
  <c r="I757" i="157" s="1"/>
  <c r="I758" i="157" s="1"/>
  <c r="I411" i="166"/>
  <c r="H821" i="160"/>
  <c r="F360" i="160"/>
  <c r="I821" i="160"/>
  <c r="J821" i="160"/>
  <c r="G349" i="160"/>
  <c r="J144" i="9"/>
  <c r="F144" i="157"/>
  <c r="G87" i="159"/>
  <c r="H87" i="159"/>
  <c r="H146" i="159"/>
  <c r="G414" i="9"/>
  <c r="H89" i="159"/>
  <c r="G137" i="9"/>
  <c r="H406" i="161"/>
  <c r="I406" i="161"/>
  <c r="F407" i="161"/>
  <c r="J406" i="161"/>
  <c r="K94" i="158"/>
  <c r="H822" i="157"/>
  <c r="I822" i="157"/>
  <c r="G822" i="157"/>
  <c r="J94" i="9"/>
  <c r="F94" i="157"/>
  <c r="I386" i="162"/>
  <c r="F386" i="166" s="1"/>
  <c r="I179" i="159"/>
  <c r="I178" i="159"/>
  <c r="J384" i="165"/>
  <c r="K384" i="165" s="1"/>
  <c r="J383" i="158"/>
  <c r="G389" i="158"/>
  <c r="I825" i="158"/>
  <c r="J825" i="158" s="1"/>
  <c r="K825" i="158" s="1"/>
  <c r="J386" i="167"/>
  <c r="J822" i="161"/>
  <c r="H822" i="161"/>
  <c r="I822" i="161"/>
  <c r="J386" i="162"/>
  <c r="F386" i="167" s="1"/>
  <c r="F410" i="159"/>
  <c r="G85" i="159"/>
  <c r="H85" i="159"/>
  <c r="I85" i="159"/>
  <c r="G87" i="158"/>
  <c r="H87" i="158"/>
  <c r="F383" i="160"/>
  <c r="J383" i="159"/>
  <c r="G389" i="159"/>
  <c r="G824" i="159" s="1"/>
  <c r="G349" i="155"/>
  <c r="H349" i="155"/>
  <c r="J349" i="155"/>
  <c r="F350" i="155"/>
  <c r="I349" i="155"/>
  <c r="F176" i="159"/>
  <c r="H147" i="158"/>
  <c r="G147" i="158" s="1"/>
  <c r="J147" i="158" s="1"/>
  <c r="K147" i="158" s="1"/>
  <c r="I147" i="158"/>
  <c r="H139" i="159"/>
  <c r="G139" i="159" s="1"/>
  <c r="H131" i="157"/>
  <c r="H175" i="157" s="1"/>
  <c r="H176" i="157" s="1"/>
  <c r="H769" i="157"/>
  <c r="H771" i="157" s="1"/>
  <c r="H757" i="157" s="1"/>
  <c r="H758" i="157" s="1"/>
  <c r="F125" i="155"/>
  <c r="G125" i="157"/>
  <c r="J148" i="9"/>
  <c r="K148" i="9" s="1"/>
  <c r="F148" i="157"/>
  <c r="I411" i="165"/>
  <c r="G349" i="166"/>
  <c r="I350" i="160"/>
  <c r="I360" i="160" s="1"/>
  <c r="I179" i="158"/>
  <c r="I178" i="158"/>
  <c r="H147" i="159"/>
  <c r="G147" i="159" s="1"/>
  <c r="I147" i="159"/>
  <c r="F147" i="161" s="1"/>
  <c r="H146" i="158"/>
  <c r="I788" i="9"/>
  <c r="J788" i="9"/>
  <c r="K788" i="9" s="1"/>
  <c r="I411" i="160"/>
  <c r="G411" i="166" s="1"/>
  <c r="J411" i="160"/>
  <c r="G411" i="167" s="1"/>
  <c r="H411" i="160"/>
  <c r="G411" i="165" s="1"/>
  <c r="J131" i="158"/>
  <c r="J175" i="158" s="1"/>
  <c r="J176" i="158" s="1"/>
  <c r="K125" i="158"/>
  <c r="K131" i="158" s="1"/>
  <c r="H125" i="160"/>
  <c r="F131" i="160"/>
  <c r="I125" i="160"/>
  <c r="J125" i="160"/>
  <c r="H413" i="159"/>
  <c r="H414" i="158"/>
  <c r="G414" i="158" s="1"/>
  <c r="J414" i="158" s="1"/>
  <c r="K414" i="158" s="1"/>
  <c r="I414" i="158"/>
  <c r="G98" i="158"/>
  <c r="H98" i="158"/>
  <c r="I98" i="158"/>
  <c r="I788" i="158"/>
  <c r="J788" i="158" s="1"/>
  <c r="K788" i="158" s="1"/>
  <c r="J821" i="157"/>
  <c r="K821" i="157" s="1"/>
  <c r="O821" i="157"/>
  <c r="G407" i="157"/>
  <c r="J406" i="157"/>
  <c r="J402" i="161"/>
  <c r="F403" i="161"/>
  <c r="H402" i="161"/>
  <c r="I402" i="161"/>
  <c r="L348" i="162"/>
  <c r="H138" i="158"/>
  <c r="I138" i="158"/>
  <c r="G138" i="158" s="1"/>
  <c r="J138" i="158" s="1"/>
  <c r="K138" i="158" s="1"/>
  <c r="G415" i="159"/>
  <c r="K384" i="155"/>
  <c r="L384" i="155" s="1"/>
  <c r="H384" i="164"/>
  <c r="I411" i="167"/>
  <c r="G411" i="161"/>
  <c r="I97" i="159"/>
  <c r="F97" i="161" s="1"/>
  <c r="G97" i="159"/>
  <c r="H97" i="159"/>
  <c r="J146" i="9"/>
  <c r="K146" i="9" s="1"/>
  <c r="F146" i="157"/>
  <c r="G771" i="158"/>
  <c r="J769" i="158"/>
  <c r="K769" i="158" s="1"/>
  <c r="F329" i="162"/>
  <c r="F296" i="162"/>
  <c r="I383" i="155"/>
  <c r="J383" i="155"/>
  <c r="H383" i="155"/>
  <c r="F389" i="155"/>
  <c r="G771" i="159"/>
  <c r="J769" i="159"/>
  <c r="K769" i="159" s="1"/>
  <c r="F176" i="158"/>
  <c r="F771" i="161"/>
  <c r="F757" i="161" s="1"/>
  <c r="G389" i="157"/>
  <c r="J383" i="157"/>
  <c r="F431" i="9"/>
  <c r="J410" i="9"/>
  <c r="F410" i="157"/>
  <c r="J350" i="157"/>
  <c r="J360" i="157" s="1"/>
  <c r="K349" i="157"/>
  <c r="K350" i="157" s="1"/>
  <c r="K360" i="157" s="1"/>
  <c r="K348" i="164"/>
  <c r="I135" i="159"/>
  <c r="H135" i="159"/>
  <c r="H138" i="159"/>
  <c r="I138" i="159"/>
  <c r="F138" i="161" s="1"/>
  <c r="H88" i="158"/>
  <c r="I88" i="158"/>
  <c r="G88" i="158"/>
  <c r="J88" i="158" s="1"/>
  <c r="K88" i="158" s="1"/>
  <c r="K144" i="158"/>
  <c r="H758" i="155"/>
  <c r="I758" i="155"/>
  <c r="J758" i="155"/>
  <c r="F758" i="155"/>
  <c r="H139" i="158"/>
  <c r="I139" i="158"/>
  <c r="G178" i="158"/>
  <c r="G179" i="158"/>
  <c r="H386" i="162"/>
  <c r="F386" i="165" s="1"/>
  <c r="K386" i="165" s="1"/>
  <c r="H402" i="160"/>
  <c r="G402" i="160" s="1"/>
  <c r="I402" i="160"/>
  <c r="F403" i="160"/>
  <c r="J402" i="160"/>
  <c r="J131" i="159"/>
  <c r="J175" i="159" s="1"/>
  <c r="J176" i="159" s="1"/>
  <c r="K125" i="159"/>
  <c r="K131" i="159" s="1"/>
  <c r="G97" i="9"/>
  <c r="J384" i="162"/>
  <c r="F384" i="167" s="1"/>
  <c r="K384" i="167" s="1"/>
  <c r="H137" i="158"/>
  <c r="F406" i="160"/>
  <c r="J406" i="159"/>
  <c r="G407" i="159"/>
  <c r="G826" i="159" s="1"/>
  <c r="F329" i="9"/>
  <c r="F296" i="9"/>
  <c r="H349" i="162"/>
  <c r="H406" i="155"/>
  <c r="I406" i="155"/>
  <c r="J406" i="155"/>
  <c r="F407" i="155"/>
  <c r="K348" i="165"/>
  <c r="I125" i="161"/>
  <c r="F131" i="161"/>
  <c r="J125" i="161"/>
  <c r="H125" i="161"/>
  <c r="G386" i="160"/>
  <c r="G386" i="162" s="1"/>
  <c r="K348" i="167"/>
  <c r="F410" i="158"/>
  <c r="J403" i="157"/>
  <c r="K402" i="157"/>
  <c r="K403" i="157" s="1"/>
  <c r="H415" i="157"/>
  <c r="F415" i="155" s="1"/>
  <c r="I415" i="157"/>
  <c r="J85" i="9"/>
  <c r="F85" i="157"/>
  <c r="H178" i="159"/>
  <c r="H179" i="159"/>
  <c r="I384" i="162"/>
  <c r="F384" i="166" s="1"/>
  <c r="K384" i="166" s="1"/>
  <c r="I402" i="155"/>
  <c r="F403" i="155"/>
  <c r="J402" i="155"/>
  <c r="H402" i="155"/>
  <c r="G402" i="155" s="1"/>
  <c r="H413" i="158"/>
  <c r="F757" i="157"/>
  <c r="G386" i="155"/>
  <c r="K85" i="158"/>
  <c r="I824" i="157"/>
  <c r="O824" i="157" s="1"/>
  <c r="J824" i="157"/>
  <c r="K824" i="157" s="1"/>
  <c r="H411" i="157"/>
  <c r="F411" i="155" s="1"/>
  <c r="I411" i="157"/>
  <c r="H148" i="158"/>
  <c r="G148" i="158" s="1"/>
  <c r="J148" i="158" s="1"/>
  <c r="K148" i="158" s="1"/>
  <c r="I148" i="158"/>
  <c r="G349" i="167"/>
  <c r="J350" i="160"/>
  <c r="J360" i="160" s="1"/>
  <c r="I144" i="159"/>
  <c r="H144" i="159"/>
  <c r="G144" i="159" s="1"/>
  <c r="I88" i="159"/>
  <c r="F88" i="161" s="1"/>
  <c r="H88" i="159"/>
  <c r="G88" i="159"/>
  <c r="G88" i="9"/>
  <c r="J139" i="9"/>
  <c r="K139" i="9" s="1"/>
  <c r="F139" i="157"/>
  <c r="J403" i="159"/>
  <c r="K402" i="159"/>
  <c r="K403" i="159" s="1"/>
  <c r="F771" i="160"/>
  <c r="F757" i="160" s="1"/>
  <c r="G178" i="159"/>
  <c r="G179" i="159"/>
  <c r="G822" i="161" l="1"/>
  <c r="K822" i="161" s="1"/>
  <c r="I96" i="158"/>
  <c r="J96" i="158" s="1"/>
  <c r="K96" i="158" s="1"/>
  <c r="O824" i="158"/>
  <c r="G411" i="157"/>
  <c r="J411" i="157" s="1"/>
  <c r="K411" i="157" s="1"/>
  <c r="I413" i="158"/>
  <c r="G413" i="158" s="1"/>
  <c r="J413" i="158" s="1"/>
  <c r="K413" i="158" s="1"/>
  <c r="J98" i="158"/>
  <c r="K98" i="158" s="1"/>
  <c r="G821" i="160"/>
  <c r="K821" i="160" s="1"/>
  <c r="G406" i="155"/>
  <c r="G407" i="155" s="1"/>
  <c r="G139" i="158"/>
  <c r="J139" i="158" s="1"/>
  <c r="K139" i="158" s="1"/>
  <c r="J384" i="164"/>
  <c r="I146" i="158"/>
  <c r="G146" i="158" s="1"/>
  <c r="J146" i="158" s="1"/>
  <c r="K146" i="158" s="1"/>
  <c r="I137" i="158"/>
  <c r="G137" i="158" s="1"/>
  <c r="J137" i="158" s="1"/>
  <c r="K137" i="158" s="1"/>
  <c r="K386" i="166"/>
  <c r="G148" i="159"/>
  <c r="G415" i="157"/>
  <c r="J415" i="157" s="1"/>
  <c r="K415" i="157" s="1"/>
  <c r="G138" i="159"/>
  <c r="J138" i="159" s="1"/>
  <c r="K138" i="159" s="1"/>
  <c r="O788" i="158"/>
  <c r="I87" i="158"/>
  <c r="J87" i="158" s="1"/>
  <c r="K87" i="158" s="1"/>
  <c r="K386" i="167"/>
  <c r="J788" i="159"/>
  <c r="K788" i="159" s="1"/>
  <c r="G403" i="155"/>
  <c r="H402" i="164"/>
  <c r="H403" i="164" s="1"/>
  <c r="K402" i="155"/>
  <c r="F138" i="160"/>
  <c r="J144" i="159"/>
  <c r="F144" i="160"/>
  <c r="K406" i="155"/>
  <c r="F147" i="160"/>
  <c r="J147" i="159"/>
  <c r="K147" i="159" s="1"/>
  <c r="G414" i="159"/>
  <c r="F758" i="160"/>
  <c r="I139" i="157"/>
  <c r="H139" i="157"/>
  <c r="F139" i="155" s="1"/>
  <c r="H410" i="158"/>
  <c r="I410" i="158"/>
  <c r="H788" i="161"/>
  <c r="F175" i="161"/>
  <c r="I826" i="155"/>
  <c r="J826" i="155"/>
  <c r="H826" i="155"/>
  <c r="G402" i="164"/>
  <c r="K402" i="160"/>
  <c r="G403" i="160"/>
  <c r="H383" i="167"/>
  <c r="H389" i="167" s="1"/>
  <c r="J389" i="155"/>
  <c r="I402" i="166"/>
  <c r="I403" i="166" s="1"/>
  <c r="I403" i="161"/>
  <c r="I402" i="162"/>
  <c r="G402" i="161"/>
  <c r="J178" i="158"/>
  <c r="J179" i="158"/>
  <c r="J125" i="157"/>
  <c r="G131" i="157"/>
  <c r="G175" i="157" s="1"/>
  <c r="G176" i="157" s="1"/>
  <c r="G769" i="157"/>
  <c r="F360" i="155"/>
  <c r="J389" i="159"/>
  <c r="K383" i="159"/>
  <c r="K389" i="159" s="1"/>
  <c r="H410" i="159"/>
  <c r="I410" i="159"/>
  <c r="I406" i="165"/>
  <c r="I407" i="165" s="1"/>
  <c r="H407" i="161"/>
  <c r="H822" i="160"/>
  <c r="G822" i="160" s="1"/>
  <c r="K822" i="160" s="1"/>
  <c r="I822" i="160"/>
  <c r="J822" i="160"/>
  <c r="F384" i="164"/>
  <c r="K384" i="164" s="1"/>
  <c r="K384" i="162"/>
  <c r="L384" i="162" s="1"/>
  <c r="F18" i="162"/>
  <c r="F498" i="162"/>
  <c r="F501" i="162" s="1"/>
  <c r="F312" i="162"/>
  <c r="F232" i="158"/>
  <c r="H402" i="167"/>
  <c r="H403" i="167" s="1"/>
  <c r="J403" i="155"/>
  <c r="K85" i="9"/>
  <c r="I125" i="166"/>
  <c r="I131" i="166" s="1"/>
  <c r="I175" i="166" s="1"/>
  <c r="I176" i="166" s="1"/>
  <c r="I769" i="161"/>
  <c r="I771" i="161" s="1"/>
  <c r="I757" i="161" s="1"/>
  <c r="I758" i="161" s="1"/>
  <c r="I131" i="161"/>
  <c r="I175" i="161" s="1"/>
  <c r="I176" i="161" s="1"/>
  <c r="J826" i="159"/>
  <c r="K826" i="159" s="1"/>
  <c r="O826" i="159"/>
  <c r="G89" i="159"/>
  <c r="G98" i="159"/>
  <c r="J97" i="9"/>
  <c r="K97" i="9" s="1"/>
  <c r="F97" i="157"/>
  <c r="G135" i="159"/>
  <c r="H410" i="157"/>
  <c r="I410" i="157"/>
  <c r="K175" i="158"/>
  <c r="K176" i="158" s="1"/>
  <c r="H383" i="166"/>
  <c r="H389" i="166" s="1"/>
  <c r="I389" i="155"/>
  <c r="G757" i="158"/>
  <c r="J771" i="158"/>
  <c r="K771" i="158" s="1"/>
  <c r="J415" i="159"/>
  <c r="K415" i="159" s="1"/>
  <c r="F415" i="160"/>
  <c r="I402" i="165"/>
  <c r="I403" i="165" s="1"/>
  <c r="H403" i="161"/>
  <c r="H402" i="162"/>
  <c r="G125" i="165"/>
  <c r="H131" i="160"/>
  <c r="H175" i="160" s="1"/>
  <c r="H176" i="160" s="1"/>
  <c r="H769" i="160"/>
  <c r="H771" i="160" s="1"/>
  <c r="H757" i="160" s="1"/>
  <c r="H758" i="160" s="1"/>
  <c r="H125" i="155"/>
  <c r="I125" i="155"/>
  <c r="F131" i="155"/>
  <c r="J125" i="155"/>
  <c r="H349" i="167"/>
  <c r="H350" i="167" s="1"/>
  <c r="H360" i="167" s="1"/>
  <c r="J350" i="155"/>
  <c r="J360" i="155" s="1"/>
  <c r="J349" i="162"/>
  <c r="H826" i="161"/>
  <c r="H89" i="161" s="1"/>
  <c r="L821" i="160"/>
  <c r="P821" i="160"/>
  <c r="F176" i="157"/>
  <c r="K135" i="9"/>
  <c r="I383" i="167"/>
  <c r="I389" i="167" s="1"/>
  <c r="J389" i="161"/>
  <c r="J824" i="161" s="1"/>
  <c r="L349" i="161"/>
  <c r="L350" i="161" s="1"/>
  <c r="L360" i="161" s="1"/>
  <c r="K350" i="161"/>
  <c r="K360" i="161" s="1"/>
  <c r="F273" i="158"/>
  <c r="J757" i="9"/>
  <c r="K757" i="9" s="1"/>
  <c r="G758" i="9"/>
  <c r="I758" i="9"/>
  <c r="H758" i="9"/>
  <c r="J148" i="159"/>
  <c r="K148" i="159" s="1"/>
  <c r="F148" i="160"/>
  <c r="J88" i="159"/>
  <c r="K88" i="159" s="1"/>
  <c r="F88" i="160"/>
  <c r="F144" i="161"/>
  <c r="J411" i="155"/>
  <c r="H411" i="167" s="1"/>
  <c r="I411" i="155"/>
  <c r="H411" i="166" s="1"/>
  <c r="J411" i="166" s="1"/>
  <c r="H411" i="155"/>
  <c r="K386" i="155"/>
  <c r="L386" i="155" s="1"/>
  <c r="H386" i="164"/>
  <c r="H402" i="166"/>
  <c r="H403" i="166" s="1"/>
  <c r="I403" i="155"/>
  <c r="H85" i="157"/>
  <c r="I85" i="157"/>
  <c r="G85" i="157"/>
  <c r="J415" i="155"/>
  <c r="H415" i="167" s="1"/>
  <c r="H415" i="155"/>
  <c r="H415" i="165" s="1"/>
  <c r="I415" i="155"/>
  <c r="H415" i="166" s="1"/>
  <c r="K386" i="160"/>
  <c r="L386" i="160" s="1"/>
  <c r="G386" i="164"/>
  <c r="I125" i="167"/>
  <c r="I131" i="167" s="1"/>
  <c r="I175" i="167" s="1"/>
  <c r="I176" i="167" s="1"/>
  <c r="J131" i="161"/>
  <c r="J175" i="161" s="1"/>
  <c r="J176" i="161" s="1"/>
  <c r="J769" i="161"/>
  <c r="J771" i="161" s="1"/>
  <c r="J757" i="161" s="1"/>
  <c r="J758" i="161" s="1"/>
  <c r="F349" i="165"/>
  <c r="H350" i="162"/>
  <c r="H360" i="162" s="1"/>
  <c r="J406" i="160"/>
  <c r="J406" i="162" s="1"/>
  <c r="F407" i="160"/>
  <c r="H406" i="160"/>
  <c r="H406" i="162" s="1"/>
  <c r="I406" i="160"/>
  <c r="J179" i="159"/>
  <c r="J178" i="159"/>
  <c r="G402" i="166"/>
  <c r="I403" i="160"/>
  <c r="J389" i="157"/>
  <c r="K383" i="157"/>
  <c r="K389" i="157" s="1"/>
  <c r="G757" i="159"/>
  <c r="J771" i="159"/>
  <c r="K771" i="159" s="1"/>
  <c r="H383" i="165"/>
  <c r="H389" i="165" s="1"/>
  <c r="H389" i="155"/>
  <c r="F175" i="160"/>
  <c r="G411" i="160"/>
  <c r="G350" i="166"/>
  <c r="G360" i="166" s="1"/>
  <c r="H178" i="157"/>
  <c r="H179" i="157"/>
  <c r="H349" i="166"/>
  <c r="H350" i="166" s="1"/>
  <c r="H360" i="166" s="1"/>
  <c r="I350" i="155"/>
  <c r="I360" i="155" s="1"/>
  <c r="I349" i="162"/>
  <c r="H349" i="165"/>
  <c r="H350" i="165" s="1"/>
  <c r="H360" i="165" s="1"/>
  <c r="H350" i="155"/>
  <c r="H360" i="155" s="1"/>
  <c r="I824" i="159"/>
  <c r="J824" i="159" s="1"/>
  <c r="K824" i="159" s="1"/>
  <c r="F85" i="161"/>
  <c r="F85" i="160"/>
  <c r="J85" i="159"/>
  <c r="H94" i="157"/>
  <c r="I94" i="157"/>
  <c r="G94" i="157"/>
  <c r="I406" i="167"/>
  <c r="I407" i="167" s="1"/>
  <c r="J407" i="161"/>
  <c r="J826" i="161" s="1"/>
  <c r="K144" i="9"/>
  <c r="J825" i="159"/>
  <c r="K825" i="159" s="1"/>
  <c r="H89" i="157"/>
  <c r="F89" i="155" s="1"/>
  <c r="I89" i="157"/>
  <c r="G89" i="157"/>
  <c r="I788" i="157"/>
  <c r="O788" i="157" s="1"/>
  <c r="I135" i="157"/>
  <c r="H135" i="157"/>
  <c r="J89" i="158"/>
  <c r="K89" i="158" s="1"/>
  <c r="J178" i="9"/>
  <c r="J179" i="9"/>
  <c r="J403" i="158"/>
  <c r="K402" i="158"/>
  <c r="K403" i="158" s="1"/>
  <c r="F278" i="158"/>
  <c r="F233" i="158"/>
  <c r="H139" i="161"/>
  <c r="H406" i="165"/>
  <c r="H407" i="165" s="1"/>
  <c r="H407" i="155"/>
  <c r="F135" i="161"/>
  <c r="F178" i="158"/>
  <c r="G793" i="158"/>
  <c r="G628" i="158" s="1"/>
  <c r="H793" i="158"/>
  <c r="H628" i="158" s="1"/>
  <c r="F179" i="158"/>
  <c r="G383" i="155"/>
  <c r="K411" i="161"/>
  <c r="L411" i="161" s="1"/>
  <c r="I411" i="164"/>
  <c r="J411" i="167"/>
  <c r="J139" i="159"/>
  <c r="K139" i="159" s="1"/>
  <c r="F139" i="160"/>
  <c r="K349" i="155"/>
  <c r="H349" i="164"/>
  <c r="H350" i="164" s="1"/>
  <c r="H360" i="164" s="1"/>
  <c r="G350" i="155"/>
  <c r="G360" i="155" s="1"/>
  <c r="L822" i="161"/>
  <c r="P822" i="161"/>
  <c r="K94" i="9"/>
  <c r="G406" i="161"/>
  <c r="J96" i="9"/>
  <c r="K96" i="9" s="1"/>
  <c r="F96" i="157"/>
  <c r="G350" i="165"/>
  <c r="G360" i="165" s="1"/>
  <c r="H147" i="157"/>
  <c r="F147" i="155" s="1"/>
  <c r="I147" i="157"/>
  <c r="G147" i="157"/>
  <c r="J147" i="157" s="1"/>
  <c r="K147" i="157" s="1"/>
  <c r="I383" i="166"/>
  <c r="I389" i="166" s="1"/>
  <c r="I389" i="161"/>
  <c r="I824" i="161" s="1"/>
  <c r="G383" i="161"/>
  <c r="H87" i="157"/>
  <c r="F87" i="155" s="1"/>
  <c r="I87" i="157"/>
  <c r="G87" i="157"/>
  <c r="J87" i="157" s="1"/>
  <c r="K87" i="157" s="1"/>
  <c r="H454" i="9"/>
  <c r="H832" i="9" s="1"/>
  <c r="F453" i="158"/>
  <c r="F96" i="160"/>
  <c r="G350" i="167"/>
  <c r="G360" i="167" s="1"/>
  <c r="I125" i="165"/>
  <c r="I131" i="165" s="1"/>
  <c r="I175" i="165" s="1"/>
  <c r="I176" i="165" s="1"/>
  <c r="H125" i="162"/>
  <c r="H131" i="161"/>
  <c r="H175" i="161" s="1"/>
  <c r="H176" i="161" s="1"/>
  <c r="H769" i="161"/>
  <c r="H771" i="161" s="1"/>
  <c r="H757" i="161" s="1"/>
  <c r="H758" i="161" s="1"/>
  <c r="H406" i="167"/>
  <c r="H407" i="167" s="1"/>
  <c r="J407" i="155"/>
  <c r="G402" i="167"/>
  <c r="J403" i="160"/>
  <c r="G402" i="165"/>
  <c r="H403" i="160"/>
  <c r="I402" i="167"/>
  <c r="I403" i="167" s="1"/>
  <c r="J402" i="162"/>
  <c r="J403" i="161"/>
  <c r="G125" i="167"/>
  <c r="J131" i="160"/>
  <c r="J175" i="160" s="1"/>
  <c r="J176" i="160" s="1"/>
  <c r="J769" i="160"/>
  <c r="J771" i="160" s="1"/>
  <c r="J757" i="160" s="1"/>
  <c r="J758" i="160" s="1"/>
  <c r="G793" i="159"/>
  <c r="F179" i="159"/>
  <c r="H793" i="159"/>
  <c r="F178" i="159"/>
  <c r="H383" i="160"/>
  <c r="H383" i="162" s="1"/>
  <c r="I383" i="160"/>
  <c r="I383" i="162" s="1"/>
  <c r="J383" i="160"/>
  <c r="F389" i="160"/>
  <c r="J414" i="9"/>
  <c r="K414" i="9" s="1"/>
  <c r="F414" i="157"/>
  <c r="F87" i="160"/>
  <c r="K349" i="160"/>
  <c r="G349" i="164"/>
  <c r="G350" i="160"/>
  <c r="G360" i="160" s="1"/>
  <c r="I178" i="157"/>
  <c r="I179" i="157"/>
  <c r="J413" i="9"/>
  <c r="K413" i="9" s="1"/>
  <c r="F413" i="157"/>
  <c r="F386" i="164"/>
  <c r="K386" i="162"/>
  <c r="L386" i="162" s="1"/>
  <c r="G628" i="9"/>
  <c r="I793" i="9"/>
  <c r="J793" i="9"/>
  <c r="K793" i="9" s="1"/>
  <c r="F374" i="158"/>
  <c r="J88" i="9"/>
  <c r="K88" i="9" s="1"/>
  <c r="F88" i="157"/>
  <c r="H402" i="165"/>
  <c r="H403" i="165" s="1"/>
  <c r="H403" i="155"/>
  <c r="H825" i="155"/>
  <c r="I825" i="155"/>
  <c r="J825" i="155"/>
  <c r="G125" i="161"/>
  <c r="I407" i="155"/>
  <c r="H406" i="166"/>
  <c r="H407" i="166" s="1"/>
  <c r="J407" i="159"/>
  <c r="K406" i="159"/>
  <c r="K407" i="159" s="1"/>
  <c r="H825" i="160"/>
  <c r="I825" i="160"/>
  <c r="J825" i="160"/>
  <c r="K410" i="9"/>
  <c r="F433" i="9"/>
  <c r="C35" i="5"/>
  <c r="J824" i="155"/>
  <c r="H824" i="155"/>
  <c r="I824" i="155"/>
  <c r="G146" i="157"/>
  <c r="J146" i="157" s="1"/>
  <c r="K146" i="157"/>
  <c r="I146" i="157"/>
  <c r="H146" i="157"/>
  <c r="F146" i="155" s="1"/>
  <c r="J97" i="159"/>
  <c r="K97" i="159" s="1"/>
  <c r="F97" i="160"/>
  <c r="I825" i="161"/>
  <c r="I88" i="161" s="1"/>
  <c r="J825" i="161"/>
  <c r="J414" i="161" s="1"/>
  <c r="H825" i="161"/>
  <c r="G825" i="161" s="1"/>
  <c r="K825" i="161" s="1"/>
  <c r="L825" i="161" s="1"/>
  <c r="J407" i="157"/>
  <c r="K406" i="157"/>
  <c r="K407" i="157" s="1"/>
  <c r="G125" i="166"/>
  <c r="I131" i="160"/>
  <c r="I175" i="160" s="1"/>
  <c r="I176" i="160" s="1"/>
  <c r="I769" i="160"/>
  <c r="I771" i="160" s="1"/>
  <c r="I757" i="160" s="1"/>
  <c r="I758" i="160" s="1"/>
  <c r="G125" i="160"/>
  <c r="I148" i="157"/>
  <c r="H148" i="157"/>
  <c r="F148" i="155" s="1"/>
  <c r="K175" i="159"/>
  <c r="K176" i="159" s="1"/>
  <c r="J389" i="158"/>
  <c r="K383" i="158"/>
  <c r="K389" i="158" s="1"/>
  <c r="O822" i="157"/>
  <c r="J822" i="157"/>
  <c r="K822" i="157" s="1"/>
  <c r="I406" i="166"/>
  <c r="I407" i="166" s="1"/>
  <c r="I407" i="161"/>
  <c r="I826" i="161" s="1"/>
  <c r="I139" i="161" s="1"/>
  <c r="I406" i="162"/>
  <c r="J137" i="9"/>
  <c r="K137" i="9" s="1"/>
  <c r="F137" i="157"/>
  <c r="I144" i="157"/>
  <c r="H144" i="157"/>
  <c r="H138" i="157"/>
  <c r="F138" i="155" s="1"/>
  <c r="I138" i="157"/>
  <c r="H98" i="157"/>
  <c r="F98" i="155" s="1"/>
  <c r="I98" i="157"/>
  <c r="G98" i="157"/>
  <c r="I383" i="165"/>
  <c r="I389" i="165" s="1"/>
  <c r="H389" i="161"/>
  <c r="H824" i="161" s="1"/>
  <c r="K179" i="9"/>
  <c r="K178" i="9"/>
  <c r="F94" i="161"/>
  <c r="F94" i="160"/>
  <c r="J94" i="159"/>
  <c r="G349" i="162"/>
  <c r="H319" i="9"/>
  <c r="H802" i="9" s="1"/>
  <c r="F318" i="158"/>
  <c r="F208" i="158"/>
  <c r="H98" i="161"/>
  <c r="H415" i="161"/>
  <c r="I147" i="161" l="1"/>
  <c r="G148" i="157"/>
  <c r="J148" i="157" s="1"/>
  <c r="K148" i="157" s="1"/>
  <c r="G825" i="160"/>
  <c r="K825" i="160" s="1"/>
  <c r="L825" i="160" s="1"/>
  <c r="J758" i="9"/>
  <c r="K758" i="9" s="1"/>
  <c r="J89" i="157"/>
  <c r="K89" i="157" s="1"/>
  <c r="I138" i="161"/>
  <c r="J821" i="155"/>
  <c r="J97" i="161"/>
  <c r="I97" i="167" s="1"/>
  <c r="J88" i="161"/>
  <c r="H406" i="164"/>
  <c r="H407" i="164" s="1"/>
  <c r="I414" i="161"/>
  <c r="H821" i="155"/>
  <c r="I97" i="161"/>
  <c r="I97" i="166" s="1"/>
  <c r="G139" i="157"/>
  <c r="J139" i="157" s="1"/>
  <c r="K139" i="157" s="1"/>
  <c r="I414" i="167"/>
  <c r="F383" i="165"/>
  <c r="H389" i="162"/>
  <c r="J148" i="161"/>
  <c r="J89" i="161"/>
  <c r="J98" i="161"/>
  <c r="J415" i="161"/>
  <c r="J139" i="161"/>
  <c r="F406" i="167"/>
  <c r="J407" i="162"/>
  <c r="I88" i="166"/>
  <c r="I89" i="165"/>
  <c r="I139" i="166"/>
  <c r="I98" i="155"/>
  <c r="H98" i="166" s="1"/>
  <c r="J98" i="155"/>
  <c r="H98" i="167" s="1"/>
  <c r="H98" i="155"/>
  <c r="H98" i="165" s="1"/>
  <c r="K178" i="159"/>
  <c r="K179" i="159"/>
  <c r="I179" i="160"/>
  <c r="I178" i="160"/>
  <c r="F628" i="157"/>
  <c r="J349" i="164"/>
  <c r="J350" i="164" s="1"/>
  <c r="J360" i="164" s="1"/>
  <c r="G350" i="164"/>
  <c r="G360" i="164" s="1"/>
  <c r="K383" i="161"/>
  <c r="G389" i="161"/>
  <c r="I383" i="164"/>
  <c r="I389" i="164" s="1"/>
  <c r="G407" i="161"/>
  <c r="I406" i="164"/>
  <c r="I407" i="164" s="1"/>
  <c r="K406" i="161"/>
  <c r="H278" i="158"/>
  <c r="I278" i="158"/>
  <c r="F281" i="158"/>
  <c r="J178" i="161"/>
  <c r="J179" i="161"/>
  <c r="F179" i="157"/>
  <c r="G793" i="157"/>
  <c r="H793" i="157"/>
  <c r="F178" i="157"/>
  <c r="G97" i="157"/>
  <c r="I97" i="157"/>
  <c r="H97" i="157"/>
  <c r="F97" i="155" s="1"/>
  <c r="F313" i="162"/>
  <c r="F321" i="162" s="1"/>
  <c r="F325" i="162" s="1"/>
  <c r="F326" i="162" s="1"/>
  <c r="F410" i="161"/>
  <c r="G410" i="159"/>
  <c r="G179" i="157"/>
  <c r="G178" i="157"/>
  <c r="K144" i="159"/>
  <c r="K403" i="155"/>
  <c r="L402" i="155"/>
  <c r="L403" i="155" s="1"/>
  <c r="J98" i="157"/>
  <c r="K98" i="157" s="1"/>
  <c r="G138" i="157"/>
  <c r="J138" i="157" s="1"/>
  <c r="K138" i="157" s="1"/>
  <c r="I411" i="162"/>
  <c r="F411" i="166" s="1"/>
  <c r="K411" i="166" s="1"/>
  <c r="F406" i="166"/>
  <c r="I407" i="162"/>
  <c r="G131" i="166"/>
  <c r="G175" i="166" s="1"/>
  <c r="G176" i="166" s="1"/>
  <c r="E35" i="5"/>
  <c r="C36" i="5"/>
  <c r="L349" i="160"/>
  <c r="L350" i="160" s="1"/>
  <c r="L360" i="160" s="1"/>
  <c r="K350" i="160"/>
  <c r="K360" i="160" s="1"/>
  <c r="G383" i="167"/>
  <c r="J389" i="160"/>
  <c r="I793" i="159"/>
  <c r="O793" i="159" s="1"/>
  <c r="G131" i="167"/>
  <c r="G175" i="167" s="1"/>
  <c r="G176" i="167" s="1"/>
  <c r="J402" i="167"/>
  <c r="J403" i="167" s="1"/>
  <c r="G403" i="167"/>
  <c r="J349" i="167"/>
  <c r="J350" i="167" s="1"/>
  <c r="J360" i="167" s="1"/>
  <c r="F383" i="166"/>
  <c r="I389" i="162"/>
  <c r="J349" i="165"/>
  <c r="J350" i="165" s="1"/>
  <c r="J360" i="165" s="1"/>
  <c r="I138" i="166"/>
  <c r="G824" i="161"/>
  <c r="K824" i="161" s="1"/>
  <c r="J85" i="160"/>
  <c r="H85" i="160"/>
  <c r="I85" i="160"/>
  <c r="F349" i="166"/>
  <c r="I350" i="162"/>
  <c r="I360" i="162" s="1"/>
  <c r="H788" i="160"/>
  <c r="G406" i="166"/>
  <c r="I407" i="160"/>
  <c r="G406" i="160"/>
  <c r="G406" i="162" s="1"/>
  <c r="F350" i="165"/>
  <c r="F360" i="165" s="1"/>
  <c r="I179" i="167"/>
  <c r="I178" i="167"/>
  <c r="I88" i="160"/>
  <c r="G88" i="166" s="1"/>
  <c r="J88" i="160"/>
  <c r="G88" i="167" s="1"/>
  <c r="H88" i="160"/>
  <c r="G88" i="165" s="1"/>
  <c r="F410" i="155"/>
  <c r="I89" i="161"/>
  <c r="G89" i="161" s="1"/>
  <c r="F406" i="165"/>
  <c r="H407" i="162"/>
  <c r="J131" i="157"/>
  <c r="J175" i="157" s="1"/>
  <c r="K125" i="157"/>
  <c r="K131" i="157" s="1"/>
  <c r="G403" i="161"/>
  <c r="G402" i="162"/>
  <c r="K402" i="161"/>
  <c r="I402" i="164"/>
  <c r="I403" i="164" s="1"/>
  <c r="G410" i="158"/>
  <c r="F144" i="155"/>
  <c r="G144" i="157"/>
  <c r="K125" i="160"/>
  <c r="G769" i="160"/>
  <c r="G771" i="160" s="1"/>
  <c r="G757" i="160" s="1"/>
  <c r="G131" i="160"/>
  <c r="G175" i="160" s="1"/>
  <c r="G176" i="160" s="1"/>
  <c r="G125" i="164"/>
  <c r="I415" i="161"/>
  <c r="I98" i="161"/>
  <c r="K94" i="159"/>
  <c r="I137" i="157"/>
  <c r="H137" i="157"/>
  <c r="F137" i="155" s="1"/>
  <c r="G824" i="155"/>
  <c r="K824" i="155" s="1"/>
  <c r="H148" i="161"/>
  <c r="I148" i="161"/>
  <c r="I232" i="9"/>
  <c r="I233" i="9"/>
  <c r="I278" i="9"/>
  <c r="I318" i="9"/>
  <c r="I208" i="9"/>
  <c r="I273" i="9"/>
  <c r="I628" i="9"/>
  <c r="F628" i="159" s="1"/>
  <c r="I453" i="9"/>
  <c r="I374" i="9"/>
  <c r="H413" i="157"/>
  <c r="F413" i="155" s="1"/>
  <c r="I413" i="157"/>
  <c r="G383" i="166"/>
  <c r="I389" i="160"/>
  <c r="F402" i="167"/>
  <c r="J403" i="162"/>
  <c r="G403" i="165"/>
  <c r="J402" i="165"/>
  <c r="J403" i="165" s="1"/>
  <c r="I178" i="165"/>
  <c r="I179" i="165"/>
  <c r="I87" i="155"/>
  <c r="H87" i="166" s="1"/>
  <c r="J87" i="155"/>
  <c r="H87" i="167" s="1"/>
  <c r="H87" i="155"/>
  <c r="H87" i="165" s="1"/>
  <c r="H147" i="155"/>
  <c r="H147" i="165" s="1"/>
  <c r="J147" i="155"/>
  <c r="H147" i="167" s="1"/>
  <c r="I147" i="155"/>
  <c r="H147" i="166" s="1"/>
  <c r="K350" i="155"/>
  <c r="K360" i="155" s="1"/>
  <c r="L349" i="155"/>
  <c r="L350" i="155" s="1"/>
  <c r="L360" i="155" s="1"/>
  <c r="H135" i="161"/>
  <c r="I135" i="161"/>
  <c r="J135" i="161"/>
  <c r="F135" i="155"/>
  <c r="G135" i="157"/>
  <c r="H89" i="155"/>
  <c r="H89" i="165" s="1"/>
  <c r="I89" i="155"/>
  <c r="H89" i="166" s="1"/>
  <c r="J89" i="155"/>
  <c r="H89" i="167" s="1"/>
  <c r="K85" i="159"/>
  <c r="J349" i="166"/>
  <c r="J350" i="166" s="1"/>
  <c r="J360" i="166" s="1"/>
  <c r="I788" i="160"/>
  <c r="I826" i="160"/>
  <c r="I139" i="160" s="1"/>
  <c r="J826" i="160"/>
  <c r="J148" i="160" s="1"/>
  <c r="G148" i="167" s="1"/>
  <c r="H826" i="160"/>
  <c r="H148" i="160" s="1"/>
  <c r="G148" i="165" s="1"/>
  <c r="G415" i="155"/>
  <c r="I144" i="161"/>
  <c r="J144" i="161"/>
  <c r="H144" i="161"/>
  <c r="I222" i="9"/>
  <c r="F222" i="159" s="1"/>
  <c r="I368" i="9"/>
  <c r="F175" i="155"/>
  <c r="I788" i="155"/>
  <c r="J788" i="155"/>
  <c r="H788" i="155"/>
  <c r="J411" i="162"/>
  <c r="F411" i="167" s="1"/>
  <c r="K411" i="167" s="1"/>
  <c r="J135" i="159"/>
  <c r="F135" i="160"/>
  <c r="F89" i="160"/>
  <c r="J89" i="159"/>
  <c r="K89" i="159" s="1"/>
  <c r="I179" i="161"/>
  <c r="I178" i="161"/>
  <c r="I821" i="155"/>
  <c r="G771" i="157"/>
  <c r="J769" i="157"/>
  <c r="K769" i="157" s="1"/>
  <c r="J147" i="161"/>
  <c r="F176" i="161"/>
  <c r="F414" i="160"/>
  <c r="J414" i="159"/>
  <c r="K414" i="159" s="1"/>
  <c r="J147" i="160"/>
  <c r="G147" i="167" s="1"/>
  <c r="H147" i="160"/>
  <c r="G147" i="165" s="1"/>
  <c r="I147" i="160"/>
  <c r="G147" i="166" s="1"/>
  <c r="H144" i="160"/>
  <c r="I144" i="160"/>
  <c r="J144" i="160"/>
  <c r="I98" i="165"/>
  <c r="H208" i="158"/>
  <c r="H94" i="160"/>
  <c r="I94" i="160"/>
  <c r="J94" i="160"/>
  <c r="I138" i="155"/>
  <c r="H138" i="166" s="1"/>
  <c r="J138" i="155"/>
  <c r="H138" i="167" s="1"/>
  <c r="H138" i="155"/>
  <c r="H138" i="165" s="1"/>
  <c r="H97" i="160"/>
  <c r="G97" i="165" s="1"/>
  <c r="I97" i="160"/>
  <c r="G97" i="166" s="1"/>
  <c r="J97" i="160"/>
  <c r="G97" i="167" s="1"/>
  <c r="H374" i="158"/>
  <c r="H414" i="157"/>
  <c r="F414" i="155" s="1"/>
  <c r="I414" i="157"/>
  <c r="J824" i="160"/>
  <c r="J87" i="160" s="1"/>
  <c r="G87" i="167" s="1"/>
  <c r="I824" i="160"/>
  <c r="I96" i="160" s="1"/>
  <c r="G96" i="166" s="1"/>
  <c r="H824" i="160"/>
  <c r="H87" i="160" s="1"/>
  <c r="G87" i="165" s="1"/>
  <c r="J179" i="160"/>
  <c r="J178" i="160"/>
  <c r="I139" i="165"/>
  <c r="K411" i="160"/>
  <c r="L411" i="160" s="1"/>
  <c r="G411" i="164"/>
  <c r="F176" i="160"/>
  <c r="I88" i="167"/>
  <c r="H125" i="166"/>
  <c r="H131" i="166" s="1"/>
  <c r="H175" i="166" s="1"/>
  <c r="H176" i="166" s="1"/>
  <c r="I131" i="155"/>
  <c r="I175" i="155" s="1"/>
  <c r="I176" i="155" s="1"/>
  <c r="I769" i="155"/>
  <c r="I771" i="155" s="1"/>
  <c r="I757" i="155" s="1"/>
  <c r="H178" i="160"/>
  <c r="H179" i="160"/>
  <c r="K178" i="158"/>
  <c r="K179" i="158"/>
  <c r="H232" i="158"/>
  <c r="L822" i="160"/>
  <c r="P822" i="160"/>
  <c r="I147" i="166"/>
  <c r="I415" i="165"/>
  <c r="K349" i="162"/>
  <c r="F349" i="164"/>
  <c r="G350" i="162"/>
  <c r="G360" i="162" s="1"/>
  <c r="J94" i="161"/>
  <c r="H94" i="161"/>
  <c r="I94" i="161"/>
  <c r="H148" i="155"/>
  <c r="H148" i="165" s="1"/>
  <c r="I148" i="155"/>
  <c r="H148" i="166" s="1"/>
  <c r="J148" i="155"/>
  <c r="H148" i="167" s="1"/>
  <c r="G88" i="157"/>
  <c r="I88" i="157"/>
  <c r="H88" i="157"/>
  <c r="F88" i="155" s="1"/>
  <c r="G383" i="165"/>
  <c r="H389" i="160"/>
  <c r="H179" i="161"/>
  <c r="H178" i="161"/>
  <c r="F454" i="158"/>
  <c r="H453" i="158"/>
  <c r="H454" i="158" s="1"/>
  <c r="I793" i="158"/>
  <c r="I628" i="158" s="1"/>
  <c r="J628" i="158" s="1"/>
  <c r="K628" i="158" s="1"/>
  <c r="J138" i="161"/>
  <c r="J788" i="157"/>
  <c r="K788" i="157" s="1"/>
  <c r="I137" i="159"/>
  <c r="I87" i="159"/>
  <c r="I96" i="159"/>
  <c r="I146" i="159"/>
  <c r="I413" i="159"/>
  <c r="H97" i="161"/>
  <c r="F85" i="155"/>
  <c r="G411" i="155"/>
  <c r="G411" i="162" s="1"/>
  <c r="G826" i="161"/>
  <c r="K826" i="161" s="1"/>
  <c r="H125" i="167"/>
  <c r="H131" i="167" s="1"/>
  <c r="H175" i="167" s="1"/>
  <c r="H176" i="167" s="1"/>
  <c r="J131" i="155"/>
  <c r="J175" i="155" s="1"/>
  <c r="J176" i="155" s="1"/>
  <c r="J769" i="155"/>
  <c r="J771" i="155" s="1"/>
  <c r="J757" i="155" s="1"/>
  <c r="G131" i="165"/>
  <c r="G175" i="165" s="1"/>
  <c r="G176" i="165" s="1"/>
  <c r="G758" i="158"/>
  <c r="J757" i="158"/>
  <c r="K757" i="158" s="1"/>
  <c r="G410" i="157"/>
  <c r="I179" i="166"/>
  <c r="I178" i="166"/>
  <c r="F870" i="162"/>
  <c r="F633" i="162"/>
  <c r="G821" i="155"/>
  <c r="K821" i="155" s="1"/>
  <c r="K403" i="160"/>
  <c r="L402" i="160"/>
  <c r="L403" i="160" s="1"/>
  <c r="J788" i="161"/>
  <c r="I414" i="166"/>
  <c r="G318" i="158"/>
  <c r="H318" i="158"/>
  <c r="H319" i="158" s="1"/>
  <c r="F319" i="158"/>
  <c r="I318" i="158"/>
  <c r="I319" i="158" s="1"/>
  <c r="J146" i="155"/>
  <c r="H146" i="167" s="1"/>
  <c r="I146" i="155"/>
  <c r="H146" i="166" s="1"/>
  <c r="H146" i="155"/>
  <c r="H146" i="165" s="1"/>
  <c r="F18" i="9"/>
  <c r="F312" i="9"/>
  <c r="F498" i="9"/>
  <c r="F501" i="9" s="1"/>
  <c r="I125" i="164"/>
  <c r="I131" i="164" s="1"/>
  <c r="I175" i="164" s="1"/>
  <c r="I176" i="164" s="1"/>
  <c r="G131" i="161"/>
  <c r="G175" i="161" s="1"/>
  <c r="G176" i="161" s="1"/>
  <c r="G769" i="161"/>
  <c r="G771" i="161" s="1"/>
  <c r="G757" i="161" s="1"/>
  <c r="K125" i="161"/>
  <c r="G825" i="155"/>
  <c r="K825" i="155" s="1"/>
  <c r="L825" i="155" s="1"/>
  <c r="G383" i="160"/>
  <c r="F125" i="165"/>
  <c r="H131" i="162"/>
  <c r="H175" i="162" s="1"/>
  <c r="H176" i="162" s="1"/>
  <c r="H96" i="157"/>
  <c r="F96" i="155" s="1"/>
  <c r="I96" i="157"/>
  <c r="G96" i="157"/>
  <c r="K383" i="155"/>
  <c r="G389" i="155"/>
  <c r="H383" i="164"/>
  <c r="H389" i="164" s="1"/>
  <c r="H138" i="161"/>
  <c r="H233" i="158"/>
  <c r="J94" i="157"/>
  <c r="F94" i="155"/>
  <c r="H85" i="161"/>
  <c r="I85" i="161"/>
  <c r="J85" i="161"/>
  <c r="O824" i="159"/>
  <c r="J788" i="160"/>
  <c r="G758" i="159"/>
  <c r="J757" i="159"/>
  <c r="K757" i="159" s="1"/>
  <c r="H758" i="159"/>
  <c r="I758" i="159"/>
  <c r="J402" i="166"/>
  <c r="J403" i="166" s="1"/>
  <c r="G403" i="166"/>
  <c r="G406" i="165"/>
  <c r="H407" i="160"/>
  <c r="G406" i="167"/>
  <c r="J407" i="160"/>
  <c r="J125" i="162"/>
  <c r="J386" i="164"/>
  <c r="K386" i="164" s="1"/>
  <c r="J85" i="157"/>
  <c r="H411" i="165"/>
  <c r="J411" i="165" s="1"/>
  <c r="H411" i="162"/>
  <c r="F411" i="165" s="1"/>
  <c r="K411" i="165" s="1"/>
  <c r="H88" i="161"/>
  <c r="H222" i="9"/>
  <c r="H368" i="9"/>
  <c r="H273" i="158"/>
  <c r="I273" i="158"/>
  <c r="G273" i="158" s="1"/>
  <c r="J273" i="158" s="1"/>
  <c r="K273" i="158" s="1"/>
  <c r="J383" i="162"/>
  <c r="F349" i="167"/>
  <c r="J350" i="162"/>
  <c r="J360" i="162" s="1"/>
  <c r="G125" i="155"/>
  <c r="G125" i="162" s="1"/>
  <c r="H125" i="165"/>
  <c r="H131" i="165" s="1"/>
  <c r="H175" i="165" s="1"/>
  <c r="H176" i="165" s="1"/>
  <c r="H131" i="155"/>
  <c r="H175" i="155" s="1"/>
  <c r="H176" i="155" s="1"/>
  <c r="H769" i="155"/>
  <c r="H771" i="155" s="1"/>
  <c r="H757" i="155" s="1"/>
  <c r="F402" i="165"/>
  <c r="H403" i="162"/>
  <c r="J98" i="159"/>
  <c r="K98" i="159" s="1"/>
  <c r="F98" i="160"/>
  <c r="I125" i="162"/>
  <c r="F19" i="49"/>
  <c r="F21" i="162"/>
  <c r="H822" i="155"/>
  <c r="I822" i="155"/>
  <c r="J822" i="155"/>
  <c r="H147" i="161"/>
  <c r="F402" i="166"/>
  <c r="I403" i="162"/>
  <c r="J402" i="164"/>
  <c r="J403" i="164" s="1"/>
  <c r="G403" i="164"/>
  <c r="G826" i="155"/>
  <c r="K826" i="155" s="1"/>
  <c r="I788" i="161"/>
  <c r="G788" i="161" s="1"/>
  <c r="K788" i="161" s="1"/>
  <c r="J139" i="155"/>
  <c r="H139" i="167" s="1"/>
  <c r="H139" i="155"/>
  <c r="H139" i="165" s="1"/>
  <c r="I139" i="155"/>
  <c r="H139" i="166" s="1"/>
  <c r="H414" i="161"/>
  <c r="K407" i="155"/>
  <c r="L406" i="155"/>
  <c r="L407" i="155" s="1"/>
  <c r="H138" i="160"/>
  <c r="G138" i="165" s="1"/>
  <c r="I138" i="160"/>
  <c r="G138" i="166" s="1"/>
  <c r="J138" i="166" s="1"/>
  <c r="J138" i="160"/>
  <c r="G138" i="167" s="1"/>
  <c r="H415" i="160" l="1"/>
  <c r="G822" i="155"/>
  <c r="K822" i="155" s="1"/>
  <c r="O793" i="158"/>
  <c r="G94" i="161"/>
  <c r="I94" i="164" s="1"/>
  <c r="G138" i="155"/>
  <c r="K138" i="155" s="1"/>
  <c r="L138" i="155" s="1"/>
  <c r="K349" i="165"/>
  <c r="K350" i="165" s="1"/>
  <c r="K360" i="165" s="1"/>
  <c r="H96" i="160"/>
  <c r="G96" i="165" s="1"/>
  <c r="I453" i="158"/>
  <c r="I454" i="158" s="1"/>
  <c r="J88" i="157"/>
  <c r="K88" i="157" s="1"/>
  <c r="I232" i="158"/>
  <c r="J96" i="160"/>
  <c r="G96" i="167" s="1"/>
  <c r="G135" i="161"/>
  <c r="K135" i="161" s="1"/>
  <c r="I233" i="158"/>
  <c r="G233" i="158" s="1"/>
  <c r="J233" i="158" s="1"/>
  <c r="K233" i="158" s="1"/>
  <c r="J96" i="157"/>
  <c r="K96" i="157" s="1"/>
  <c r="G232" i="158"/>
  <c r="J232" i="158" s="1"/>
  <c r="G788" i="155"/>
  <c r="K788" i="155" s="1"/>
  <c r="P788" i="155" s="1"/>
  <c r="I138" i="162"/>
  <c r="F138" i="166" s="1"/>
  <c r="K138" i="166" s="1"/>
  <c r="J125" i="166"/>
  <c r="J131" i="166" s="1"/>
  <c r="J175" i="166" s="1"/>
  <c r="J176" i="166" s="1"/>
  <c r="I147" i="162"/>
  <c r="F147" i="166" s="1"/>
  <c r="I87" i="160"/>
  <c r="G87" i="166" s="1"/>
  <c r="G87" i="155"/>
  <c r="H87" i="164" s="1"/>
  <c r="G137" i="157"/>
  <c r="J137" i="157" s="1"/>
  <c r="K137" i="157" s="1"/>
  <c r="F411" i="164"/>
  <c r="K411" i="162"/>
  <c r="L411" i="162" s="1"/>
  <c r="L788" i="161"/>
  <c r="P788" i="161"/>
  <c r="K125" i="162"/>
  <c r="F125" i="164"/>
  <c r="G131" i="162"/>
  <c r="G175" i="162" s="1"/>
  <c r="G176" i="162" s="1"/>
  <c r="I135" i="164"/>
  <c r="K94" i="161"/>
  <c r="G139" i="166"/>
  <c r="J139" i="166" s="1"/>
  <c r="I139" i="162"/>
  <c r="F139" i="166" s="1"/>
  <c r="K139" i="166" s="1"/>
  <c r="K402" i="166"/>
  <c r="K403" i="166" s="1"/>
  <c r="F403" i="166"/>
  <c r="L822" i="155"/>
  <c r="P822" i="155"/>
  <c r="F22" i="49"/>
  <c r="H178" i="165"/>
  <c r="H179" i="165"/>
  <c r="J758" i="159"/>
  <c r="K758" i="159" s="1"/>
  <c r="O758" i="159"/>
  <c r="I85" i="165"/>
  <c r="F633" i="9"/>
  <c r="F870" i="9"/>
  <c r="G319" i="158"/>
  <c r="J318" i="158"/>
  <c r="J410" i="157"/>
  <c r="H179" i="167"/>
  <c r="H178" i="167"/>
  <c r="I94" i="167"/>
  <c r="J94" i="162"/>
  <c r="G94" i="167"/>
  <c r="G144" i="165"/>
  <c r="I147" i="167"/>
  <c r="J147" i="162"/>
  <c r="F147" i="167" s="1"/>
  <c r="F176" i="155"/>
  <c r="I144" i="166"/>
  <c r="J135" i="155"/>
  <c r="I135" i="155"/>
  <c r="I135" i="162" s="1"/>
  <c r="H135" i="155"/>
  <c r="F208" i="159"/>
  <c r="G208" i="9"/>
  <c r="I415" i="166"/>
  <c r="K769" i="160"/>
  <c r="K131" i="160"/>
  <c r="K175" i="160" s="1"/>
  <c r="L125" i="160"/>
  <c r="L131" i="160" s="1"/>
  <c r="J410" i="158"/>
  <c r="K402" i="162"/>
  <c r="G403" i="162"/>
  <c r="F402" i="164"/>
  <c r="G85" i="166"/>
  <c r="J178" i="166"/>
  <c r="J179" i="166"/>
  <c r="I148" i="167"/>
  <c r="J148" i="167" s="1"/>
  <c r="J148" i="162"/>
  <c r="F148" i="167" s="1"/>
  <c r="G139" i="155"/>
  <c r="F403" i="165"/>
  <c r="K402" i="165"/>
  <c r="K403" i="165" s="1"/>
  <c r="G389" i="160"/>
  <c r="G383" i="164"/>
  <c r="K383" i="160"/>
  <c r="K131" i="161"/>
  <c r="K175" i="161" s="1"/>
  <c r="K769" i="161"/>
  <c r="L125" i="161"/>
  <c r="L131" i="161" s="1"/>
  <c r="F313" i="9"/>
  <c r="I97" i="165"/>
  <c r="G97" i="161"/>
  <c r="I138" i="167"/>
  <c r="J138" i="167" s="1"/>
  <c r="J138" i="162"/>
  <c r="F138" i="167" s="1"/>
  <c r="G389" i="165"/>
  <c r="J383" i="165"/>
  <c r="J389" i="165" s="1"/>
  <c r="J148" i="165"/>
  <c r="F179" i="160"/>
  <c r="F178" i="160"/>
  <c r="H793" i="160"/>
  <c r="I793" i="160"/>
  <c r="J793" i="160"/>
  <c r="I414" i="155"/>
  <c r="H414" i="166" s="1"/>
  <c r="J414" i="155"/>
  <c r="H414" i="167" s="1"/>
  <c r="G414" i="155"/>
  <c r="H414" i="155"/>
  <c r="H414" i="165" s="1"/>
  <c r="G94" i="165"/>
  <c r="G147" i="160"/>
  <c r="I135" i="160"/>
  <c r="J135" i="160"/>
  <c r="J135" i="162" s="1"/>
  <c r="H135" i="160"/>
  <c r="G135" i="160" s="1"/>
  <c r="H413" i="155"/>
  <c r="H413" i="165" s="1"/>
  <c r="I413" i="155"/>
  <c r="H413" i="166" s="1"/>
  <c r="J413" i="155"/>
  <c r="H413" i="167" s="1"/>
  <c r="I319" i="9"/>
  <c r="I802" i="9" s="1"/>
  <c r="F318" i="159"/>
  <c r="G318" i="9"/>
  <c r="I148" i="166"/>
  <c r="G131" i="164"/>
  <c r="G175" i="164" s="1"/>
  <c r="G176" i="164" s="1"/>
  <c r="J144" i="157"/>
  <c r="F407" i="165"/>
  <c r="K349" i="166"/>
  <c r="K350" i="166" s="1"/>
  <c r="K360" i="166" s="1"/>
  <c r="F350" i="166"/>
  <c r="F360" i="166" s="1"/>
  <c r="J125" i="167"/>
  <c r="J131" i="167" s="1"/>
  <c r="J175" i="167" s="1"/>
  <c r="J176" i="167" s="1"/>
  <c r="G178" i="166"/>
  <c r="G179" i="166"/>
  <c r="J139" i="160"/>
  <c r="G139" i="167" s="1"/>
  <c r="K389" i="161"/>
  <c r="L383" i="161"/>
  <c r="L389" i="161" s="1"/>
  <c r="G98" i="155"/>
  <c r="I89" i="164"/>
  <c r="K89" i="161"/>
  <c r="L89" i="161" s="1"/>
  <c r="I415" i="167"/>
  <c r="H98" i="160"/>
  <c r="I98" i="160"/>
  <c r="G98" i="166" s="1"/>
  <c r="J98" i="160"/>
  <c r="G98" i="167" s="1"/>
  <c r="I85" i="166"/>
  <c r="I94" i="155"/>
  <c r="J94" i="155"/>
  <c r="H94" i="155"/>
  <c r="H96" i="155"/>
  <c r="H96" i="165" s="1"/>
  <c r="J96" i="155"/>
  <c r="H96" i="167" s="1"/>
  <c r="I96" i="155"/>
  <c r="H96" i="166" s="1"/>
  <c r="J758" i="158"/>
  <c r="K758" i="158" s="1"/>
  <c r="O758" i="158"/>
  <c r="H178" i="155"/>
  <c r="H179" i="155"/>
  <c r="K349" i="167"/>
  <c r="K350" i="167" s="1"/>
  <c r="K360" i="167" s="1"/>
  <c r="F350" i="167"/>
  <c r="F360" i="167" s="1"/>
  <c r="G222" i="9"/>
  <c r="F222" i="158"/>
  <c r="K85" i="157"/>
  <c r="G85" i="161"/>
  <c r="K94" i="157"/>
  <c r="H178" i="162"/>
  <c r="H179" i="162"/>
  <c r="G179" i="161"/>
  <c r="G178" i="161"/>
  <c r="L821" i="155"/>
  <c r="P821" i="155"/>
  <c r="I415" i="160"/>
  <c r="J179" i="155"/>
  <c r="J178" i="155"/>
  <c r="H85" i="155"/>
  <c r="J85" i="155"/>
  <c r="J85" i="162" s="1"/>
  <c r="I85" i="155"/>
  <c r="F146" i="161"/>
  <c r="G146" i="159"/>
  <c r="J793" i="158"/>
  <c r="K793" i="158" s="1"/>
  <c r="G148" i="155"/>
  <c r="L349" i="162"/>
  <c r="L350" i="162" s="1"/>
  <c r="L360" i="162" s="1"/>
  <c r="K350" i="162"/>
  <c r="K360" i="162" s="1"/>
  <c r="I148" i="160"/>
  <c r="G148" i="166" s="1"/>
  <c r="J148" i="166" s="1"/>
  <c r="G824" i="160"/>
  <c r="K824" i="160" s="1"/>
  <c r="G414" i="157"/>
  <c r="J414" i="157" s="1"/>
  <c r="K414" i="157" s="1"/>
  <c r="G94" i="166"/>
  <c r="J147" i="166"/>
  <c r="K147" i="166" s="1"/>
  <c r="G826" i="160"/>
  <c r="K826" i="160" s="1"/>
  <c r="J135" i="157"/>
  <c r="J383" i="166"/>
  <c r="J389" i="166" s="1"/>
  <c r="G389" i="166"/>
  <c r="G413" i="157"/>
  <c r="J413" i="157" s="1"/>
  <c r="K413" i="157" s="1"/>
  <c r="F273" i="159"/>
  <c r="G273" i="9"/>
  <c r="F233" i="159"/>
  <c r="G233" i="9"/>
  <c r="I98" i="166"/>
  <c r="K403" i="161"/>
  <c r="L402" i="161"/>
  <c r="L403" i="161" s="1"/>
  <c r="J176" i="157"/>
  <c r="K175" i="157"/>
  <c r="K176" i="157" s="1"/>
  <c r="I410" i="155"/>
  <c r="J410" i="155"/>
  <c r="H410" i="155"/>
  <c r="G410" i="155" s="1"/>
  <c r="G788" i="160"/>
  <c r="K788" i="160" s="1"/>
  <c r="G85" i="167"/>
  <c r="J793" i="159"/>
  <c r="K793" i="159" s="1"/>
  <c r="J383" i="167"/>
  <c r="J389" i="167" s="1"/>
  <c r="G389" i="167"/>
  <c r="F407" i="166"/>
  <c r="J410" i="161"/>
  <c r="G410" i="161"/>
  <c r="H410" i="161"/>
  <c r="I410" i="161"/>
  <c r="F14" i="162"/>
  <c r="F330" i="162"/>
  <c r="F331" i="162" s="1"/>
  <c r="J97" i="157"/>
  <c r="K97" i="157" s="1"/>
  <c r="I793" i="157"/>
  <c r="O793" i="157" s="1"/>
  <c r="J793" i="157"/>
  <c r="K793" i="157" s="1"/>
  <c r="K407" i="161"/>
  <c r="L406" i="161"/>
  <c r="L407" i="161" s="1"/>
  <c r="F407" i="167"/>
  <c r="I89" i="167"/>
  <c r="F389" i="165"/>
  <c r="I414" i="165"/>
  <c r="G414" i="161"/>
  <c r="P826" i="155"/>
  <c r="L826" i="155"/>
  <c r="I88" i="165"/>
  <c r="G88" i="161"/>
  <c r="J406" i="167"/>
  <c r="J407" i="167" s="1"/>
  <c r="G407" i="167"/>
  <c r="I85" i="167"/>
  <c r="F131" i="165"/>
  <c r="F175" i="165" s="1"/>
  <c r="I179" i="164"/>
  <c r="I178" i="164"/>
  <c r="G179" i="165"/>
  <c r="G178" i="165"/>
  <c r="F96" i="161"/>
  <c r="J96" i="159"/>
  <c r="K96" i="159" s="1"/>
  <c r="G832" i="158"/>
  <c r="H832" i="158"/>
  <c r="I94" i="166"/>
  <c r="I178" i="155"/>
  <c r="I179" i="155"/>
  <c r="H138" i="164"/>
  <c r="G144" i="167"/>
  <c r="H414" i="160"/>
  <c r="G414" i="165" s="1"/>
  <c r="I414" i="160"/>
  <c r="J414" i="160"/>
  <c r="J89" i="160"/>
  <c r="G89" i="167" s="1"/>
  <c r="H89" i="160"/>
  <c r="G89" i="160" s="1"/>
  <c r="I89" i="160"/>
  <c r="G89" i="166" s="1"/>
  <c r="I144" i="165"/>
  <c r="I135" i="166"/>
  <c r="F374" i="159"/>
  <c r="G374" i="9"/>
  <c r="F232" i="159"/>
  <c r="G232" i="9"/>
  <c r="P824" i="155"/>
  <c r="L824" i="155"/>
  <c r="J406" i="166"/>
  <c r="J407" i="166" s="1"/>
  <c r="G407" i="166"/>
  <c r="L824" i="161"/>
  <c r="P824" i="161"/>
  <c r="H97" i="155"/>
  <c r="H97" i="165" s="1"/>
  <c r="J97" i="165" s="1"/>
  <c r="I97" i="155"/>
  <c r="J97" i="155"/>
  <c r="H97" i="167" s="1"/>
  <c r="J97" i="167" s="1"/>
  <c r="I139" i="167"/>
  <c r="G138" i="160"/>
  <c r="I147" i="165"/>
  <c r="J147" i="165" s="1"/>
  <c r="H147" i="162"/>
  <c r="F147" i="165" s="1"/>
  <c r="G147" i="161"/>
  <c r="F125" i="166"/>
  <c r="I131" i="162"/>
  <c r="I175" i="162" s="1"/>
  <c r="I176" i="162" s="1"/>
  <c r="G769" i="155"/>
  <c r="G771" i="155" s="1"/>
  <c r="G757" i="155" s="1"/>
  <c r="K125" i="155"/>
  <c r="H125" i="164"/>
  <c r="H131" i="164" s="1"/>
  <c r="H175" i="164" s="1"/>
  <c r="H176" i="164" s="1"/>
  <c r="G131" i="155"/>
  <c r="G175" i="155" s="1"/>
  <c r="G176" i="155" s="1"/>
  <c r="F383" i="167"/>
  <c r="J389" i="162"/>
  <c r="K389" i="155"/>
  <c r="L383" i="155"/>
  <c r="L389" i="155" s="1"/>
  <c r="G802" i="158"/>
  <c r="I802" i="158"/>
  <c r="H802" i="158"/>
  <c r="G415" i="161"/>
  <c r="J125" i="165"/>
  <c r="J131" i="165" s="1"/>
  <c r="J175" i="165" s="1"/>
  <c r="J176" i="165" s="1"/>
  <c r="L826" i="161"/>
  <c r="P826" i="161"/>
  <c r="F87" i="161"/>
  <c r="J87" i="159"/>
  <c r="K87" i="159" s="1"/>
  <c r="H179" i="166"/>
  <c r="H178" i="166"/>
  <c r="G94" i="160"/>
  <c r="G144" i="160"/>
  <c r="I378" i="9"/>
  <c r="F368" i="159"/>
  <c r="G144" i="161"/>
  <c r="K402" i="167"/>
  <c r="K403" i="167" s="1"/>
  <c r="F403" i="167"/>
  <c r="I454" i="9"/>
  <c r="I832" i="9" s="1"/>
  <c r="F453" i="159"/>
  <c r="G453" i="9"/>
  <c r="H137" i="155"/>
  <c r="H137" i="165" s="1"/>
  <c r="I137" i="155"/>
  <c r="H137" i="166" s="1"/>
  <c r="J137" i="155"/>
  <c r="H137" i="167" s="1"/>
  <c r="J88" i="165"/>
  <c r="G85" i="165"/>
  <c r="F389" i="166"/>
  <c r="G278" i="158"/>
  <c r="G407" i="162"/>
  <c r="F406" i="164"/>
  <c r="K406" i="162"/>
  <c r="I628" i="157"/>
  <c r="G628" i="157"/>
  <c r="H628" i="157"/>
  <c r="F628" i="155" s="1"/>
  <c r="G139" i="161"/>
  <c r="G368" i="9"/>
  <c r="H378" i="9"/>
  <c r="H823" i="9" s="1"/>
  <c r="F368" i="158"/>
  <c r="F125" i="167"/>
  <c r="J131" i="162"/>
  <c r="J175" i="162" s="1"/>
  <c r="J176" i="162" s="1"/>
  <c r="G407" i="165"/>
  <c r="J406" i="165"/>
  <c r="J407" i="165" s="1"/>
  <c r="I138" i="165"/>
  <c r="J138" i="165" s="1"/>
  <c r="H138" i="162"/>
  <c r="F138" i="165" s="1"/>
  <c r="G138" i="161"/>
  <c r="F21" i="9"/>
  <c r="G146" i="155"/>
  <c r="J415" i="160"/>
  <c r="G415" i="167" s="1"/>
  <c r="J415" i="167" s="1"/>
  <c r="K411" i="155"/>
  <c r="L411" i="155" s="1"/>
  <c r="H411" i="164"/>
  <c r="J411" i="164" s="1"/>
  <c r="F413" i="161"/>
  <c r="G413" i="159"/>
  <c r="F137" i="161"/>
  <c r="G137" i="159"/>
  <c r="J88" i="155"/>
  <c r="H88" i="167" s="1"/>
  <c r="J88" i="167" s="1"/>
  <c r="H88" i="155"/>
  <c r="H88" i="165" s="1"/>
  <c r="I88" i="155"/>
  <c r="I94" i="165"/>
  <c r="K349" i="164"/>
  <c r="K350" i="164" s="1"/>
  <c r="K360" i="164" s="1"/>
  <c r="F350" i="164"/>
  <c r="F360" i="164" s="1"/>
  <c r="I374" i="158"/>
  <c r="G374" i="158" s="1"/>
  <c r="J374" i="158" s="1"/>
  <c r="K374" i="158" s="1"/>
  <c r="G97" i="160"/>
  <c r="I208" i="158"/>
  <c r="G208" i="158" s="1"/>
  <c r="J208" i="158" s="1"/>
  <c r="K208" i="158" s="1"/>
  <c r="G144" i="166"/>
  <c r="J147" i="167"/>
  <c r="F178" i="161"/>
  <c r="I793" i="161"/>
  <c r="J793" i="161"/>
  <c r="H793" i="161"/>
  <c r="G793" i="161" s="1"/>
  <c r="K793" i="161" s="1"/>
  <c r="F179" i="161"/>
  <c r="G757" i="157"/>
  <c r="J771" i="157"/>
  <c r="K771" i="157" s="1"/>
  <c r="K135" i="159"/>
  <c r="H222" i="159"/>
  <c r="G222" i="159" s="1"/>
  <c r="I222" i="159"/>
  <c r="F222" i="161" s="1"/>
  <c r="I144" i="167"/>
  <c r="K415" i="155"/>
  <c r="L415" i="155" s="1"/>
  <c r="H415" i="164"/>
  <c r="G89" i="155"/>
  <c r="I135" i="167"/>
  <c r="I135" i="165"/>
  <c r="G147" i="155"/>
  <c r="I628" i="159"/>
  <c r="F628" i="161" s="1"/>
  <c r="H628" i="159"/>
  <c r="G628" i="159"/>
  <c r="F278" i="159"/>
  <c r="G278" i="9"/>
  <c r="I148" i="165"/>
  <c r="H148" i="162"/>
  <c r="F148" i="165" s="1"/>
  <c r="G148" i="161"/>
  <c r="G179" i="160"/>
  <c r="G178" i="160"/>
  <c r="H144" i="155"/>
  <c r="I144" i="155"/>
  <c r="J144" i="155"/>
  <c r="I89" i="166"/>
  <c r="G88" i="160"/>
  <c r="G407" i="160"/>
  <c r="K406" i="160"/>
  <c r="G406" i="164"/>
  <c r="G85" i="160"/>
  <c r="G178" i="167"/>
  <c r="G179" i="167"/>
  <c r="C42" i="5"/>
  <c r="E42" i="5" s="1"/>
  <c r="E36" i="5"/>
  <c r="F410" i="160"/>
  <c r="J410" i="159"/>
  <c r="H139" i="160"/>
  <c r="G383" i="162"/>
  <c r="J628" i="9"/>
  <c r="K628" i="9" s="1"/>
  <c r="I98" i="167"/>
  <c r="G98" i="161"/>
  <c r="G148" i="160" l="1"/>
  <c r="G98" i="160"/>
  <c r="I148" i="162"/>
  <c r="F148" i="166" s="1"/>
  <c r="K148" i="166" s="1"/>
  <c r="H135" i="162"/>
  <c r="F135" i="165" s="1"/>
  <c r="K383" i="165"/>
  <c r="K389" i="165" s="1"/>
  <c r="J139" i="167"/>
  <c r="G453" i="158"/>
  <c r="J453" i="158" s="1"/>
  <c r="L788" i="155"/>
  <c r="K87" i="155"/>
  <c r="L87" i="155" s="1"/>
  <c r="G96" i="160"/>
  <c r="G88" i="155"/>
  <c r="I98" i="162"/>
  <c r="F98" i="166" s="1"/>
  <c r="J88" i="162"/>
  <c r="F88" i="167" s="1"/>
  <c r="K88" i="167" s="1"/>
  <c r="G87" i="160"/>
  <c r="J98" i="167"/>
  <c r="G415" i="165"/>
  <c r="J415" i="165" s="1"/>
  <c r="K415" i="165" s="1"/>
  <c r="H415" i="162"/>
  <c r="F415" i="165" s="1"/>
  <c r="J222" i="159"/>
  <c r="K222" i="159" s="1"/>
  <c r="F222" i="160"/>
  <c r="K410" i="155"/>
  <c r="H410" i="164"/>
  <c r="G98" i="164"/>
  <c r="K98" i="160"/>
  <c r="L98" i="160" s="1"/>
  <c r="F135" i="166"/>
  <c r="H410" i="160"/>
  <c r="I410" i="160"/>
  <c r="J410" i="160"/>
  <c r="K407" i="160"/>
  <c r="L406" i="160"/>
  <c r="L407" i="160" s="1"/>
  <c r="K88" i="155"/>
  <c r="L88" i="155" s="1"/>
  <c r="H88" i="164"/>
  <c r="I137" i="161"/>
  <c r="J137" i="161"/>
  <c r="H137" i="161"/>
  <c r="G137" i="161" s="1"/>
  <c r="F131" i="167"/>
  <c r="F175" i="167" s="1"/>
  <c r="K125" i="167"/>
  <c r="K131" i="167" s="1"/>
  <c r="K407" i="162"/>
  <c r="L406" i="162"/>
  <c r="L407" i="162" s="1"/>
  <c r="J278" i="158"/>
  <c r="I453" i="159"/>
  <c r="H453" i="159"/>
  <c r="H454" i="159" s="1"/>
  <c r="F454" i="159"/>
  <c r="K415" i="161"/>
  <c r="L415" i="161" s="1"/>
  <c r="I415" i="164"/>
  <c r="G415" i="162"/>
  <c r="G414" i="166"/>
  <c r="J414" i="166" s="1"/>
  <c r="I414" i="162"/>
  <c r="F414" i="166" s="1"/>
  <c r="K179" i="157"/>
  <c r="K178" i="157"/>
  <c r="J273" i="9"/>
  <c r="K273" i="9" s="1"/>
  <c r="F273" i="157"/>
  <c r="H85" i="165"/>
  <c r="J85" i="165" s="1"/>
  <c r="H94" i="166"/>
  <c r="K144" i="157"/>
  <c r="K135" i="160"/>
  <c r="G135" i="164"/>
  <c r="K147" i="160"/>
  <c r="L147" i="160" s="1"/>
  <c r="G147" i="164"/>
  <c r="K138" i="167"/>
  <c r="J383" i="164"/>
  <c r="J389" i="164" s="1"/>
  <c r="G389" i="164"/>
  <c r="K139" i="155"/>
  <c r="L139" i="155" s="1"/>
  <c r="H139" i="164"/>
  <c r="K410" i="158"/>
  <c r="K771" i="160"/>
  <c r="K757" i="160" s="1"/>
  <c r="L757" i="160" s="1"/>
  <c r="G758" i="160" s="1"/>
  <c r="K758" i="160" s="1"/>
  <c r="L769" i="160"/>
  <c r="L771" i="160" s="1"/>
  <c r="H208" i="159"/>
  <c r="G208" i="159" s="1"/>
  <c r="I208" i="159"/>
  <c r="F208" i="161" s="1"/>
  <c r="J319" i="158"/>
  <c r="K318" i="158"/>
  <c r="K319" i="158" s="1"/>
  <c r="H85" i="162"/>
  <c r="K232" i="158"/>
  <c r="L94" i="161"/>
  <c r="K98" i="161"/>
  <c r="L98" i="161" s="1"/>
  <c r="G98" i="162"/>
  <c r="I98" i="164"/>
  <c r="K383" i="162"/>
  <c r="G389" i="162"/>
  <c r="F383" i="164"/>
  <c r="I148" i="164"/>
  <c r="G148" i="162"/>
  <c r="K148" i="161"/>
  <c r="L148" i="161" s="1"/>
  <c r="H88" i="166"/>
  <c r="J88" i="166" s="1"/>
  <c r="I88" i="162"/>
  <c r="F88" i="166" s="1"/>
  <c r="I368" i="158"/>
  <c r="I378" i="158" s="1"/>
  <c r="F378" i="158"/>
  <c r="H368" i="158"/>
  <c r="H378" i="158" s="1"/>
  <c r="F407" i="164"/>
  <c r="K144" i="160"/>
  <c r="G144" i="164"/>
  <c r="H178" i="164"/>
  <c r="H179" i="164"/>
  <c r="G138" i="164"/>
  <c r="K138" i="160"/>
  <c r="L138" i="160" s="1"/>
  <c r="J89" i="167"/>
  <c r="J144" i="167"/>
  <c r="F85" i="167"/>
  <c r="K88" i="161"/>
  <c r="L88" i="161" s="1"/>
  <c r="I88" i="164"/>
  <c r="G88" i="162"/>
  <c r="J97" i="162"/>
  <c r="F97" i="167" s="1"/>
  <c r="K97" i="167" s="1"/>
  <c r="I410" i="167"/>
  <c r="P788" i="160"/>
  <c r="L788" i="160"/>
  <c r="J179" i="157"/>
  <c r="J178" i="157"/>
  <c r="G273" i="159"/>
  <c r="H273" i="159"/>
  <c r="I273" i="159"/>
  <c r="F273" i="161" s="1"/>
  <c r="L824" i="160"/>
  <c r="P824" i="160"/>
  <c r="H85" i="166"/>
  <c r="I85" i="162"/>
  <c r="H135" i="165"/>
  <c r="K147" i="167"/>
  <c r="F94" i="167"/>
  <c r="L135" i="161"/>
  <c r="J98" i="162"/>
  <c r="F98" i="167" s="1"/>
  <c r="H144" i="165"/>
  <c r="J144" i="165" s="1"/>
  <c r="K148" i="165"/>
  <c r="K89" i="155"/>
  <c r="L89" i="155" s="1"/>
  <c r="H89" i="164"/>
  <c r="G454" i="158"/>
  <c r="J628" i="157"/>
  <c r="K628" i="157" s="1"/>
  <c r="K383" i="166"/>
  <c r="K389" i="166" s="1"/>
  <c r="G137" i="155"/>
  <c r="K410" i="159"/>
  <c r="J406" i="164"/>
  <c r="J407" i="164" s="1"/>
  <c r="G407" i="164"/>
  <c r="I89" i="162"/>
  <c r="F89" i="166" s="1"/>
  <c r="K89" i="166" s="1"/>
  <c r="J628" i="159"/>
  <c r="K628" i="159" s="1"/>
  <c r="F628" i="160"/>
  <c r="K147" i="155"/>
  <c r="L147" i="155" s="1"/>
  <c r="H147" i="164"/>
  <c r="G758" i="157"/>
  <c r="J757" i="157"/>
  <c r="K757" i="157" s="1"/>
  <c r="J137" i="159"/>
  <c r="K137" i="159" s="1"/>
  <c r="F137" i="160"/>
  <c r="K138" i="165"/>
  <c r="J179" i="162"/>
  <c r="J178" i="162"/>
  <c r="G378" i="9"/>
  <c r="G823" i="9" s="1"/>
  <c r="J368" i="9"/>
  <c r="F368" i="157"/>
  <c r="K139" i="161"/>
  <c r="L139" i="161" s="1"/>
  <c r="I139" i="164"/>
  <c r="G454" i="9"/>
  <c r="G832" i="9" s="1"/>
  <c r="J832" i="9" s="1"/>
  <c r="K832" i="9" s="1"/>
  <c r="J453" i="9"/>
  <c r="F453" i="157"/>
  <c r="J179" i="165"/>
  <c r="J178" i="165"/>
  <c r="J802" i="158"/>
  <c r="K802" i="158" s="1"/>
  <c r="O802" i="158"/>
  <c r="K383" i="167"/>
  <c r="K389" i="167" s="1"/>
  <c r="F389" i="167"/>
  <c r="K147" i="165"/>
  <c r="J374" i="9"/>
  <c r="K374" i="9" s="1"/>
  <c r="F374" i="157"/>
  <c r="G414" i="167"/>
  <c r="J414" i="167" s="1"/>
  <c r="J414" i="162"/>
  <c r="F414" i="167" s="1"/>
  <c r="I94" i="162"/>
  <c r="J832" i="158"/>
  <c r="K832" i="158" s="1"/>
  <c r="I832" i="158"/>
  <c r="O832" i="158" s="1"/>
  <c r="K125" i="165"/>
  <c r="K131" i="165" s="1"/>
  <c r="H414" i="162"/>
  <c r="F414" i="165" s="1"/>
  <c r="K414" i="165" s="1"/>
  <c r="J89" i="162"/>
  <c r="F89" i="167" s="1"/>
  <c r="F15" i="49"/>
  <c r="F15" i="162"/>
  <c r="I410" i="165"/>
  <c r="H410" i="162"/>
  <c r="K406" i="166"/>
  <c r="K407" i="166" s="1"/>
  <c r="H410" i="166"/>
  <c r="H233" i="159"/>
  <c r="G233" i="159" s="1"/>
  <c r="I233" i="159"/>
  <c r="F233" i="161" s="1"/>
  <c r="P826" i="160"/>
  <c r="L826" i="160"/>
  <c r="H146" i="161"/>
  <c r="I146" i="161"/>
  <c r="J146" i="161"/>
  <c r="G318" i="159"/>
  <c r="H318" i="159"/>
  <c r="H319" i="159" s="1"/>
  <c r="F319" i="159"/>
  <c r="I318" i="159"/>
  <c r="G135" i="165"/>
  <c r="G135" i="166"/>
  <c r="H97" i="162"/>
  <c r="F97" i="165" s="1"/>
  <c r="K97" i="165" s="1"/>
  <c r="K389" i="160"/>
  <c r="L383" i="160"/>
  <c r="L389" i="160" s="1"/>
  <c r="K403" i="162"/>
  <c r="L402" i="162"/>
  <c r="L403" i="162" s="1"/>
  <c r="K176" i="160"/>
  <c r="L175" i="160"/>
  <c r="L176" i="160" s="1"/>
  <c r="J208" i="9"/>
  <c r="K208" i="9" s="1"/>
  <c r="F208" i="157"/>
  <c r="F179" i="155"/>
  <c r="F178" i="155"/>
  <c r="H793" i="155"/>
  <c r="I793" i="155"/>
  <c r="J793" i="155"/>
  <c r="J628" i="155" s="1"/>
  <c r="H628" i="167" s="1"/>
  <c r="H144" i="166"/>
  <c r="J278" i="9"/>
  <c r="F278" i="157"/>
  <c r="F135" i="167"/>
  <c r="J222" i="161"/>
  <c r="H222" i="161"/>
  <c r="I222" i="161"/>
  <c r="I144" i="164"/>
  <c r="K144" i="161"/>
  <c r="J87" i="161"/>
  <c r="H87" i="161"/>
  <c r="G87" i="161" s="1"/>
  <c r="I87" i="161"/>
  <c r="G179" i="155"/>
  <c r="G178" i="155"/>
  <c r="I179" i="162"/>
  <c r="I178" i="162"/>
  <c r="J232" i="9"/>
  <c r="F232" i="157"/>
  <c r="H374" i="159"/>
  <c r="G374" i="159" s="1"/>
  <c r="I374" i="159"/>
  <c r="F374" i="161" s="1"/>
  <c r="K89" i="160"/>
  <c r="L89" i="160" s="1"/>
  <c r="G89" i="164"/>
  <c r="J89" i="164" s="1"/>
  <c r="K410" i="161"/>
  <c r="I410" i="164"/>
  <c r="K148" i="155"/>
  <c r="L148" i="155" s="1"/>
  <c r="H148" i="164"/>
  <c r="G415" i="166"/>
  <c r="J415" i="166" s="1"/>
  <c r="G415" i="160"/>
  <c r="G94" i="155"/>
  <c r="G98" i="165"/>
  <c r="J98" i="165" s="1"/>
  <c r="H98" i="162"/>
  <c r="F98" i="165" s="1"/>
  <c r="K414" i="155"/>
  <c r="L414" i="155" s="1"/>
  <c r="H414" i="164"/>
  <c r="H135" i="166"/>
  <c r="G178" i="162"/>
  <c r="G179" i="162"/>
  <c r="H144" i="167"/>
  <c r="I278" i="159"/>
  <c r="H278" i="159"/>
  <c r="J144" i="162"/>
  <c r="P793" i="161"/>
  <c r="L793" i="161"/>
  <c r="K97" i="160"/>
  <c r="L97" i="160" s="1"/>
  <c r="G97" i="164"/>
  <c r="K148" i="160"/>
  <c r="L148" i="160" s="1"/>
  <c r="G148" i="164"/>
  <c r="J413" i="159"/>
  <c r="K413" i="159" s="1"/>
  <c r="F413" i="160"/>
  <c r="I628" i="155"/>
  <c r="H628" i="166" s="1"/>
  <c r="I368" i="159"/>
  <c r="F378" i="159"/>
  <c r="H368" i="159"/>
  <c r="F131" i="166"/>
  <c r="F175" i="166" s="1"/>
  <c r="K125" i="166"/>
  <c r="K131" i="166" s="1"/>
  <c r="G97" i="155"/>
  <c r="I232" i="159"/>
  <c r="H232" i="159"/>
  <c r="G232" i="159" s="1"/>
  <c r="J89" i="166"/>
  <c r="H96" i="161"/>
  <c r="I96" i="161"/>
  <c r="J96" i="161"/>
  <c r="I410" i="166"/>
  <c r="I410" i="162"/>
  <c r="H410" i="165"/>
  <c r="G85" i="155"/>
  <c r="G85" i="162" s="1"/>
  <c r="H222" i="158"/>
  <c r="G222" i="158" s="1"/>
  <c r="J222" i="158" s="1"/>
  <c r="K222" i="158" s="1"/>
  <c r="I222" i="158"/>
  <c r="G87" i="164"/>
  <c r="K87" i="160"/>
  <c r="L87" i="160" s="1"/>
  <c r="H94" i="165"/>
  <c r="J94" i="165" s="1"/>
  <c r="J415" i="162"/>
  <c r="F415" i="167" s="1"/>
  <c r="K415" i="167" s="1"/>
  <c r="G89" i="162"/>
  <c r="J178" i="167"/>
  <c r="J179" i="167"/>
  <c r="K406" i="165"/>
  <c r="K407" i="165" s="1"/>
  <c r="J125" i="164"/>
  <c r="J131" i="164" s="1"/>
  <c r="J175" i="164" s="1"/>
  <c r="J176" i="164" s="1"/>
  <c r="G413" i="155"/>
  <c r="G135" i="167"/>
  <c r="K771" i="161"/>
  <c r="K757" i="161" s="1"/>
  <c r="L757" i="161" s="1"/>
  <c r="G758" i="161" s="1"/>
  <c r="K758" i="161" s="1"/>
  <c r="L769" i="161"/>
  <c r="L771" i="161" s="1"/>
  <c r="K402" i="164"/>
  <c r="K403" i="164" s="1"/>
  <c r="F403" i="164"/>
  <c r="I415" i="162"/>
  <c r="F415" i="166" s="1"/>
  <c r="G135" i="155"/>
  <c r="I144" i="162"/>
  <c r="F131" i="164"/>
  <c r="F175" i="164" s="1"/>
  <c r="G139" i="165"/>
  <c r="J139" i="165" s="1"/>
  <c r="H139" i="162"/>
  <c r="F139" i="165" s="1"/>
  <c r="K139" i="165" s="1"/>
  <c r="G139" i="160"/>
  <c r="G139" i="162" s="1"/>
  <c r="K85" i="160"/>
  <c r="G85" i="164"/>
  <c r="K88" i="160"/>
  <c r="L88" i="160" s="1"/>
  <c r="G88" i="164"/>
  <c r="G144" i="155"/>
  <c r="G144" i="162" s="1"/>
  <c r="H628" i="161"/>
  <c r="I628" i="161"/>
  <c r="J628" i="161"/>
  <c r="H94" i="162"/>
  <c r="I413" i="161"/>
  <c r="J413" i="161"/>
  <c r="H413" i="161"/>
  <c r="G413" i="161" s="1"/>
  <c r="K146" i="155"/>
  <c r="L146" i="155" s="1"/>
  <c r="H146" i="164"/>
  <c r="K138" i="161"/>
  <c r="L138" i="161" s="1"/>
  <c r="G138" i="162"/>
  <c r="I138" i="164"/>
  <c r="H86" i="9"/>
  <c r="H136" i="9"/>
  <c r="H95" i="9"/>
  <c r="H145" i="9"/>
  <c r="H412" i="9"/>
  <c r="G94" i="164"/>
  <c r="K94" i="160"/>
  <c r="K769" i="155"/>
  <c r="K131" i="155"/>
  <c r="K175" i="155" s="1"/>
  <c r="L125" i="155"/>
  <c r="L131" i="155" s="1"/>
  <c r="G147" i="162"/>
  <c r="K147" i="161"/>
  <c r="L147" i="161" s="1"/>
  <c r="I147" i="164"/>
  <c r="J139" i="162"/>
  <c r="F139" i="167" s="1"/>
  <c r="K139" i="167" s="1"/>
  <c r="H97" i="166"/>
  <c r="J97" i="166" s="1"/>
  <c r="I97" i="162"/>
  <c r="F97" i="166" s="1"/>
  <c r="K97" i="166" s="1"/>
  <c r="H144" i="162"/>
  <c r="G89" i="165"/>
  <c r="J89" i="165" s="1"/>
  <c r="H89" i="162"/>
  <c r="F89" i="165" s="1"/>
  <c r="K89" i="165" s="1"/>
  <c r="G414" i="160"/>
  <c r="G414" i="162" s="1"/>
  <c r="J414" i="165"/>
  <c r="F176" i="165"/>
  <c r="K175" i="165"/>
  <c r="K176" i="165" s="1"/>
  <c r="H88" i="162"/>
  <c r="F88" i="165" s="1"/>
  <c r="K88" i="165" s="1"/>
  <c r="K414" i="161"/>
  <c r="L414" i="161" s="1"/>
  <c r="I414" i="164"/>
  <c r="K406" i="167"/>
  <c r="K407" i="167" s="1"/>
  <c r="F334" i="162"/>
  <c r="H410" i="167"/>
  <c r="J233" i="9"/>
  <c r="K233" i="9" s="1"/>
  <c r="F233" i="157"/>
  <c r="K135" i="157"/>
  <c r="J94" i="166"/>
  <c r="K96" i="160"/>
  <c r="L96" i="160" s="1"/>
  <c r="G96" i="164"/>
  <c r="J146" i="159"/>
  <c r="K146" i="159" s="1"/>
  <c r="F146" i="160"/>
  <c r="H85" i="167"/>
  <c r="K85" i="161"/>
  <c r="I85" i="164"/>
  <c r="J222" i="9"/>
  <c r="K222" i="9" s="1"/>
  <c r="F222" i="157"/>
  <c r="G96" i="155"/>
  <c r="H94" i="167"/>
  <c r="J98" i="166"/>
  <c r="K98" i="166" s="1"/>
  <c r="K98" i="155"/>
  <c r="L98" i="155" s="1"/>
  <c r="H98" i="164"/>
  <c r="G178" i="164"/>
  <c r="G179" i="164"/>
  <c r="J318" i="9"/>
  <c r="G319" i="9"/>
  <c r="G802" i="9" s="1"/>
  <c r="J802" i="9" s="1"/>
  <c r="K802" i="9" s="1"/>
  <c r="F318" i="157"/>
  <c r="G793" i="160"/>
  <c r="K793" i="160" s="1"/>
  <c r="I97" i="164"/>
  <c r="K97" i="161"/>
  <c r="L97" i="161" s="1"/>
  <c r="G97" i="162"/>
  <c r="F321" i="9"/>
  <c r="C8" i="5"/>
  <c r="K176" i="161"/>
  <c r="L175" i="161"/>
  <c r="L176" i="161" s="1"/>
  <c r="K148" i="167"/>
  <c r="H135" i="167"/>
  <c r="K410" i="157"/>
  <c r="K131" i="162"/>
  <c r="K175" i="162" s="1"/>
  <c r="L125" i="162"/>
  <c r="L131" i="162" s="1"/>
  <c r="K411" i="164"/>
  <c r="H378" i="159" l="1"/>
  <c r="K415" i="166"/>
  <c r="K89" i="167"/>
  <c r="K98" i="167"/>
  <c r="K125" i="164"/>
  <c r="K131" i="164" s="1"/>
  <c r="J138" i="164"/>
  <c r="K98" i="165"/>
  <c r="K88" i="166"/>
  <c r="K85" i="162"/>
  <c r="F85" i="164"/>
  <c r="J232" i="159"/>
  <c r="F232" i="160"/>
  <c r="K414" i="162"/>
  <c r="L414" i="162" s="1"/>
  <c r="F414" i="164"/>
  <c r="K144" i="162"/>
  <c r="F144" i="164"/>
  <c r="J233" i="159"/>
  <c r="K233" i="159" s="1"/>
  <c r="F233" i="160"/>
  <c r="L179" i="161"/>
  <c r="L178" i="161"/>
  <c r="H222" i="157"/>
  <c r="F222" i="155" s="1"/>
  <c r="I222" i="157"/>
  <c r="H233" i="157"/>
  <c r="F233" i="155" s="1"/>
  <c r="I233" i="157"/>
  <c r="F412" i="158"/>
  <c r="H416" i="9"/>
  <c r="I628" i="165"/>
  <c r="F144" i="166"/>
  <c r="J135" i="167"/>
  <c r="K135" i="167" s="1"/>
  <c r="I96" i="166"/>
  <c r="J96" i="166" s="1"/>
  <c r="I96" i="162"/>
  <c r="F96" i="166" s="1"/>
  <c r="K96" i="166" s="1"/>
  <c r="K175" i="166"/>
  <c r="K176" i="166" s="1"/>
  <c r="F176" i="166"/>
  <c r="H823" i="159"/>
  <c r="K94" i="155"/>
  <c r="H94" i="164"/>
  <c r="J94" i="164" s="1"/>
  <c r="I222" i="165"/>
  <c r="I146" i="167"/>
  <c r="G146" i="161"/>
  <c r="F378" i="157"/>
  <c r="H368" i="157"/>
  <c r="G368" i="157" s="1"/>
  <c r="I368" i="157"/>
  <c r="J144" i="166"/>
  <c r="K148" i="162"/>
  <c r="L148" i="162" s="1"/>
  <c r="F148" i="164"/>
  <c r="K389" i="162"/>
  <c r="L383" i="162"/>
  <c r="L389" i="162" s="1"/>
  <c r="L135" i="160"/>
  <c r="K175" i="167"/>
  <c r="K176" i="167" s="1"/>
  <c r="F176" i="167"/>
  <c r="H318" i="157"/>
  <c r="F319" i="157"/>
  <c r="I318" i="157"/>
  <c r="I319" i="157" s="1"/>
  <c r="G318" i="157"/>
  <c r="K179" i="165"/>
  <c r="K178" i="165"/>
  <c r="F147" i="164"/>
  <c r="K147" i="162"/>
  <c r="L147" i="162" s="1"/>
  <c r="L94" i="160"/>
  <c r="I413" i="167"/>
  <c r="L85" i="160"/>
  <c r="F232" i="161"/>
  <c r="I87" i="166"/>
  <c r="J87" i="166" s="1"/>
  <c r="I87" i="162"/>
  <c r="F87" i="166" s="1"/>
  <c r="K87" i="166" s="1"/>
  <c r="I319" i="159"/>
  <c r="F318" i="161"/>
  <c r="F318" i="160"/>
  <c r="G319" i="159"/>
  <c r="J318" i="159"/>
  <c r="K139" i="162"/>
  <c r="L139" i="162" s="1"/>
  <c r="F139" i="164"/>
  <c r="J454" i="158"/>
  <c r="K453" i="158"/>
  <c r="K454" i="158" s="1"/>
  <c r="F85" i="166"/>
  <c r="L144" i="160"/>
  <c r="F85" i="165"/>
  <c r="G410" i="167"/>
  <c r="H222" i="160"/>
  <c r="G222" i="165" s="1"/>
  <c r="I222" i="160"/>
  <c r="G222" i="166" s="1"/>
  <c r="J222" i="160"/>
  <c r="G222" i="167" s="1"/>
  <c r="C11" i="5"/>
  <c r="E8" i="5"/>
  <c r="F95" i="158"/>
  <c r="H99" i="9"/>
  <c r="K138" i="162"/>
  <c r="L138" i="162" s="1"/>
  <c r="F138" i="164"/>
  <c r="K138" i="164" s="1"/>
  <c r="I413" i="166"/>
  <c r="J88" i="164"/>
  <c r="K176" i="162"/>
  <c r="L175" i="162"/>
  <c r="L176" i="162" s="1"/>
  <c r="J94" i="167"/>
  <c r="F97" i="164"/>
  <c r="K97" i="162"/>
  <c r="L97" i="162" s="1"/>
  <c r="K318" i="9"/>
  <c r="K319" i="9" s="1"/>
  <c r="J319" i="9"/>
  <c r="K96" i="155"/>
  <c r="L96" i="155" s="1"/>
  <c r="H96" i="164"/>
  <c r="L85" i="161"/>
  <c r="F144" i="165"/>
  <c r="K176" i="155"/>
  <c r="L175" i="155"/>
  <c r="L176" i="155" s="1"/>
  <c r="F136" i="158"/>
  <c r="H140" i="9"/>
  <c r="H183" i="9" s="1"/>
  <c r="F94" i="165"/>
  <c r="K139" i="160"/>
  <c r="L139" i="160" s="1"/>
  <c r="G139" i="164"/>
  <c r="J139" i="164" s="1"/>
  <c r="K175" i="164"/>
  <c r="K176" i="164" s="1"/>
  <c r="F176" i="164"/>
  <c r="F410" i="166"/>
  <c r="I96" i="167"/>
  <c r="J96" i="167" s="1"/>
  <c r="J96" i="162"/>
  <c r="F96" i="167" s="1"/>
  <c r="K96" i="167" s="1"/>
  <c r="G368" i="159"/>
  <c r="H413" i="160"/>
  <c r="G413" i="165" s="1"/>
  <c r="I413" i="160"/>
  <c r="G413" i="166" s="1"/>
  <c r="J413" i="166" s="1"/>
  <c r="J413" i="160"/>
  <c r="G413" i="167" s="1"/>
  <c r="J413" i="167" s="1"/>
  <c r="F144" i="167"/>
  <c r="I222" i="166"/>
  <c r="I222" i="167"/>
  <c r="K179" i="160"/>
  <c r="K178" i="160"/>
  <c r="I146" i="165"/>
  <c r="H146" i="162"/>
  <c r="F146" i="165" s="1"/>
  <c r="J233" i="161"/>
  <c r="H233" i="161"/>
  <c r="I233" i="161"/>
  <c r="F16" i="49"/>
  <c r="K414" i="167"/>
  <c r="K453" i="9"/>
  <c r="K454" i="9" s="1"/>
  <c r="J454" i="9"/>
  <c r="J758" i="157"/>
  <c r="K758" i="157" s="1"/>
  <c r="O758" i="157"/>
  <c r="H628" i="160"/>
  <c r="G628" i="165" s="1"/>
  <c r="I628" i="160"/>
  <c r="G628" i="166" s="1"/>
  <c r="J628" i="160"/>
  <c r="G628" i="167" s="1"/>
  <c r="K406" i="164"/>
  <c r="K407" i="164" s="1"/>
  <c r="G823" i="158"/>
  <c r="H823" i="158"/>
  <c r="P758" i="160"/>
  <c r="L758" i="160"/>
  <c r="J85" i="166"/>
  <c r="K414" i="166"/>
  <c r="G453" i="159"/>
  <c r="I137" i="165"/>
  <c r="I137" i="166"/>
  <c r="G410" i="166"/>
  <c r="G94" i="162"/>
  <c r="J98" i="164"/>
  <c r="L410" i="155"/>
  <c r="I146" i="160"/>
  <c r="G146" i="166" s="1"/>
  <c r="J146" i="160"/>
  <c r="G146" i="167" s="1"/>
  <c r="H146" i="160"/>
  <c r="G146" i="165" s="1"/>
  <c r="G414" i="164"/>
  <c r="J414" i="164" s="1"/>
  <c r="K414" i="160"/>
  <c r="L414" i="160" s="1"/>
  <c r="K771" i="155"/>
  <c r="K757" i="155" s="1"/>
  <c r="L757" i="155" s="1"/>
  <c r="G758" i="155" s="1"/>
  <c r="K758" i="155" s="1"/>
  <c r="L769" i="155"/>
  <c r="L771" i="155" s="1"/>
  <c r="F86" i="158"/>
  <c r="H90" i="9"/>
  <c r="I413" i="164"/>
  <c r="K413" i="161"/>
  <c r="L413" i="161" s="1"/>
  <c r="G628" i="161"/>
  <c r="K85" i="155"/>
  <c r="H85" i="164"/>
  <c r="J85" i="164" s="1"/>
  <c r="K232" i="9"/>
  <c r="K87" i="161"/>
  <c r="L87" i="161" s="1"/>
  <c r="G87" i="162"/>
  <c r="I87" i="164"/>
  <c r="J87" i="164" s="1"/>
  <c r="I278" i="157"/>
  <c r="H278" i="157"/>
  <c r="H208" i="157"/>
  <c r="F208" i="155" s="1"/>
  <c r="I208" i="157"/>
  <c r="J135" i="165"/>
  <c r="K135" i="165" s="1"/>
  <c r="G368" i="158"/>
  <c r="I454" i="159"/>
  <c r="F453" i="161"/>
  <c r="K278" i="158"/>
  <c r="K179" i="161"/>
  <c r="K178" i="161"/>
  <c r="F145" i="158"/>
  <c r="H149" i="9"/>
  <c r="I628" i="167"/>
  <c r="J628" i="162"/>
  <c r="F628" i="167" s="1"/>
  <c r="H144" i="164"/>
  <c r="K144" i="155"/>
  <c r="K135" i="155"/>
  <c r="H135" i="164"/>
  <c r="K413" i="155"/>
  <c r="L413" i="155" s="1"/>
  <c r="H413" i="164"/>
  <c r="I378" i="159"/>
  <c r="F368" i="161"/>
  <c r="J148" i="164"/>
  <c r="F278" i="161"/>
  <c r="L410" i="161"/>
  <c r="F374" i="160"/>
  <c r="J374" i="159"/>
  <c r="K374" i="159" s="1"/>
  <c r="I87" i="167"/>
  <c r="J87" i="167" s="1"/>
  <c r="J87" i="162"/>
  <c r="F87" i="167" s="1"/>
  <c r="K87" i="167" s="1"/>
  <c r="G135" i="162"/>
  <c r="G793" i="155"/>
  <c r="K793" i="155" s="1"/>
  <c r="I146" i="166"/>
  <c r="I146" i="162"/>
  <c r="F146" i="166" s="1"/>
  <c r="H374" i="157"/>
  <c r="F374" i="155" s="1"/>
  <c r="I374" i="157"/>
  <c r="K368" i="9"/>
  <c r="K378" i="9" s="1"/>
  <c r="J378" i="9"/>
  <c r="K94" i="167"/>
  <c r="F273" i="160"/>
  <c r="J273" i="159"/>
  <c r="K273" i="159" s="1"/>
  <c r="F208" i="160"/>
  <c r="J208" i="159"/>
  <c r="K208" i="159" s="1"/>
  <c r="J147" i="164"/>
  <c r="H273" i="157"/>
  <c r="F273" i="155" s="1"/>
  <c r="I273" i="157"/>
  <c r="G273" i="157"/>
  <c r="J273" i="157" s="1"/>
  <c r="K273" i="157" s="1"/>
  <c r="F415" i="164"/>
  <c r="K415" i="162"/>
  <c r="L415" i="162" s="1"/>
  <c r="H832" i="159"/>
  <c r="I137" i="164"/>
  <c r="K137" i="161"/>
  <c r="L137" i="161" s="1"/>
  <c r="F325" i="9"/>
  <c r="F326" i="9" s="1"/>
  <c r="L793" i="160"/>
  <c r="P793" i="160"/>
  <c r="F548" i="162"/>
  <c r="F552" i="162" s="1"/>
  <c r="F555" i="162" s="1"/>
  <c r="F634" i="162"/>
  <c r="F595" i="162"/>
  <c r="F26" i="162"/>
  <c r="F179" i="165"/>
  <c r="F178" i="165"/>
  <c r="I413" i="165"/>
  <c r="H413" i="162"/>
  <c r="F413" i="165" s="1"/>
  <c r="I628" i="166"/>
  <c r="I628" i="162"/>
  <c r="F628" i="166" s="1"/>
  <c r="P758" i="161"/>
  <c r="L758" i="161"/>
  <c r="J179" i="164"/>
  <c r="J178" i="164"/>
  <c r="K89" i="162"/>
  <c r="L89" i="162" s="1"/>
  <c r="F89" i="164"/>
  <c r="K89" i="164" s="1"/>
  <c r="G96" i="161"/>
  <c r="I96" i="165"/>
  <c r="J96" i="165" s="1"/>
  <c r="H96" i="162"/>
  <c r="F96" i="165" s="1"/>
  <c r="K97" i="155"/>
  <c r="L97" i="155" s="1"/>
  <c r="H97" i="164"/>
  <c r="J97" i="164" s="1"/>
  <c r="H628" i="155"/>
  <c r="G278" i="159"/>
  <c r="K415" i="160"/>
  <c r="L415" i="160" s="1"/>
  <c r="G415" i="164"/>
  <c r="J415" i="164" s="1"/>
  <c r="H374" i="161"/>
  <c r="I374" i="161"/>
  <c r="J374" i="161"/>
  <c r="I232" i="157"/>
  <c r="H232" i="157"/>
  <c r="G232" i="157" s="1"/>
  <c r="I87" i="165"/>
  <c r="J87" i="165" s="1"/>
  <c r="H87" i="162"/>
  <c r="F87" i="165" s="1"/>
  <c r="L144" i="161"/>
  <c r="G222" i="161"/>
  <c r="K278" i="9"/>
  <c r="L178" i="160"/>
  <c r="L179" i="160"/>
  <c r="J135" i="166"/>
  <c r="G802" i="159"/>
  <c r="I802" i="159"/>
  <c r="H802" i="159"/>
  <c r="F410" i="165"/>
  <c r="F94" i="166"/>
  <c r="F454" i="157"/>
  <c r="H453" i="157"/>
  <c r="I453" i="157"/>
  <c r="I454" i="157" s="1"/>
  <c r="I823" i="9"/>
  <c r="H137" i="160"/>
  <c r="G137" i="165" s="1"/>
  <c r="J137" i="165" s="1"/>
  <c r="I137" i="160"/>
  <c r="G137" i="166" s="1"/>
  <c r="J137" i="166" s="1"/>
  <c r="J137" i="160"/>
  <c r="G137" i="167" s="1"/>
  <c r="K137" i="155"/>
  <c r="L137" i="155" s="1"/>
  <c r="H137" i="164"/>
  <c r="H273" i="161"/>
  <c r="I273" i="161"/>
  <c r="J273" i="161"/>
  <c r="G273" i="161" s="1"/>
  <c r="J410" i="162"/>
  <c r="F88" i="164"/>
  <c r="K88" i="164" s="1"/>
  <c r="K88" i="162"/>
  <c r="L88" i="162" s="1"/>
  <c r="K383" i="164"/>
  <c r="K389" i="164" s="1"/>
  <c r="F389" i="164"/>
  <c r="K98" i="162"/>
  <c r="L98" i="162" s="1"/>
  <c r="F98" i="164"/>
  <c r="K98" i="164" s="1"/>
  <c r="H208" i="161"/>
  <c r="I208" i="161"/>
  <c r="J208" i="161"/>
  <c r="J85" i="167"/>
  <c r="I137" i="167"/>
  <c r="J137" i="162"/>
  <c r="F137" i="167" s="1"/>
  <c r="G410" i="160"/>
  <c r="G410" i="165"/>
  <c r="K415" i="164" l="1"/>
  <c r="J146" i="165"/>
  <c r="H137" i="162"/>
  <c r="F137" i="165" s="1"/>
  <c r="K137" i="165" s="1"/>
  <c r="G208" i="161"/>
  <c r="K208" i="161" s="1"/>
  <c r="L208" i="161" s="1"/>
  <c r="J146" i="167"/>
  <c r="J146" i="166"/>
  <c r="J628" i="166"/>
  <c r="K628" i="166" s="1"/>
  <c r="I413" i="162"/>
  <c r="F413" i="166" s="1"/>
  <c r="K413" i="166" s="1"/>
  <c r="K146" i="165"/>
  <c r="K96" i="165"/>
  <c r="K146" i="166"/>
  <c r="G208" i="157"/>
  <c r="J208" i="157" s="1"/>
  <c r="K208" i="157" s="1"/>
  <c r="I86" i="9"/>
  <c r="I136" i="9"/>
  <c r="I145" i="9"/>
  <c r="I95" i="9"/>
  <c r="I412" i="9"/>
  <c r="G832" i="157"/>
  <c r="H832" i="157"/>
  <c r="K94" i="166"/>
  <c r="K222" i="161"/>
  <c r="L222" i="161" s="1"/>
  <c r="I222" i="164"/>
  <c r="J232" i="157"/>
  <c r="H278" i="161"/>
  <c r="I278" i="161"/>
  <c r="J278" i="161"/>
  <c r="F278" i="155"/>
  <c r="L85" i="155"/>
  <c r="K94" i="165"/>
  <c r="H187" i="9"/>
  <c r="H786" i="9"/>
  <c r="J319" i="159"/>
  <c r="K318" i="159"/>
  <c r="K319" i="159" s="1"/>
  <c r="K178" i="167"/>
  <c r="K179" i="167"/>
  <c r="H827" i="9"/>
  <c r="I273" i="166"/>
  <c r="J823" i="9"/>
  <c r="K823" i="9" s="1"/>
  <c r="J802" i="159"/>
  <c r="K802" i="159" s="1"/>
  <c r="O802" i="159"/>
  <c r="J374" i="160"/>
  <c r="G374" i="167" s="1"/>
  <c r="H374" i="160"/>
  <c r="G374" i="165" s="1"/>
  <c r="I374" i="160"/>
  <c r="G374" i="166" s="1"/>
  <c r="K628" i="161"/>
  <c r="L628" i="161" s="1"/>
  <c r="I628" i="164"/>
  <c r="H101" i="9"/>
  <c r="H182" i="9"/>
  <c r="H184" i="9" s="1"/>
  <c r="H794" i="9" s="1"/>
  <c r="H457" i="9" s="1"/>
  <c r="H785" i="9"/>
  <c r="H271" i="9" s="1"/>
  <c r="P758" i="155"/>
  <c r="L758" i="155"/>
  <c r="I823" i="158"/>
  <c r="J823" i="158" s="1"/>
  <c r="K823" i="158" s="1"/>
  <c r="I232" i="161"/>
  <c r="J232" i="161"/>
  <c r="H232" i="161"/>
  <c r="J413" i="162"/>
  <c r="F413" i="167" s="1"/>
  <c r="K413" i="167" s="1"/>
  <c r="I802" i="157"/>
  <c r="K146" i="161"/>
  <c r="L146" i="161" s="1"/>
  <c r="I146" i="164"/>
  <c r="H233" i="160"/>
  <c r="G233" i="165" s="1"/>
  <c r="I233" i="160"/>
  <c r="G233" i="166" s="1"/>
  <c r="J233" i="160"/>
  <c r="G233" i="167" s="1"/>
  <c r="K85" i="164"/>
  <c r="F410" i="167"/>
  <c r="G453" i="157"/>
  <c r="J410" i="165"/>
  <c r="I208" i="166"/>
  <c r="K85" i="167"/>
  <c r="I273" i="167"/>
  <c r="I273" i="165"/>
  <c r="J137" i="167"/>
  <c r="K137" i="167" s="1"/>
  <c r="G137" i="160"/>
  <c r="H454" i="157"/>
  <c r="F453" i="155"/>
  <c r="K87" i="165"/>
  <c r="I374" i="167"/>
  <c r="G374" i="157"/>
  <c r="J374" i="157" s="1"/>
  <c r="K374" i="157" s="1"/>
  <c r="K135" i="162"/>
  <c r="F135" i="164"/>
  <c r="H368" i="161"/>
  <c r="F378" i="161"/>
  <c r="I368" i="161"/>
  <c r="J368" i="161"/>
  <c r="K628" i="167"/>
  <c r="H208" i="155"/>
  <c r="H208" i="165" s="1"/>
  <c r="J208" i="155"/>
  <c r="H208" i="167" s="1"/>
  <c r="I208" i="155"/>
  <c r="H208" i="166" s="1"/>
  <c r="G278" i="157"/>
  <c r="I137" i="162"/>
  <c r="F137" i="166" s="1"/>
  <c r="K137" i="166" s="1"/>
  <c r="G454" i="159"/>
  <c r="G832" i="159" s="1"/>
  <c r="J453" i="159"/>
  <c r="F453" i="160"/>
  <c r="J144" i="164"/>
  <c r="J628" i="167"/>
  <c r="G628" i="160"/>
  <c r="G628" i="162" s="1"/>
  <c r="I233" i="166"/>
  <c r="I233" i="167"/>
  <c r="J413" i="165"/>
  <c r="K413" i="165" s="1"/>
  <c r="F179" i="164"/>
  <c r="F178" i="164"/>
  <c r="K179" i="155"/>
  <c r="K178" i="155"/>
  <c r="E11" i="5"/>
  <c r="C26" i="5"/>
  <c r="E26" i="5" s="1"/>
  <c r="K85" i="165"/>
  <c r="K85" i="166"/>
  <c r="H318" i="161"/>
  <c r="I318" i="161"/>
  <c r="F319" i="161"/>
  <c r="J318" i="161"/>
  <c r="G319" i="157"/>
  <c r="G802" i="157" s="1"/>
  <c r="J318" i="157"/>
  <c r="F178" i="167"/>
  <c r="F179" i="167"/>
  <c r="F368" i="155"/>
  <c r="H378" i="157"/>
  <c r="K144" i="166"/>
  <c r="G233" i="157"/>
  <c r="J233" i="157" s="1"/>
  <c r="K233" i="157" s="1"/>
  <c r="G222" i="157"/>
  <c r="J222" i="157" s="1"/>
  <c r="K222" i="157" s="1"/>
  <c r="K414" i="164"/>
  <c r="K232" i="159"/>
  <c r="G410" i="164"/>
  <c r="K410" i="160"/>
  <c r="G410" i="162"/>
  <c r="I273" i="164"/>
  <c r="K273" i="161"/>
  <c r="L273" i="161" s="1"/>
  <c r="I374" i="166"/>
  <c r="G96" i="162"/>
  <c r="K96" i="161"/>
  <c r="L96" i="161" s="1"/>
  <c r="I96" i="164"/>
  <c r="J96" i="164" s="1"/>
  <c r="L144" i="155"/>
  <c r="H453" i="161"/>
  <c r="F454" i="161"/>
  <c r="I453" i="161"/>
  <c r="J453" i="161"/>
  <c r="K94" i="162"/>
  <c r="F94" i="164"/>
  <c r="I233" i="165"/>
  <c r="G413" i="160"/>
  <c r="K178" i="164"/>
  <c r="K179" i="164"/>
  <c r="L94" i="155"/>
  <c r="F178" i="166"/>
  <c r="F179" i="166"/>
  <c r="I208" i="165"/>
  <c r="F232" i="155"/>
  <c r="J278" i="159"/>
  <c r="F278" i="160"/>
  <c r="H151" i="9"/>
  <c r="H188" i="9"/>
  <c r="J368" i="159"/>
  <c r="F368" i="160"/>
  <c r="G378" i="159"/>
  <c r="G823" i="159" s="1"/>
  <c r="K144" i="165"/>
  <c r="L178" i="162"/>
  <c r="L179" i="162"/>
  <c r="H95" i="158"/>
  <c r="H99" i="158" s="1"/>
  <c r="H187" i="158" s="1"/>
  <c r="I95" i="158"/>
  <c r="I99" i="158" s="1"/>
  <c r="I187" i="158" s="1"/>
  <c r="G95" i="158"/>
  <c r="F99" i="158"/>
  <c r="G222" i="160"/>
  <c r="J410" i="167"/>
  <c r="J368" i="157"/>
  <c r="G378" i="157"/>
  <c r="K178" i="166"/>
  <c r="K179" i="166"/>
  <c r="H232" i="160"/>
  <c r="I232" i="160"/>
  <c r="J232" i="160"/>
  <c r="I208" i="167"/>
  <c r="G374" i="161"/>
  <c r="I374" i="165"/>
  <c r="H374" i="162"/>
  <c r="F374" i="165" s="1"/>
  <c r="H628" i="165"/>
  <c r="J628" i="165" s="1"/>
  <c r="G628" i="155"/>
  <c r="F27" i="49"/>
  <c r="F561" i="162"/>
  <c r="F563" i="162" s="1"/>
  <c r="F557" i="162"/>
  <c r="F14" i="9"/>
  <c r="F330" i="9"/>
  <c r="F331" i="9" s="1"/>
  <c r="H273" i="155"/>
  <c r="H273" i="165" s="1"/>
  <c r="I273" i="155"/>
  <c r="H273" i="166" s="1"/>
  <c r="J273" i="155"/>
  <c r="H273" i="167" s="1"/>
  <c r="J208" i="160"/>
  <c r="G208" i="167" s="1"/>
  <c r="H208" i="160"/>
  <c r="G208" i="165" s="1"/>
  <c r="J208" i="165" s="1"/>
  <c r="I208" i="160"/>
  <c r="G208" i="166" s="1"/>
  <c r="J273" i="160"/>
  <c r="G273" i="167" s="1"/>
  <c r="J273" i="167" s="1"/>
  <c r="H273" i="160"/>
  <c r="G273" i="165" s="1"/>
  <c r="I273" i="160"/>
  <c r="G273" i="166" s="1"/>
  <c r="H374" i="155"/>
  <c r="H374" i="165" s="1"/>
  <c r="I374" i="155"/>
  <c r="H374" i="166" s="1"/>
  <c r="J374" i="155"/>
  <c r="H374" i="167" s="1"/>
  <c r="L793" i="155"/>
  <c r="P793" i="155"/>
  <c r="L135" i="155"/>
  <c r="H145" i="158"/>
  <c r="H149" i="158" s="1"/>
  <c r="F149" i="158"/>
  <c r="J368" i="158"/>
  <c r="G378" i="158"/>
  <c r="K87" i="162"/>
  <c r="L87" i="162" s="1"/>
  <c r="F87" i="164"/>
  <c r="K87" i="164" s="1"/>
  <c r="H86" i="158"/>
  <c r="H90" i="158" s="1"/>
  <c r="G86" i="158"/>
  <c r="F90" i="158"/>
  <c r="G146" i="160"/>
  <c r="G146" i="162" s="1"/>
  <c r="J410" i="166"/>
  <c r="K410" i="166" s="1"/>
  <c r="J135" i="164"/>
  <c r="G233" i="161"/>
  <c r="K144" i="167"/>
  <c r="H136" i="158"/>
  <c r="H140" i="158" s="1"/>
  <c r="H183" i="158" s="1"/>
  <c r="F140" i="158"/>
  <c r="F183" i="158" s="1"/>
  <c r="L179" i="155"/>
  <c r="L178" i="155"/>
  <c r="K97" i="164"/>
  <c r="K178" i="162"/>
  <c r="K179" i="162"/>
  <c r="K135" i="166"/>
  <c r="K139" i="164"/>
  <c r="J318" i="160"/>
  <c r="F319" i="160"/>
  <c r="H318" i="160"/>
  <c r="I318" i="160"/>
  <c r="K147" i="164"/>
  <c r="F318" i="155"/>
  <c r="H319" i="157"/>
  <c r="H802" i="157" s="1"/>
  <c r="K148" i="164"/>
  <c r="I378" i="157"/>
  <c r="G823" i="157"/>
  <c r="H823" i="157"/>
  <c r="J146" i="162"/>
  <c r="F146" i="167" s="1"/>
  <c r="K146" i="167" s="1"/>
  <c r="H628" i="162"/>
  <c r="F628" i="165" s="1"/>
  <c r="H412" i="158"/>
  <c r="H416" i="158" s="1"/>
  <c r="F416" i="158"/>
  <c r="I233" i="155"/>
  <c r="H233" i="166" s="1"/>
  <c r="J233" i="155"/>
  <c r="H233" i="167" s="1"/>
  <c r="H233" i="155"/>
  <c r="H233" i="165" s="1"/>
  <c r="I222" i="155"/>
  <c r="J222" i="155"/>
  <c r="H222" i="155"/>
  <c r="H222" i="165" s="1"/>
  <c r="J222" i="165" s="1"/>
  <c r="L144" i="162"/>
  <c r="L85" i="162"/>
  <c r="H273" i="162" l="1"/>
  <c r="F273" i="165" s="1"/>
  <c r="I208" i="164"/>
  <c r="G273" i="160"/>
  <c r="G374" i="160"/>
  <c r="I208" i="162"/>
  <c r="F208" i="166" s="1"/>
  <c r="K208" i="166" s="1"/>
  <c r="J233" i="165"/>
  <c r="J208" i="167"/>
  <c r="I233" i="162"/>
  <c r="F233" i="166" s="1"/>
  <c r="O823" i="158"/>
  <c r="K628" i="162"/>
  <c r="L628" i="162" s="1"/>
  <c r="F628" i="164"/>
  <c r="J378" i="158"/>
  <c r="K368" i="158"/>
  <c r="K378" i="158" s="1"/>
  <c r="G374" i="155"/>
  <c r="K273" i="160"/>
  <c r="L273" i="160" s="1"/>
  <c r="G273" i="164"/>
  <c r="K628" i="155"/>
  <c r="L628" i="155" s="1"/>
  <c r="H628" i="164"/>
  <c r="I453" i="167"/>
  <c r="I454" i="167" s="1"/>
  <c r="J454" i="161"/>
  <c r="J832" i="161" s="1"/>
  <c r="I802" i="161"/>
  <c r="J802" i="161"/>
  <c r="G802" i="161"/>
  <c r="H802" i="161"/>
  <c r="I232" i="167"/>
  <c r="F145" i="159"/>
  <c r="I149" i="9"/>
  <c r="G145" i="9"/>
  <c r="G318" i="165"/>
  <c r="H319" i="160"/>
  <c r="G90" i="158"/>
  <c r="J273" i="166"/>
  <c r="G208" i="160"/>
  <c r="I823" i="159"/>
  <c r="J823" i="159" s="1"/>
  <c r="K823" i="159" s="1"/>
  <c r="H13" i="9"/>
  <c r="N151" i="9"/>
  <c r="H789" i="9"/>
  <c r="I278" i="160"/>
  <c r="J278" i="160"/>
  <c r="H278" i="160"/>
  <c r="G278" i="160" s="1"/>
  <c r="H208" i="162"/>
  <c r="F208" i="165" s="1"/>
  <c r="K208" i="165" s="1"/>
  <c r="K413" i="160"/>
  <c r="L413" i="160" s="1"/>
  <c r="G413" i="164"/>
  <c r="J413" i="164" s="1"/>
  <c r="G413" i="162"/>
  <c r="K94" i="164"/>
  <c r="I318" i="166"/>
  <c r="I319" i="166" s="1"/>
  <c r="I319" i="161"/>
  <c r="J453" i="160"/>
  <c r="H453" i="160"/>
  <c r="G453" i="160" s="1"/>
  <c r="I453" i="160"/>
  <c r="I453" i="162" s="1"/>
  <c r="F454" i="160"/>
  <c r="J278" i="157"/>
  <c r="I368" i="167"/>
  <c r="I378" i="167" s="1"/>
  <c r="J378" i="161"/>
  <c r="L135" i="162"/>
  <c r="J453" i="157"/>
  <c r="G454" i="157"/>
  <c r="I232" i="166"/>
  <c r="K374" i="160"/>
  <c r="L374" i="160" s="1"/>
  <c r="G374" i="164"/>
  <c r="I832" i="157"/>
  <c r="O832" i="157" s="1"/>
  <c r="J832" i="157"/>
  <c r="K832" i="157" s="1"/>
  <c r="G233" i="155"/>
  <c r="G827" i="158"/>
  <c r="H827" i="158"/>
  <c r="I823" i="157"/>
  <c r="O823" i="157" s="1"/>
  <c r="H318" i="155"/>
  <c r="H318" i="162" s="1"/>
  <c r="I318" i="155"/>
  <c r="F319" i="155"/>
  <c r="J318" i="155"/>
  <c r="G802" i="160"/>
  <c r="K802" i="160" s="1"/>
  <c r="H802" i="160"/>
  <c r="I802" i="160"/>
  <c r="J802" i="160"/>
  <c r="K146" i="160"/>
  <c r="L146" i="160" s="1"/>
  <c r="G146" i="164"/>
  <c r="J146" i="164" s="1"/>
  <c r="F188" i="158"/>
  <c r="F151" i="158"/>
  <c r="H222" i="167"/>
  <c r="J222" i="167" s="1"/>
  <c r="J222" i="162"/>
  <c r="F222" i="167" s="1"/>
  <c r="I412" i="158"/>
  <c r="I416" i="158" s="1"/>
  <c r="K628" i="165"/>
  <c r="I136" i="158"/>
  <c r="I140" i="158" s="1"/>
  <c r="I183" i="158" s="1"/>
  <c r="F101" i="158"/>
  <c r="F182" i="158"/>
  <c r="H785" i="158"/>
  <c r="G785" i="158"/>
  <c r="H101" i="158"/>
  <c r="H12" i="158" s="1"/>
  <c r="H182" i="158"/>
  <c r="H184" i="158" s="1"/>
  <c r="I145" i="158"/>
  <c r="I149" i="158" s="1"/>
  <c r="J208" i="166"/>
  <c r="G273" i="155"/>
  <c r="G273" i="162" s="1"/>
  <c r="J378" i="157"/>
  <c r="K368" i="157"/>
  <c r="K378" i="157" s="1"/>
  <c r="J378" i="159"/>
  <c r="K368" i="159"/>
  <c r="K378" i="159" s="1"/>
  <c r="L94" i="162"/>
  <c r="L410" i="160"/>
  <c r="J368" i="155"/>
  <c r="J368" i="162" s="1"/>
  <c r="H368" i="155"/>
  <c r="F378" i="155"/>
  <c r="I368" i="155"/>
  <c r="G318" i="161"/>
  <c r="I318" i="165"/>
  <c r="I319" i="165" s="1"/>
  <c r="H319" i="161"/>
  <c r="I832" i="159"/>
  <c r="O832" i="159" s="1"/>
  <c r="H823" i="161"/>
  <c r="J823" i="161"/>
  <c r="K410" i="165"/>
  <c r="K410" i="167"/>
  <c r="H458" i="9"/>
  <c r="H833" i="9" s="1"/>
  <c r="F457" i="158"/>
  <c r="J374" i="165"/>
  <c r="I273" i="162"/>
  <c r="F273" i="166" s="1"/>
  <c r="H189" i="9"/>
  <c r="I278" i="167"/>
  <c r="I278" i="165"/>
  <c r="F95" i="159"/>
  <c r="I99" i="9"/>
  <c r="I187" i="9" s="1"/>
  <c r="G95" i="9"/>
  <c r="H222" i="166"/>
  <c r="J222" i="166" s="1"/>
  <c r="I222" i="162"/>
  <c r="F222" i="166" s="1"/>
  <c r="G318" i="166"/>
  <c r="I319" i="160"/>
  <c r="G318" i="160"/>
  <c r="H151" i="158"/>
  <c r="H13" i="158" s="1"/>
  <c r="H188" i="158"/>
  <c r="H189" i="158" s="1"/>
  <c r="F334" i="9"/>
  <c r="I374" i="164"/>
  <c r="K374" i="161"/>
  <c r="L374" i="161" s="1"/>
  <c r="G232" i="165"/>
  <c r="G222" i="164"/>
  <c r="K222" i="160"/>
  <c r="L222" i="160" s="1"/>
  <c r="H232" i="155"/>
  <c r="H232" i="162" s="1"/>
  <c r="I232" i="155"/>
  <c r="I232" i="162" s="1"/>
  <c r="J232" i="155"/>
  <c r="J232" i="162" s="1"/>
  <c r="I453" i="165"/>
  <c r="I454" i="165" s="1"/>
  <c r="H454" i="161"/>
  <c r="K96" i="162"/>
  <c r="L96" i="162" s="1"/>
  <c r="F96" i="164"/>
  <c r="K96" i="164" s="1"/>
  <c r="J410" i="164"/>
  <c r="K135" i="164"/>
  <c r="J374" i="162"/>
  <c r="F374" i="167" s="1"/>
  <c r="J453" i="155"/>
  <c r="F454" i="155"/>
  <c r="H453" i="155"/>
  <c r="I453" i="155"/>
  <c r="G233" i="160"/>
  <c r="I232" i="165"/>
  <c r="N101" i="9"/>
  <c r="H12" i="9"/>
  <c r="H787" i="9"/>
  <c r="I278" i="166"/>
  <c r="G278" i="161"/>
  <c r="G222" i="162"/>
  <c r="G222" i="155"/>
  <c r="G318" i="167"/>
  <c r="J319" i="160"/>
  <c r="K233" i="161"/>
  <c r="L233" i="161" s="1"/>
  <c r="I233" i="164"/>
  <c r="F15" i="9"/>
  <c r="G232" i="167"/>
  <c r="G232" i="160"/>
  <c r="H222" i="162"/>
  <c r="F222" i="165" s="1"/>
  <c r="K222" i="165" s="1"/>
  <c r="G786" i="158"/>
  <c r="H786" i="158"/>
  <c r="F187" i="158"/>
  <c r="I453" i="166"/>
  <c r="I454" i="166" s="1"/>
  <c r="I454" i="161"/>
  <c r="I832" i="161" s="1"/>
  <c r="G453" i="161"/>
  <c r="I374" i="162"/>
  <c r="F374" i="166" s="1"/>
  <c r="I368" i="165"/>
  <c r="I378" i="165" s="1"/>
  <c r="H378" i="161"/>
  <c r="J233" i="167"/>
  <c r="K146" i="162"/>
  <c r="L146" i="162" s="1"/>
  <c r="F146" i="164"/>
  <c r="F136" i="159"/>
  <c r="I140" i="9"/>
  <c r="I183" i="9" s="1"/>
  <c r="G136" i="9"/>
  <c r="I86" i="158"/>
  <c r="I90" i="158" s="1"/>
  <c r="J273" i="165"/>
  <c r="K273" i="165" s="1"/>
  <c r="F635" i="162"/>
  <c r="F637" i="162" s="1"/>
  <c r="F645" i="162" s="1"/>
  <c r="F596" i="162"/>
  <c r="F600" i="162" s="1"/>
  <c r="F603" i="162" s="1"/>
  <c r="F22" i="162"/>
  <c r="K374" i="165"/>
  <c r="J208" i="162"/>
  <c r="F208" i="167" s="1"/>
  <c r="G232" i="166"/>
  <c r="J95" i="158"/>
  <c r="G99" i="158"/>
  <c r="G187" i="158" s="1"/>
  <c r="I368" i="160"/>
  <c r="I368" i="162" s="1"/>
  <c r="J368" i="160"/>
  <c r="F378" i="160"/>
  <c r="H368" i="160"/>
  <c r="G368" i="160" s="1"/>
  <c r="K278" i="159"/>
  <c r="H233" i="162"/>
  <c r="F233" i="165" s="1"/>
  <c r="K233" i="165" s="1"/>
  <c r="H832" i="161"/>
  <c r="K410" i="162"/>
  <c r="F410" i="164"/>
  <c r="J319" i="157"/>
  <c r="K318" i="157"/>
  <c r="K319" i="157" s="1"/>
  <c r="I318" i="167"/>
  <c r="I319" i="167" s="1"/>
  <c r="J319" i="161"/>
  <c r="J233" i="162"/>
  <c r="F233" i="167" s="1"/>
  <c r="K628" i="160"/>
  <c r="L628" i="160" s="1"/>
  <c r="G628" i="164"/>
  <c r="J454" i="159"/>
  <c r="K453" i="159"/>
  <c r="K454" i="159" s="1"/>
  <c r="G208" i="155"/>
  <c r="I368" i="166"/>
  <c r="I378" i="166" s="1"/>
  <c r="I378" i="161"/>
  <c r="I823" i="161" s="1"/>
  <c r="G368" i="161"/>
  <c r="K137" i="160"/>
  <c r="L137" i="160" s="1"/>
  <c r="G137" i="164"/>
  <c r="J137" i="164" s="1"/>
  <c r="G137" i="162"/>
  <c r="J273" i="162"/>
  <c r="F273" i="167" s="1"/>
  <c r="K273" i="167" s="1"/>
  <c r="K144" i="164"/>
  <c r="J233" i="166"/>
  <c r="J802" i="157"/>
  <c r="K802" i="157" s="1"/>
  <c r="O802" i="157"/>
  <c r="G232" i="161"/>
  <c r="F271" i="158"/>
  <c r="J374" i="166"/>
  <c r="J374" i="167"/>
  <c r="H214" i="9"/>
  <c r="H226" i="9"/>
  <c r="H227" i="9"/>
  <c r="H234" i="9"/>
  <c r="H220" i="9"/>
  <c r="H262" i="9"/>
  <c r="H266" i="9"/>
  <c r="H261" i="9"/>
  <c r="H265" i="9"/>
  <c r="H225" i="9"/>
  <c r="H269" i="9"/>
  <c r="H419" i="9"/>
  <c r="H263" i="9"/>
  <c r="H274" i="9"/>
  <c r="H417" i="9"/>
  <c r="H260" i="9"/>
  <c r="H421" i="9"/>
  <c r="H425" i="9"/>
  <c r="H492" i="9"/>
  <c r="H629" i="9"/>
  <c r="F629" i="158" s="1"/>
  <c r="H212" i="9"/>
  <c r="H264" i="9"/>
  <c r="H422" i="9"/>
  <c r="H428" i="9"/>
  <c r="H531" i="9"/>
  <c r="F531" i="158" s="1"/>
  <c r="H424" i="9"/>
  <c r="H491" i="9"/>
  <c r="H520" i="9"/>
  <c r="H528" i="9"/>
  <c r="F528" i="158" s="1"/>
  <c r="G850" i="9"/>
  <c r="H423" i="9"/>
  <c r="H850" i="9"/>
  <c r="G851" i="9"/>
  <c r="H418" i="9"/>
  <c r="H851" i="9"/>
  <c r="H484" i="9"/>
  <c r="H626" i="9"/>
  <c r="H259" i="9"/>
  <c r="H485" i="9"/>
  <c r="J278" i="155"/>
  <c r="G278" i="155"/>
  <c r="I278" i="155"/>
  <c r="I278" i="162" s="1"/>
  <c r="H278" i="155"/>
  <c r="K232" i="157"/>
  <c r="F412" i="159"/>
  <c r="I416" i="9"/>
  <c r="G412" i="9"/>
  <c r="F86" i="159"/>
  <c r="I90" i="9"/>
  <c r="G86" i="9"/>
  <c r="K222" i="166" l="1"/>
  <c r="J832" i="159"/>
  <c r="K832" i="159" s="1"/>
  <c r="O823" i="159"/>
  <c r="K233" i="167"/>
  <c r="K374" i="167"/>
  <c r="K233" i="166"/>
  <c r="K208" i="167"/>
  <c r="K374" i="166"/>
  <c r="K222" i="167"/>
  <c r="G378" i="160"/>
  <c r="K368" i="160"/>
  <c r="G368" i="164"/>
  <c r="F232" i="165"/>
  <c r="J86" i="9"/>
  <c r="F86" i="157"/>
  <c r="G90" i="9"/>
  <c r="H278" i="165"/>
  <c r="F259" i="158"/>
  <c r="F264" i="158"/>
  <c r="F274" i="158"/>
  <c r="F262" i="158"/>
  <c r="F368" i="166"/>
  <c r="I378" i="162"/>
  <c r="K273" i="162"/>
  <c r="L273" i="162" s="1"/>
  <c r="F273" i="164"/>
  <c r="H453" i="165"/>
  <c r="H454" i="165" s="1"/>
  <c r="H454" i="155"/>
  <c r="H453" i="162"/>
  <c r="G232" i="155"/>
  <c r="I189" i="9"/>
  <c r="I191" i="9" s="1"/>
  <c r="F458" i="158"/>
  <c r="L802" i="160"/>
  <c r="P802" i="160"/>
  <c r="G454" i="160"/>
  <c r="K453" i="160"/>
  <c r="G453" i="164"/>
  <c r="K413" i="162"/>
  <c r="L413" i="162" s="1"/>
  <c r="F413" i="164"/>
  <c r="K413" i="164" s="1"/>
  <c r="G278" i="164"/>
  <c r="K278" i="160"/>
  <c r="G319" i="165"/>
  <c r="F232" i="167"/>
  <c r="I101" i="9"/>
  <c r="I182" i="9"/>
  <c r="I184" i="9" s="1"/>
  <c r="H412" i="159"/>
  <c r="H416" i="159" s="1"/>
  <c r="I412" i="159"/>
  <c r="F416" i="159"/>
  <c r="H531" i="158"/>
  <c r="F421" i="158"/>
  <c r="F265" i="158"/>
  <c r="F214" i="158"/>
  <c r="G832" i="161"/>
  <c r="K832" i="161" s="1"/>
  <c r="J99" i="158"/>
  <c r="J187" i="158" s="1"/>
  <c r="K95" i="158"/>
  <c r="K99" i="158" s="1"/>
  <c r="F278" i="166"/>
  <c r="F318" i="165"/>
  <c r="H319" i="162"/>
  <c r="F12" i="158"/>
  <c r="G787" i="158"/>
  <c r="H787" i="158"/>
  <c r="H318" i="165"/>
  <c r="H319" i="165" s="1"/>
  <c r="H319" i="155"/>
  <c r="H802" i="155" s="1"/>
  <c r="J823" i="157"/>
  <c r="K823" i="157" s="1"/>
  <c r="F232" i="166"/>
  <c r="G278" i="167"/>
  <c r="G101" i="158"/>
  <c r="G12" i="158" s="1"/>
  <c r="G182" i="158"/>
  <c r="J412" i="9"/>
  <c r="F412" i="157"/>
  <c r="G416" i="9"/>
  <c r="H278" i="166"/>
  <c r="F485" i="158"/>
  <c r="F423" i="158"/>
  <c r="H493" i="9"/>
  <c r="F491" i="158"/>
  <c r="F422" i="158"/>
  <c r="F492" i="158"/>
  <c r="F417" i="158"/>
  <c r="F269" i="158"/>
  <c r="F266" i="158"/>
  <c r="F227" i="158"/>
  <c r="K368" i="161"/>
  <c r="I368" i="164"/>
  <c r="I378" i="164" s="1"/>
  <c r="G378" i="161"/>
  <c r="K208" i="155"/>
  <c r="L208" i="155" s="1"/>
  <c r="H208" i="164"/>
  <c r="G368" i="166"/>
  <c r="I378" i="160"/>
  <c r="J232" i="166"/>
  <c r="F608" i="162"/>
  <c r="F610" i="162" s="1"/>
  <c r="F605" i="162"/>
  <c r="F23" i="162" s="1"/>
  <c r="J136" i="9"/>
  <c r="F136" i="157"/>
  <c r="G140" i="9"/>
  <c r="G183" i="9" s="1"/>
  <c r="F189" i="158"/>
  <c r="K232" i="160"/>
  <c r="G232" i="164"/>
  <c r="K222" i="162"/>
  <c r="L222" i="162" s="1"/>
  <c r="F222" i="164"/>
  <c r="G233" i="164"/>
  <c r="K233" i="160"/>
  <c r="L233" i="160" s="1"/>
  <c r="H453" i="166"/>
  <c r="H454" i="166" s="1"/>
  <c r="I454" i="155"/>
  <c r="H453" i="167"/>
  <c r="H454" i="167" s="1"/>
  <c r="J454" i="155"/>
  <c r="H232" i="167"/>
  <c r="G319" i="166"/>
  <c r="J95" i="9"/>
  <c r="F95" i="157"/>
  <c r="G99" i="9"/>
  <c r="G319" i="161"/>
  <c r="I318" i="164"/>
  <c r="I319" i="164" s="1"/>
  <c r="K318" i="161"/>
  <c r="H368" i="165"/>
  <c r="H378" i="165" s="1"/>
  <c r="H378" i="155"/>
  <c r="I151" i="158"/>
  <c r="I13" i="158" s="1"/>
  <c r="I188" i="158"/>
  <c r="I189" i="158" s="1"/>
  <c r="H789" i="158"/>
  <c r="F13" i="158"/>
  <c r="G789" i="158"/>
  <c r="G136" i="158"/>
  <c r="H318" i="166"/>
  <c r="H319" i="166" s="1"/>
  <c r="I319" i="155"/>
  <c r="J374" i="164"/>
  <c r="K278" i="157"/>
  <c r="G453" i="165"/>
  <c r="H454" i="160"/>
  <c r="H832" i="160" s="1"/>
  <c r="I318" i="162"/>
  <c r="G278" i="165"/>
  <c r="K208" i="160"/>
  <c r="L208" i="160" s="1"/>
  <c r="G208" i="164"/>
  <c r="G208" i="162"/>
  <c r="G145" i="159"/>
  <c r="H145" i="159"/>
  <c r="H149" i="159" s="1"/>
  <c r="I145" i="159"/>
  <c r="F149" i="159"/>
  <c r="K278" i="155"/>
  <c r="H278" i="164"/>
  <c r="F418" i="158"/>
  <c r="F424" i="158"/>
  <c r="F425" i="158"/>
  <c r="F225" i="158"/>
  <c r="F226" i="158"/>
  <c r="H271" i="158"/>
  <c r="I271" i="158"/>
  <c r="K137" i="162"/>
  <c r="L137" i="162" s="1"/>
  <c r="F137" i="164"/>
  <c r="K137" i="164" s="1"/>
  <c r="I823" i="160"/>
  <c r="H823" i="160"/>
  <c r="F453" i="166"/>
  <c r="I454" i="162"/>
  <c r="K278" i="161"/>
  <c r="I278" i="164"/>
  <c r="G278" i="162"/>
  <c r="H232" i="165"/>
  <c r="H278" i="162"/>
  <c r="G823" i="161"/>
  <c r="K823" i="161" s="1"/>
  <c r="H368" i="166"/>
  <c r="H378" i="166" s="1"/>
  <c r="I378" i="155"/>
  <c r="G368" i="155"/>
  <c r="G368" i="162" s="1"/>
  <c r="K273" i="155"/>
  <c r="L273" i="155" s="1"/>
  <c r="H273" i="164"/>
  <c r="F184" i="158"/>
  <c r="J378" i="162"/>
  <c r="F368" i="167"/>
  <c r="K374" i="155"/>
  <c r="L374" i="155" s="1"/>
  <c r="H374" i="164"/>
  <c r="H278" i="167"/>
  <c r="H630" i="9"/>
  <c r="F626" i="158"/>
  <c r="H528" i="158"/>
  <c r="F212" i="158"/>
  <c r="F263" i="158"/>
  <c r="F220" i="158"/>
  <c r="K410" i="164"/>
  <c r="H136" i="159"/>
  <c r="H140" i="159" s="1"/>
  <c r="H183" i="159" s="1"/>
  <c r="I136" i="159"/>
  <c r="F140" i="159"/>
  <c r="F183" i="159" s="1"/>
  <c r="I786" i="158"/>
  <c r="J786" i="158" s="1"/>
  <c r="K786" i="158" s="1"/>
  <c r="G319" i="167"/>
  <c r="H832" i="155"/>
  <c r="I832" i="155"/>
  <c r="J832" i="155"/>
  <c r="F26" i="9"/>
  <c r="F548" i="9"/>
  <c r="F552" i="9" s="1"/>
  <c r="F555" i="9" s="1"/>
  <c r="F595" i="9"/>
  <c r="F634" i="9"/>
  <c r="G319" i="160"/>
  <c r="K318" i="160"/>
  <c r="G318" i="164"/>
  <c r="I95" i="159"/>
  <c r="H95" i="159"/>
  <c r="H99" i="159" s="1"/>
  <c r="H187" i="159" s="1"/>
  <c r="G95" i="159"/>
  <c r="F99" i="159"/>
  <c r="H191" i="9"/>
  <c r="H795" i="9"/>
  <c r="H461" i="9" s="1"/>
  <c r="H368" i="167"/>
  <c r="H378" i="167" s="1"/>
  <c r="J378" i="155"/>
  <c r="J319" i="155"/>
  <c r="H318" i="167"/>
  <c r="H319" i="167" s="1"/>
  <c r="I827" i="158"/>
  <c r="I528" i="158" s="1"/>
  <c r="G453" i="167"/>
  <c r="J454" i="160"/>
  <c r="J832" i="160" s="1"/>
  <c r="H191" i="158"/>
  <c r="J145" i="9"/>
  <c r="F145" i="157"/>
  <c r="G149" i="9"/>
  <c r="K802" i="161"/>
  <c r="J453" i="162"/>
  <c r="I86" i="159"/>
  <c r="G86" i="159"/>
  <c r="H86" i="159"/>
  <c r="H90" i="159" s="1"/>
  <c r="F90" i="159"/>
  <c r="F484" i="158"/>
  <c r="F520" i="158"/>
  <c r="F428" i="158"/>
  <c r="G629" i="158"/>
  <c r="H629" i="158"/>
  <c r="F260" i="158"/>
  <c r="F419" i="158"/>
  <c r="F261" i="158"/>
  <c r="F234" i="158"/>
  <c r="I232" i="164"/>
  <c r="K232" i="161"/>
  <c r="G232" i="162"/>
  <c r="J628" i="164"/>
  <c r="K628" i="164" s="1"/>
  <c r="J318" i="162"/>
  <c r="L410" i="162"/>
  <c r="G368" i="165"/>
  <c r="H378" i="160"/>
  <c r="G368" i="167"/>
  <c r="J378" i="160"/>
  <c r="J823" i="160" s="1"/>
  <c r="F23" i="49"/>
  <c r="F24" i="162"/>
  <c r="I182" i="158"/>
  <c r="I184" i="158" s="1"/>
  <c r="I101" i="158"/>
  <c r="I12" i="158" s="1"/>
  <c r="K146" i="164"/>
  <c r="H368" i="162"/>
  <c r="K453" i="161"/>
  <c r="I453" i="164"/>
  <c r="I454" i="164" s="1"/>
  <c r="G454" i="161"/>
  <c r="G233" i="162"/>
  <c r="H222" i="164"/>
  <c r="J222" i="164" s="1"/>
  <c r="K222" i="155"/>
  <c r="L222" i="155" s="1"/>
  <c r="G453" i="155"/>
  <c r="G453" i="162" s="1"/>
  <c r="H232" i="166"/>
  <c r="G374" i="162"/>
  <c r="J278" i="162"/>
  <c r="K273" i="166"/>
  <c r="I823" i="155"/>
  <c r="J823" i="155"/>
  <c r="H823" i="155"/>
  <c r="I785" i="158"/>
  <c r="J785" i="158" s="1"/>
  <c r="K785" i="158" s="1"/>
  <c r="O785" i="158"/>
  <c r="G145" i="158"/>
  <c r="I802" i="155"/>
  <c r="J802" i="155"/>
  <c r="G318" i="155"/>
  <c r="G318" i="162" s="1"/>
  <c r="G412" i="158"/>
  <c r="K233" i="155"/>
  <c r="L233" i="155" s="1"/>
  <c r="H233" i="164"/>
  <c r="J454" i="157"/>
  <c r="K453" i="157"/>
  <c r="K454" i="157" s="1"/>
  <c r="G453" i="166"/>
  <c r="I454" i="160"/>
  <c r="I832" i="160" s="1"/>
  <c r="G278" i="166"/>
  <c r="J86" i="158"/>
  <c r="I151" i="9"/>
  <c r="I188" i="9"/>
  <c r="J273" i="164"/>
  <c r="G412" i="159" l="1"/>
  <c r="O786" i="158"/>
  <c r="G136" i="159"/>
  <c r="G271" i="158"/>
  <c r="J271" i="158" s="1"/>
  <c r="K271" i="158" s="1"/>
  <c r="I531" i="158"/>
  <c r="G531" i="158" s="1"/>
  <c r="J531" i="158" s="1"/>
  <c r="K531" i="158" s="1"/>
  <c r="G802" i="155"/>
  <c r="K802" i="155" s="1"/>
  <c r="L802" i="155" s="1"/>
  <c r="K273" i="164"/>
  <c r="G319" i="162"/>
  <c r="F318" i="164"/>
  <c r="K318" i="162"/>
  <c r="K368" i="162"/>
  <c r="G378" i="162"/>
  <c r="F368" i="164"/>
  <c r="G454" i="162"/>
  <c r="F453" i="164"/>
  <c r="K453" i="162"/>
  <c r="G528" i="158"/>
  <c r="J528" i="158" s="1"/>
  <c r="K528" i="158" s="1"/>
  <c r="G832" i="160"/>
  <c r="K832" i="160" s="1"/>
  <c r="P802" i="155"/>
  <c r="I13" i="9"/>
  <c r="O151" i="9"/>
  <c r="F374" i="164"/>
  <c r="K374" i="164" s="1"/>
  <c r="K374" i="162"/>
  <c r="L374" i="162" s="1"/>
  <c r="L232" i="161"/>
  <c r="F86" i="161"/>
  <c r="I90" i="159"/>
  <c r="H145" i="157"/>
  <c r="I145" i="157"/>
  <c r="I149" i="157" s="1"/>
  <c r="F149" i="157"/>
  <c r="G454" i="167"/>
  <c r="J453" i="167"/>
  <c r="J454" i="167" s="1"/>
  <c r="F151" i="159"/>
  <c r="F188" i="159"/>
  <c r="H491" i="158"/>
  <c r="F493" i="158"/>
  <c r="I491" i="158"/>
  <c r="H265" i="158"/>
  <c r="I265" i="158"/>
  <c r="H833" i="158"/>
  <c r="G833" i="158"/>
  <c r="F453" i="165"/>
  <c r="H454" i="162"/>
  <c r="H264" i="158"/>
  <c r="I264" i="158"/>
  <c r="G264" i="158" s="1"/>
  <c r="J264" i="158" s="1"/>
  <c r="K264" i="158" s="1"/>
  <c r="G182" i="9"/>
  <c r="G184" i="9" s="1"/>
  <c r="G794" i="9" s="1"/>
  <c r="G101" i="9"/>
  <c r="G785" i="9"/>
  <c r="G454" i="166"/>
  <c r="J453" i="166"/>
  <c r="J454" i="166" s="1"/>
  <c r="H261" i="158"/>
  <c r="I261" i="158"/>
  <c r="J318" i="167"/>
  <c r="J319" i="167" s="1"/>
  <c r="H794" i="158"/>
  <c r="H457" i="158" s="1"/>
  <c r="G794" i="158"/>
  <c r="G823" i="160"/>
  <c r="K823" i="160" s="1"/>
  <c r="F145" i="161"/>
  <c r="I149" i="159"/>
  <c r="J278" i="165"/>
  <c r="I789" i="158"/>
  <c r="O789" i="158" s="1"/>
  <c r="J789" i="158"/>
  <c r="K789" i="158" s="1"/>
  <c r="K222" i="164"/>
  <c r="H136" i="157"/>
  <c r="I136" i="157"/>
  <c r="I140" i="157" s="1"/>
  <c r="I183" i="157" s="1"/>
  <c r="G136" i="157"/>
  <c r="F140" i="157"/>
  <c r="F183" i="157" s="1"/>
  <c r="G266" i="158"/>
  <c r="J266" i="158" s="1"/>
  <c r="K266" i="158"/>
  <c r="H266" i="158"/>
  <c r="I266" i="158"/>
  <c r="H485" i="158"/>
  <c r="G485" i="158" s="1"/>
  <c r="J485" i="158" s="1"/>
  <c r="K485" i="158" s="1"/>
  <c r="I485" i="158"/>
  <c r="G827" i="9"/>
  <c r="J232" i="167"/>
  <c r="K232" i="167" s="1"/>
  <c r="L832" i="161"/>
  <c r="P832" i="161"/>
  <c r="H827" i="159"/>
  <c r="L278" i="160"/>
  <c r="G378" i="164"/>
  <c r="J412" i="158"/>
  <c r="G416" i="158"/>
  <c r="F368" i="165"/>
  <c r="H378" i="162"/>
  <c r="F28" i="162"/>
  <c r="J368" i="167"/>
  <c r="J378" i="167" s="1"/>
  <c r="G378" i="167"/>
  <c r="F232" i="164"/>
  <c r="K232" i="162"/>
  <c r="H101" i="159"/>
  <c r="H12" i="159" s="1"/>
  <c r="H182" i="159"/>
  <c r="H184" i="159" s="1"/>
  <c r="P802" i="161"/>
  <c r="L802" i="161"/>
  <c r="H329" i="158"/>
  <c r="J827" i="158"/>
  <c r="K827" i="158" s="1"/>
  <c r="N191" i="9"/>
  <c r="H329" i="9"/>
  <c r="H796" i="9"/>
  <c r="F136" i="161"/>
  <c r="I140" i="159"/>
  <c r="I183" i="159" s="1"/>
  <c r="L278" i="161"/>
  <c r="H226" i="158"/>
  <c r="I226" i="158"/>
  <c r="I425" i="158"/>
  <c r="H425" i="158"/>
  <c r="G425" i="158" s="1"/>
  <c r="J425" i="158" s="1"/>
  <c r="K425" i="158" s="1"/>
  <c r="H418" i="158"/>
  <c r="G418" i="158" s="1"/>
  <c r="J418" i="158" s="1"/>
  <c r="K418" i="158" s="1"/>
  <c r="I418" i="158"/>
  <c r="L278" i="155"/>
  <c r="H188" i="159"/>
  <c r="H189" i="159" s="1"/>
  <c r="H191" i="159" s="1"/>
  <c r="H151" i="159"/>
  <c r="H13" i="159" s="1"/>
  <c r="J208" i="164"/>
  <c r="K187" i="158"/>
  <c r="K136" i="9"/>
  <c r="K140" i="9" s="1"/>
  <c r="J140" i="9"/>
  <c r="J183" i="9" s="1"/>
  <c r="K183" i="9" s="1"/>
  <c r="K378" i="161"/>
  <c r="L368" i="161"/>
  <c r="L378" i="161" s="1"/>
  <c r="I417" i="158"/>
  <c r="H417" i="158"/>
  <c r="G417" i="158"/>
  <c r="J417" i="158" s="1"/>
  <c r="K417" i="158" s="1"/>
  <c r="H422" i="158"/>
  <c r="I422" i="158"/>
  <c r="H412" i="157"/>
  <c r="G412" i="157" s="1"/>
  <c r="I412" i="157"/>
  <c r="I416" i="157" s="1"/>
  <c r="F416" i="157"/>
  <c r="K232" i="166"/>
  <c r="H214" i="158"/>
  <c r="G214" i="158" s="1"/>
  <c r="J214" i="158" s="1"/>
  <c r="K214" i="158" s="1"/>
  <c r="I214" i="158"/>
  <c r="I421" i="158"/>
  <c r="H421" i="158"/>
  <c r="G421" i="158" s="1"/>
  <c r="J421" i="158" s="1"/>
  <c r="K421" i="158" s="1"/>
  <c r="F412" i="161"/>
  <c r="I416" i="159"/>
  <c r="J278" i="164"/>
  <c r="G454" i="164"/>
  <c r="J232" i="165"/>
  <c r="K232" i="165" s="1"/>
  <c r="H274" i="158"/>
  <c r="G274" i="158" s="1"/>
  <c r="J274" i="158" s="1"/>
  <c r="K274" i="158" s="1"/>
  <c r="I274" i="158"/>
  <c r="K86" i="9"/>
  <c r="K90" i="9" s="1"/>
  <c r="J90" i="9"/>
  <c r="K378" i="160"/>
  <c r="L368" i="160"/>
  <c r="L378" i="160" s="1"/>
  <c r="G454" i="155"/>
  <c r="K453" i="155"/>
  <c r="H453" i="164"/>
  <c r="H454" i="164" s="1"/>
  <c r="J368" i="165"/>
  <c r="J378" i="165" s="1"/>
  <c r="G378" i="165"/>
  <c r="I484" i="158"/>
  <c r="H484" i="158"/>
  <c r="F101" i="159"/>
  <c r="F182" i="159"/>
  <c r="G785" i="159"/>
  <c r="H785" i="159"/>
  <c r="J95" i="159"/>
  <c r="F95" i="160"/>
  <c r="G99" i="159"/>
  <c r="G187" i="159" s="1"/>
  <c r="J318" i="164"/>
  <c r="J319" i="164" s="1"/>
  <c r="G319" i="164"/>
  <c r="H220" i="158"/>
  <c r="I220" i="158"/>
  <c r="H27" i="9"/>
  <c r="H636" i="9"/>
  <c r="H639" i="9" s="1"/>
  <c r="H868" i="9"/>
  <c r="K368" i="155"/>
  <c r="G378" i="155"/>
  <c r="H368" i="164"/>
  <c r="H378" i="164" s="1"/>
  <c r="F278" i="165"/>
  <c r="F278" i="164"/>
  <c r="K278" i="162"/>
  <c r="F454" i="166"/>
  <c r="H225" i="158"/>
  <c r="I225" i="158"/>
  <c r="G225" i="158"/>
  <c r="J225" i="158" s="1"/>
  <c r="K225" i="158" s="1"/>
  <c r="F145" i="160"/>
  <c r="J145" i="159"/>
  <c r="G149" i="159"/>
  <c r="J136" i="158"/>
  <c r="G140" i="158"/>
  <c r="G183" i="158" s="1"/>
  <c r="G184" i="158" s="1"/>
  <c r="G95" i="157"/>
  <c r="I95" i="157"/>
  <c r="I99" i="157" s="1"/>
  <c r="I187" i="157" s="1"/>
  <c r="H95" i="157"/>
  <c r="F99" i="157"/>
  <c r="J368" i="166"/>
  <c r="J378" i="166" s="1"/>
  <c r="G378" i="166"/>
  <c r="I492" i="158"/>
  <c r="H492" i="158"/>
  <c r="O191" i="9"/>
  <c r="I329" i="9"/>
  <c r="H262" i="158"/>
  <c r="G262" i="158" s="1"/>
  <c r="J262" i="158" s="1"/>
  <c r="K262" i="158" s="1"/>
  <c r="I262" i="158"/>
  <c r="H259" i="158"/>
  <c r="G259" i="158" s="1"/>
  <c r="J259" i="158" s="1"/>
  <c r="K259" i="158" s="1"/>
  <c r="I259" i="158"/>
  <c r="J90" i="158"/>
  <c r="K86" i="158"/>
  <c r="K90" i="158" s="1"/>
  <c r="K101" i="158" s="1"/>
  <c r="K12" i="158" s="1"/>
  <c r="K233" i="162"/>
  <c r="L233" i="162" s="1"/>
  <c r="F233" i="164"/>
  <c r="K454" i="161"/>
  <c r="L453" i="161"/>
  <c r="L454" i="161" s="1"/>
  <c r="G260" i="158"/>
  <c r="J260" i="158" s="1"/>
  <c r="K260" i="158" s="1"/>
  <c r="H260" i="158"/>
  <c r="I260" i="158"/>
  <c r="I520" i="158"/>
  <c r="H520" i="158"/>
  <c r="F453" i="167"/>
  <c r="J454" i="162"/>
  <c r="K145" i="9"/>
  <c r="K149" i="9" s="1"/>
  <c r="K151" i="9" s="1"/>
  <c r="J149" i="9"/>
  <c r="H462" i="9"/>
  <c r="F461" i="158"/>
  <c r="K319" i="160"/>
  <c r="L318" i="160"/>
  <c r="L319" i="160" s="1"/>
  <c r="F136" i="160"/>
  <c r="J136" i="159"/>
  <c r="G140" i="159"/>
  <c r="G183" i="159" s="1"/>
  <c r="H212" i="158"/>
  <c r="G212" i="158" s="1"/>
  <c r="J212" i="158" s="1"/>
  <c r="K212" i="158" s="1"/>
  <c r="I212" i="158"/>
  <c r="F378" i="167"/>
  <c r="K368" i="167"/>
  <c r="K378" i="167" s="1"/>
  <c r="H424" i="158"/>
  <c r="I424" i="158"/>
  <c r="G424" i="158" s="1"/>
  <c r="J424" i="158" s="1"/>
  <c r="K424" i="158" s="1"/>
  <c r="K208" i="162"/>
  <c r="L208" i="162" s="1"/>
  <c r="F208" i="164"/>
  <c r="G454" i="165"/>
  <c r="J453" i="165"/>
  <c r="J454" i="165" s="1"/>
  <c r="I191" i="158"/>
  <c r="K95" i="9"/>
  <c r="K99" i="9" s="1"/>
  <c r="J99" i="9"/>
  <c r="J187" i="9" s="1"/>
  <c r="L232" i="160"/>
  <c r="F412" i="160"/>
  <c r="J412" i="159"/>
  <c r="G416" i="159"/>
  <c r="G827" i="159" s="1"/>
  <c r="G86" i="157"/>
  <c r="I86" i="157"/>
  <c r="I90" i="157" s="1"/>
  <c r="H86" i="157"/>
  <c r="F90" i="157"/>
  <c r="J278" i="166"/>
  <c r="K278" i="166" s="1"/>
  <c r="K318" i="155"/>
  <c r="G319" i="155"/>
  <c r="H318" i="164"/>
  <c r="H319" i="164" s="1"/>
  <c r="J145" i="158"/>
  <c r="G149" i="158"/>
  <c r="G823" i="155"/>
  <c r="K823" i="155" s="1"/>
  <c r="F278" i="167"/>
  <c r="F318" i="167"/>
  <c r="J319" i="162"/>
  <c r="H234" i="158"/>
  <c r="G234" i="158" s="1"/>
  <c r="I234" i="158"/>
  <c r="I419" i="158"/>
  <c r="H419" i="158"/>
  <c r="G419" i="158" s="1"/>
  <c r="J419" i="158" s="1"/>
  <c r="K419" i="158" s="1"/>
  <c r="I629" i="158"/>
  <c r="J629" i="158" s="1"/>
  <c r="K629" i="158" s="1"/>
  <c r="G428" i="158"/>
  <c r="J428" i="158" s="1"/>
  <c r="K428" i="158" s="1"/>
  <c r="H428" i="158"/>
  <c r="I428" i="158"/>
  <c r="J86" i="159"/>
  <c r="F86" i="160"/>
  <c r="G90" i="159"/>
  <c r="G188" i="9"/>
  <c r="G151" i="9"/>
  <c r="O827" i="158"/>
  <c r="F187" i="159"/>
  <c r="H786" i="159"/>
  <c r="F95" i="161"/>
  <c r="I99" i="159"/>
  <c r="I187" i="159" s="1"/>
  <c r="F561" i="9"/>
  <c r="F563" i="9" s="1"/>
  <c r="F557" i="9"/>
  <c r="C55" i="5"/>
  <c r="G832" i="155"/>
  <c r="K832" i="155" s="1"/>
  <c r="H263" i="158"/>
  <c r="I263" i="158"/>
  <c r="G626" i="158"/>
  <c r="H626" i="158"/>
  <c r="H630" i="158" s="1"/>
  <c r="F630" i="158"/>
  <c r="I626" i="158"/>
  <c r="I630" i="158" s="1"/>
  <c r="L823" i="161"/>
  <c r="P823" i="161"/>
  <c r="F318" i="166"/>
  <c r="I319" i="162"/>
  <c r="K319" i="161"/>
  <c r="L318" i="161"/>
  <c r="L319" i="161" s="1"/>
  <c r="G187" i="9"/>
  <c r="G786" i="9"/>
  <c r="J318" i="166"/>
  <c r="J319" i="166" s="1"/>
  <c r="J233" i="164"/>
  <c r="F191" i="158"/>
  <c r="G795" i="158"/>
  <c r="H795" i="158"/>
  <c r="F24" i="49"/>
  <c r="H227" i="158"/>
  <c r="I227" i="158"/>
  <c r="G227" i="158"/>
  <c r="J227" i="158" s="1"/>
  <c r="K227" i="158" s="1"/>
  <c r="H269" i="158"/>
  <c r="G269" i="158" s="1"/>
  <c r="J269" i="158" s="1"/>
  <c r="K269" i="158" s="1"/>
  <c r="I269" i="158"/>
  <c r="I423" i="158"/>
  <c r="H423" i="158"/>
  <c r="K412" i="9"/>
  <c r="K416" i="9" s="1"/>
  <c r="J416" i="9"/>
  <c r="J278" i="167"/>
  <c r="I787" i="158"/>
  <c r="J787" i="158" s="1"/>
  <c r="K787" i="158" s="1"/>
  <c r="O787" i="158"/>
  <c r="F319" i="165"/>
  <c r="I12" i="9"/>
  <c r="O101" i="9"/>
  <c r="J318" i="165"/>
  <c r="J319" i="165" s="1"/>
  <c r="K454" i="160"/>
  <c r="L453" i="160"/>
  <c r="L454" i="160" s="1"/>
  <c r="K232" i="155"/>
  <c r="H232" i="164"/>
  <c r="F378" i="166"/>
  <c r="G220" i="158" l="1"/>
  <c r="G265" i="158"/>
  <c r="J265" i="158" s="1"/>
  <c r="K265" i="158" s="1"/>
  <c r="K368" i="166"/>
  <c r="K378" i="166" s="1"/>
  <c r="G423" i="158"/>
  <c r="J423" i="158" s="1"/>
  <c r="K423" i="158" s="1"/>
  <c r="G189" i="9"/>
  <c r="G191" i="9" s="1"/>
  <c r="K233" i="164"/>
  <c r="G422" i="158"/>
  <c r="J422" i="158" s="1"/>
  <c r="K422" i="158" s="1"/>
  <c r="G261" i="158"/>
  <c r="J261" i="158" s="1"/>
  <c r="K261" i="158" s="1"/>
  <c r="I493" i="158"/>
  <c r="K101" i="9"/>
  <c r="G263" i="158"/>
  <c r="J263" i="158" s="1"/>
  <c r="K263" i="158" s="1"/>
  <c r="G492" i="158"/>
  <c r="J492" i="158" s="1"/>
  <c r="K492" i="158" s="1"/>
  <c r="G520" i="158"/>
  <c r="J520" i="158" s="1"/>
  <c r="K520" i="158" s="1"/>
  <c r="G484" i="158"/>
  <c r="J484" i="158" s="1"/>
  <c r="G226" i="158"/>
  <c r="J226" i="158" s="1"/>
  <c r="K226" i="158" s="1"/>
  <c r="J220" i="158"/>
  <c r="H329" i="159"/>
  <c r="I827" i="159"/>
  <c r="F329" i="158"/>
  <c r="H796" i="158"/>
  <c r="G796" i="158"/>
  <c r="C58" i="5"/>
  <c r="E58" i="5" s="1"/>
  <c r="E55" i="5"/>
  <c r="H95" i="161"/>
  <c r="I95" i="161"/>
  <c r="J95" i="161"/>
  <c r="G95" i="161" s="1"/>
  <c r="F99" i="161"/>
  <c r="H86" i="160"/>
  <c r="I86" i="160"/>
  <c r="J86" i="160"/>
  <c r="F90" i="160"/>
  <c r="J234" i="158"/>
  <c r="G188" i="158"/>
  <c r="G189" i="158" s="1"/>
  <c r="G191" i="158" s="1"/>
  <c r="G151" i="158"/>
  <c r="G13" i="158" s="1"/>
  <c r="K319" i="155"/>
  <c r="L318" i="155"/>
  <c r="L319" i="155" s="1"/>
  <c r="H465" i="9"/>
  <c r="H834" i="9"/>
  <c r="F454" i="167"/>
  <c r="K453" i="167"/>
  <c r="K454" i="167" s="1"/>
  <c r="J95" i="157"/>
  <c r="G99" i="157"/>
  <c r="G187" i="157" s="1"/>
  <c r="J416" i="158"/>
  <c r="K412" i="158"/>
  <c r="K416" i="158" s="1"/>
  <c r="G531" i="9"/>
  <c r="G626" i="9"/>
  <c r="G629" i="9"/>
  <c r="G528" i="9"/>
  <c r="I827" i="9"/>
  <c r="J827" i="9" s="1"/>
  <c r="K827" i="9" s="1"/>
  <c r="M101" i="9"/>
  <c r="G12" i="9"/>
  <c r="G787" i="9"/>
  <c r="I833" i="158"/>
  <c r="O833" i="158" s="1"/>
  <c r="J833" i="158"/>
  <c r="K833" i="158" s="1"/>
  <c r="G491" i="158"/>
  <c r="L832" i="160"/>
  <c r="P832" i="160"/>
  <c r="I27" i="158"/>
  <c r="I636" i="158"/>
  <c r="I639" i="158" s="1"/>
  <c r="I868" i="158"/>
  <c r="K318" i="167"/>
  <c r="K319" i="167" s="1"/>
  <c r="F319" i="167"/>
  <c r="J149" i="158"/>
  <c r="K145" i="158"/>
  <c r="K149" i="158" s="1"/>
  <c r="L278" i="162"/>
  <c r="K278" i="165"/>
  <c r="I794" i="9"/>
  <c r="I457" i="9" s="1"/>
  <c r="F151" i="157"/>
  <c r="F188" i="157"/>
  <c r="K318" i="164"/>
  <c r="K319" i="164" s="1"/>
  <c r="F319" i="164"/>
  <c r="K318" i="166"/>
  <c r="K319" i="166" s="1"/>
  <c r="F319" i="166"/>
  <c r="F189" i="159"/>
  <c r="J140" i="158"/>
  <c r="J183" i="158" s="1"/>
  <c r="K183" i="158" s="1"/>
  <c r="K136" i="158"/>
  <c r="K140" i="158" s="1"/>
  <c r="K318" i="165"/>
  <c r="K319" i="165" s="1"/>
  <c r="I795" i="158"/>
  <c r="O795" i="158" s="1"/>
  <c r="J795" i="158"/>
  <c r="K795" i="158" s="1"/>
  <c r="H27" i="158"/>
  <c r="H636" i="158"/>
  <c r="H639" i="158" s="1"/>
  <c r="H868" i="158"/>
  <c r="L832" i="155"/>
  <c r="P832" i="155"/>
  <c r="G786" i="159"/>
  <c r="G101" i="159"/>
  <c r="G12" i="159" s="1"/>
  <c r="G182" i="159"/>
  <c r="G184" i="159" s="1"/>
  <c r="P823" i="155"/>
  <c r="L823" i="155"/>
  <c r="F101" i="157"/>
  <c r="F182" i="157"/>
  <c r="J86" i="157"/>
  <c r="G90" i="157"/>
  <c r="K208" i="164"/>
  <c r="G188" i="159"/>
  <c r="G189" i="159" s="1"/>
  <c r="G151" i="159"/>
  <c r="G13" i="159" s="1"/>
  <c r="K453" i="166"/>
  <c r="K454" i="166" s="1"/>
  <c r="J99" i="159"/>
  <c r="J187" i="159" s="1"/>
  <c r="K187" i="159" s="1"/>
  <c r="K95" i="159"/>
  <c r="K99" i="159" s="1"/>
  <c r="F12" i="159"/>
  <c r="H787" i="159"/>
  <c r="H412" i="161"/>
  <c r="I412" i="161"/>
  <c r="J412" i="161"/>
  <c r="F416" i="161"/>
  <c r="L232" i="162"/>
  <c r="F48" i="49"/>
  <c r="F49" i="49" s="1"/>
  <c r="F51" i="49" s="1"/>
  <c r="F41" i="162"/>
  <c r="F42" i="162" s="1"/>
  <c r="J145" i="161"/>
  <c r="H145" i="161"/>
  <c r="I145" i="161"/>
  <c r="F149" i="161"/>
  <c r="I785" i="9"/>
  <c r="I271" i="9" s="1"/>
  <c r="J785" i="9"/>
  <c r="K785" i="9" s="1"/>
  <c r="F454" i="165"/>
  <c r="K453" i="165"/>
  <c r="K454" i="165" s="1"/>
  <c r="I86" i="161"/>
  <c r="J86" i="161"/>
  <c r="H86" i="161"/>
  <c r="G86" i="161" s="1"/>
  <c r="F90" i="161"/>
  <c r="F454" i="164"/>
  <c r="K378" i="162"/>
  <c r="L368" i="162"/>
  <c r="L378" i="162" s="1"/>
  <c r="L232" i="155"/>
  <c r="F86" i="155"/>
  <c r="H90" i="157"/>
  <c r="I329" i="158"/>
  <c r="J101" i="158"/>
  <c r="J12" i="158" s="1"/>
  <c r="J182" i="158"/>
  <c r="F187" i="157"/>
  <c r="G786" i="157"/>
  <c r="J149" i="159"/>
  <c r="K145" i="159"/>
  <c r="K149" i="159" s="1"/>
  <c r="K378" i="155"/>
  <c r="L368" i="155"/>
  <c r="L378" i="155" s="1"/>
  <c r="J453" i="164"/>
  <c r="J454" i="164" s="1"/>
  <c r="J412" i="157"/>
  <c r="G416" i="157"/>
  <c r="G827" i="157" s="1"/>
  <c r="H136" i="161"/>
  <c r="I136" i="161"/>
  <c r="J136" i="161"/>
  <c r="F140" i="161"/>
  <c r="F183" i="161" s="1"/>
  <c r="K232" i="164"/>
  <c r="J136" i="157"/>
  <c r="G140" i="157"/>
  <c r="G183" i="157" s="1"/>
  <c r="P823" i="160"/>
  <c r="L823" i="160"/>
  <c r="I188" i="157"/>
  <c r="I189" i="157" s="1"/>
  <c r="I151" i="157"/>
  <c r="I13" i="157" s="1"/>
  <c r="L318" i="162"/>
  <c r="L319" i="162" s="1"/>
  <c r="K319" i="162"/>
  <c r="I786" i="9"/>
  <c r="J786" i="9" s="1"/>
  <c r="K786" i="9" s="1"/>
  <c r="G630" i="158"/>
  <c r="J626" i="158"/>
  <c r="F22" i="9"/>
  <c r="F596" i="9"/>
  <c r="F600" i="9" s="1"/>
  <c r="F603" i="9" s="1"/>
  <c r="F635" i="9"/>
  <c r="F637" i="9" s="1"/>
  <c r="F645" i="9" s="1"/>
  <c r="F646" i="9" s="1"/>
  <c r="G13" i="9"/>
  <c r="M151" i="9"/>
  <c r="G789" i="9"/>
  <c r="J90" i="159"/>
  <c r="K86" i="159"/>
  <c r="K90" i="159" s="1"/>
  <c r="I101" i="157"/>
  <c r="I12" i="157" s="1"/>
  <c r="I182" i="157"/>
  <c r="I184" i="157" s="1"/>
  <c r="J416" i="159"/>
  <c r="K412" i="159"/>
  <c r="K416" i="159" s="1"/>
  <c r="J140" i="159"/>
  <c r="J183" i="159" s="1"/>
  <c r="K183" i="159" s="1"/>
  <c r="K136" i="159"/>
  <c r="K140" i="159" s="1"/>
  <c r="J151" i="9"/>
  <c r="J13" i="9" s="1"/>
  <c r="K13" i="9" s="1"/>
  <c r="J188" i="9"/>
  <c r="K188" i="9" s="1"/>
  <c r="F95" i="155"/>
  <c r="H99" i="157"/>
  <c r="H187" i="157" s="1"/>
  <c r="H145" i="160"/>
  <c r="I145" i="160"/>
  <c r="J145" i="160"/>
  <c r="F149" i="160"/>
  <c r="I785" i="159"/>
  <c r="O785" i="159" s="1"/>
  <c r="J785" i="159"/>
  <c r="K785" i="159" s="1"/>
  <c r="K454" i="155"/>
  <c r="L453" i="155"/>
  <c r="L454" i="155" s="1"/>
  <c r="J101" i="9"/>
  <c r="J12" i="9" s="1"/>
  <c r="J182" i="9"/>
  <c r="H851" i="159"/>
  <c r="G850" i="159"/>
  <c r="H850" i="159"/>
  <c r="G851" i="159"/>
  <c r="I794" i="158"/>
  <c r="I457" i="158" s="1"/>
  <c r="I458" i="158" s="1"/>
  <c r="O794" i="158"/>
  <c r="F145" i="155"/>
  <c r="H149" i="157"/>
  <c r="F378" i="164"/>
  <c r="K368" i="164"/>
  <c r="K378" i="164" s="1"/>
  <c r="J232" i="164"/>
  <c r="F868" i="158"/>
  <c r="F27" i="158"/>
  <c r="F636" i="158"/>
  <c r="F639" i="158" s="1"/>
  <c r="F641" i="158" s="1"/>
  <c r="F644" i="158" s="1"/>
  <c r="F25" i="49"/>
  <c r="F29" i="49" s="1"/>
  <c r="F41" i="49" s="1"/>
  <c r="F42" i="49" s="1"/>
  <c r="K278" i="167"/>
  <c r="J412" i="160"/>
  <c r="H412" i="160"/>
  <c r="I412" i="160"/>
  <c r="F416" i="160"/>
  <c r="K187" i="9"/>
  <c r="J136" i="160"/>
  <c r="H136" i="160"/>
  <c r="I136" i="160"/>
  <c r="F140" i="160"/>
  <c r="F183" i="160" s="1"/>
  <c r="I461" i="158"/>
  <c r="I462" i="158" s="1"/>
  <c r="I465" i="158" s="1"/>
  <c r="F462" i="158"/>
  <c r="H461" i="158"/>
  <c r="H462" i="158" s="1"/>
  <c r="K278" i="164"/>
  <c r="I95" i="160"/>
  <c r="J95" i="160"/>
  <c r="H95" i="160"/>
  <c r="F99" i="160"/>
  <c r="F184" i="159"/>
  <c r="F412" i="155"/>
  <c r="H416" i="157"/>
  <c r="H827" i="157" s="1"/>
  <c r="H210" i="9"/>
  <c r="H206" i="9"/>
  <c r="H211" i="9"/>
  <c r="H223" i="9"/>
  <c r="H302" i="9"/>
  <c r="H209" i="9"/>
  <c r="H221" i="9"/>
  <c r="H213" i="9"/>
  <c r="H480" i="9"/>
  <c r="H535" i="9"/>
  <c r="H257" i="9"/>
  <c r="H588" i="9"/>
  <c r="H589" i="9" s="1"/>
  <c r="H235" i="9"/>
  <c r="H279" i="9"/>
  <c r="H479" i="9"/>
  <c r="H539" i="9"/>
  <c r="H540" i="9" s="1"/>
  <c r="H224" i="9"/>
  <c r="H258" i="9"/>
  <c r="H579" i="9"/>
  <c r="H430" i="9"/>
  <c r="H270" i="9"/>
  <c r="H429" i="9"/>
  <c r="H584" i="9"/>
  <c r="H854" i="9"/>
  <c r="H855" i="9" s="1"/>
  <c r="H640" i="9" s="1"/>
  <c r="H641" i="9" s="1"/>
  <c r="H644" i="9" s="1"/>
  <c r="H578" i="9"/>
  <c r="H420" i="9"/>
  <c r="G854" i="9"/>
  <c r="H588" i="157"/>
  <c r="H579" i="157"/>
  <c r="H588" i="158"/>
  <c r="H589" i="158" s="1"/>
  <c r="H578" i="158"/>
  <c r="H579" i="158"/>
  <c r="F378" i="165"/>
  <c r="K368" i="165"/>
  <c r="K378" i="165" s="1"/>
  <c r="J368" i="164"/>
  <c r="J378" i="164" s="1"/>
  <c r="F136" i="155"/>
  <c r="H140" i="157"/>
  <c r="H183" i="157" s="1"/>
  <c r="I151" i="159"/>
  <c r="I13" i="159" s="1"/>
  <c r="I188" i="159"/>
  <c r="I189" i="159" s="1"/>
  <c r="H458" i="158"/>
  <c r="G457" i="158"/>
  <c r="H493" i="158"/>
  <c r="F13" i="159"/>
  <c r="H789" i="159"/>
  <c r="G145" i="157"/>
  <c r="I182" i="159"/>
  <c r="I184" i="159" s="1"/>
  <c r="I101" i="159"/>
  <c r="I12" i="159" s="1"/>
  <c r="K454" i="162"/>
  <c r="L453" i="162"/>
  <c r="L454" i="162" s="1"/>
  <c r="K101" i="159" l="1"/>
  <c r="G795" i="9"/>
  <c r="I191" i="159"/>
  <c r="K189" i="9"/>
  <c r="J794" i="158"/>
  <c r="K794" i="158" s="1"/>
  <c r="G412" i="161"/>
  <c r="H580" i="9"/>
  <c r="H598" i="9" s="1"/>
  <c r="H465" i="158"/>
  <c r="H19" i="158" s="1"/>
  <c r="G145" i="160"/>
  <c r="K151" i="159"/>
  <c r="G789" i="159"/>
  <c r="I191" i="157"/>
  <c r="I329" i="159"/>
  <c r="K95" i="161"/>
  <c r="I95" i="164"/>
  <c r="I99" i="164" s="1"/>
  <c r="I187" i="164" s="1"/>
  <c r="G99" i="161"/>
  <c r="G187" i="161" s="1"/>
  <c r="G145" i="164"/>
  <c r="K145" i="160"/>
  <c r="G149" i="160"/>
  <c r="I329" i="157"/>
  <c r="K412" i="161"/>
  <c r="I412" i="164"/>
  <c r="I416" i="164" s="1"/>
  <c r="G416" i="161"/>
  <c r="I86" i="164"/>
  <c r="I90" i="164" s="1"/>
  <c r="K86" i="161"/>
  <c r="G90" i="161"/>
  <c r="F224" i="158"/>
  <c r="F480" i="158"/>
  <c r="F210" i="158"/>
  <c r="H851" i="157"/>
  <c r="H850" i="157"/>
  <c r="G850" i="157"/>
  <c r="G851" i="157"/>
  <c r="I499" i="158"/>
  <c r="I19" i="158"/>
  <c r="G412" i="165"/>
  <c r="H416" i="160"/>
  <c r="G145" i="166"/>
  <c r="I149" i="160"/>
  <c r="I136" i="165"/>
  <c r="I140" i="165" s="1"/>
  <c r="I183" i="165" s="1"/>
  <c r="H140" i="161"/>
  <c r="H183" i="161" s="1"/>
  <c r="H101" i="157"/>
  <c r="H12" i="157" s="1"/>
  <c r="H182" i="157"/>
  <c r="H184" i="157" s="1"/>
  <c r="I785" i="161"/>
  <c r="F101" i="161"/>
  <c r="F182" i="161"/>
  <c r="I145" i="166"/>
  <c r="I149" i="166" s="1"/>
  <c r="I149" i="161"/>
  <c r="F12" i="157"/>
  <c r="G787" i="157"/>
  <c r="F13" i="157"/>
  <c r="J188" i="158"/>
  <c r="J151" i="158"/>
  <c r="J13" i="158" s="1"/>
  <c r="K234" i="158"/>
  <c r="I850" i="159"/>
  <c r="I851" i="159"/>
  <c r="J851" i="159" s="1"/>
  <c r="K851" i="159" s="1"/>
  <c r="H562" i="9"/>
  <c r="H891" i="9"/>
  <c r="F213" i="158"/>
  <c r="G95" i="165"/>
  <c r="H99" i="160"/>
  <c r="H187" i="160" s="1"/>
  <c r="K12" i="9"/>
  <c r="F188" i="160"/>
  <c r="F151" i="160"/>
  <c r="J630" i="158"/>
  <c r="K626" i="158"/>
  <c r="K630" i="158" s="1"/>
  <c r="I86" i="166"/>
  <c r="I90" i="166" s="1"/>
  <c r="I90" i="161"/>
  <c r="I145" i="165"/>
  <c r="I149" i="165" s="1"/>
  <c r="H149" i="161"/>
  <c r="F629" i="157"/>
  <c r="F101" i="160"/>
  <c r="F182" i="160"/>
  <c r="H785" i="160"/>
  <c r="I785" i="160"/>
  <c r="G86" i="165"/>
  <c r="H90" i="160"/>
  <c r="H539" i="158"/>
  <c r="H540" i="158" s="1"/>
  <c r="G854" i="158"/>
  <c r="H279" i="158"/>
  <c r="H281" i="158" s="1"/>
  <c r="H854" i="158"/>
  <c r="K220" i="158"/>
  <c r="I789" i="159"/>
  <c r="J789" i="159" s="1"/>
  <c r="K789" i="159" s="1"/>
  <c r="G458" i="158"/>
  <c r="J457" i="158"/>
  <c r="G855" i="9"/>
  <c r="G640" i="9" s="1"/>
  <c r="H275" i="9"/>
  <c r="F257" i="158"/>
  <c r="F221" i="158"/>
  <c r="H229" i="9"/>
  <c r="G95" i="160"/>
  <c r="G136" i="167"/>
  <c r="J140" i="160"/>
  <c r="J183" i="160" s="1"/>
  <c r="H188" i="157"/>
  <c r="H189" i="157" s="1"/>
  <c r="H191" i="157" s="1"/>
  <c r="H151" i="157"/>
  <c r="H13" i="157" s="1"/>
  <c r="H136" i="155"/>
  <c r="H136" i="162" s="1"/>
  <c r="J136" i="155"/>
  <c r="J136" i="162" s="1"/>
  <c r="I136" i="155"/>
  <c r="F140" i="155"/>
  <c r="F183" i="155" s="1"/>
  <c r="H609" i="158"/>
  <c r="H591" i="158"/>
  <c r="F420" i="158"/>
  <c r="H431" i="9"/>
  <c r="H433" i="9" s="1"/>
  <c r="F429" i="158"/>
  <c r="F258" i="158"/>
  <c r="H281" i="9"/>
  <c r="H536" i="9"/>
  <c r="F535" i="158"/>
  <c r="F209" i="158"/>
  <c r="H215" i="9"/>
  <c r="F206" i="158"/>
  <c r="H412" i="155"/>
  <c r="J412" i="155"/>
  <c r="J412" i="162" s="1"/>
  <c r="I412" i="155"/>
  <c r="F416" i="155"/>
  <c r="F187" i="160"/>
  <c r="J786" i="160"/>
  <c r="G95" i="167"/>
  <c r="J99" i="160"/>
  <c r="J187" i="160" s="1"/>
  <c r="G834" i="158"/>
  <c r="F465" i="158"/>
  <c r="H834" i="158"/>
  <c r="G136" i="166"/>
  <c r="I140" i="160"/>
  <c r="I183" i="160" s="1"/>
  <c r="J189" i="9"/>
  <c r="G412" i="166"/>
  <c r="I416" i="160"/>
  <c r="I827" i="160" s="1"/>
  <c r="I145" i="155"/>
  <c r="J145" i="155"/>
  <c r="H145" i="155"/>
  <c r="H145" i="162" s="1"/>
  <c r="F149" i="155"/>
  <c r="G191" i="159"/>
  <c r="I789" i="9"/>
  <c r="J789" i="9" s="1"/>
  <c r="K789" i="9" s="1"/>
  <c r="F608" i="9"/>
  <c r="F610" i="9" s="1"/>
  <c r="C50" i="5"/>
  <c r="F605" i="9"/>
  <c r="F23" i="9" s="1"/>
  <c r="J416" i="157"/>
  <c r="K412" i="157"/>
  <c r="K416" i="157" s="1"/>
  <c r="H786" i="157"/>
  <c r="I786" i="157" s="1"/>
  <c r="I145" i="167"/>
  <c r="I149" i="167" s="1"/>
  <c r="J149" i="161"/>
  <c r="I412" i="166"/>
  <c r="I416" i="166" s="1"/>
  <c r="I412" i="162"/>
  <c r="I416" i="161"/>
  <c r="I827" i="161" s="1"/>
  <c r="G101" i="157"/>
  <c r="G12" i="157" s="1"/>
  <c r="G182" i="157"/>
  <c r="G184" i="157" s="1"/>
  <c r="G785" i="157"/>
  <c r="J794" i="9"/>
  <c r="K794" i="9" s="1"/>
  <c r="K151" i="158"/>
  <c r="K13" i="158" s="1"/>
  <c r="G493" i="158"/>
  <c r="J491" i="158"/>
  <c r="I787" i="9"/>
  <c r="J787" i="9" s="1"/>
  <c r="K787" i="9" s="1"/>
  <c r="F528" i="157"/>
  <c r="F531" i="157"/>
  <c r="G86" i="166"/>
  <c r="I90" i="160"/>
  <c r="F187" i="161"/>
  <c r="H786" i="161"/>
  <c r="I95" i="165"/>
  <c r="I99" i="165" s="1"/>
  <c r="I187" i="165" s="1"/>
  <c r="H95" i="162"/>
  <c r="H99" i="161"/>
  <c r="H187" i="161" s="1"/>
  <c r="C61" i="5"/>
  <c r="E61" i="5" s="1"/>
  <c r="J827" i="159"/>
  <c r="K827" i="159" s="1"/>
  <c r="F270" i="158"/>
  <c r="F235" i="158"/>
  <c r="H236" i="9"/>
  <c r="H303" i="9"/>
  <c r="H304" i="9" s="1"/>
  <c r="F302" i="158"/>
  <c r="G95" i="166"/>
  <c r="I99" i="160"/>
  <c r="I187" i="160" s="1"/>
  <c r="G136" i="165"/>
  <c r="H140" i="160"/>
  <c r="H183" i="160" s="1"/>
  <c r="K182" i="9"/>
  <c r="K184" i="9" s="1"/>
  <c r="K191" i="9" s="1"/>
  <c r="J184" i="9"/>
  <c r="J95" i="155"/>
  <c r="I95" i="155"/>
  <c r="H95" i="155"/>
  <c r="F99" i="155"/>
  <c r="J140" i="157"/>
  <c r="J183" i="157" s="1"/>
  <c r="K183" i="157" s="1"/>
  <c r="K136" i="157"/>
  <c r="K140" i="157" s="1"/>
  <c r="G136" i="161"/>
  <c r="I86" i="167"/>
  <c r="I90" i="167" s="1"/>
  <c r="J90" i="161"/>
  <c r="J785" i="161" s="1"/>
  <c r="J90" i="157"/>
  <c r="K86" i="157"/>
  <c r="K90" i="157" s="1"/>
  <c r="I95" i="167"/>
  <c r="I99" i="167" s="1"/>
  <c r="I187" i="167" s="1"/>
  <c r="J95" i="162"/>
  <c r="J99" i="161"/>
  <c r="J187" i="161" s="1"/>
  <c r="G279" i="158"/>
  <c r="I796" i="158"/>
  <c r="J796" i="158" s="1"/>
  <c r="K796" i="158" s="1"/>
  <c r="G539" i="158"/>
  <c r="J145" i="157"/>
  <c r="G149" i="157"/>
  <c r="F588" i="155"/>
  <c r="H589" i="157"/>
  <c r="F430" i="158"/>
  <c r="H609" i="9"/>
  <c r="F223" i="158"/>
  <c r="I827" i="157"/>
  <c r="O827" i="157" s="1"/>
  <c r="G794" i="159"/>
  <c r="H794" i="159"/>
  <c r="H499" i="158"/>
  <c r="G136" i="160"/>
  <c r="G412" i="160"/>
  <c r="I136" i="167"/>
  <c r="I140" i="167" s="1"/>
  <c r="I183" i="167" s="1"/>
  <c r="J140" i="161"/>
  <c r="J183" i="161" s="1"/>
  <c r="F189" i="157"/>
  <c r="H86" i="155"/>
  <c r="H86" i="162" s="1"/>
  <c r="I86" i="155"/>
  <c r="J86" i="155"/>
  <c r="F90" i="155"/>
  <c r="F271" i="159"/>
  <c r="G271" i="9"/>
  <c r="I412" i="165"/>
  <c r="I416" i="165" s="1"/>
  <c r="H412" i="162"/>
  <c r="H416" i="161"/>
  <c r="H827" i="161" s="1"/>
  <c r="H785" i="157"/>
  <c r="I795" i="9"/>
  <c r="I461" i="9" s="1"/>
  <c r="I95" i="166"/>
  <c r="I99" i="166" s="1"/>
  <c r="I187" i="166" s="1"/>
  <c r="I95" i="162"/>
  <c r="I99" i="161"/>
  <c r="I187" i="161" s="1"/>
  <c r="O827" i="159"/>
  <c r="H580" i="158"/>
  <c r="H598" i="158" s="1"/>
  <c r="H585" i="9"/>
  <c r="H591" i="9" s="1"/>
  <c r="H481" i="9"/>
  <c r="H838" i="9" s="1"/>
  <c r="F479" i="158"/>
  <c r="F211" i="158"/>
  <c r="G461" i="158"/>
  <c r="G412" i="167"/>
  <c r="J416" i="160"/>
  <c r="J827" i="160" s="1"/>
  <c r="J850" i="159"/>
  <c r="G145" i="167"/>
  <c r="J149" i="160"/>
  <c r="G145" i="165"/>
  <c r="H149" i="160"/>
  <c r="J182" i="159"/>
  <c r="J101" i="159"/>
  <c r="J12" i="159" s="1"/>
  <c r="F647" i="9"/>
  <c r="C65" i="5"/>
  <c r="G868" i="158"/>
  <c r="G27" i="158"/>
  <c r="G636" i="158"/>
  <c r="G639" i="158" s="1"/>
  <c r="I136" i="166"/>
  <c r="I140" i="166" s="1"/>
  <c r="I183" i="166" s="1"/>
  <c r="I136" i="162"/>
  <c r="I140" i="161"/>
  <c r="I183" i="161" s="1"/>
  <c r="J151" i="159"/>
  <c r="J13" i="159" s="1"/>
  <c r="K13" i="159" s="1"/>
  <c r="J188" i="159"/>
  <c r="K188" i="159" s="1"/>
  <c r="K189" i="159" s="1"/>
  <c r="J184" i="158"/>
  <c r="K182" i="158"/>
  <c r="K184" i="158" s="1"/>
  <c r="K453" i="164"/>
  <c r="K454" i="164" s="1"/>
  <c r="I86" i="165"/>
  <c r="I90" i="165" s="1"/>
  <c r="H90" i="161"/>
  <c r="F188" i="161"/>
  <c r="F151" i="161"/>
  <c r="G145" i="161"/>
  <c r="I412" i="167"/>
  <c r="I416" i="167" s="1"/>
  <c r="J416" i="161"/>
  <c r="J827" i="161" s="1"/>
  <c r="G787" i="159"/>
  <c r="F184" i="157"/>
  <c r="I786" i="159"/>
  <c r="O786" i="159" s="1"/>
  <c r="J786" i="159"/>
  <c r="K786" i="159" s="1"/>
  <c r="G795" i="159"/>
  <c r="H795" i="159"/>
  <c r="F191" i="159"/>
  <c r="M191" i="9"/>
  <c r="G329" i="9"/>
  <c r="G796" i="9"/>
  <c r="I458" i="9"/>
  <c r="I833" i="9" s="1"/>
  <c r="F457" i="159"/>
  <c r="G457" i="9"/>
  <c r="I225" i="9"/>
  <c r="I259" i="9"/>
  <c r="I214" i="9"/>
  <c r="I226" i="9"/>
  <c r="I234" i="9"/>
  <c r="I261" i="9"/>
  <c r="I265" i="9"/>
  <c r="I212" i="9"/>
  <c r="I260" i="9"/>
  <c r="I264" i="9"/>
  <c r="I262" i="9"/>
  <c r="I418" i="9"/>
  <c r="I220" i="9"/>
  <c r="I266" i="9"/>
  <c r="I227" i="9"/>
  <c r="I263" i="9"/>
  <c r="I424" i="9"/>
  <c r="I485" i="9"/>
  <c r="I491" i="9"/>
  <c r="I520" i="9"/>
  <c r="I528" i="9"/>
  <c r="F528" i="159" s="1"/>
  <c r="I269" i="9"/>
  <c r="I417" i="9"/>
  <c r="I421" i="9"/>
  <c r="I425" i="9"/>
  <c r="I492" i="9"/>
  <c r="I629" i="9"/>
  <c r="F629" i="159" s="1"/>
  <c r="I419" i="9"/>
  <c r="I484" i="9"/>
  <c r="I626" i="9"/>
  <c r="J626" i="9" s="1"/>
  <c r="I274" i="9"/>
  <c r="I428" i="9"/>
  <c r="I531" i="9"/>
  <c r="F531" i="159" s="1"/>
  <c r="I422" i="9"/>
  <c r="I851" i="9"/>
  <c r="J851" i="9" s="1"/>
  <c r="K851" i="9" s="1"/>
  <c r="I423" i="9"/>
  <c r="I850" i="9"/>
  <c r="G630" i="9"/>
  <c r="F626" i="157"/>
  <c r="J99" i="157"/>
  <c r="J187" i="157" s="1"/>
  <c r="K95" i="157"/>
  <c r="K99" i="157" s="1"/>
  <c r="H19" i="9"/>
  <c r="H499" i="9"/>
  <c r="H835" i="9"/>
  <c r="G329" i="158"/>
  <c r="G86" i="167"/>
  <c r="J90" i="160"/>
  <c r="G86" i="160"/>
  <c r="K484" i="158"/>
  <c r="H786" i="160" l="1"/>
  <c r="J795" i="9"/>
  <c r="K795" i="9" s="1"/>
  <c r="J827" i="157"/>
  <c r="K827" i="157" s="1"/>
  <c r="J629" i="9"/>
  <c r="K629" i="9" s="1"/>
  <c r="O789" i="159"/>
  <c r="K329" i="9"/>
  <c r="H850" i="161"/>
  <c r="G827" i="161"/>
  <c r="H851" i="161"/>
  <c r="J850" i="160"/>
  <c r="J851" i="160"/>
  <c r="H599" i="9"/>
  <c r="H550" i="9"/>
  <c r="H604" i="9"/>
  <c r="H329" i="157"/>
  <c r="F422" i="159"/>
  <c r="G422" i="9"/>
  <c r="F492" i="159"/>
  <c r="G492" i="9"/>
  <c r="F485" i="159"/>
  <c r="G485" i="9"/>
  <c r="F264" i="159"/>
  <c r="G264" i="9"/>
  <c r="F259" i="159"/>
  <c r="G259" i="9"/>
  <c r="F458" i="159"/>
  <c r="H457" i="159"/>
  <c r="H458" i="159" s="1"/>
  <c r="F412" i="167"/>
  <c r="J416" i="162"/>
  <c r="H86" i="166"/>
  <c r="H90" i="166" s="1"/>
  <c r="I90" i="155"/>
  <c r="G795" i="157"/>
  <c r="H795" i="157"/>
  <c r="F191" i="157"/>
  <c r="K412" i="160"/>
  <c r="G412" i="164"/>
  <c r="G416" i="160"/>
  <c r="H609" i="157"/>
  <c r="J182" i="157"/>
  <c r="J101" i="157"/>
  <c r="J12" i="157" s="1"/>
  <c r="K12" i="157" s="1"/>
  <c r="K136" i="161"/>
  <c r="I136" i="164"/>
  <c r="I140" i="164" s="1"/>
  <c r="I183" i="164" s="1"/>
  <c r="G140" i="161"/>
  <c r="G183" i="161" s="1"/>
  <c r="G302" i="158"/>
  <c r="H302" i="158"/>
  <c r="H303" i="158" s="1"/>
  <c r="H304" i="158" s="1"/>
  <c r="F303" i="158"/>
  <c r="F304" i="158" s="1"/>
  <c r="I302" i="158"/>
  <c r="I303" i="158" s="1"/>
  <c r="I304" i="158" s="1"/>
  <c r="G235" i="158"/>
  <c r="H235" i="158"/>
  <c r="H236" i="158" s="1"/>
  <c r="I235" i="158"/>
  <c r="I236" i="158" s="1"/>
  <c r="F236" i="158"/>
  <c r="F95" i="165"/>
  <c r="H99" i="162"/>
  <c r="H187" i="162" s="1"/>
  <c r="H531" i="157"/>
  <c r="F531" i="155" s="1"/>
  <c r="I531" i="157"/>
  <c r="I785" i="157"/>
  <c r="O785" i="157" s="1"/>
  <c r="F412" i="166"/>
  <c r="I416" i="162"/>
  <c r="J188" i="161"/>
  <c r="J189" i="161" s="1"/>
  <c r="J151" i="161"/>
  <c r="J13" i="161" s="1"/>
  <c r="F151" i="155"/>
  <c r="F188" i="155"/>
  <c r="F189" i="160"/>
  <c r="H535" i="158"/>
  <c r="H536" i="158" s="1"/>
  <c r="F536" i="158"/>
  <c r="I535" i="158"/>
  <c r="I536" i="158" s="1"/>
  <c r="H312" i="9"/>
  <c r="H313" i="9" s="1"/>
  <c r="H801" i="9" s="1"/>
  <c r="H498" i="9"/>
  <c r="H18" i="9"/>
  <c r="H828" i="9"/>
  <c r="H221" i="158"/>
  <c r="I221" i="158"/>
  <c r="F229" i="158"/>
  <c r="I86" i="162"/>
  <c r="J868" i="158"/>
  <c r="J27" i="158"/>
  <c r="J636" i="158"/>
  <c r="J639" i="158" s="1"/>
  <c r="J851" i="161"/>
  <c r="J850" i="161"/>
  <c r="I188" i="161"/>
  <c r="I151" i="161"/>
  <c r="I13" i="161" s="1"/>
  <c r="F184" i="161"/>
  <c r="F136" i="165"/>
  <c r="H140" i="162"/>
  <c r="H183" i="162" s="1"/>
  <c r="J101" i="160"/>
  <c r="J12" i="160" s="1"/>
  <c r="J182" i="160"/>
  <c r="J184" i="160" s="1"/>
  <c r="H531" i="159"/>
  <c r="I531" i="159"/>
  <c r="F531" i="161" s="1"/>
  <c r="F425" i="159"/>
  <c r="G425" i="9"/>
  <c r="F424" i="159"/>
  <c r="G424" i="9"/>
  <c r="F260" i="159"/>
  <c r="G260" i="9"/>
  <c r="F225" i="159"/>
  <c r="G225" i="9"/>
  <c r="H101" i="161"/>
  <c r="H12" i="161" s="1"/>
  <c r="H182" i="161"/>
  <c r="H184" i="161" s="1"/>
  <c r="G416" i="167"/>
  <c r="H479" i="158"/>
  <c r="F481" i="158"/>
  <c r="I479" i="158"/>
  <c r="F95" i="166"/>
  <c r="I99" i="162"/>
  <c r="I187" i="162" s="1"/>
  <c r="F412" i="165"/>
  <c r="H416" i="162"/>
  <c r="F101" i="155"/>
  <c r="F182" i="155"/>
  <c r="I785" i="155"/>
  <c r="K136" i="160"/>
  <c r="G136" i="164"/>
  <c r="G140" i="160"/>
  <c r="G183" i="160" s="1"/>
  <c r="F589" i="155"/>
  <c r="F95" i="167"/>
  <c r="J99" i="162"/>
  <c r="J187" i="162" s="1"/>
  <c r="J189" i="159"/>
  <c r="J786" i="157"/>
  <c r="K786" i="157" s="1"/>
  <c r="H799" i="9"/>
  <c r="I786" i="161"/>
  <c r="H145" i="166"/>
  <c r="H149" i="166" s="1"/>
  <c r="I149" i="155"/>
  <c r="J191" i="9"/>
  <c r="F499" i="158"/>
  <c r="H835" i="158"/>
  <c r="G835" i="158"/>
  <c r="F19" i="158"/>
  <c r="H136" i="165"/>
  <c r="H140" i="165" s="1"/>
  <c r="H183" i="165" s="1"/>
  <c r="H140" i="155"/>
  <c r="H183" i="155" s="1"/>
  <c r="K95" i="160"/>
  <c r="G95" i="164"/>
  <c r="G99" i="160"/>
  <c r="G187" i="160" s="1"/>
  <c r="H210" i="158"/>
  <c r="I210" i="158"/>
  <c r="H224" i="158"/>
  <c r="I224" i="158"/>
  <c r="K90" i="161"/>
  <c r="L86" i="161"/>
  <c r="L90" i="161" s="1"/>
  <c r="G188" i="160"/>
  <c r="F423" i="159"/>
  <c r="G423" i="9"/>
  <c r="G27" i="9"/>
  <c r="G636" i="9"/>
  <c r="G639" i="9" s="1"/>
  <c r="G641" i="9" s="1"/>
  <c r="G644" i="9" s="1"/>
  <c r="G868" i="9"/>
  <c r="F274" i="159"/>
  <c r="G274" i="9"/>
  <c r="G629" i="159"/>
  <c r="H629" i="159"/>
  <c r="I629" i="159"/>
  <c r="F629" i="161" s="1"/>
  <c r="F417" i="159"/>
  <c r="G417" i="9"/>
  <c r="I493" i="9"/>
  <c r="F491" i="159"/>
  <c r="G491" i="9"/>
  <c r="F227" i="159"/>
  <c r="G227" i="9"/>
  <c r="F262" i="159"/>
  <c r="G262" i="9"/>
  <c r="F265" i="159"/>
  <c r="G265" i="9"/>
  <c r="F214" i="159"/>
  <c r="G214" i="9"/>
  <c r="J457" i="9"/>
  <c r="G458" i="9"/>
  <c r="G833" i="9" s="1"/>
  <c r="J833" i="9" s="1"/>
  <c r="K833" i="9" s="1"/>
  <c r="F457" i="157"/>
  <c r="I789" i="161"/>
  <c r="J789" i="161"/>
  <c r="F13" i="161"/>
  <c r="I101" i="165"/>
  <c r="I12" i="165" s="1"/>
  <c r="I182" i="165"/>
  <c r="I184" i="165" s="1"/>
  <c r="G149" i="165"/>
  <c r="K850" i="159"/>
  <c r="H211" i="158"/>
  <c r="I211" i="158"/>
  <c r="J271" i="9"/>
  <c r="K271" i="9" s="1"/>
  <c r="F271" i="157"/>
  <c r="H86" i="167"/>
  <c r="H90" i="167" s="1"/>
  <c r="J90" i="155"/>
  <c r="K187" i="157"/>
  <c r="I850" i="157"/>
  <c r="I851" i="157"/>
  <c r="J851" i="157" s="1"/>
  <c r="K851" i="157" s="1"/>
  <c r="J149" i="157"/>
  <c r="K145" i="157"/>
  <c r="K149" i="157" s="1"/>
  <c r="K151" i="157" s="1"/>
  <c r="G281" i="158"/>
  <c r="K101" i="157"/>
  <c r="J86" i="162"/>
  <c r="O786" i="157"/>
  <c r="F24" i="9"/>
  <c r="H95" i="165"/>
  <c r="H99" i="165" s="1"/>
  <c r="H187" i="165" s="1"/>
  <c r="H99" i="155"/>
  <c r="H187" i="155" s="1"/>
  <c r="H95" i="167"/>
  <c r="H99" i="167" s="1"/>
  <c r="H187" i="167" s="1"/>
  <c r="J99" i="155"/>
  <c r="J187" i="155" s="1"/>
  <c r="G99" i="166"/>
  <c r="G187" i="166" s="1"/>
  <c r="H238" i="9"/>
  <c r="F189" i="161"/>
  <c r="J86" i="166"/>
  <c r="J90" i="166" s="1"/>
  <c r="G90" i="166"/>
  <c r="J528" i="9"/>
  <c r="K528" i="9" s="1"/>
  <c r="G329" i="159"/>
  <c r="H145" i="165"/>
  <c r="H149" i="165" s="1"/>
  <c r="H149" i="155"/>
  <c r="G140" i="166"/>
  <c r="G183" i="166" s="1"/>
  <c r="H412" i="167"/>
  <c r="H416" i="167" s="1"/>
  <c r="J416" i="155"/>
  <c r="H206" i="158"/>
  <c r="I206" i="158"/>
  <c r="F215" i="158"/>
  <c r="H604" i="158"/>
  <c r="H550" i="158"/>
  <c r="H599" i="158"/>
  <c r="H136" i="167"/>
  <c r="H140" i="167" s="1"/>
  <c r="H183" i="167" s="1"/>
  <c r="J140" i="155"/>
  <c r="J183" i="155" s="1"/>
  <c r="G140" i="167"/>
  <c r="G183" i="167" s="1"/>
  <c r="H283" i="9"/>
  <c r="H324" i="9" s="1"/>
  <c r="J458" i="158"/>
  <c r="K457" i="158"/>
  <c r="K458" i="158" s="1"/>
  <c r="G90" i="165"/>
  <c r="F184" i="160"/>
  <c r="G629" i="157"/>
  <c r="H629" i="157"/>
  <c r="F629" i="155" s="1"/>
  <c r="I629" i="157"/>
  <c r="K12" i="159"/>
  <c r="I101" i="161"/>
  <c r="I12" i="161" s="1"/>
  <c r="I182" i="161"/>
  <c r="I184" i="161" s="1"/>
  <c r="K868" i="158"/>
  <c r="K27" i="158"/>
  <c r="K636" i="158"/>
  <c r="K639" i="158" s="1"/>
  <c r="H787" i="157"/>
  <c r="I787" i="157" s="1"/>
  <c r="O787" i="157" s="1"/>
  <c r="H785" i="161"/>
  <c r="G785" i="161" s="1"/>
  <c r="K785" i="161" s="1"/>
  <c r="G149" i="166"/>
  <c r="I480" i="158"/>
  <c r="H480" i="158"/>
  <c r="G480" i="158" s="1"/>
  <c r="J480" i="158" s="1"/>
  <c r="K480" i="158" s="1"/>
  <c r="G101" i="161"/>
  <c r="G12" i="161" s="1"/>
  <c r="G182" i="161"/>
  <c r="G184" i="161" s="1"/>
  <c r="G149" i="164"/>
  <c r="K99" i="161"/>
  <c r="K187" i="161" s="1"/>
  <c r="L95" i="161"/>
  <c r="L99" i="161" s="1"/>
  <c r="K86" i="160"/>
  <c r="G86" i="164"/>
  <c r="G90" i="160"/>
  <c r="K626" i="9"/>
  <c r="K630" i="9" s="1"/>
  <c r="J630" i="9"/>
  <c r="I630" i="9"/>
  <c r="F626" i="159"/>
  <c r="F269" i="159"/>
  <c r="G269" i="9"/>
  <c r="F266" i="159"/>
  <c r="G266" i="9"/>
  <c r="F261" i="159"/>
  <c r="G261" i="9"/>
  <c r="I795" i="159"/>
  <c r="O795" i="159" s="1"/>
  <c r="J795" i="159"/>
  <c r="K795" i="159" s="1"/>
  <c r="H794" i="157"/>
  <c r="G794" i="157"/>
  <c r="F136" i="166"/>
  <c r="I140" i="162"/>
  <c r="I183" i="162" s="1"/>
  <c r="J184" i="159"/>
  <c r="K182" i="159"/>
  <c r="K184" i="159" s="1"/>
  <c r="K191" i="159" s="1"/>
  <c r="J188" i="160"/>
  <c r="J189" i="160" s="1"/>
  <c r="J151" i="160"/>
  <c r="J13" i="160" s="1"/>
  <c r="I189" i="161"/>
  <c r="I191" i="161" s="1"/>
  <c r="I271" i="159"/>
  <c r="F271" i="161" s="1"/>
  <c r="H271" i="159"/>
  <c r="G271" i="159"/>
  <c r="G540" i="158"/>
  <c r="I101" i="167"/>
  <c r="I12" i="167" s="1"/>
  <c r="I182" i="167"/>
  <c r="I184" i="167" s="1"/>
  <c r="J786" i="161"/>
  <c r="G786" i="161" s="1"/>
  <c r="K786" i="161" s="1"/>
  <c r="H145" i="167"/>
  <c r="H149" i="167" s="1"/>
  <c r="J149" i="155"/>
  <c r="G416" i="166"/>
  <c r="J95" i="167"/>
  <c r="J99" i="167" s="1"/>
  <c r="J187" i="167" s="1"/>
  <c r="G99" i="167"/>
  <c r="G187" i="167" s="1"/>
  <c r="H258" i="158"/>
  <c r="I258" i="158"/>
  <c r="G258" i="158" s="1"/>
  <c r="J258" i="158" s="1"/>
  <c r="K258" i="158" s="1"/>
  <c r="F12" i="160"/>
  <c r="H188" i="161"/>
  <c r="H189" i="161" s="1"/>
  <c r="H151" i="161"/>
  <c r="H13" i="161" s="1"/>
  <c r="J95" i="165"/>
  <c r="J99" i="165" s="1"/>
  <c r="J187" i="165" s="1"/>
  <c r="G99" i="165"/>
  <c r="G187" i="165" s="1"/>
  <c r="H521" i="9"/>
  <c r="H529" i="9"/>
  <c r="F529" i="158" s="1"/>
  <c r="H519" i="9"/>
  <c r="J850" i="9"/>
  <c r="F484" i="159"/>
  <c r="G484" i="9"/>
  <c r="H528" i="159"/>
  <c r="G528" i="159" s="1"/>
  <c r="I528" i="159"/>
  <c r="F528" i="161" s="1"/>
  <c r="F220" i="159"/>
  <c r="G220" i="9"/>
  <c r="F234" i="159"/>
  <c r="G234" i="9"/>
  <c r="G149" i="167"/>
  <c r="I850" i="160"/>
  <c r="I851" i="160"/>
  <c r="H95" i="166"/>
  <c r="H99" i="166" s="1"/>
  <c r="H187" i="166" s="1"/>
  <c r="I99" i="155"/>
  <c r="I187" i="155" s="1"/>
  <c r="G140" i="165"/>
  <c r="G183" i="165" s="1"/>
  <c r="J531" i="9"/>
  <c r="K531" i="9" s="1"/>
  <c r="J145" i="162"/>
  <c r="C52" i="5"/>
  <c r="E50" i="5"/>
  <c r="E52" i="5" s="1"/>
  <c r="H412" i="165"/>
  <c r="H416" i="165" s="1"/>
  <c r="H416" i="155"/>
  <c r="H827" i="155" s="1"/>
  <c r="H544" i="9"/>
  <c r="H886" i="9"/>
  <c r="H420" i="158"/>
  <c r="I420" i="158"/>
  <c r="F431" i="158"/>
  <c r="F433" i="158" s="1"/>
  <c r="H891" i="158"/>
  <c r="H562" i="158"/>
  <c r="F145" i="165"/>
  <c r="H149" i="162"/>
  <c r="I182" i="166"/>
  <c r="I184" i="166" s="1"/>
  <c r="I101" i="166"/>
  <c r="I12" i="166" s="1"/>
  <c r="H213" i="158"/>
  <c r="G213" i="158" s="1"/>
  <c r="J213" i="158" s="1"/>
  <c r="K213" i="158" s="1"/>
  <c r="I213" i="158"/>
  <c r="K188" i="158"/>
  <c r="K189" i="158" s="1"/>
  <c r="K191" i="158" s="1"/>
  <c r="J189" i="158"/>
  <c r="J191" i="158" s="1"/>
  <c r="I851" i="161"/>
  <c r="I850" i="161"/>
  <c r="I145" i="162"/>
  <c r="F12" i="161"/>
  <c r="G90" i="167"/>
  <c r="G626" i="157"/>
  <c r="H626" i="157"/>
  <c r="F630" i="157"/>
  <c r="I626" i="157"/>
  <c r="I630" i="157" s="1"/>
  <c r="F428" i="159"/>
  <c r="G428" i="9"/>
  <c r="F419" i="159"/>
  <c r="G419" i="9"/>
  <c r="F421" i="159"/>
  <c r="G421" i="9"/>
  <c r="F520" i="159"/>
  <c r="G520" i="9"/>
  <c r="F263" i="159"/>
  <c r="G263" i="9"/>
  <c r="F418" i="159"/>
  <c r="G418" i="9"/>
  <c r="F212" i="159"/>
  <c r="G212" i="9"/>
  <c r="F226" i="159"/>
  <c r="G226" i="9"/>
  <c r="G588" i="9"/>
  <c r="G539" i="9"/>
  <c r="G578" i="9"/>
  <c r="G579" i="9"/>
  <c r="I796" i="9"/>
  <c r="J796" i="9" s="1"/>
  <c r="K796" i="9" s="1"/>
  <c r="G535" i="9"/>
  <c r="G588" i="157"/>
  <c r="G579" i="157"/>
  <c r="G578" i="158"/>
  <c r="G579" i="158"/>
  <c r="G588" i="158"/>
  <c r="F329" i="159"/>
  <c r="G796" i="159"/>
  <c r="H796" i="159"/>
  <c r="I787" i="159"/>
  <c r="O787" i="159" s="1"/>
  <c r="J787" i="159"/>
  <c r="K787" i="159" s="1"/>
  <c r="K145" i="161"/>
  <c r="I145" i="164"/>
  <c r="I149" i="164" s="1"/>
  <c r="G149" i="161"/>
  <c r="F86" i="165"/>
  <c r="H90" i="162"/>
  <c r="F867" i="9"/>
  <c r="F650" i="9"/>
  <c r="H151" i="160"/>
  <c r="H13" i="160" s="1"/>
  <c r="H188" i="160"/>
  <c r="H189" i="160" s="1"/>
  <c r="H191" i="160" s="1"/>
  <c r="G462" i="158"/>
  <c r="G465" i="158" s="1"/>
  <c r="J461" i="158"/>
  <c r="I189" i="166"/>
  <c r="I191" i="166" s="1"/>
  <c r="I462" i="9"/>
  <c r="F461" i="159"/>
  <c r="G461" i="9"/>
  <c r="G86" i="155"/>
  <c r="H86" i="165"/>
  <c r="H90" i="165" s="1"/>
  <c r="H90" i="155"/>
  <c r="H785" i="155" s="1"/>
  <c r="F136" i="167"/>
  <c r="J140" i="162"/>
  <c r="J183" i="162" s="1"/>
  <c r="H827" i="160"/>
  <c r="I794" i="159"/>
  <c r="I457" i="159" s="1"/>
  <c r="J794" i="159"/>
  <c r="K794" i="159" s="1"/>
  <c r="O794" i="159"/>
  <c r="H223" i="158"/>
  <c r="G223" i="158" s="1"/>
  <c r="J223" i="158" s="1"/>
  <c r="K223" i="158" s="1"/>
  <c r="I223" i="158"/>
  <c r="H430" i="158"/>
  <c r="G430" i="158" s="1"/>
  <c r="J430" i="158" s="1"/>
  <c r="K430" i="158" s="1"/>
  <c r="I430" i="158"/>
  <c r="G151" i="157"/>
  <c r="G188" i="157"/>
  <c r="G189" i="157" s="1"/>
  <c r="G191" i="157" s="1"/>
  <c r="I539" i="158"/>
  <c r="I540" i="158" s="1"/>
  <c r="I279" i="158"/>
  <c r="I281" i="158" s="1"/>
  <c r="I854" i="158"/>
  <c r="J854" i="158" s="1"/>
  <c r="K854" i="158" s="1"/>
  <c r="J182" i="161"/>
  <c r="J184" i="161" s="1"/>
  <c r="J101" i="161"/>
  <c r="J12" i="161" s="1"/>
  <c r="F187" i="155"/>
  <c r="G95" i="155"/>
  <c r="H270" i="158"/>
  <c r="I270" i="158"/>
  <c r="I182" i="160"/>
  <c r="I184" i="160" s="1"/>
  <c r="I101" i="160"/>
  <c r="I12" i="160" s="1"/>
  <c r="H528" i="157"/>
  <c r="F528" i="155" s="1"/>
  <c r="I528" i="157"/>
  <c r="J493" i="158"/>
  <c r="K491" i="158"/>
  <c r="K493" i="158" s="1"/>
  <c r="I151" i="167"/>
  <c r="I13" i="167" s="1"/>
  <c r="I188" i="167"/>
  <c r="I189" i="167" s="1"/>
  <c r="I191" i="167" s="1"/>
  <c r="G145" i="155"/>
  <c r="G145" i="162" s="1"/>
  <c r="O834" i="158"/>
  <c r="I834" i="158"/>
  <c r="J834" i="158"/>
  <c r="K834" i="158" s="1"/>
  <c r="I786" i="160"/>
  <c r="G786" i="160" s="1"/>
  <c r="K786" i="160" s="1"/>
  <c r="H412" i="166"/>
  <c r="H416" i="166" s="1"/>
  <c r="I416" i="155"/>
  <c r="G412" i="155"/>
  <c r="G412" i="162" s="1"/>
  <c r="H209" i="158"/>
  <c r="G209" i="158" s="1"/>
  <c r="J209" i="158" s="1"/>
  <c r="K209" i="158" s="1"/>
  <c r="I209" i="158"/>
  <c r="I429" i="158"/>
  <c r="H429" i="158"/>
  <c r="G429" i="158" s="1"/>
  <c r="J429" i="158" s="1"/>
  <c r="K429" i="158" s="1"/>
  <c r="H136" i="166"/>
  <c r="H140" i="166" s="1"/>
  <c r="H183" i="166" s="1"/>
  <c r="I140" i="155"/>
  <c r="I183" i="155" s="1"/>
  <c r="G136" i="155"/>
  <c r="H257" i="158"/>
  <c r="F275" i="158"/>
  <c r="F283" i="158" s="1"/>
  <c r="F324" i="158" s="1"/>
  <c r="I257" i="158"/>
  <c r="H182" i="160"/>
  <c r="H184" i="160" s="1"/>
  <c r="H101" i="160"/>
  <c r="H12" i="160" s="1"/>
  <c r="J785" i="160"/>
  <c r="G785" i="160" s="1"/>
  <c r="K785" i="160" s="1"/>
  <c r="I188" i="165"/>
  <c r="I189" i="165" s="1"/>
  <c r="I191" i="165" s="1"/>
  <c r="I151" i="165"/>
  <c r="I13" i="165" s="1"/>
  <c r="F13" i="160"/>
  <c r="J789" i="160"/>
  <c r="H789" i="157"/>
  <c r="I151" i="166"/>
  <c r="I13" i="166" s="1"/>
  <c r="I188" i="166"/>
  <c r="I151" i="160"/>
  <c r="I13" i="160" s="1"/>
  <c r="I188" i="160"/>
  <c r="I189" i="160" s="1"/>
  <c r="I191" i="160" s="1"/>
  <c r="J412" i="165"/>
  <c r="J416" i="165" s="1"/>
  <c r="G416" i="165"/>
  <c r="J850" i="157"/>
  <c r="I101" i="164"/>
  <c r="I12" i="164" s="1"/>
  <c r="I182" i="164"/>
  <c r="K416" i="161"/>
  <c r="L412" i="161"/>
  <c r="L416" i="161" s="1"/>
  <c r="K149" i="160"/>
  <c r="L145" i="160"/>
  <c r="L149" i="160" s="1"/>
  <c r="J86" i="167" l="1"/>
  <c r="J90" i="167" s="1"/>
  <c r="J191" i="160"/>
  <c r="J787" i="161"/>
  <c r="G224" i="158"/>
  <c r="J224" i="158" s="1"/>
  <c r="K224" i="158" s="1"/>
  <c r="J191" i="161"/>
  <c r="J329" i="161" s="1"/>
  <c r="G528" i="157"/>
  <c r="J528" i="157" s="1"/>
  <c r="K528" i="157" s="1"/>
  <c r="J145" i="167"/>
  <c r="J149" i="167" s="1"/>
  <c r="J151" i="167" s="1"/>
  <c r="J13" i="167" s="1"/>
  <c r="J629" i="157"/>
  <c r="K629" i="157" s="1"/>
  <c r="G270" i="158"/>
  <c r="J270" i="158" s="1"/>
  <c r="K270" i="158" s="1"/>
  <c r="G211" i="158"/>
  <c r="J211" i="158" s="1"/>
  <c r="K211" i="158" s="1"/>
  <c r="J786" i="155"/>
  <c r="G210" i="158"/>
  <c r="J210" i="158" s="1"/>
  <c r="K210" i="158" s="1"/>
  <c r="H789" i="160"/>
  <c r="I275" i="158"/>
  <c r="I283" i="158" s="1"/>
  <c r="I324" i="158" s="1"/>
  <c r="J136" i="165"/>
  <c r="J140" i="165" s="1"/>
  <c r="J183" i="165" s="1"/>
  <c r="J787" i="160"/>
  <c r="J145" i="165"/>
  <c r="J149" i="165" s="1"/>
  <c r="G151" i="160"/>
  <c r="G13" i="160" s="1"/>
  <c r="I481" i="158"/>
  <c r="G531" i="159"/>
  <c r="J531" i="159" s="1"/>
  <c r="K531" i="159" s="1"/>
  <c r="J785" i="157"/>
  <c r="K785" i="157" s="1"/>
  <c r="H329" i="160"/>
  <c r="P785" i="160"/>
  <c r="L785" i="160"/>
  <c r="K145" i="162"/>
  <c r="F145" i="164"/>
  <c r="G149" i="162"/>
  <c r="I329" i="160"/>
  <c r="I329" i="167"/>
  <c r="K329" i="159"/>
  <c r="L786" i="160"/>
  <c r="P786" i="160"/>
  <c r="F457" i="161"/>
  <c r="I458" i="159"/>
  <c r="J329" i="160"/>
  <c r="K95" i="155"/>
  <c r="H95" i="164"/>
  <c r="H99" i="164" s="1"/>
  <c r="H187" i="164" s="1"/>
  <c r="G99" i="155"/>
  <c r="G187" i="155" s="1"/>
  <c r="F189" i="155"/>
  <c r="H101" i="165"/>
  <c r="H12" i="165" s="1"/>
  <c r="H182" i="165"/>
  <c r="H184" i="165" s="1"/>
  <c r="G580" i="158"/>
  <c r="G598" i="158" s="1"/>
  <c r="J539" i="9"/>
  <c r="G540" i="9"/>
  <c r="J212" i="9"/>
  <c r="K212" i="9" s="1"/>
  <c r="F212" i="157"/>
  <c r="J263" i="9"/>
  <c r="K263" i="9" s="1"/>
  <c r="F263" i="157"/>
  <c r="J421" i="9"/>
  <c r="K421" i="9" s="1"/>
  <c r="F421" i="157"/>
  <c r="J428" i="9"/>
  <c r="K428" i="9" s="1"/>
  <c r="F428" i="157"/>
  <c r="J101" i="167"/>
  <c r="J12" i="167" s="1"/>
  <c r="J182" i="167"/>
  <c r="K329" i="158"/>
  <c r="H431" i="158"/>
  <c r="H433" i="158" s="1"/>
  <c r="G188" i="167"/>
  <c r="G151" i="167"/>
  <c r="G13" i="167" s="1"/>
  <c r="F528" i="160"/>
  <c r="J528" i="159"/>
  <c r="K528" i="159" s="1"/>
  <c r="K850" i="9"/>
  <c r="J412" i="166"/>
  <c r="J416" i="166" s="1"/>
  <c r="J271" i="159"/>
  <c r="K271" i="159" s="1"/>
  <c r="F271" i="160"/>
  <c r="I269" i="159"/>
  <c r="F269" i="161" s="1"/>
  <c r="H269" i="159"/>
  <c r="G269" i="159" s="1"/>
  <c r="H215" i="158"/>
  <c r="H188" i="155"/>
  <c r="H189" i="155" s="1"/>
  <c r="H151" i="155"/>
  <c r="H13" i="155" s="1"/>
  <c r="F191" i="161"/>
  <c r="H795" i="161"/>
  <c r="I795" i="161"/>
  <c r="J795" i="161"/>
  <c r="F86" i="167"/>
  <c r="J90" i="162"/>
  <c r="J151" i="165"/>
  <c r="J13" i="165" s="1"/>
  <c r="J188" i="165"/>
  <c r="K457" i="9"/>
  <c r="K458" i="9" s="1"/>
  <c r="J458" i="9"/>
  <c r="I265" i="159"/>
  <c r="F265" i="161" s="1"/>
  <c r="H265" i="159"/>
  <c r="G265" i="159" s="1"/>
  <c r="I227" i="159"/>
  <c r="F227" i="161" s="1"/>
  <c r="H227" i="159"/>
  <c r="G227" i="159" s="1"/>
  <c r="H851" i="155"/>
  <c r="H850" i="155"/>
  <c r="I188" i="155"/>
  <c r="I189" i="155" s="1"/>
  <c r="I151" i="155"/>
  <c r="I13" i="155" s="1"/>
  <c r="F12" i="155"/>
  <c r="K95" i="165"/>
  <c r="K99" i="165" s="1"/>
  <c r="F99" i="165"/>
  <c r="F187" i="165" s="1"/>
  <c r="I259" i="159"/>
  <c r="F259" i="161" s="1"/>
  <c r="H259" i="159"/>
  <c r="H422" i="159"/>
  <c r="G422" i="159" s="1"/>
  <c r="I422" i="159"/>
  <c r="F422" i="161" s="1"/>
  <c r="K86" i="155"/>
  <c r="H86" i="164"/>
  <c r="H90" i="164" s="1"/>
  <c r="G90" i="155"/>
  <c r="G589" i="9"/>
  <c r="I263" i="159"/>
  <c r="F263" i="161" s="1"/>
  <c r="H263" i="159"/>
  <c r="G263" i="159" s="1"/>
  <c r="I421" i="159"/>
  <c r="F421" i="161" s="1"/>
  <c r="H421" i="159"/>
  <c r="I787" i="161"/>
  <c r="J787" i="157"/>
  <c r="K787" i="157" s="1"/>
  <c r="K145" i="165"/>
  <c r="K149" i="165" s="1"/>
  <c r="F149" i="165"/>
  <c r="I329" i="165"/>
  <c r="J188" i="167"/>
  <c r="J189" i="167" s="1"/>
  <c r="I234" i="159"/>
  <c r="H234" i="159"/>
  <c r="G234" i="159"/>
  <c r="J484" i="9"/>
  <c r="F484" i="157"/>
  <c r="J189" i="165"/>
  <c r="I787" i="160"/>
  <c r="I329" i="161"/>
  <c r="J266" i="9"/>
  <c r="K266" i="9" s="1"/>
  <c r="F266" i="157"/>
  <c r="G626" i="159"/>
  <c r="H626" i="159"/>
  <c r="H630" i="159" s="1"/>
  <c r="F630" i="159"/>
  <c r="I626" i="159"/>
  <c r="G101" i="160"/>
  <c r="G12" i="160" s="1"/>
  <c r="G182" i="160"/>
  <c r="G184" i="160" s="1"/>
  <c r="G188" i="166"/>
  <c r="G189" i="166" s="1"/>
  <c r="G151" i="166"/>
  <c r="G13" i="166" s="1"/>
  <c r="J86" i="165"/>
  <c r="J90" i="165" s="1"/>
  <c r="L187" i="161"/>
  <c r="J95" i="166"/>
  <c r="J99" i="166" s="1"/>
  <c r="J187" i="166" s="1"/>
  <c r="J182" i="155"/>
  <c r="J184" i="155" s="1"/>
  <c r="J101" i="155"/>
  <c r="J12" i="155" s="1"/>
  <c r="J214" i="9"/>
  <c r="K214" i="9" s="1"/>
  <c r="F214" i="157"/>
  <c r="G493" i="9"/>
  <c r="J491" i="9"/>
  <c r="F491" i="157"/>
  <c r="H260" i="159"/>
  <c r="I260" i="159"/>
  <c r="F260" i="161" s="1"/>
  <c r="I425" i="159"/>
  <c r="F425" i="161" s="1"/>
  <c r="H425" i="159"/>
  <c r="F412" i="164"/>
  <c r="K412" i="162"/>
  <c r="G416" i="162"/>
  <c r="I886" i="158"/>
  <c r="I544" i="158"/>
  <c r="G535" i="158"/>
  <c r="F13" i="155"/>
  <c r="H275" i="158"/>
  <c r="H283" i="158" s="1"/>
  <c r="H324" i="158" s="1"/>
  <c r="K412" i="155"/>
  <c r="H412" i="164"/>
  <c r="H416" i="164" s="1"/>
  <c r="G416" i="155"/>
  <c r="P786" i="161"/>
  <c r="L786" i="161"/>
  <c r="I786" i="155"/>
  <c r="I891" i="158"/>
  <c r="I562" i="158"/>
  <c r="G589" i="158"/>
  <c r="I184" i="164"/>
  <c r="K136" i="155"/>
  <c r="H136" i="164"/>
  <c r="H140" i="164" s="1"/>
  <c r="H183" i="164" s="1"/>
  <c r="G140" i="155"/>
  <c r="G183" i="155" s="1"/>
  <c r="H528" i="155"/>
  <c r="H528" i="165" s="1"/>
  <c r="H786" i="155"/>
  <c r="G329" i="157"/>
  <c r="H101" i="155"/>
  <c r="H12" i="155" s="1"/>
  <c r="H182" i="155"/>
  <c r="H184" i="155" s="1"/>
  <c r="G462" i="9"/>
  <c r="J461" i="9"/>
  <c r="F461" i="157"/>
  <c r="J462" i="158"/>
  <c r="J465" i="158" s="1"/>
  <c r="K461" i="158"/>
  <c r="K462" i="158" s="1"/>
  <c r="K465" i="158" s="1"/>
  <c r="F651" i="9"/>
  <c r="G151" i="161"/>
  <c r="G13" i="161" s="1"/>
  <c r="G188" i="161"/>
  <c r="G189" i="161" s="1"/>
  <c r="G191" i="161" s="1"/>
  <c r="I796" i="159"/>
  <c r="G588" i="159"/>
  <c r="G579" i="159"/>
  <c r="G539" i="159"/>
  <c r="J579" i="158"/>
  <c r="K579" i="158" s="1"/>
  <c r="G536" i="9"/>
  <c r="F535" i="157"/>
  <c r="G580" i="9"/>
  <c r="G598" i="9" s="1"/>
  <c r="F578" i="157"/>
  <c r="H226" i="159"/>
  <c r="G226" i="159" s="1"/>
  <c r="I226" i="159"/>
  <c r="F226" i="161" s="1"/>
  <c r="H418" i="159"/>
  <c r="G418" i="159" s="1"/>
  <c r="I418" i="159"/>
  <c r="F418" i="161" s="1"/>
  <c r="I520" i="159"/>
  <c r="F520" i="161" s="1"/>
  <c r="H520" i="159"/>
  <c r="I419" i="159"/>
  <c r="F419" i="161" s="1"/>
  <c r="H419" i="159"/>
  <c r="G419" i="159" s="1"/>
  <c r="F868" i="157"/>
  <c r="F636" i="157"/>
  <c r="F639" i="157" s="1"/>
  <c r="F641" i="157" s="1"/>
  <c r="F644" i="157" s="1"/>
  <c r="F27" i="157"/>
  <c r="G101" i="167"/>
  <c r="G12" i="167" s="1"/>
  <c r="G182" i="167"/>
  <c r="G184" i="167" s="1"/>
  <c r="H787" i="161"/>
  <c r="G787" i="161" s="1"/>
  <c r="K787" i="161" s="1"/>
  <c r="J329" i="158"/>
  <c r="I431" i="158"/>
  <c r="I433" i="158" s="1"/>
  <c r="J234" i="9"/>
  <c r="F234" i="157"/>
  <c r="H220" i="159"/>
  <c r="I220" i="159"/>
  <c r="H529" i="158"/>
  <c r="G86" i="162"/>
  <c r="G562" i="158"/>
  <c r="G891" i="158"/>
  <c r="H271" i="161"/>
  <c r="I271" i="161"/>
  <c r="J271" i="161"/>
  <c r="J261" i="9"/>
  <c r="K261" i="9" s="1"/>
  <c r="F261" i="157"/>
  <c r="J269" i="9"/>
  <c r="K269" i="9" s="1"/>
  <c r="F269" i="157"/>
  <c r="J27" i="9"/>
  <c r="K27" i="9" s="1"/>
  <c r="J868" i="9"/>
  <c r="J636" i="9"/>
  <c r="J639" i="9" s="1"/>
  <c r="K90" i="160"/>
  <c r="L86" i="160"/>
  <c r="L90" i="160" s="1"/>
  <c r="L785" i="161"/>
  <c r="P785" i="161"/>
  <c r="H629" i="155"/>
  <c r="H629" i="165" s="1"/>
  <c r="J629" i="155"/>
  <c r="H629" i="167" s="1"/>
  <c r="I215" i="158"/>
  <c r="J182" i="166"/>
  <c r="J184" i="166" s="1"/>
  <c r="H323" i="9"/>
  <c r="H296" i="9"/>
  <c r="H816" i="9" s="1"/>
  <c r="J279" i="158"/>
  <c r="I271" i="157"/>
  <c r="H271" i="157"/>
  <c r="F271" i="155" s="1"/>
  <c r="G151" i="165"/>
  <c r="G13" i="165" s="1"/>
  <c r="G188" i="165"/>
  <c r="G189" i="165" s="1"/>
  <c r="G191" i="165" s="1"/>
  <c r="H789" i="161"/>
  <c r="G789" i="161" s="1"/>
  <c r="K789" i="161" s="1"/>
  <c r="J265" i="9"/>
  <c r="K265" i="9" s="1"/>
  <c r="F265" i="157"/>
  <c r="J227" i="9"/>
  <c r="K227" i="9" s="1"/>
  <c r="F227" i="157"/>
  <c r="I629" i="161"/>
  <c r="J629" i="161"/>
  <c r="H629" i="161"/>
  <c r="J274" i="9"/>
  <c r="K274" i="9" s="1"/>
  <c r="F274" i="157"/>
  <c r="G95" i="162"/>
  <c r="K182" i="161"/>
  <c r="K101" i="161"/>
  <c r="K12" i="161" s="1"/>
  <c r="L12" i="161" s="1"/>
  <c r="J95" i="164"/>
  <c r="J99" i="164" s="1"/>
  <c r="J187" i="164" s="1"/>
  <c r="G99" i="164"/>
  <c r="G187" i="164" s="1"/>
  <c r="I827" i="155"/>
  <c r="I531" i="155" s="1"/>
  <c r="H531" i="166" s="1"/>
  <c r="J329" i="9"/>
  <c r="K140" i="160"/>
  <c r="K183" i="160" s="1"/>
  <c r="L183" i="160" s="1"/>
  <c r="L136" i="160"/>
  <c r="L140" i="160" s="1"/>
  <c r="L151" i="160" s="1"/>
  <c r="J785" i="155"/>
  <c r="G785" i="155" s="1"/>
  <c r="K785" i="155" s="1"/>
  <c r="H481" i="158"/>
  <c r="J412" i="167"/>
  <c r="J416" i="167" s="1"/>
  <c r="I225" i="159"/>
  <c r="F225" i="161" s="1"/>
  <c r="H225" i="159"/>
  <c r="G225" i="159" s="1"/>
  <c r="H424" i="159"/>
  <c r="G424" i="159" s="1"/>
  <c r="I424" i="159"/>
  <c r="F424" i="161" s="1"/>
  <c r="F140" i="165"/>
  <c r="F183" i="165" s="1"/>
  <c r="K183" i="165" s="1"/>
  <c r="I229" i="158"/>
  <c r="H544" i="158"/>
  <c r="H886" i="158"/>
  <c r="G531" i="157"/>
  <c r="J531" i="157" s="1"/>
  <c r="K531" i="157" s="1"/>
  <c r="H799" i="158"/>
  <c r="I799" i="158"/>
  <c r="G799" i="158"/>
  <c r="F329" i="157"/>
  <c r="G796" i="157"/>
  <c r="H796" i="157"/>
  <c r="H182" i="166"/>
  <c r="H184" i="166" s="1"/>
  <c r="H101" i="166"/>
  <c r="H12" i="166" s="1"/>
  <c r="G457" i="159"/>
  <c r="J259" i="9"/>
  <c r="K259" i="9" s="1"/>
  <c r="F259" i="157"/>
  <c r="J485" i="9"/>
  <c r="K485" i="9" s="1"/>
  <c r="F485" i="157"/>
  <c r="J422" i="9"/>
  <c r="K422" i="9" s="1"/>
  <c r="F422" i="157"/>
  <c r="K188" i="160"/>
  <c r="L188" i="160" s="1"/>
  <c r="K151" i="160"/>
  <c r="K13" i="160" s="1"/>
  <c r="L13" i="160" s="1"/>
  <c r="G13" i="157"/>
  <c r="G789" i="157"/>
  <c r="G827" i="160"/>
  <c r="K827" i="160" s="1"/>
  <c r="H851" i="160"/>
  <c r="G851" i="160" s="1"/>
  <c r="K851" i="160" s="1"/>
  <c r="L851" i="160" s="1"/>
  <c r="H850" i="160"/>
  <c r="I461" i="159"/>
  <c r="H461" i="159"/>
  <c r="H462" i="159" s="1"/>
  <c r="H465" i="159" s="1"/>
  <c r="F462" i="159"/>
  <c r="G19" i="158"/>
  <c r="G499" i="158"/>
  <c r="I151" i="164"/>
  <c r="I13" i="164" s="1"/>
  <c r="I188" i="164"/>
  <c r="I189" i="164" s="1"/>
  <c r="I191" i="164" s="1"/>
  <c r="F626" i="155"/>
  <c r="H630" i="157"/>
  <c r="H188" i="162"/>
  <c r="H189" i="162" s="1"/>
  <c r="H191" i="162" s="1"/>
  <c r="H151" i="162"/>
  <c r="H13" i="162" s="1"/>
  <c r="F521" i="158"/>
  <c r="F140" i="166"/>
  <c r="F183" i="166" s="1"/>
  <c r="I261" i="159"/>
  <c r="F261" i="161" s="1"/>
  <c r="H261" i="159"/>
  <c r="G261" i="159" s="1"/>
  <c r="K636" i="9"/>
  <c r="K639" i="9" s="1"/>
  <c r="K868" i="9"/>
  <c r="L28" i="49"/>
  <c r="G101" i="165"/>
  <c r="G12" i="165" s="1"/>
  <c r="G182" i="165"/>
  <c r="G184" i="165" s="1"/>
  <c r="G206" i="158"/>
  <c r="I274" i="159"/>
  <c r="F274" i="161" s="1"/>
  <c r="H274" i="159"/>
  <c r="G274" i="159" s="1"/>
  <c r="K99" i="160"/>
  <c r="K187" i="160" s="1"/>
  <c r="L95" i="160"/>
  <c r="L99" i="160" s="1"/>
  <c r="I835" i="158"/>
  <c r="I529" i="158" s="1"/>
  <c r="K95" i="167"/>
  <c r="K99" i="167" s="1"/>
  <c r="F99" i="167"/>
  <c r="F187" i="167" s="1"/>
  <c r="F99" i="166"/>
  <c r="F187" i="166" s="1"/>
  <c r="J260" i="9"/>
  <c r="K260" i="9" s="1"/>
  <c r="F260" i="157"/>
  <c r="J425" i="9"/>
  <c r="K425" i="9" s="1"/>
  <c r="F425" i="157"/>
  <c r="J794" i="161"/>
  <c r="H794" i="161"/>
  <c r="I794" i="161"/>
  <c r="H229" i="158"/>
  <c r="J184" i="157"/>
  <c r="K182" i="157"/>
  <c r="K184" i="157" s="1"/>
  <c r="H833" i="159"/>
  <c r="H485" i="159"/>
  <c r="I485" i="159"/>
  <c r="F485" i="161" s="1"/>
  <c r="K145" i="155"/>
  <c r="H145" i="164"/>
  <c r="G149" i="155"/>
  <c r="I465" i="9"/>
  <c r="I834" i="9"/>
  <c r="H182" i="162"/>
  <c r="H184" i="162" s="1"/>
  <c r="H101" i="162"/>
  <c r="H12" i="162" s="1"/>
  <c r="I209" i="9"/>
  <c r="I213" i="9"/>
  <c r="I221" i="9"/>
  <c r="I210" i="9"/>
  <c r="I211" i="9"/>
  <c r="I223" i="9"/>
  <c r="I224" i="9"/>
  <c r="I235" i="9"/>
  <c r="I257" i="9"/>
  <c r="I258" i="9"/>
  <c r="I270" i="9"/>
  <c r="I279" i="9"/>
  <c r="I420" i="9"/>
  <c r="I430" i="9"/>
  <c r="I479" i="9"/>
  <c r="I579" i="9"/>
  <c r="I302" i="9"/>
  <c r="I480" i="9"/>
  <c r="I535" i="9"/>
  <c r="J535" i="9" s="1"/>
  <c r="I429" i="9"/>
  <c r="I584" i="9"/>
  <c r="I854" i="9"/>
  <c r="I206" i="9"/>
  <c r="I539" i="9"/>
  <c r="I540" i="9" s="1"/>
  <c r="I588" i="9"/>
  <c r="I589" i="9" s="1"/>
  <c r="I578" i="9"/>
  <c r="J578" i="9" s="1"/>
  <c r="I579" i="157"/>
  <c r="J579" i="157" s="1"/>
  <c r="K579" i="157" s="1"/>
  <c r="I588" i="157"/>
  <c r="I589" i="157" s="1"/>
  <c r="I588" i="158"/>
  <c r="I589" i="158" s="1"/>
  <c r="I579" i="158"/>
  <c r="I578" i="158"/>
  <c r="I580" i="158" s="1"/>
  <c r="I598" i="158" s="1"/>
  <c r="H212" i="159"/>
  <c r="I212" i="159"/>
  <c r="F212" i="161" s="1"/>
  <c r="H428" i="159"/>
  <c r="G428" i="159" s="1"/>
  <c r="I428" i="159"/>
  <c r="F428" i="161" s="1"/>
  <c r="F145" i="166"/>
  <c r="I149" i="162"/>
  <c r="J528" i="161"/>
  <c r="H528" i="161"/>
  <c r="I528" i="161"/>
  <c r="G528" i="161" s="1"/>
  <c r="G189" i="167"/>
  <c r="G191" i="167" s="1"/>
  <c r="J151" i="155"/>
  <c r="J13" i="155" s="1"/>
  <c r="J188" i="155"/>
  <c r="H188" i="165"/>
  <c r="H151" i="165"/>
  <c r="H13" i="165" s="1"/>
  <c r="H189" i="165"/>
  <c r="H191" i="165" s="1"/>
  <c r="J151" i="157"/>
  <c r="J13" i="157" s="1"/>
  <c r="K13" i="157" s="1"/>
  <c r="J188" i="157"/>
  <c r="J262" i="9"/>
  <c r="K262" i="9" s="1"/>
  <c r="F262" i="157"/>
  <c r="J417" i="9"/>
  <c r="F417" i="157"/>
  <c r="J423" i="9"/>
  <c r="K423" i="9" s="1"/>
  <c r="F423" i="157"/>
  <c r="H151" i="166"/>
  <c r="H13" i="166" s="1"/>
  <c r="H188" i="166"/>
  <c r="H189" i="166" s="1"/>
  <c r="H191" i="166" s="1"/>
  <c r="F609" i="155"/>
  <c r="G479" i="158"/>
  <c r="H308" i="9"/>
  <c r="H307" i="9"/>
  <c r="H486" i="9"/>
  <c r="H487" i="9"/>
  <c r="H527" i="9"/>
  <c r="F238" i="158"/>
  <c r="J235" i="158"/>
  <c r="G236" i="158"/>
  <c r="K140" i="161"/>
  <c r="K183" i="161" s="1"/>
  <c r="L183" i="161" s="1"/>
  <c r="L136" i="161"/>
  <c r="L140" i="161" s="1"/>
  <c r="G416" i="164"/>
  <c r="O795" i="157"/>
  <c r="I795" i="157"/>
  <c r="J795" i="157" s="1"/>
  <c r="K795" i="157" s="1"/>
  <c r="K412" i="167"/>
  <c r="K416" i="167" s="1"/>
  <c r="F416" i="167"/>
  <c r="J264" i="9"/>
  <c r="K264" i="9" s="1"/>
  <c r="F264" i="157"/>
  <c r="J492" i="9"/>
  <c r="K492" i="9" s="1"/>
  <c r="F492" i="157"/>
  <c r="K850" i="157"/>
  <c r="I789" i="160"/>
  <c r="G257" i="158"/>
  <c r="F140" i="167"/>
  <c r="F183" i="167" s="1"/>
  <c r="I329" i="166"/>
  <c r="F869" i="9"/>
  <c r="F871" i="9"/>
  <c r="K86" i="165"/>
  <c r="K90" i="165" s="1"/>
  <c r="F90" i="165"/>
  <c r="K149" i="161"/>
  <c r="L145" i="161"/>
  <c r="L149" i="161" s="1"/>
  <c r="L151" i="161" s="1"/>
  <c r="H539" i="159"/>
  <c r="H540" i="159" s="1"/>
  <c r="G854" i="159"/>
  <c r="H854" i="159"/>
  <c r="H855" i="159" s="1"/>
  <c r="H640" i="159" s="1"/>
  <c r="H588" i="159"/>
  <c r="H589" i="159" s="1"/>
  <c r="H579" i="159"/>
  <c r="G589" i="157"/>
  <c r="J588" i="157"/>
  <c r="J579" i="9"/>
  <c r="K579" i="9" s="1"/>
  <c r="J226" i="9"/>
  <c r="K226" i="9" s="1"/>
  <c r="F226" i="157"/>
  <c r="J418" i="9"/>
  <c r="K418" i="9" s="1"/>
  <c r="F418" i="157"/>
  <c r="J520" i="9"/>
  <c r="K520" i="9" s="1"/>
  <c r="F520" i="157"/>
  <c r="J419" i="9"/>
  <c r="K419" i="9" s="1"/>
  <c r="F419" i="157"/>
  <c r="I636" i="157"/>
  <c r="I639" i="157" s="1"/>
  <c r="I27" i="157"/>
  <c r="I868" i="157"/>
  <c r="J626" i="157"/>
  <c r="G630" i="157"/>
  <c r="F18" i="158"/>
  <c r="H828" i="158"/>
  <c r="F498" i="158"/>
  <c r="F312" i="158"/>
  <c r="G828" i="158"/>
  <c r="G420" i="158"/>
  <c r="F145" i="167"/>
  <c r="J149" i="162"/>
  <c r="J220" i="9"/>
  <c r="F220" i="157"/>
  <c r="I484" i="159"/>
  <c r="H484" i="159"/>
  <c r="G484" i="159" s="1"/>
  <c r="H522" i="9"/>
  <c r="F519" i="158"/>
  <c r="H787" i="160"/>
  <c r="H151" i="167"/>
  <c r="H13" i="167" s="1"/>
  <c r="H188" i="167"/>
  <c r="H189" i="167" s="1"/>
  <c r="J539" i="158"/>
  <c r="I794" i="157"/>
  <c r="O794" i="157" s="1"/>
  <c r="J794" i="157"/>
  <c r="K794" i="157" s="1"/>
  <c r="H266" i="159"/>
  <c r="G266" i="159" s="1"/>
  <c r="I266" i="159"/>
  <c r="F266" i="161" s="1"/>
  <c r="I27" i="9"/>
  <c r="I636" i="9"/>
  <c r="I639" i="9" s="1"/>
  <c r="I868" i="9"/>
  <c r="G90" i="164"/>
  <c r="G188" i="164"/>
  <c r="J145" i="166"/>
  <c r="J149" i="166" s="1"/>
  <c r="H794" i="160"/>
  <c r="I794" i="160"/>
  <c r="J794" i="160"/>
  <c r="J136" i="167"/>
  <c r="J140" i="167" s="1"/>
  <c r="J183" i="167" s="1"/>
  <c r="J136" i="166"/>
  <c r="J140" i="166" s="1"/>
  <c r="J183" i="166" s="1"/>
  <c r="G101" i="166"/>
  <c r="G12" i="166" s="1"/>
  <c r="G182" i="166"/>
  <c r="G184" i="166" s="1"/>
  <c r="H191" i="161"/>
  <c r="J189" i="155"/>
  <c r="J191" i="155" s="1"/>
  <c r="F28" i="9"/>
  <c r="H182" i="167"/>
  <c r="H184" i="167" s="1"/>
  <c r="H101" i="167"/>
  <c r="H12" i="167" s="1"/>
  <c r="H457" i="157"/>
  <c r="F458" i="157"/>
  <c r="H214" i="159"/>
  <c r="I214" i="159"/>
  <c r="F214" i="161" s="1"/>
  <c r="H262" i="159"/>
  <c r="G262" i="159" s="1"/>
  <c r="I262" i="159"/>
  <c r="F262" i="161" s="1"/>
  <c r="H491" i="159"/>
  <c r="H493" i="159" s="1"/>
  <c r="F493" i="159"/>
  <c r="I491" i="159"/>
  <c r="I417" i="159"/>
  <c r="H417" i="159"/>
  <c r="F629" i="160"/>
  <c r="J629" i="159"/>
  <c r="K629" i="159" s="1"/>
  <c r="I423" i="159"/>
  <c r="F423" i="161" s="1"/>
  <c r="H423" i="159"/>
  <c r="G423" i="159" s="1"/>
  <c r="L101" i="161"/>
  <c r="G189" i="160"/>
  <c r="G191" i="160" s="1"/>
  <c r="J827" i="155"/>
  <c r="J191" i="159"/>
  <c r="J136" i="164"/>
  <c r="J140" i="164" s="1"/>
  <c r="J183" i="164" s="1"/>
  <c r="G140" i="164"/>
  <c r="G183" i="164" s="1"/>
  <c r="F184" i="155"/>
  <c r="K412" i="165"/>
  <c r="K416" i="165" s="1"/>
  <c r="F416" i="165"/>
  <c r="G838" i="158"/>
  <c r="H838" i="158"/>
  <c r="J225" i="9"/>
  <c r="K225" i="9" s="1"/>
  <c r="F225" i="157"/>
  <c r="J424" i="9"/>
  <c r="K424" i="9" s="1"/>
  <c r="F424" i="157"/>
  <c r="H531" i="161"/>
  <c r="G531" i="161" s="1"/>
  <c r="I531" i="161"/>
  <c r="J531" i="161"/>
  <c r="F86" i="166"/>
  <c r="I90" i="162"/>
  <c r="G221" i="158"/>
  <c r="F886" i="158"/>
  <c r="F544" i="158"/>
  <c r="F191" i="160"/>
  <c r="I795" i="160"/>
  <c r="J795" i="160"/>
  <c r="H795" i="160"/>
  <c r="K412" i="166"/>
  <c r="K416" i="166" s="1"/>
  <c r="F416" i="166"/>
  <c r="H531" i="155"/>
  <c r="H531" i="165" s="1"/>
  <c r="J531" i="155"/>
  <c r="H531" i="167" s="1"/>
  <c r="G303" i="158"/>
  <c r="G304" i="158" s="1"/>
  <c r="J302" i="158"/>
  <c r="G136" i="162"/>
  <c r="K416" i="160"/>
  <c r="L412" i="160"/>
  <c r="L416" i="160" s="1"/>
  <c r="I101" i="155"/>
  <c r="I12" i="155" s="1"/>
  <c r="I182" i="155"/>
  <c r="I184" i="155" s="1"/>
  <c r="G264" i="159"/>
  <c r="H264" i="159"/>
  <c r="I264" i="159"/>
  <c r="F264" i="161" s="1"/>
  <c r="I492" i="159"/>
  <c r="F492" i="161" s="1"/>
  <c r="H492" i="159"/>
  <c r="G492" i="159" s="1"/>
  <c r="G850" i="161"/>
  <c r="G851" i="161"/>
  <c r="K851" i="161" s="1"/>
  <c r="L851" i="161" s="1"/>
  <c r="K827" i="161"/>
  <c r="I191" i="155" l="1"/>
  <c r="J184" i="167"/>
  <c r="J191" i="167" s="1"/>
  <c r="J329" i="167" s="1"/>
  <c r="G787" i="160"/>
  <c r="K787" i="160" s="1"/>
  <c r="L787" i="160" s="1"/>
  <c r="G789" i="160"/>
  <c r="K789" i="160" s="1"/>
  <c r="G212" i="159"/>
  <c r="J212" i="159" s="1"/>
  <c r="K212" i="159" s="1"/>
  <c r="O835" i="158"/>
  <c r="K183" i="166"/>
  <c r="I238" i="158"/>
  <c r="I629" i="155"/>
  <c r="H629" i="166" s="1"/>
  <c r="J588" i="158"/>
  <c r="G260" i="159"/>
  <c r="G259" i="159"/>
  <c r="G485" i="159"/>
  <c r="J485" i="159" s="1"/>
  <c r="K485" i="159" s="1"/>
  <c r="G417" i="159"/>
  <c r="F417" i="160" s="1"/>
  <c r="G214" i="159"/>
  <c r="F214" i="160" s="1"/>
  <c r="I528" i="155"/>
  <c r="H528" i="166" s="1"/>
  <c r="I789" i="155"/>
  <c r="F531" i="160"/>
  <c r="K136" i="167"/>
  <c r="K140" i="167" s="1"/>
  <c r="H191" i="155"/>
  <c r="H329" i="155" s="1"/>
  <c r="G461" i="159"/>
  <c r="G462" i="159" s="1"/>
  <c r="G834" i="159" s="1"/>
  <c r="G529" i="158"/>
  <c r="J529" i="158" s="1"/>
  <c r="K529" i="158" s="1"/>
  <c r="G191" i="166"/>
  <c r="G329" i="166" s="1"/>
  <c r="I787" i="155"/>
  <c r="K136" i="165"/>
  <c r="K140" i="165" s="1"/>
  <c r="K183" i="167"/>
  <c r="H238" i="158"/>
  <c r="G425" i="159"/>
  <c r="I531" i="164"/>
  <c r="K531" i="161"/>
  <c r="L531" i="161" s="1"/>
  <c r="L785" i="155"/>
  <c r="P785" i="155"/>
  <c r="G329" i="165"/>
  <c r="J227" i="159"/>
  <c r="K227" i="159" s="1"/>
  <c r="F227" i="160"/>
  <c r="H329" i="166"/>
  <c r="I329" i="155"/>
  <c r="J269" i="159"/>
  <c r="K269" i="159" s="1"/>
  <c r="F269" i="160"/>
  <c r="L789" i="160"/>
  <c r="P789" i="160"/>
  <c r="I323" i="158"/>
  <c r="I296" i="158"/>
  <c r="J260" i="159"/>
  <c r="K260" i="159" s="1"/>
  <c r="F260" i="160"/>
  <c r="F262" i="160"/>
  <c r="J262" i="159"/>
  <c r="K262" i="159" s="1"/>
  <c r="F266" i="160"/>
  <c r="J266" i="159"/>
  <c r="K266" i="159" s="1"/>
  <c r="K535" i="9"/>
  <c r="K536" i="9" s="1"/>
  <c r="J536" i="9"/>
  <c r="H323" i="158"/>
  <c r="H296" i="158"/>
  <c r="J425" i="159"/>
  <c r="K425" i="159" s="1"/>
  <c r="F425" i="160"/>
  <c r="F428" i="160"/>
  <c r="J428" i="159"/>
  <c r="K428" i="159" s="1"/>
  <c r="J225" i="159"/>
  <c r="K225" i="159" s="1"/>
  <c r="F225" i="160"/>
  <c r="J417" i="159"/>
  <c r="J259" i="159"/>
  <c r="K259" i="159" s="1"/>
  <c r="F259" i="160"/>
  <c r="J265" i="159"/>
  <c r="K265" i="159" s="1"/>
  <c r="F265" i="160"/>
  <c r="J492" i="159"/>
  <c r="K492" i="159" s="1"/>
  <c r="F492" i="160"/>
  <c r="I531" i="167"/>
  <c r="J531" i="162"/>
  <c r="F531" i="167" s="1"/>
  <c r="K531" i="167" s="1"/>
  <c r="J329" i="155"/>
  <c r="G151" i="164"/>
  <c r="G13" i="164" s="1"/>
  <c r="H609" i="159"/>
  <c r="H532" i="9"/>
  <c r="F527" i="158"/>
  <c r="H262" i="157"/>
  <c r="F262" i="155" s="1"/>
  <c r="I262" i="157"/>
  <c r="J428" i="161"/>
  <c r="H428" i="161"/>
  <c r="I428" i="161"/>
  <c r="I215" i="9"/>
  <c r="F206" i="159"/>
  <c r="G206" i="9"/>
  <c r="I481" i="9"/>
  <c r="I838" i="9" s="1"/>
  <c r="F479" i="159"/>
  <c r="G479" i="9"/>
  <c r="F224" i="159"/>
  <c r="G224" i="9"/>
  <c r="H13" i="49"/>
  <c r="K187" i="166"/>
  <c r="J206" i="158"/>
  <c r="G215" i="158"/>
  <c r="J261" i="159"/>
  <c r="K261" i="159" s="1"/>
  <c r="F261" i="160"/>
  <c r="J461" i="159"/>
  <c r="F461" i="160"/>
  <c r="O799" i="158"/>
  <c r="J799" i="158"/>
  <c r="K799" i="158" s="1"/>
  <c r="H329" i="162"/>
  <c r="J424" i="159"/>
  <c r="K424" i="159" s="1"/>
  <c r="F424" i="160"/>
  <c r="I274" i="157"/>
  <c r="H274" i="157"/>
  <c r="F274" i="155" s="1"/>
  <c r="K279" i="158"/>
  <c r="K281" i="158" s="1"/>
  <c r="J281" i="158"/>
  <c r="L101" i="160"/>
  <c r="I271" i="165"/>
  <c r="L787" i="161"/>
  <c r="P787" i="161"/>
  <c r="G589" i="159"/>
  <c r="F588" i="160"/>
  <c r="J589" i="158"/>
  <c r="K588" i="158"/>
  <c r="K589" i="158" s="1"/>
  <c r="J535" i="158"/>
  <c r="G536" i="158"/>
  <c r="J260" i="161"/>
  <c r="H260" i="161"/>
  <c r="I260" i="161"/>
  <c r="H484" i="157"/>
  <c r="I484" i="157"/>
  <c r="J234" i="159"/>
  <c r="F234" i="160"/>
  <c r="J263" i="159"/>
  <c r="K263" i="159" s="1"/>
  <c r="F263" i="160"/>
  <c r="G101" i="155"/>
  <c r="G12" i="155" s="1"/>
  <c r="G182" i="155"/>
  <c r="G184" i="155" s="1"/>
  <c r="J422" i="159"/>
  <c r="K422" i="159" s="1"/>
  <c r="F422" i="160"/>
  <c r="K539" i="9"/>
  <c r="K540" i="9" s="1"/>
  <c r="J540" i="9"/>
  <c r="H492" i="161"/>
  <c r="I492" i="161"/>
  <c r="J492" i="161"/>
  <c r="F329" i="160"/>
  <c r="J796" i="160"/>
  <c r="H796" i="160"/>
  <c r="I796" i="160"/>
  <c r="J221" i="158"/>
  <c r="G229" i="158"/>
  <c r="G238" i="158" s="1"/>
  <c r="H424" i="157"/>
  <c r="F424" i="155" s="1"/>
  <c r="I424" i="157"/>
  <c r="F417" i="161"/>
  <c r="H329" i="161"/>
  <c r="H876" i="9"/>
  <c r="K220" i="9"/>
  <c r="J420" i="158"/>
  <c r="G431" i="158"/>
  <c r="G433" i="158" s="1"/>
  <c r="K588" i="157"/>
  <c r="K589" i="157" s="1"/>
  <c r="J589" i="157"/>
  <c r="K151" i="161"/>
  <c r="K13" i="161" s="1"/>
  <c r="L13" i="161" s="1"/>
  <c r="K188" i="161"/>
  <c r="F872" i="9"/>
  <c r="G481" i="158"/>
  <c r="J479" i="158"/>
  <c r="H329" i="165"/>
  <c r="I528" i="167"/>
  <c r="I580" i="9"/>
  <c r="I598" i="9" s="1"/>
  <c r="F578" i="159"/>
  <c r="F480" i="159"/>
  <c r="G480" i="9"/>
  <c r="F258" i="159"/>
  <c r="G258" i="9"/>
  <c r="F213" i="159"/>
  <c r="G213" i="9"/>
  <c r="G188" i="155"/>
  <c r="G151" i="155"/>
  <c r="G13" i="155" s="1"/>
  <c r="F485" i="160"/>
  <c r="G794" i="161"/>
  <c r="K794" i="161" s="1"/>
  <c r="K95" i="166"/>
  <c r="K99" i="166" s="1"/>
  <c r="K189" i="160"/>
  <c r="L187" i="160"/>
  <c r="L189" i="160" s="1"/>
  <c r="K136" i="166"/>
  <c r="K140" i="166" s="1"/>
  <c r="I329" i="164"/>
  <c r="I789" i="157"/>
  <c r="J789" i="157" s="1"/>
  <c r="K789" i="157" s="1"/>
  <c r="H422" i="157"/>
  <c r="F422" i="155" s="1"/>
  <c r="I422" i="157"/>
  <c r="I259" i="157"/>
  <c r="H259" i="157"/>
  <c r="F259" i="155" s="1"/>
  <c r="I629" i="167"/>
  <c r="I265" i="157"/>
  <c r="H265" i="157"/>
  <c r="F265" i="155" s="1"/>
  <c r="H191" i="167"/>
  <c r="J101" i="166"/>
  <c r="J12" i="166" s="1"/>
  <c r="H419" i="161"/>
  <c r="I419" i="161"/>
  <c r="J419" i="161"/>
  <c r="G540" i="159"/>
  <c r="J462" i="9"/>
  <c r="J465" i="9" s="1"/>
  <c r="K461" i="9"/>
  <c r="K462" i="9" s="1"/>
  <c r="K465" i="9" s="1"/>
  <c r="K499" i="9" s="1"/>
  <c r="H491" i="157"/>
  <c r="I491" i="157"/>
  <c r="G491" i="157" s="1"/>
  <c r="F493" i="157"/>
  <c r="G630" i="159"/>
  <c r="F626" i="160"/>
  <c r="J626" i="159"/>
  <c r="I421" i="161"/>
  <c r="J421" i="161"/>
  <c r="H421" i="161"/>
  <c r="G421" i="161" s="1"/>
  <c r="J422" i="161"/>
  <c r="H422" i="161"/>
  <c r="G422" i="161" s="1"/>
  <c r="I422" i="161"/>
  <c r="H787" i="155"/>
  <c r="J101" i="162"/>
  <c r="J12" i="162" s="1"/>
  <c r="J182" i="162"/>
  <c r="J184" i="162" s="1"/>
  <c r="H421" i="157"/>
  <c r="F421" i="155" s="1"/>
  <c r="I421" i="157"/>
  <c r="H212" i="157"/>
  <c r="F212" i="155" s="1"/>
  <c r="I212" i="157"/>
  <c r="G212" i="157"/>
  <c r="J212" i="157" s="1"/>
  <c r="K212" i="157" s="1"/>
  <c r="F191" i="155"/>
  <c r="I795" i="155"/>
  <c r="J795" i="155"/>
  <c r="H795" i="155"/>
  <c r="K99" i="155"/>
  <c r="K187" i="155" s="1"/>
  <c r="L95" i="155"/>
  <c r="L99" i="155" s="1"/>
  <c r="G188" i="162"/>
  <c r="J264" i="161"/>
  <c r="H264" i="161"/>
  <c r="G264" i="161" s="1"/>
  <c r="I264" i="161"/>
  <c r="F136" i="164"/>
  <c r="K136" i="162"/>
  <c r="G140" i="162"/>
  <c r="G183" i="162" s="1"/>
  <c r="G795" i="160"/>
  <c r="K795" i="160" s="1"/>
  <c r="I101" i="162"/>
  <c r="I12" i="162" s="1"/>
  <c r="P12" i="162" s="1"/>
  <c r="I182" i="162"/>
  <c r="I184" i="162" s="1"/>
  <c r="I531" i="166"/>
  <c r="I531" i="162"/>
  <c r="F531" i="166" s="1"/>
  <c r="K531" i="166" s="1"/>
  <c r="H794" i="155"/>
  <c r="I794" i="155"/>
  <c r="J794" i="155"/>
  <c r="J329" i="159"/>
  <c r="I493" i="159"/>
  <c r="F491" i="161"/>
  <c r="G491" i="159"/>
  <c r="F41" i="9"/>
  <c r="G794" i="160"/>
  <c r="K794" i="160" s="1"/>
  <c r="G101" i="164"/>
  <c r="G12" i="164" s="1"/>
  <c r="G182" i="164"/>
  <c r="G184" i="164" s="1"/>
  <c r="J540" i="158"/>
  <c r="K539" i="158"/>
  <c r="K540" i="158" s="1"/>
  <c r="J484" i="159"/>
  <c r="F484" i="160"/>
  <c r="F484" i="161"/>
  <c r="J151" i="162"/>
  <c r="J13" i="162" s="1"/>
  <c r="J14" i="49" s="1"/>
  <c r="J188" i="162"/>
  <c r="J189" i="162" s="1"/>
  <c r="I828" i="158"/>
  <c r="O828" i="158" s="1"/>
  <c r="H520" i="157"/>
  <c r="F520" i="155" s="1"/>
  <c r="I520" i="157"/>
  <c r="H226" i="157"/>
  <c r="F226" i="155" s="1"/>
  <c r="I226" i="157"/>
  <c r="G609" i="157"/>
  <c r="G855" i="159"/>
  <c r="G640" i="159" s="1"/>
  <c r="J640" i="159" s="1"/>
  <c r="F101" i="165"/>
  <c r="F12" i="165" s="1"/>
  <c r="F182" i="165"/>
  <c r="G275" i="158"/>
  <c r="G283" i="158" s="1"/>
  <c r="G324" i="158" s="1"/>
  <c r="J257" i="158"/>
  <c r="H264" i="157"/>
  <c r="F264" i="155" s="1"/>
  <c r="I264" i="157"/>
  <c r="G264" i="157"/>
  <c r="J264" i="157" s="1"/>
  <c r="K264" i="157" s="1"/>
  <c r="J412" i="164"/>
  <c r="J416" i="164" s="1"/>
  <c r="J236" i="158"/>
  <c r="K235" i="158"/>
  <c r="K236" i="158" s="1"/>
  <c r="F486" i="158"/>
  <c r="H488" i="9"/>
  <c r="H417" i="157"/>
  <c r="G417" i="157" s="1"/>
  <c r="I417" i="157"/>
  <c r="I528" i="165"/>
  <c r="I151" i="162"/>
  <c r="I13" i="162" s="1"/>
  <c r="I14" i="49" s="1"/>
  <c r="I188" i="162"/>
  <c r="I189" i="162" s="1"/>
  <c r="I191" i="162" s="1"/>
  <c r="I591" i="158"/>
  <c r="I609" i="158"/>
  <c r="I609" i="9"/>
  <c r="I585" i="9"/>
  <c r="I591" i="9" s="1"/>
  <c r="F584" i="159"/>
  <c r="G584" i="9"/>
  <c r="I303" i="9"/>
  <c r="I304" i="9" s="1"/>
  <c r="F302" i="159"/>
  <c r="G302" i="9"/>
  <c r="F420" i="159"/>
  <c r="G420" i="9"/>
  <c r="I431" i="9"/>
  <c r="I433" i="9" s="1"/>
  <c r="I275" i="9"/>
  <c r="F257" i="159"/>
  <c r="G257" i="9"/>
  <c r="F211" i="159"/>
  <c r="G211" i="9"/>
  <c r="F209" i="159"/>
  <c r="G209" i="9"/>
  <c r="H149" i="164"/>
  <c r="J145" i="164"/>
  <c r="J149" i="164" s="1"/>
  <c r="J485" i="161"/>
  <c r="H485" i="161"/>
  <c r="I485" i="161"/>
  <c r="H260" i="157"/>
  <c r="F260" i="155" s="1"/>
  <c r="I260" i="157"/>
  <c r="J835" i="158"/>
  <c r="K835" i="158" s="1"/>
  <c r="H521" i="158"/>
  <c r="I521" i="158"/>
  <c r="H27" i="157"/>
  <c r="H868" i="157"/>
  <c r="H636" i="157"/>
  <c r="H639" i="157" s="1"/>
  <c r="F465" i="159"/>
  <c r="H834" i="159"/>
  <c r="G850" i="160"/>
  <c r="G854" i="157"/>
  <c r="H854" i="157"/>
  <c r="H855" i="157" s="1"/>
  <c r="H640" i="157" s="1"/>
  <c r="H539" i="157"/>
  <c r="H540" i="157" s="1"/>
  <c r="I850" i="155"/>
  <c r="I851" i="155"/>
  <c r="K184" i="161"/>
  <c r="L182" i="161"/>
  <c r="L184" i="161" s="1"/>
  <c r="I629" i="165"/>
  <c r="H629" i="162"/>
  <c r="F629" i="165" s="1"/>
  <c r="I629" i="166"/>
  <c r="G271" i="157"/>
  <c r="J271" i="157" s="1"/>
  <c r="K271" i="157" s="1"/>
  <c r="I271" i="166"/>
  <c r="I234" i="157"/>
  <c r="G234" i="157" s="1"/>
  <c r="H234" i="157"/>
  <c r="J418" i="161"/>
  <c r="H418" i="161"/>
  <c r="I418" i="161"/>
  <c r="J226" i="161"/>
  <c r="H226" i="161"/>
  <c r="G226" i="161" s="1"/>
  <c r="I226" i="161"/>
  <c r="H578" i="157"/>
  <c r="G578" i="157" s="1"/>
  <c r="I578" i="157"/>
  <c r="I580" i="157" s="1"/>
  <c r="I598" i="157" s="1"/>
  <c r="F580" i="157"/>
  <c r="F598" i="157" s="1"/>
  <c r="F579" i="161"/>
  <c r="F579" i="160"/>
  <c r="G329" i="161"/>
  <c r="K19" i="158"/>
  <c r="K499" i="158"/>
  <c r="G465" i="9"/>
  <c r="G834" i="9"/>
  <c r="J834" i="9" s="1"/>
  <c r="K834" i="9" s="1"/>
  <c r="J789" i="155"/>
  <c r="H531" i="160"/>
  <c r="G531" i="165" s="1"/>
  <c r="I531" i="160"/>
  <c r="G531" i="166" s="1"/>
  <c r="J531" i="166" s="1"/>
  <c r="J531" i="160"/>
  <c r="G531" i="167" s="1"/>
  <c r="J531" i="167" s="1"/>
  <c r="K491" i="9"/>
  <c r="K493" i="9" s="1"/>
  <c r="J493" i="9"/>
  <c r="J101" i="165"/>
  <c r="J12" i="165" s="1"/>
  <c r="J182" i="165"/>
  <c r="J184" i="165" s="1"/>
  <c r="J191" i="165" s="1"/>
  <c r="F868" i="159"/>
  <c r="F636" i="159"/>
  <c r="F639" i="159" s="1"/>
  <c r="F641" i="159" s="1"/>
  <c r="F644" i="159" s="1"/>
  <c r="F27" i="159"/>
  <c r="H266" i="157"/>
  <c r="F266" i="155" s="1"/>
  <c r="I266" i="157"/>
  <c r="K484" i="9"/>
  <c r="F151" i="165"/>
  <c r="F13" i="165" s="1"/>
  <c r="K13" i="165" s="1"/>
  <c r="F188" i="165"/>
  <c r="K188" i="165" s="1"/>
  <c r="G421" i="159"/>
  <c r="J588" i="9"/>
  <c r="K90" i="155"/>
  <c r="L86" i="155"/>
  <c r="L90" i="155" s="1"/>
  <c r="K86" i="167"/>
  <c r="K90" i="167" s="1"/>
  <c r="K101" i="167" s="1"/>
  <c r="F90" i="167"/>
  <c r="G795" i="161"/>
  <c r="K795" i="161" s="1"/>
  <c r="I269" i="161"/>
  <c r="J269" i="161"/>
  <c r="H269" i="161"/>
  <c r="G269" i="161" s="1"/>
  <c r="I528" i="160"/>
  <c r="G528" i="166" s="1"/>
  <c r="J528" i="160"/>
  <c r="G528" i="167" s="1"/>
  <c r="J528" i="167" s="1"/>
  <c r="H528" i="160"/>
  <c r="G528" i="165" s="1"/>
  <c r="H312" i="158"/>
  <c r="H313" i="158" s="1"/>
  <c r="H498" i="158"/>
  <c r="H18" i="158"/>
  <c r="J578" i="158"/>
  <c r="I457" i="161"/>
  <c r="F458" i="161"/>
  <c r="J457" i="161"/>
  <c r="H457" i="161"/>
  <c r="G457" i="161" s="1"/>
  <c r="K145" i="164"/>
  <c r="K149" i="164" s="1"/>
  <c r="F149" i="164"/>
  <c r="I531" i="165"/>
  <c r="G329" i="160"/>
  <c r="J423" i="159"/>
  <c r="K423" i="159" s="1"/>
  <c r="F423" i="160"/>
  <c r="H629" i="160"/>
  <c r="G629" i="165" s="1"/>
  <c r="I629" i="160"/>
  <c r="G629" i="166" s="1"/>
  <c r="J629" i="160"/>
  <c r="G629" i="167" s="1"/>
  <c r="H519" i="158"/>
  <c r="H522" i="158" s="1"/>
  <c r="F522" i="158"/>
  <c r="I519" i="158"/>
  <c r="J630" i="157"/>
  <c r="K626" i="157"/>
  <c r="K630" i="157" s="1"/>
  <c r="H419" i="157"/>
  <c r="F419" i="155" s="1"/>
  <c r="I419" i="157"/>
  <c r="H418" i="157"/>
  <c r="F418" i="155" s="1"/>
  <c r="I418" i="157"/>
  <c r="H492" i="157"/>
  <c r="F492" i="155" s="1"/>
  <c r="I492" i="157"/>
  <c r="F308" i="158"/>
  <c r="G329" i="167"/>
  <c r="K528" i="161"/>
  <c r="L528" i="161" s="1"/>
  <c r="I528" i="164"/>
  <c r="H212" i="161"/>
  <c r="I212" i="161"/>
  <c r="J212" i="161"/>
  <c r="I536" i="9"/>
  <c r="F535" i="159"/>
  <c r="F270" i="159"/>
  <c r="G270" i="9"/>
  <c r="F221" i="159"/>
  <c r="G221" i="9"/>
  <c r="I229" i="9"/>
  <c r="H425" i="157"/>
  <c r="F425" i="155" s="1"/>
  <c r="I425" i="157"/>
  <c r="J274" i="159"/>
  <c r="K274" i="159" s="1"/>
  <c r="F274" i="160"/>
  <c r="P13" i="162"/>
  <c r="H14" i="49"/>
  <c r="L827" i="160"/>
  <c r="P827" i="160"/>
  <c r="I225" i="161"/>
  <c r="J225" i="161"/>
  <c r="H225" i="161"/>
  <c r="G629" i="155"/>
  <c r="F220" i="161"/>
  <c r="G220" i="159"/>
  <c r="J419" i="159"/>
  <c r="K419" i="159" s="1"/>
  <c r="F419" i="160"/>
  <c r="K578" i="9"/>
  <c r="K580" i="9" s="1"/>
  <c r="K598" i="9" s="1"/>
  <c r="J580" i="9"/>
  <c r="J598" i="9" s="1"/>
  <c r="F462" i="157"/>
  <c r="H461" i="157"/>
  <c r="I461" i="157"/>
  <c r="I462" i="157" s="1"/>
  <c r="K140" i="155"/>
  <c r="K183" i="155" s="1"/>
  <c r="L183" i="155" s="1"/>
  <c r="L136" i="155"/>
  <c r="L140" i="155" s="1"/>
  <c r="L412" i="162"/>
  <c r="L416" i="162" s="1"/>
  <c r="K416" i="162"/>
  <c r="H214" i="157"/>
  <c r="F214" i="155" s="1"/>
  <c r="I214" i="157"/>
  <c r="I259" i="161"/>
  <c r="J259" i="161"/>
  <c r="H259" i="161"/>
  <c r="K850" i="161"/>
  <c r="F264" i="160"/>
  <c r="J264" i="159"/>
  <c r="K264" i="159" s="1"/>
  <c r="H423" i="161"/>
  <c r="I423" i="161"/>
  <c r="J423" i="161"/>
  <c r="H458" i="157"/>
  <c r="H833" i="157" s="1"/>
  <c r="F457" i="155"/>
  <c r="F487" i="158"/>
  <c r="I528" i="166"/>
  <c r="J854" i="9"/>
  <c r="I855" i="9"/>
  <c r="I640" i="9" s="1"/>
  <c r="J640" i="9" s="1"/>
  <c r="K640" i="9" s="1"/>
  <c r="F430" i="159"/>
  <c r="G430" i="9"/>
  <c r="F223" i="159"/>
  <c r="G223" i="9"/>
  <c r="I274" i="161"/>
  <c r="J274" i="161"/>
  <c r="H274" i="161"/>
  <c r="I462" i="159"/>
  <c r="I465" i="159" s="1"/>
  <c r="F461" i="161"/>
  <c r="H424" i="161"/>
  <c r="I424" i="161"/>
  <c r="J424" i="161"/>
  <c r="K101" i="160"/>
  <c r="K12" i="160" s="1"/>
  <c r="K182" i="160"/>
  <c r="I269" i="157"/>
  <c r="G269" i="157" s="1"/>
  <c r="J269" i="157" s="1"/>
  <c r="K269" i="157" s="1"/>
  <c r="H269" i="157"/>
  <c r="F269" i="155" s="1"/>
  <c r="I271" i="167"/>
  <c r="G271" i="161"/>
  <c r="I18" i="158"/>
  <c r="I312" i="158"/>
  <c r="I313" i="158" s="1"/>
  <c r="I498" i="158"/>
  <c r="I520" i="161"/>
  <c r="J520" i="161"/>
  <c r="H520" i="161"/>
  <c r="F418" i="160"/>
  <c r="J418" i="159"/>
  <c r="K418" i="159" s="1"/>
  <c r="F226" i="160"/>
  <c r="J226" i="159"/>
  <c r="K226" i="159" s="1"/>
  <c r="H535" i="157"/>
  <c r="F536" i="157"/>
  <c r="I579" i="159"/>
  <c r="J579" i="159" s="1"/>
  <c r="K579" i="159" s="1"/>
  <c r="I539" i="159"/>
  <c r="I540" i="159" s="1"/>
  <c r="I588" i="159"/>
  <c r="J588" i="159" s="1"/>
  <c r="I854" i="159"/>
  <c r="I855" i="159" s="1"/>
  <c r="I640" i="159" s="1"/>
  <c r="F653" i="9"/>
  <c r="G609" i="158"/>
  <c r="G591" i="158"/>
  <c r="K416" i="155"/>
  <c r="L412" i="155"/>
  <c r="L416" i="155" s="1"/>
  <c r="H789" i="155"/>
  <c r="K412" i="164"/>
  <c r="K416" i="164" s="1"/>
  <c r="F416" i="164"/>
  <c r="I630" i="159"/>
  <c r="F626" i="161"/>
  <c r="I263" i="161"/>
  <c r="J263" i="161"/>
  <c r="H263" i="161"/>
  <c r="H101" i="164"/>
  <c r="H12" i="164" s="1"/>
  <c r="H182" i="164"/>
  <c r="H184" i="164" s="1"/>
  <c r="L827" i="161"/>
  <c r="P827" i="161"/>
  <c r="J303" i="158"/>
  <c r="J304" i="158" s="1"/>
  <c r="K302" i="158"/>
  <c r="K303" i="158" s="1"/>
  <c r="K304" i="158" s="1"/>
  <c r="G531" i="155"/>
  <c r="K86" i="166"/>
  <c r="K90" i="166" s="1"/>
  <c r="F90" i="166"/>
  <c r="G225" i="157"/>
  <c r="J225" i="157" s="1"/>
  <c r="K225" i="157" s="1"/>
  <c r="I225" i="157"/>
  <c r="H225" i="157"/>
  <c r="F225" i="155" s="1"/>
  <c r="I838" i="158"/>
  <c r="J838" i="158" s="1"/>
  <c r="K838" i="158" s="1"/>
  <c r="J850" i="155"/>
  <c r="J851" i="155"/>
  <c r="H262" i="161"/>
  <c r="I262" i="161"/>
  <c r="J262" i="161"/>
  <c r="J214" i="161"/>
  <c r="H214" i="161"/>
  <c r="G214" i="161" s="1"/>
  <c r="I214" i="161"/>
  <c r="I457" i="157"/>
  <c r="I458" i="157" s="1"/>
  <c r="J188" i="166"/>
  <c r="J189" i="166" s="1"/>
  <c r="J191" i="166" s="1"/>
  <c r="J151" i="166"/>
  <c r="J13" i="166" s="1"/>
  <c r="J86" i="164"/>
  <c r="J90" i="164" s="1"/>
  <c r="H266" i="161"/>
  <c r="I266" i="161"/>
  <c r="J266" i="161"/>
  <c r="H220" i="157"/>
  <c r="I220" i="157"/>
  <c r="K145" i="167"/>
  <c r="K149" i="167" s="1"/>
  <c r="K151" i="167" s="1"/>
  <c r="F149" i="167"/>
  <c r="F313" i="158"/>
  <c r="G868" i="157"/>
  <c r="G27" i="157"/>
  <c r="G636" i="157"/>
  <c r="G639" i="157" s="1"/>
  <c r="H562" i="159"/>
  <c r="H891" i="159"/>
  <c r="K101" i="165"/>
  <c r="F323" i="158"/>
  <c r="F296" i="158"/>
  <c r="H310" i="9"/>
  <c r="F307" i="158"/>
  <c r="H423" i="157"/>
  <c r="F423" i="155" s="1"/>
  <c r="I423" i="157"/>
  <c r="K417" i="9"/>
  <c r="K188" i="157"/>
  <c r="K189" i="157" s="1"/>
  <c r="K191" i="157" s="1"/>
  <c r="J189" i="157"/>
  <c r="J191" i="157" s="1"/>
  <c r="K145" i="166"/>
  <c r="K149" i="166" s="1"/>
  <c r="F149" i="166"/>
  <c r="I609" i="157"/>
  <c r="I562" i="9"/>
  <c r="I891" i="9"/>
  <c r="F429" i="159"/>
  <c r="G429" i="9"/>
  <c r="F279" i="159"/>
  <c r="I281" i="9"/>
  <c r="G279" i="9"/>
  <c r="F235" i="159"/>
  <c r="G235" i="9"/>
  <c r="I236" i="9"/>
  <c r="F210" i="159"/>
  <c r="G210" i="9"/>
  <c r="I19" i="9"/>
  <c r="I835" i="9"/>
  <c r="I499" i="9"/>
  <c r="K149" i="155"/>
  <c r="L145" i="155"/>
  <c r="L149" i="155" s="1"/>
  <c r="K187" i="167"/>
  <c r="K641" i="9"/>
  <c r="K644" i="9" s="1"/>
  <c r="H261" i="161"/>
  <c r="I261" i="161"/>
  <c r="J261" i="161"/>
  <c r="I626" i="155"/>
  <c r="J626" i="155"/>
  <c r="H626" i="155"/>
  <c r="F630" i="155"/>
  <c r="H19" i="159"/>
  <c r="H499" i="159"/>
  <c r="H485" i="157"/>
  <c r="F485" i="155" s="1"/>
  <c r="I485" i="157"/>
  <c r="G458" i="159"/>
  <c r="G833" i="159" s="1"/>
  <c r="J457" i="159"/>
  <c r="F457" i="160"/>
  <c r="I796" i="157"/>
  <c r="I535" i="157" s="1"/>
  <c r="J796" i="157"/>
  <c r="K796" i="157" s="1"/>
  <c r="G539" i="157"/>
  <c r="G189" i="164"/>
  <c r="F95" i="164"/>
  <c r="K95" i="162"/>
  <c r="G99" i="162"/>
  <c r="G187" i="162" s="1"/>
  <c r="G629" i="161"/>
  <c r="I227" i="157"/>
  <c r="H227" i="157"/>
  <c r="F227" i="155" s="1"/>
  <c r="L789" i="161"/>
  <c r="P789" i="161"/>
  <c r="J271" i="155"/>
  <c r="H271" i="167" s="1"/>
  <c r="H271" i="155"/>
  <c r="H271" i="165" s="1"/>
  <c r="I271" i="155"/>
  <c r="H271" i="166" s="1"/>
  <c r="I261" i="157"/>
  <c r="H261" i="157"/>
  <c r="F261" i="155" s="1"/>
  <c r="F86" i="164"/>
  <c r="K86" i="162"/>
  <c r="G90" i="162"/>
  <c r="K234" i="9"/>
  <c r="G520" i="159"/>
  <c r="G544" i="9"/>
  <c r="G886" i="9"/>
  <c r="J796" i="159"/>
  <c r="K796" i="159" s="1"/>
  <c r="J499" i="158"/>
  <c r="J19" i="158"/>
  <c r="G786" i="155"/>
  <c r="K786" i="155" s="1"/>
  <c r="J528" i="155"/>
  <c r="H528" i="167" s="1"/>
  <c r="I425" i="161"/>
  <c r="J425" i="161"/>
  <c r="H425" i="161"/>
  <c r="G425" i="161" s="1"/>
  <c r="H27" i="159"/>
  <c r="H636" i="159"/>
  <c r="H639" i="159" s="1"/>
  <c r="H641" i="159" s="1"/>
  <c r="H644" i="159" s="1"/>
  <c r="H868" i="159"/>
  <c r="F234" i="161"/>
  <c r="K151" i="165"/>
  <c r="G609" i="9"/>
  <c r="K187" i="165"/>
  <c r="J787" i="155"/>
  <c r="G827" i="155"/>
  <c r="K827" i="155" s="1"/>
  <c r="H227" i="161"/>
  <c r="I227" i="161"/>
  <c r="J227" i="161"/>
  <c r="H265" i="161"/>
  <c r="I265" i="161"/>
  <c r="J265" i="161"/>
  <c r="H796" i="161"/>
  <c r="I796" i="161"/>
  <c r="F329" i="161"/>
  <c r="J796" i="161"/>
  <c r="I271" i="160"/>
  <c r="G271" i="166" s="1"/>
  <c r="J271" i="160"/>
  <c r="G271" i="167" s="1"/>
  <c r="H271" i="160"/>
  <c r="G271" i="165" s="1"/>
  <c r="H428" i="157"/>
  <c r="F428" i="155" s="1"/>
  <c r="I428" i="157"/>
  <c r="I263" i="157"/>
  <c r="G263" i="157" s="1"/>
  <c r="J263" i="157" s="1"/>
  <c r="K263" i="157" s="1"/>
  <c r="H263" i="157"/>
  <c r="F263" i="155" s="1"/>
  <c r="G562" i="9"/>
  <c r="G891" i="9"/>
  <c r="G189" i="155"/>
  <c r="G191" i="155" s="1"/>
  <c r="L145" i="162"/>
  <c r="L149" i="162" s="1"/>
  <c r="K149" i="162"/>
  <c r="I536" i="157" l="1"/>
  <c r="G535" i="157"/>
  <c r="J629" i="167"/>
  <c r="G484" i="157"/>
  <c r="J271" i="165"/>
  <c r="I238" i="9"/>
  <c r="G794" i="155"/>
  <c r="K794" i="155" s="1"/>
  <c r="G795" i="155"/>
  <c r="K795" i="155" s="1"/>
  <c r="P795" i="155" s="1"/>
  <c r="G259" i="157"/>
  <c r="J259" i="157" s="1"/>
  <c r="K259" i="157" s="1"/>
  <c r="G428" i="161"/>
  <c r="G789" i="155"/>
  <c r="K789" i="155" s="1"/>
  <c r="G189" i="162"/>
  <c r="G271" i="155"/>
  <c r="K271" i="155" s="1"/>
  <c r="L271" i="155" s="1"/>
  <c r="O838" i="158"/>
  <c r="J528" i="166"/>
  <c r="L101" i="155"/>
  <c r="G851" i="155"/>
  <c r="K851" i="155" s="1"/>
  <c r="L851" i="155" s="1"/>
  <c r="P787" i="160"/>
  <c r="J214" i="159"/>
  <c r="K214" i="159" s="1"/>
  <c r="F212" i="160"/>
  <c r="I212" i="160" s="1"/>
  <c r="G212" i="166" s="1"/>
  <c r="J212" i="166" s="1"/>
  <c r="G521" i="158"/>
  <c r="J521" i="158" s="1"/>
  <c r="K521" i="158" s="1"/>
  <c r="G485" i="157"/>
  <c r="J485" i="157" s="1"/>
  <c r="K485" i="157" s="1"/>
  <c r="G492" i="157"/>
  <c r="J492" i="157" s="1"/>
  <c r="K492" i="157" s="1"/>
  <c r="G520" i="157"/>
  <c r="J520" i="157" s="1"/>
  <c r="K520" i="157" s="1"/>
  <c r="O789" i="157"/>
  <c r="G492" i="161"/>
  <c r="G261" i="161"/>
  <c r="J271" i="166"/>
  <c r="G191" i="164"/>
  <c r="G329" i="164" s="1"/>
  <c r="K151" i="166"/>
  <c r="G418" i="157"/>
  <c r="J418" i="157" s="1"/>
  <c r="K418" i="157" s="1"/>
  <c r="J531" i="165"/>
  <c r="G787" i="155"/>
  <c r="K787" i="155" s="1"/>
  <c r="G265" i="157"/>
  <c r="J265" i="157" s="1"/>
  <c r="K265" i="157" s="1"/>
  <c r="K588" i="159"/>
  <c r="K589" i="159" s="1"/>
  <c r="J589" i="159"/>
  <c r="J491" i="157"/>
  <c r="K261" i="161"/>
  <c r="L261" i="161" s="1"/>
  <c r="I261" i="164"/>
  <c r="J329" i="166"/>
  <c r="J329" i="165"/>
  <c r="I599" i="9"/>
  <c r="I550" i="9"/>
  <c r="I604" i="9"/>
  <c r="K492" i="161"/>
  <c r="L492" i="161" s="1"/>
  <c r="I492" i="164"/>
  <c r="J484" i="157"/>
  <c r="K428" i="161"/>
  <c r="L428" i="161" s="1"/>
  <c r="I428" i="164"/>
  <c r="G329" i="155"/>
  <c r="I227" i="166"/>
  <c r="J261" i="155"/>
  <c r="H261" i="167" s="1"/>
  <c r="H261" i="155"/>
  <c r="H261" i="165" s="1"/>
  <c r="I261" i="155"/>
  <c r="H261" i="166" s="1"/>
  <c r="K629" i="161"/>
  <c r="L629" i="161" s="1"/>
  <c r="I629" i="164"/>
  <c r="H626" i="165"/>
  <c r="H630" i="165" s="1"/>
  <c r="H630" i="155"/>
  <c r="H801" i="158"/>
  <c r="I801" i="158"/>
  <c r="G801" i="158"/>
  <c r="I266" i="166"/>
  <c r="I262" i="166"/>
  <c r="I262" i="162"/>
  <c r="F262" i="166" s="1"/>
  <c r="I263" i="166"/>
  <c r="I520" i="166"/>
  <c r="K271" i="161"/>
  <c r="L271" i="161" s="1"/>
  <c r="I271" i="164"/>
  <c r="I424" i="167"/>
  <c r="I424" i="165"/>
  <c r="H487" i="158"/>
  <c r="G487" i="158" s="1"/>
  <c r="J487" i="158" s="1"/>
  <c r="K487" i="158" s="1"/>
  <c r="I487" i="158"/>
  <c r="I259" i="165"/>
  <c r="I225" i="166"/>
  <c r="I212" i="166"/>
  <c r="G308" i="158"/>
  <c r="H308" i="158"/>
  <c r="I308" i="158"/>
  <c r="H876" i="158"/>
  <c r="I269" i="164"/>
  <c r="K269" i="161"/>
  <c r="L269" i="161" s="1"/>
  <c r="F101" i="167"/>
  <c r="F12" i="167" s="1"/>
  <c r="F182" i="167"/>
  <c r="J421" i="159"/>
  <c r="K421" i="159" s="1"/>
  <c r="F421" i="160"/>
  <c r="G19" i="9"/>
  <c r="G499" i="9"/>
  <c r="G835" i="9"/>
  <c r="J578" i="157"/>
  <c r="G580" i="157"/>
  <c r="G598" i="157" s="1"/>
  <c r="K226" i="161"/>
  <c r="L226" i="161" s="1"/>
  <c r="I226" i="164"/>
  <c r="H188" i="164"/>
  <c r="H189" i="164" s="1"/>
  <c r="H191" i="164" s="1"/>
  <c r="H151" i="164"/>
  <c r="H13" i="164" s="1"/>
  <c r="I211" i="159"/>
  <c r="F211" i="161" s="1"/>
  <c r="H211" i="159"/>
  <c r="G211" i="159" s="1"/>
  <c r="I226" i="155"/>
  <c r="H226" i="166" s="1"/>
  <c r="J226" i="155"/>
  <c r="H226" i="167" s="1"/>
  <c r="H226" i="155"/>
  <c r="H226" i="165" s="1"/>
  <c r="I419" i="167"/>
  <c r="G419" i="161"/>
  <c r="I422" i="155"/>
  <c r="H422" i="166" s="1"/>
  <c r="J422" i="155"/>
  <c r="H422" i="167" s="1"/>
  <c r="H422" i="155"/>
  <c r="H422" i="165" s="1"/>
  <c r="I213" i="159"/>
  <c r="F213" i="161" s="1"/>
  <c r="H213" i="159"/>
  <c r="K609" i="157"/>
  <c r="I492" i="166"/>
  <c r="I260" i="165"/>
  <c r="G544" i="158"/>
  <c r="G886" i="158"/>
  <c r="J591" i="158"/>
  <c r="J609" i="158"/>
  <c r="J224" i="9"/>
  <c r="K224" i="9" s="1"/>
  <c r="F224" i="157"/>
  <c r="I428" i="167"/>
  <c r="H417" i="160"/>
  <c r="I417" i="160"/>
  <c r="J417" i="160"/>
  <c r="H425" i="160"/>
  <c r="G425" i="165" s="1"/>
  <c r="J425" i="165" s="1"/>
  <c r="I425" i="160"/>
  <c r="G425" i="166" s="1"/>
  <c r="J425" i="160"/>
  <c r="G425" i="167" s="1"/>
  <c r="J544" i="9"/>
  <c r="J886" i="9"/>
  <c r="I265" i="165"/>
  <c r="H234" i="161"/>
  <c r="I234" i="161"/>
  <c r="J234" i="161"/>
  <c r="G191" i="162"/>
  <c r="G626" i="155"/>
  <c r="J423" i="155"/>
  <c r="H423" i="167" s="1"/>
  <c r="H423" i="155"/>
  <c r="H423" i="165" s="1"/>
  <c r="I423" i="155"/>
  <c r="H423" i="166" s="1"/>
  <c r="I214" i="166"/>
  <c r="I263" i="165"/>
  <c r="G550" i="158"/>
  <c r="G599" i="158"/>
  <c r="G604" i="158"/>
  <c r="I544" i="157"/>
  <c r="I886" i="157"/>
  <c r="H226" i="160"/>
  <c r="G226" i="165" s="1"/>
  <c r="I226" i="160"/>
  <c r="G226" i="166" s="1"/>
  <c r="J226" i="160"/>
  <c r="G226" i="167" s="1"/>
  <c r="J226" i="167" s="1"/>
  <c r="I423" i="166"/>
  <c r="L850" i="161"/>
  <c r="I225" i="165"/>
  <c r="H274" i="160"/>
  <c r="G274" i="165" s="1"/>
  <c r="I274" i="160"/>
  <c r="G274" i="166" s="1"/>
  <c r="J274" i="160"/>
  <c r="G274" i="167" s="1"/>
  <c r="I221" i="159"/>
  <c r="H221" i="159"/>
  <c r="G221" i="159" s="1"/>
  <c r="F229" i="159"/>
  <c r="J528" i="165"/>
  <c r="I269" i="167"/>
  <c r="I226" i="167"/>
  <c r="J641" i="9"/>
  <c r="H641" i="157"/>
  <c r="H644" i="157" s="1"/>
  <c r="I260" i="155"/>
  <c r="H260" i="166" s="1"/>
  <c r="J260" i="155"/>
  <c r="H260" i="167" s="1"/>
  <c r="H260" i="155"/>
  <c r="H260" i="165" s="1"/>
  <c r="J209" i="9"/>
  <c r="K209" i="9" s="1"/>
  <c r="F209" i="157"/>
  <c r="I799" i="9"/>
  <c r="I329" i="162"/>
  <c r="J417" i="157"/>
  <c r="G226" i="157"/>
  <c r="J226" i="157" s="1"/>
  <c r="K226" i="157" s="1"/>
  <c r="I264" i="166"/>
  <c r="I422" i="166"/>
  <c r="I421" i="167"/>
  <c r="I419" i="166"/>
  <c r="G578" i="159"/>
  <c r="F580" i="159"/>
  <c r="F598" i="159" s="1"/>
  <c r="I578" i="159"/>
  <c r="H578" i="159"/>
  <c r="H580" i="159" s="1"/>
  <c r="H598" i="159" s="1"/>
  <c r="I854" i="160"/>
  <c r="I855" i="160" s="1"/>
  <c r="I640" i="160" s="1"/>
  <c r="G640" i="166" s="1"/>
  <c r="I539" i="160"/>
  <c r="J562" i="9"/>
  <c r="J891" i="9"/>
  <c r="J462" i="159"/>
  <c r="K461" i="159"/>
  <c r="K462" i="159" s="1"/>
  <c r="H224" i="159"/>
  <c r="I224" i="159"/>
  <c r="F224" i="161" s="1"/>
  <c r="G215" i="9"/>
  <c r="J206" i="9"/>
  <c r="F206" i="157"/>
  <c r="I428" i="155"/>
  <c r="H428" i="166" s="1"/>
  <c r="J428" i="155"/>
  <c r="H428" i="167" s="1"/>
  <c r="H428" i="155"/>
  <c r="H428" i="165" s="1"/>
  <c r="I227" i="165"/>
  <c r="K189" i="165"/>
  <c r="L86" i="162"/>
  <c r="L90" i="162" s="1"/>
  <c r="K90" i="162"/>
  <c r="K188" i="162"/>
  <c r="L188" i="162" s="1"/>
  <c r="H263" i="155"/>
  <c r="H263" i="165" s="1"/>
  <c r="I263" i="155"/>
  <c r="H263" i="166" s="1"/>
  <c r="J263" i="155"/>
  <c r="H263" i="167" s="1"/>
  <c r="G428" i="157"/>
  <c r="J428" i="157" s="1"/>
  <c r="K428" i="157" s="1"/>
  <c r="J271" i="167"/>
  <c r="I265" i="166"/>
  <c r="I227" i="167"/>
  <c r="G227" i="161"/>
  <c r="F189" i="165"/>
  <c r="I425" i="165"/>
  <c r="L786" i="155"/>
  <c r="P786" i="155"/>
  <c r="K86" i="164"/>
  <c r="K90" i="164" s="1"/>
  <c r="F90" i="164"/>
  <c r="G261" i="157"/>
  <c r="J261" i="157" s="1"/>
  <c r="K261" i="157" s="1"/>
  <c r="G227" i="157"/>
  <c r="J227" i="157" s="1"/>
  <c r="K227" i="157" s="1"/>
  <c r="K95" i="164"/>
  <c r="K99" i="164" s="1"/>
  <c r="F99" i="164"/>
  <c r="F187" i="164" s="1"/>
  <c r="I539" i="157"/>
  <c r="I540" i="157" s="1"/>
  <c r="I854" i="157"/>
  <c r="I855" i="157" s="1"/>
  <c r="I640" i="157" s="1"/>
  <c r="I641" i="157" s="1"/>
  <c r="I644" i="157" s="1"/>
  <c r="F27" i="155"/>
  <c r="F868" i="155"/>
  <c r="F636" i="155"/>
  <c r="F639" i="155" s="1"/>
  <c r="F641" i="155" s="1"/>
  <c r="F644" i="155" s="1"/>
  <c r="I261" i="167"/>
  <c r="L151" i="155"/>
  <c r="J235" i="9"/>
  <c r="F235" i="157"/>
  <c r="G236" i="9"/>
  <c r="G279" i="159"/>
  <c r="H279" i="159"/>
  <c r="H281" i="159" s="1"/>
  <c r="I279" i="159"/>
  <c r="F281" i="159"/>
  <c r="G423" i="157"/>
  <c r="J423" i="157" s="1"/>
  <c r="K423" i="157" s="1"/>
  <c r="G816" i="158"/>
  <c r="I816" i="158"/>
  <c r="H816" i="158"/>
  <c r="I266" i="167"/>
  <c r="J101" i="164"/>
  <c r="J12" i="164" s="1"/>
  <c r="J182" i="164"/>
  <c r="J184" i="164" s="1"/>
  <c r="G457" i="157"/>
  <c r="I214" i="165"/>
  <c r="I262" i="167"/>
  <c r="K531" i="155"/>
  <c r="L531" i="155" s="1"/>
  <c r="H531" i="164"/>
  <c r="I263" i="167"/>
  <c r="I636" i="159"/>
  <c r="I639" i="159" s="1"/>
  <c r="I641" i="159" s="1"/>
  <c r="I644" i="159" s="1"/>
  <c r="I27" i="159"/>
  <c r="I868" i="159"/>
  <c r="G528" i="155"/>
  <c r="F535" i="155"/>
  <c r="H536" i="157"/>
  <c r="H418" i="160"/>
  <c r="G418" i="165" s="1"/>
  <c r="I418" i="160"/>
  <c r="G418" i="166" s="1"/>
  <c r="J418" i="160"/>
  <c r="G418" i="167" s="1"/>
  <c r="I520" i="167"/>
  <c r="H269" i="155"/>
  <c r="H269" i="165" s="1"/>
  <c r="I269" i="155"/>
  <c r="H269" i="166" s="1"/>
  <c r="J269" i="155"/>
  <c r="H269" i="167" s="1"/>
  <c r="K184" i="160"/>
  <c r="K191" i="160" s="1"/>
  <c r="L182" i="160"/>
  <c r="L184" i="160" s="1"/>
  <c r="L191" i="160" s="1"/>
  <c r="I274" i="166"/>
  <c r="I274" i="162"/>
  <c r="F274" i="166" s="1"/>
  <c r="G430" i="159"/>
  <c r="H430" i="159"/>
  <c r="I430" i="159"/>
  <c r="F430" i="161" s="1"/>
  <c r="I423" i="165"/>
  <c r="H264" i="160"/>
  <c r="G264" i="165" s="1"/>
  <c r="I264" i="160"/>
  <c r="G264" i="166" s="1"/>
  <c r="J264" i="166" s="1"/>
  <c r="J264" i="160"/>
  <c r="G264" i="167" s="1"/>
  <c r="I259" i="167"/>
  <c r="H462" i="157"/>
  <c r="H465" i="157" s="1"/>
  <c r="F461" i="155"/>
  <c r="F220" i="160"/>
  <c r="J220" i="159"/>
  <c r="I225" i="167"/>
  <c r="H270" i="159"/>
  <c r="I270" i="159"/>
  <c r="F270" i="161" s="1"/>
  <c r="I212" i="167"/>
  <c r="J492" i="155"/>
  <c r="H492" i="167" s="1"/>
  <c r="H492" i="155"/>
  <c r="H492" i="165" s="1"/>
  <c r="I492" i="155"/>
  <c r="H492" i="166" s="1"/>
  <c r="K868" i="157"/>
  <c r="K636" i="157"/>
  <c r="K639" i="157" s="1"/>
  <c r="F876" i="158"/>
  <c r="G629" i="160"/>
  <c r="J629" i="165"/>
  <c r="I457" i="165"/>
  <c r="I458" i="165" s="1"/>
  <c r="H458" i="161"/>
  <c r="H833" i="161" s="1"/>
  <c r="I457" i="166"/>
  <c r="I458" i="166" s="1"/>
  <c r="I458" i="161"/>
  <c r="G528" i="160"/>
  <c r="L795" i="161"/>
  <c r="P795" i="161"/>
  <c r="K588" i="9"/>
  <c r="K589" i="9" s="1"/>
  <c r="J589" i="9"/>
  <c r="I226" i="165"/>
  <c r="I271" i="162"/>
  <c r="F271" i="166" s="1"/>
  <c r="K271" i="166" s="1"/>
  <c r="I629" i="162"/>
  <c r="F629" i="166" s="1"/>
  <c r="F19" i="159"/>
  <c r="F499" i="159"/>
  <c r="H835" i="159"/>
  <c r="J151" i="164"/>
  <c r="J13" i="164" s="1"/>
  <c r="J188" i="164"/>
  <c r="J189" i="164" s="1"/>
  <c r="J211" i="9"/>
  <c r="K211" i="9" s="1"/>
  <c r="F211" i="157"/>
  <c r="I283" i="9"/>
  <c r="I324" i="9" s="1"/>
  <c r="G303" i="9"/>
  <c r="G304" i="9" s="1"/>
  <c r="J302" i="9"/>
  <c r="F302" i="157"/>
  <c r="I584" i="159"/>
  <c r="F585" i="159"/>
  <c r="F591" i="159" s="1"/>
  <c r="H584" i="159"/>
  <c r="H585" i="159" s="1"/>
  <c r="H591" i="159" s="1"/>
  <c r="H528" i="162"/>
  <c r="F528" i="165" s="1"/>
  <c r="F417" i="155"/>
  <c r="I486" i="158"/>
  <c r="H486" i="158"/>
  <c r="H488" i="158" s="1"/>
  <c r="H495" i="158" s="1"/>
  <c r="F488" i="158"/>
  <c r="I264" i="155"/>
  <c r="H264" i="166" s="1"/>
  <c r="J264" i="155"/>
  <c r="H264" i="167" s="1"/>
  <c r="H264" i="155"/>
  <c r="H264" i="165" s="1"/>
  <c r="F184" i="165"/>
  <c r="K182" i="165"/>
  <c r="K184" i="165" s="1"/>
  <c r="J828" i="158"/>
  <c r="K828" i="158" s="1"/>
  <c r="I484" i="161"/>
  <c r="J484" i="161"/>
  <c r="H484" i="161"/>
  <c r="K484" i="159"/>
  <c r="J562" i="158"/>
  <c r="J891" i="158"/>
  <c r="L136" i="162"/>
  <c r="L140" i="162" s="1"/>
  <c r="L151" i="162" s="1"/>
  <c r="K140" i="162"/>
  <c r="K183" i="162" s="1"/>
  <c r="L183" i="162" s="1"/>
  <c r="I264" i="165"/>
  <c r="L187" i="155"/>
  <c r="F329" i="155"/>
  <c r="J796" i="155"/>
  <c r="H796" i="155"/>
  <c r="I796" i="155"/>
  <c r="H212" i="155"/>
  <c r="H212" i="165" s="1"/>
  <c r="I212" i="155"/>
  <c r="H212" i="166" s="1"/>
  <c r="J212" i="155"/>
  <c r="H212" i="167" s="1"/>
  <c r="G421" i="157"/>
  <c r="J421" i="157" s="1"/>
  <c r="K421" i="157" s="1"/>
  <c r="J630" i="159"/>
  <c r="K626" i="159"/>
  <c r="K630" i="159" s="1"/>
  <c r="H493" i="157"/>
  <c r="F491" i="155"/>
  <c r="G562" i="159"/>
  <c r="G891" i="159"/>
  <c r="I419" i="165"/>
  <c r="J265" i="155"/>
  <c r="H265" i="167" s="1"/>
  <c r="I265" i="155"/>
  <c r="H265" i="166" s="1"/>
  <c r="H265" i="155"/>
  <c r="H265" i="165" s="1"/>
  <c r="J629" i="162"/>
  <c r="F629" i="167" s="1"/>
  <c r="K629" i="167" s="1"/>
  <c r="J213" i="9"/>
  <c r="K213" i="9" s="1"/>
  <c r="F213" i="157"/>
  <c r="J480" i="9"/>
  <c r="K480" i="9" s="1"/>
  <c r="F480" i="157"/>
  <c r="J528" i="162"/>
  <c r="F528" i="167" s="1"/>
  <c r="K528" i="167" s="1"/>
  <c r="J481" i="158"/>
  <c r="K479" i="158"/>
  <c r="K481" i="158" s="1"/>
  <c r="J609" i="157"/>
  <c r="G424" i="157"/>
  <c r="J424" i="157" s="1"/>
  <c r="K424" i="157" s="1"/>
  <c r="J854" i="160"/>
  <c r="J855" i="160" s="1"/>
  <c r="J640" i="160" s="1"/>
  <c r="G640" i="167" s="1"/>
  <c r="J539" i="160"/>
  <c r="I492" i="167"/>
  <c r="H422" i="160"/>
  <c r="G422" i="165" s="1"/>
  <c r="I422" i="160"/>
  <c r="G422" i="166" s="1"/>
  <c r="J422" i="160"/>
  <c r="G422" i="167" s="1"/>
  <c r="H263" i="160"/>
  <c r="G263" i="165" s="1"/>
  <c r="I263" i="160"/>
  <c r="G263" i="166" s="1"/>
  <c r="J263" i="160"/>
  <c r="G263" i="167" s="1"/>
  <c r="J263" i="167" s="1"/>
  <c r="K234" i="159"/>
  <c r="I260" i="166"/>
  <c r="I260" i="167"/>
  <c r="K609" i="158"/>
  <c r="K591" i="158"/>
  <c r="G609" i="159"/>
  <c r="H271" i="162"/>
  <c r="F271" i="165" s="1"/>
  <c r="K271" i="165" s="1"/>
  <c r="G274" i="157"/>
  <c r="J274" i="157" s="1"/>
  <c r="K274" i="157" s="1"/>
  <c r="I261" i="160"/>
  <c r="G261" i="166" s="1"/>
  <c r="J261" i="160"/>
  <c r="G261" i="167" s="1"/>
  <c r="H261" i="160"/>
  <c r="G261" i="165" s="1"/>
  <c r="H479" i="159"/>
  <c r="F481" i="159"/>
  <c r="I479" i="159"/>
  <c r="I265" i="160"/>
  <c r="G265" i="166" s="1"/>
  <c r="J265" i="160"/>
  <c r="G265" i="167" s="1"/>
  <c r="H265" i="160"/>
  <c r="G265" i="165" s="1"/>
  <c r="J266" i="160"/>
  <c r="G266" i="167" s="1"/>
  <c r="H266" i="160"/>
  <c r="G266" i="165" s="1"/>
  <c r="I266" i="160"/>
  <c r="G266" i="166" s="1"/>
  <c r="H212" i="160"/>
  <c r="G212" i="165" s="1"/>
  <c r="H269" i="160"/>
  <c r="G269" i="165" s="1"/>
  <c r="I269" i="160"/>
  <c r="G269" i="166" s="1"/>
  <c r="J269" i="160"/>
  <c r="G269" i="167" s="1"/>
  <c r="J269" i="167" s="1"/>
  <c r="I539" i="161"/>
  <c r="I854" i="161"/>
  <c r="I855" i="161" s="1"/>
  <c r="I640" i="161" s="1"/>
  <c r="L827" i="155"/>
  <c r="P827" i="155"/>
  <c r="I425" i="164"/>
  <c r="K425" i="161"/>
  <c r="L425" i="161" s="1"/>
  <c r="J227" i="155"/>
  <c r="H227" i="167" s="1"/>
  <c r="I227" i="155"/>
  <c r="H227" i="166" s="1"/>
  <c r="H227" i="155"/>
  <c r="H227" i="165" s="1"/>
  <c r="H457" i="160"/>
  <c r="I457" i="160"/>
  <c r="F458" i="160"/>
  <c r="J457" i="160"/>
  <c r="I261" i="166"/>
  <c r="I261" i="162"/>
  <c r="F261" i="166" s="1"/>
  <c r="K188" i="155"/>
  <c r="L188" i="155" s="1"/>
  <c r="K151" i="155"/>
  <c r="K13" i="155" s="1"/>
  <c r="L13" i="155" s="1"/>
  <c r="J210" i="9"/>
  <c r="K210" i="9" s="1"/>
  <c r="F210" i="157"/>
  <c r="H235" i="159"/>
  <c r="H236" i="159" s="1"/>
  <c r="I235" i="159"/>
  <c r="F236" i="159"/>
  <c r="J429" i="9"/>
  <c r="K429" i="9" s="1"/>
  <c r="F429" i="157"/>
  <c r="J329" i="157"/>
  <c r="I307" i="158"/>
  <c r="I310" i="158" s="1"/>
  <c r="I321" i="158" s="1"/>
  <c r="I325" i="158" s="1"/>
  <c r="I326" i="158" s="1"/>
  <c r="F310" i="158"/>
  <c r="G307" i="158"/>
  <c r="H307" i="158"/>
  <c r="F220" i="155"/>
  <c r="K214" i="161"/>
  <c r="L214" i="161" s="1"/>
  <c r="I214" i="164"/>
  <c r="I589" i="159"/>
  <c r="F588" i="161"/>
  <c r="G536" i="157"/>
  <c r="J535" i="157"/>
  <c r="L12" i="160"/>
  <c r="I274" i="165"/>
  <c r="H274" i="162"/>
  <c r="F274" i="165" s="1"/>
  <c r="J223" i="9"/>
  <c r="K223" i="9" s="1"/>
  <c r="F223" i="157"/>
  <c r="I423" i="167"/>
  <c r="G423" i="161"/>
  <c r="I259" i="166"/>
  <c r="F465" i="157"/>
  <c r="H834" i="157"/>
  <c r="H425" i="155"/>
  <c r="H425" i="165" s="1"/>
  <c r="I425" i="155"/>
  <c r="H425" i="166" s="1"/>
  <c r="J425" i="155"/>
  <c r="H425" i="167" s="1"/>
  <c r="J221" i="9"/>
  <c r="F221" i="157"/>
  <c r="G229" i="9"/>
  <c r="H535" i="159"/>
  <c r="H536" i="159" s="1"/>
  <c r="F536" i="159"/>
  <c r="I535" i="159"/>
  <c r="J419" i="155"/>
  <c r="H419" i="167" s="1"/>
  <c r="I419" i="155"/>
  <c r="H419" i="166" s="1"/>
  <c r="H419" i="155"/>
  <c r="H419" i="165" s="1"/>
  <c r="J868" i="157"/>
  <c r="J636" i="157"/>
  <c r="J639" i="157" s="1"/>
  <c r="J27" i="157"/>
  <c r="K27" i="157" s="1"/>
  <c r="I423" i="160"/>
  <c r="G423" i="166" s="1"/>
  <c r="J423" i="160"/>
  <c r="G423" i="167" s="1"/>
  <c r="H423" i="160"/>
  <c r="G423" i="165" s="1"/>
  <c r="J423" i="165" s="1"/>
  <c r="F188" i="164"/>
  <c r="K188" i="164" s="1"/>
  <c r="I457" i="164"/>
  <c r="I458" i="164" s="1"/>
  <c r="G458" i="161"/>
  <c r="K457" i="161"/>
  <c r="K578" i="158"/>
  <c r="K580" i="158" s="1"/>
  <c r="K598" i="158" s="1"/>
  <c r="J580" i="158"/>
  <c r="J598" i="158" s="1"/>
  <c r="H266" i="155"/>
  <c r="H266" i="165" s="1"/>
  <c r="J266" i="155"/>
  <c r="H266" i="167" s="1"/>
  <c r="I266" i="155"/>
  <c r="H266" i="166" s="1"/>
  <c r="I418" i="165"/>
  <c r="H562" i="157"/>
  <c r="H891" i="157"/>
  <c r="K850" i="160"/>
  <c r="O834" i="159"/>
  <c r="I834" i="159"/>
  <c r="J834" i="159" s="1"/>
  <c r="K834" i="159" s="1"/>
  <c r="I485" i="165"/>
  <c r="H485" i="162"/>
  <c r="F485" i="165" s="1"/>
  <c r="I18" i="9"/>
  <c r="I498" i="9"/>
  <c r="G302" i="159"/>
  <c r="H302" i="159"/>
  <c r="H303" i="159" s="1"/>
  <c r="H304" i="159" s="1"/>
  <c r="F303" i="159"/>
  <c r="F304" i="159" s="1"/>
  <c r="I302" i="159"/>
  <c r="I604" i="158"/>
  <c r="I550" i="158"/>
  <c r="I599" i="158"/>
  <c r="J275" i="158"/>
  <c r="J283" i="158" s="1"/>
  <c r="J324" i="158" s="1"/>
  <c r="K257" i="158"/>
  <c r="K275" i="158" s="1"/>
  <c r="K283" i="158" s="1"/>
  <c r="K324" i="158" s="1"/>
  <c r="K12" i="165"/>
  <c r="F42" i="9"/>
  <c r="C66" i="5"/>
  <c r="L794" i="155"/>
  <c r="P794" i="155"/>
  <c r="I13" i="49"/>
  <c r="K136" i="164"/>
  <c r="K140" i="164" s="1"/>
  <c r="F140" i="164"/>
  <c r="F183" i="164" s="1"/>
  <c r="K183" i="164" s="1"/>
  <c r="K264" i="161"/>
  <c r="L264" i="161" s="1"/>
  <c r="I264" i="164"/>
  <c r="L787" i="155"/>
  <c r="P787" i="155"/>
  <c r="K422" i="161"/>
  <c r="L422" i="161" s="1"/>
  <c r="I422" i="164"/>
  <c r="I421" i="164"/>
  <c r="K421" i="161"/>
  <c r="L421" i="161" s="1"/>
  <c r="J626" i="160"/>
  <c r="F630" i="160"/>
  <c r="H626" i="160"/>
  <c r="I626" i="160"/>
  <c r="I485" i="160"/>
  <c r="G485" i="166" s="1"/>
  <c r="J485" i="160"/>
  <c r="G485" i="167" s="1"/>
  <c r="H485" i="160"/>
  <c r="G485" i="165" s="1"/>
  <c r="I480" i="159"/>
  <c r="F480" i="161" s="1"/>
  <c r="H480" i="159"/>
  <c r="F895" i="9"/>
  <c r="F877" i="9"/>
  <c r="F881" i="9" s="1"/>
  <c r="F882" i="9" s="1"/>
  <c r="F884" i="9" s="1"/>
  <c r="J229" i="158"/>
  <c r="K221" i="158"/>
  <c r="K229" i="158" s="1"/>
  <c r="H274" i="155"/>
  <c r="H274" i="165" s="1"/>
  <c r="I274" i="155"/>
  <c r="H274" i="166" s="1"/>
  <c r="J274" i="155"/>
  <c r="H274" i="167" s="1"/>
  <c r="H424" i="160"/>
  <c r="G424" i="165" s="1"/>
  <c r="I424" i="160"/>
  <c r="G424" i="166" s="1"/>
  <c r="J424" i="160"/>
  <c r="G424" i="167" s="1"/>
  <c r="J461" i="160"/>
  <c r="F462" i="160"/>
  <c r="H461" i="160"/>
  <c r="I461" i="160"/>
  <c r="H262" i="155"/>
  <c r="H262" i="165" s="1"/>
  <c r="I262" i="155"/>
  <c r="H262" i="166" s="1"/>
  <c r="J262" i="155"/>
  <c r="H262" i="167" s="1"/>
  <c r="G271" i="160"/>
  <c r="G271" i="162" s="1"/>
  <c r="J539" i="161"/>
  <c r="J854" i="161"/>
  <c r="J855" i="161" s="1"/>
  <c r="J640" i="161" s="1"/>
  <c r="H854" i="161"/>
  <c r="H855" i="161" s="1"/>
  <c r="H640" i="161" s="1"/>
  <c r="G796" i="161"/>
  <c r="H539" i="161"/>
  <c r="I425" i="167"/>
  <c r="J520" i="159"/>
  <c r="K520" i="159" s="1"/>
  <c r="F520" i="160"/>
  <c r="G182" i="162"/>
  <c r="G184" i="162" s="1"/>
  <c r="G101" i="162"/>
  <c r="G12" i="162" s="1"/>
  <c r="G540" i="157"/>
  <c r="J458" i="159"/>
  <c r="K457" i="159"/>
  <c r="K458" i="159" s="1"/>
  <c r="H626" i="167"/>
  <c r="H630" i="167" s="1"/>
  <c r="J630" i="155"/>
  <c r="H210" i="159"/>
  <c r="G210" i="159" s="1"/>
  <c r="I210" i="159"/>
  <c r="F210" i="161" s="1"/>
  <c r="J279" i="9"/>
  <c r="F279" i="157"/>
  <c r="G281" i="9"/>
  <c r="I429" i="159"/>
  <c r="F429" i="161" s="1"/>
  <c r="G429" i="159"/>
  <c r="H429" i="159"/>
  <c r="K329" i="157"/>
  <c r="H800" i="9"/>
  <c r="H321" i="9"/>
  <c r="I214" i="167"/>
  <c r="H225" i="155"/>
  <c r="H225" i="165" s="1"/>
  <c r="I225" i="155"/>
  <c r="H225" i="166" s="1"/>
  <c r="J225" i="155"/>
  <c r="H225" i="167" s="1"/>
  <c r="F101" i="166"/>
  <c r="F12" i="166" s="1"/>
  <c r="F182" i="166"/>
  <c r="I891" i="159"/>
  <c r="I562" i="159"/>
  <c r="I520" i="165"/>
  <c r="J271" i="162"/>
  <c r="F271" i="167" s="1"/>
  <c r="G424" i="161"/>
  <c r="H461" i="161"/>
  <c r="I461" i="161"/>
  <c r="J461" i="161"/>
  <c r="F462" i="161"/>
  <c r="G274" i="161"/>
  <c r="I223" i="159"/>
  <c r="F223" i="161" s="1"/>
  <c r="H223" i="159"/>
  <c r="K854" i="9"/>
  <c r="K855" i="9" s="1"/>
  <c r="J855" i="9"/>
  <c r="I214" i="155"/>
  <c r="H214" i="166" s="1"/>
  <c r="J214" i="155"/>
  <c r="H214" i="167" s="1"/>
  <c r="H214" i="155"/>
  <c r="H214" i="165" s="1"/>
  <c r="I419" i="160"/>
  <c r="G419" i="166" s="1"/>
  <c r="J419" i="160"/>
  <c r="G419" i="167" s="1"/>
  <c r="J419" i="167" s="1"/>
  <c r="H419" i="160"/>
  <c r="G419" i="165" s="1"/>
  <c r="H220" i="161"/>
  <c r="I220" i="161"/>
  <c r="J220" i="161"/>
  <c r="I544" i="9"/>
  <c r="I886" i="9"/>
  <c r="J629" i="166"/>
  <c r="H531" i="162"/>
  <c r="F531" i="165" s="1"/>
  <c r="K151" i="164"/>
  <c r="I457" i="167"/>
  <c r="I458" i="167" s="1"/>
  <c r="J458" i="161"/>
  <c r="G531" i="160"/>
  <c r="H579" i="160"/>
  <c r="I579" i="160"/>
  <c r="J579" i="160"/>
  <c r="I226" i="166"/>
  <c r="G418" i="161"/>
  <c r="J234" i="157"/>
  <c r="K629" i="165"/>
  <c r="G485" i="161"/>
  <c r="J257" i="9"/>
  <c r="G275" i="9"/>
  <c r="G283" i="9" s="1"/>
  <c r="G324" i="9" s="1"/>
  <c r="F257" i="157"/>
  <c r="J420" i="9"/>
  <c r="F420" i="157"/>
  <c r="G431" i="9"/>
  <c r="G433" i="9" s="1"/>
  <c r="J191" i="162"/>
  <c r="G493" i="159"/>
  <c r="F491" i="160"/>
  <c r="J491" i="159"/>
  <c r="P795" i="160"/>
  <c r="L795" i="160"/>
  <c r="I264" i="167"/>
  <c r="J264" i="162"/>
  <c r="F264" i="167" s="1"/>
  <c r="H421" i="155"/>
  <c r="H421" i="165" s="1"/>
  <c r="I421" i="155"/>
  <c r="H421" i="166" s="1"/>
  <c r="J421" i="155"/>
  <c r="H421" i="167" s="1"/>
  <c r="J13" i="49"/>
  <c r="I422" i="167"/>
  <c r="G27" i="159"/>
  <c r="G868" i="159"/>
  <c r="G636" i="159"/>
  <c r="G639" i="159" s="1"/>
  <c r="G641" i="159" s="1"/>
  <c r="G644" i="159" s="1"/>
  <c r="J19" i="9"/>
  <c r="K19" i="9" s="1"/>
  <c r="J499" i="9"/>
  <c r="H259" i="155"/>
  <c r="H259" i="165" s="1"/>
  <c r="I259" i="155"/>
  <c r="H259" i="166" s="1"/>
  <c r="J259" i="155"/>
  <c r="H259" i="167" s="1"/>
  <c r="J258" i="9"/>
  <c r="K258" i="9" s="1"/>
  <c r="F258" i="157"/>
  <c r="G323" i="158"/>
  <c r="G296" i="158"/>
  <c r="L188" i="161"/>
  <c r="L189" i="161" s="1"/>
  <c r="L191" i="161" s="1"/>
  <c r="K189" i="161"/>
  <c r="K191" i="161" s="1"/>
  <c r="G312" i="158"/>
  <c r="G498" i="158"/>
  <c r="G18" i="158"/>
  <c r="I641" i="9"/>
  <c r="I644" i="9" s="1"/>
  <c r="J644" i="9" s="1"/>
  <c r="I417" i="161"/>
  <c r="J417" i="161"/>
  <c r="H417" i="161"/>
  <c r="F484" i="155"/>
  <c r="J536" i="158"/>
  <c r="K535" i="158"/>
  <c r="K536" i="158" s="1"/>
  <c r="I428" i="166"/>
  <c r="I527" i="158"/>
  <c r="I532" i="158" s="1"/>
  <c r="F532" i="158"/>
  <c r="H527" i="158"/>
  <c r="H532" i="158" s="1"/>
  <c r="J492" i="160"/>
  <c r="G492" i="167" s="1"/>
  <c r="J492" i="167" s="1"/>
  <c r="H492" i="160"/>
  <c r="G492" i="165" s="1"/>
  <c r="I492" i="160"/>
  <c r="G492" i="166" s="1"/>
  <c r="J492" i="166" s="1"/>
  <c r="H259" i="160"/>
  <c r="G259" i="165" s="1"/>
  <c r="I259" i="160"/>
  <c r="G259" i="166" s="1"/>
  <c r="J259" i="166" s="1"/>
  <c r="J259" i="160"/>
  <c r="G259" i="167" s="1"/>
  <c r="K417" i="159"/>
  <c r="I428" i="160"/>
  <c r="G428" i="166" s="1"/>
  <c r="J428" i="160"/>
  <c r="G428" i="167" s="1"/>
  <c r="H428" i="160"/>
  <c r="G428" i="165" s="1"/>
  <c r="K544" i="9"/>
  <c r="K886" i="9"/>
  <c r="J262" i="160"/>
  <c r="G262" i="167" s="1"/>
  <c r="J262" i="167" s="1"/>
  <c r="G262" i="160"/>
  <c r="I262" i="160"/>
  <c r="G262" i="166" s="1"/>
  <c r="H262" i="160"/>
  <c r="G262" i="165" s="1"/>
  <c r="I265" i="167"/>
  <c r="G265" i="161"/>
  <c r="I425" i="166"/>
  <c r="L95" i="162"/>
  <c r="L99" i="162" s="1"/>
  <c r="K99" i="162"/>
  <c r="K187" i="162" s="1"/>
  <c r="I833" i="159"/>
  <c r="J833" i="159" s="1"/>
  <c r="K833" i="159" s="1"/>
  <c r="O833" i="159"/>
  <c r="I485" i="155"/>
  <c r="H485" i="166" s="1"/>
  <c r="J485" i="155"/>
  <c r="H485" i="167" s="1"/>
  <c r="H485" i="155"/>
  <c r="H485" i="165" s="1"/>
  <c r="H626" i="166"/>
  <c r="H630" i="166" s="1"/>
  <c r="I630" i="155"/>
  <c r="I261" i="165"/>
  <c r="I521" i="9"/>
  <c r="I529" i="9"/>
  <c r="F529" i="159" s="1"/>
  <c r="I519" i="9"/>
  <c r="I323" i="9"/>
  <c r="I296" i="9"/>
  <c r="I816" i="9" s="1"/>
  <c r="F188" i="166"/>
  <c r="F151" i="166"/>
  <c r="F13" i="166" s="1"/>
  <c r="K13" i="166" s="1"/>
  <c r="F188" i="167"/>
  <c r="F151" i="167"/>
  <c r="F13" i="167" s="1"/>
  <c r="K13" i="167" s="1"/>
  <c r="G220" i="157"/>
  <c r="G266" i="161"/>
  <c r="I266" i="165"/>
  <c r="G262" i="161"/>
  <c r="I262" i="165"/>
  <c r="K101" i="166"/>
  <c r="G263" i="161"/>
  <c r="F630" i="161"/>
  <c r="H626" i="161"/>
  <c r="I626" i="161"/>
  <c r="J626" i="161"/>
  <c r="P789" i="155"/>
  <c r="L789" i="155"/>
  <c r="F654" i="9"/>
  <c r="F886" i="157"/>
  <c r="F544" i="157"/>
  <c r="G520" i="161"/>
  <c r="I424" i="166"/>
  <c r="I424" i="162"/>
  <c r="F424" i="166" s="1"/>
  <c r="I19" i="159"/>
  <c r="I499" i="159"/>
  <c r="I274" i="167"/>
  <c r="J430" i="9"/>
  <c r="K430" i="9" s="1"/>
  <c r="F430" i="157"/>
  <c r="I528" i="162"/>
  <c r="F528" i="166" s="1"/>
  <c r="K528" i="166" s="1"/>
  <c r="H457" i="155"/>
  <c r="I457" i="155"/>
  <c r="F458" i="155"/>
  <c r="J457" i="155"/>
  <c r="G259" i="161"/>
  <c r="G214" i="157"/>
  <c r="J214" i="157" s="1"/>
  <c r="K214" i="157" s="1"/>
  <c r="I465" i="157"/>
  <c r="G461" i="157"/>
  <c r="K629" i="155"/>
  <c r="L629" i="155" s="1"/>
  <c r="H629" i="164"/>
  <c r="G225" i="161"/>
  <c r="G425" i="157"/>
  <c r="J425" i="157" s="1"/>
  <c r="K425" i="157" s="1"/>
  <c r="J270" i="9"/>
  <c r="K270" i="9" s="1"/>
  <c r="F270" i="157"/>
  <c r="G212" i="161"/>
  <c r="I212" i="165"/>
  <c r="H212" i="162"/>
  <c r="F212" i="165" s="1"/>
  <c r="I418" i="155"/>
  <c r="H418" i="166" s="1"/>
  <c r="J418" i="155"/>
  <c r="H418" i="167" s="1"/>
  <c r="H418" i="155"/>
  <c r="H418" i="165" s="1"/>
  <c r="G419" i="157"/>
  <c r="J419" i="157" s="1"/>
  <c r="K419" i="157" s="1"/>
  <c r="I522" i="158"/>
  <c r="G519" i="158"/>
  <c r="I833" i="161"/>
  <c r="J833" i="161"/>
  <c r="I269" i="165"/>
  <c r="H269" i="162"/>
  <c r="F269" i="165" s="1"/>
  <c r="I269" i="166"/>
  <c r="K101" i="155"/>
  <c r="K12" i="155" s="1"/>
  <c r="K182" i="155"/>
  <c r="G266" i="157"/>
  <c r="J266" i="157" s="1"/>
  <c r="K266" i="157" s="1"/>
  <c r="H579" i="161"/>
  <c r="G579" i="161" s="1"/>
  <c r="I579" i="161"/>
  <c r="I579" i="162" s="1"/>
  <c r="F579" i="166" s="1"/>
  <c r="J579" i="161"/>
  <c r="H580" i="157"/>
  <c r="H598" i="157" s="1"/>
  <c r="F578" i="155"/>
  <c r="I418" i="166"/>
  <c r="I418" i="162"/>
  <c r="F418" i="166" s="1"/>
  <c r="I418" i="167"/>
  <c r="J418" i="162"/>
  <c r="F418" i="167" s="1"/>
  <c r="F234" i="155"/>
  <c r="G855" i="157"/>
  <c r="G640" i="157" s="1"/>
  <c r="G260" i="157"/>
  <c r="J260" i="157" s="1"/>
  <c r="K260" i="157" s="1"/>
  <c r="I485" i="166"/>
  <c r="I485" i="167"/>
  <c r="J485" i="162"/>
  <c r="F485" i="167" s="1"/>
  <c r="I209" i="159"/>
  <c r="F209" i="161" s="1"/>
  <c r="H209" i="159"/>
  <c r="I257" i="159"/>
  <c r="F275" i="159"/>
  <c r="H257" i="159"/>
  <c r="G257" i="159" s="1"/>
  <c r="H420" i="159"/>
  <c r="H431" i="159" s="1"/>
  <c r="H433" i="159" s="1"/>
  <c r="I420" i="159"/>
  <c r="G420" i="159" s="1"/>
  <c r="F431" i="159"/>
  <c r="F433" i="159" s="1"/>
  <c r="J584" i="9"/>
  <c r="G585" i="9"/>
  <c r="G591" i="9" s="1"/>
  <c r="F584" i="157"/>
  <c r="H839" i="9"/>
  <c r="H495" i="9"/>
  <c r="J854" i="159"/>
  <c r="H520" i="155"/>
  <c r="H520" i="165" s="1"/>
  <c r="I520" i="155"/>
  <c r="H520" i="166" s="1"/>
  <c r="J520" i="155"/>
  <c r="H520" i="167" s="1"/>
  <c r="H484" i="160"/>
  <c r="I484" i="160"/>
  <c r="J484" i="160"/>
  <c r="K562" i="158"/>
  <c r="K891" i="158"/>
  <c r="L794" i="160"/>
  <c r="P794" i="160"/>
  <c r="J491" i="161"/>
  <c r="F493" i="161"/>
  <c r="H491" i="161"/>
  <c r="I491" i="161"/>
  <c r="G151" i="162"/>
  <c r="G13" i="162" s="1"/>
  <c r="G14" i="49" s="1"/>
  <c r="K14" i="49" s="1"/>
  <c r="L14" i="49" s="1"/>
  <c r="G850" i="155"/>
  <c r="I422" i="165"/>
  <c r="H422" i="162"/>
  <c r="F422" i="165" s="1"/>
  <c r="I421" i="165"/>
  <c r="I421" i="166"/>
  <c r="I493" i="157"/>
  <c r="J539" i="159"/>
  <c r="H329" i="167"/>
  <c r="G422" i="157"/>
  <c r="J422" i="157" s="1"/>
  <c r="K422" i="157" s="1"/>
  <c r="L794" i="161"/>
  <c r="P794" i="161"/>
  <c r="H258" i="159"/>
  <c r="G258" i="159" s="1"/>
  <c r="I258" i="159"/>
  <c r="F258" i="161" s="1"/>
  <c r="J431" i="158"/>
  <c r="J433" i="158" s="1"/>
  <c r="K420" i="158"/>
  <c r="K431" i="158" s="1"/>
  <c r="K433" i="158" s="1"/>
  <c r="H424" i="155"/>
  <c r="H424" i="165" s="1"/>
  <c r="I424" i="155"/>
  <c r="H424" i="166" s="1"/>
  <c r="J424" i="155"/>
  <c r="H424" i="167" s="1"/>
  <c r="H539" i="160"/>
  <c r="G796" i="160"/>
  <c r="H854" i="160"/>
  <c r="I492" i="165"/>
  <c r="H492" i="162"/>
  <c r="F492" i="165" s="1"/>
  <c r="K562" i="9"/>
  <c r="K891" i="9"/>
  <c r="I234" i="160"/>
  <c r="J234" i="160"/>
  <c r="H234" i="160"/>
  <c r="G260" i="161"/>
  <c r="H588" i="160"/>
  <c r="H589" i="160" s="1"/>
  <c r="F589" i="160"/>
  <c r="I588" i="160"/>
  <c r="I589" i="160" s="1"/>
  <c r="J588" i="160"/>
  <c r="J589" i="160" s="1"/>
  <c r="G465" i="159"/>
  <c r="G835" i="159" s="1"/>
  <c r="J215" i="158"/>
  <c r="K206" i="158"/>
  <c r="K215" i="158" s="1"/>
  <c r="G481" i="9"/>
  <c r="G838" i="9" s="1"/>
  <c r="J838" i="9" s="1"/>
  <c r="K838" i="9" s="1"/>
  <c r="J479" i="9"/>
  <c r="F479" i="157"/>
  <c r="I206" i="159"/>
  <c r="F215" i="159"/>
  <c r="G206" i="159"/>
  <c r="H206" i="159"/>
  <c r="I428" i="165"/>
  <c r="G262" i="157"/>
  <c r="J262" i="157" s="1"/>
  <c r="K262" i="157" s="1"/>
  <c r="H543" i="9"/>
  <c r="H545" i="9" s="1"/>
  <c r="H885" i="9"/>
  <c r="H214" i="160"/>
  <c r="G214" i="165" s="1"/>
  <c r="I214" i="160"/>
  <c r="G214" i="166" s="1"/>
  <c r="J214" i="160"/>
  <c r="G214" i="167" s="1"/>
  <c r="H225" i="160"/>
  <c r="G225" i="165" s="1"/>
  <c r="I225" i="160"/>
  <c r="G225" i="166" s="1"/>
  <c r="J225" i="160"/>
  <c r="G225" i="167" s="1"/>
  <c r="H260" i="160"/>
  <c r="G260" i="165" s="1"/>
  <c r="I260" i="160"/>
  <c r="G260" i="166" s="1"/>
  <c r="J260" i="160"/>
  <c r="G260" i="167" s="1"/>
  <c r="I227" i="160"/>
  <c r="G227" i="166" s="1"/>
  <c r="J227" i="166" s="1"/>
  <c r="J227" i="160"/>
  <c r="G227" i="167" s="1"/>
  <c r="H227" i="160"/>
  <c r="G227" i="165" s="1"/>
  <c r="G220" i="161" l="1"/>
  <c r="L795" i="155"/>
  <c r="J418" i="167"/>
  <c r="K418" i="167" s="1"/>
  <c r="K151" i="162"/>
  <c r="K13" i="162" s="1"/>
  <c r="L13" i="162" s="1"/>
  <c r="J260" i="166"/>
  <c r="I226" i="162"/>
  <c r="F226" i="166" s="1"/>
  <c r="K271" i="167"/>
  <c r="G480" i="159"/>
  <c r="J212" i="160"/>
  <c r="G212" i="167" s="1"/>
  <c r="J263" i="165"/>
  <c r="G270" i="159"/>
  <c r="J270" i="159" s="1"/>
  <c r="K270" i="159" s="1"/>
  <c r="J263" i="162"/>
  <c r="F263" i="167" s="1"/>
  <c r="K263" i="167" s="1"/>
  <c r="I419" i="162"/>
  <c r="F419" i="166" s="1"/>
  <c r="I214" i="162"/>
  <c r="F214" i="166" s="1"/>
  <c r="I227" i="162"/>
  <c r="F227" i="166" s="1"/>
  <c r="K227" i="166" s="1"/>
  <c r="G493" i="157"/>
  <c r="J225" i="167"/>
  <c r="J422" i="166"/>
  <c r="H428" i="162"/>
  <c r="F428" i="165" s="1"/>
  <c r="F283" i="159"/>
  <c r="F324" i="159" s="1"/>
  <c r="J640" i="157"/>
  <c r="H261" i="162"/>
  <c r="F261" i="165" s="1"/>
  <c r="G417" i="161"/>
  <c r="I417" i="164" s="1"/>
  <c r="G421" i="155"/>
  <c r="H310" i="158"/>
  <c r="H321" i="158" s="1"/>
  <c r="H325" i="158" s="1"/>
  <c r="H326" i="158" s="1"/>
  <c r="H14" i="158" s="1"/>
  <c r="H15" i="158" s="1"/>
  <c r="J261" i="167"/>
  <c r="J191" i="164"/>
  <c r="G833" i="161"/>
  <c r="K833" i="161" s="1"/>
  <c r="L833" i="161" s="1"/>
  <c r="K191" i="165"/>
  <c r="I422" i="162"/>
  <c r="F422" i="166" s="1"/>
  <c r="K422" i="166" s="1"/>
  <c r="H271" i="164"/>
  <c r="J259" i="162"/>
  <c r="F259" i="167" s="1"/>
  <c r="I425" i="162"/>
  <c r="F425" i="166" s="1"/>
  <c r="J425" i="162"/>
  <c r="F425" i="167" s="1"/>
  <c r="K425" i="167" s="1"/>
  <c r="K531" i="165"/>
  <c r="J423" i="166"/>
  <c r="J260" i="162"/>
  <c r="F260" i="167" s="1"/>
  <c r="K260" i="167" s="1"/>
  <c r="J854" i="157"/>
  <c r="J855" i="157" s="1"/>
  <c r="H262" i="162"/>
  <c r="F262" i="165" s="1"/>
  <c r="J428" i="166"/>
  <c r="G579" i="160"/>
  <c r="K579" i="160" s="1"/>
  <c r="L579" i="160" s="1"/>
  <c r="K238" i="158"/>
  <c r="K296" i="158" s="1"/>
  <c r="J457" i="162"/>
  <c r="F457" i="167" s="1"/>
  <c r="J261" i="166"/>
  <c r="G492" i="155"/>
  <c r="H492" i="164" s="1"/>
  <c r="G263" i="155"/>
  <c r="K263" i="155" s="1"/>
  <c r="L263" i="155" s="1"/>
  <c r="H227" i="162"/>
  <c r="F227" i="165" s="1"/>
  <c r="J308" i="158"/>
  <c r="K308" i="158" s="1"/>
  <c r="J424" i="167"/>
  <c r="J274" i="162"/>
  <c r="F274" i="167" s="1"/>
  <c r="J428" i="165"/>
  <c r="J419" i="166"/>
  <c r="F238" i="159"/>
  <c r="F323" i="159" s="1"/>
  <c r="K261" i="166"/>
  <c r="J227" i="165"/>
  <c r="J227" i="167"/>
  <c r="G209" i="159"/>
  <c r="J644" i="159"/>
  <c r="J238" i="158"/>
  <c r="J323" i="158" s="1"/>
  <c r="J423" i="162"/>
  <c r="F423" i="167" s="1"/>
  <c r="G235" i="159"/>
  <c r="G236" i="159" s="1"/>
  <c r="J265" i="167"/>
  <c r="H264" i="162"/>
  <c r="F264" i="165" s="1"/>
  <c r="G224" i="159"/>
  <c r="F224" i="160" s="1"/>
  <c r="G260" i="155"/>
  <c r="G213" i="159"/>
  <c r="G215" i="159" s="1"/>
  <c r="J209" i="159"/>
  <c r="K209" i="159" s="1"/>
  <c r="F209" i="160"/>
  <c r="J296" i="158"/>
  <c r="J224" i="159"/>
  <c r="K224" i="159" s="1"/>
  <c r="F213" i="160"/>
  <c r="K329" i="160"/>
  <c r="K220" i="161"/>
  <c r="I220" i="164"/>
  <c r="H330" i="158"/>
  <c r="H331" i="158" s="1"/>
  <c r="P833" i="161"/>
  <c r="J211" i="159"/>
  <c r="K211" i="159" s="1"/>
  <c r="F211" i="160"/>
  <c r="K323" i="158"/>
  <c r="J480" i="159"/>
  <c r="K480" i="159" s="1"/>
  <c r="F480" i="160"/>
  <c r="J458" i="162"/>
  <c r="G275" i="159"/>
  <c r="J257" i="159"/>
  <c r="F257" i="160"/>
  <c r="H479" i="157"/>
  <c r="G479" i="157" s="1"/>
  <c r="I479" i="157"/>
  <c r="F481" i="157"/>
  <c r="J609" i="160"/>
  <c r="G234" i="165"/>
  <c r="G539" i="165"/>
  <c r="H540" i="160"/>
  <c r="J18" i="158"/>
  <c r="J498" i="158"/>
  <c r="K422" i="165"/>
  <c r="G484" i="167"/>
  <c r="J585" i="9"/>
  <c r="K584" i="9"/>
  <c r="K585" i="9" s="1"/>
  <c r="K591" i="9" s="1"/>
  <c r="G579" i="162"/>
  <c r="K579" i="161"/>
  <c r="L579" i="161" s="1"/>
  <c r="H457" i="165"/>
  <c r="H458" i="165" s="1"/>
  <c r="H458" i="155"/>
  <c r="H833" i="155" s="1"/>
  <c r="K265" i="161"/>
  <c r="L265" i="161" s="1"/>
  <c r="I265" i="164"/>
  <c r="F543" i="158"/>
  <c r="F545" i="158" s="1"/>
  <c r="F885" i="158"/>
  <c r="K544" i="158"/>
  <c r="K886" i="158"/>
  <c r="K421" i="155"/>
  <c r="L421" i="155" s="1"/>
  <c r="H421" i="164"/>
  <c r="G18" i="9"/>
  <c r="G312" i="9"/>
  <c r="G498" i="9"/>
  <c r="G828" i="9"/>
  <c r="H223" i="161"/>
  <c r="I223" i="161"/>
  <c r="J223" i="161"/>
  <c r="I461" i="166"/>
  <c r="I462" i="166" s="1"/>
  <c r="I465" i="166" s="1"/>
  <c r="I461" i="162"/>
  <c r="I462" i="161"/>
  <c r="I465" i="161" s="1"/>
  <c r="I424" i="164"/>
  <c r="K424" i="161"/>
  <c r="L424" i="161" s="1"/>
  <c r="F184" i="166"/>
  <c r="K182" i="166"/>
  <c r="K184" i="166" s="1"/>
  <c r="K279" i="9"/>
  <c r="K281" i="9" s="1"/>
  <c r="J281" i="9"/>
  <c r="G13" i="49"/>
  <c r="I640" i="165"/>
  <c r="G424" i="160"/>
  <c r="G485" i="160"/>
  <c r="J20" i="6"/>
  <c r="E66" i="5"/>
  <c r="K221" i="9"/>
  <c r="K229" i="9" s="1"/>
  <c r="J229" i="9"/>
  <c r="F19" i="157"/>
  <c r="F499" i="157"/>
  <c r="H835" i="157"/>
  <c r="J307" i="158"/>
  <c r="G310" i="158"/>
  <c r="F235" i="160"/>
  <c r="J235" i="159"/>
  <c r="G457" i="165"/>
  <c r="H458" i="160"/>
  <c r="H833" i="160" s="1"/>
  <c r="J266" i="165"/>
  <c r="I484" i="167"/>
  <c r="H604" i="159"/>
  <c r="H550" i="159"/>
  <c r="H599" i="159"/>
  <c r="K629" i="166"/>
  <c r="K609" i="9"/>
  <c r="H457" i="162"/>
  <c r="G629" i="164"/>
  <c r="J629" i="164" s="1"/>
  <c r="K629" i="160"/>
  <c r="L629" i="160" s="1"/>
  <c r="K492" i="155"/>
  <c r="L492" i="155" s="1"/>
  <c r="J430" i="159"/>
  <c r="K430" i="159" s="1"/>
  <c r="F430" i="160"/>
  <c r="K235" i="9"/>
  <c r="K236" i="9" s="1"/>
  <c r="J236" i="9"/>
  <c r="K227" i="161"/>
  <c r="L227" i="161" s="1"/>
  <c r="I227" i="164"/>
  <c r="K329" i="165"/>
  <c r="H224" i="161"/>
  <c r="I224" i="161"/>
  <c r="J224" i="161"/>
  <c r="K465" i="159"/>
  <c r="K499" i="159" s="1"/>
  <c r="H260" i="164"/>
  <c r="K260" i="155"/>
  <c r="L260" i="155" s="1"/>
  <c r="J221" i="159"/>
  <c r="K221" i="159" s="1"/>
  <c r="F221" i="160"/>
  <c r="G329" i="162"/>
  <c r="G425" i="160"/>
  <c r="I213" i="161"/>
  <c r="J213" i="161"/>
  <c r="H213" i="161"/>
  <c r="G213" i="161" s="1"/>
  <c r="J419" i="162"/>
  <c r="F419" i="167" s="1"/>
  <c r="K419" i="167" s="1"/>
  <c r="H329" i="164"/>
  <c r="K12" i="167"/>
  <c r="I225" i="162"/>
  <c r="F225" i="166" s="1"/>
  <c r="H424" i="162"/>
  <c r="F424" i="165" s="1"/>
  <c r="H636" i="155"/>
  <c r="H639" i="155" s="1"/>
  <c r="H27" i="155"/>
  <c r="H868" i="155"/>
  <c r="J493" i="157"/>
  <c r="K491" i="157"/>
  <c r="K493" i="157" s="1"/>
  <c r="J225" i="166"/>
  <c r="J214" i="165"/>
  <c r="K479" i="9"/>
  <c r="K481" i="9" s="1"/>
  <c r="J481" i="9"/>
  <c r="H258" i="161"/>
  <c r="I258" i="161"/>
  <c r="J258" i="161"/>
  <c r="I491" i="167"/>
  <c r="I493" i="167" s="1"/>
  <c r="J493" i="161"/>
  <c r="J491" i="162"/>
  <c r="G520" i="155"/>
  <c r="K854" i="159"/>
  <c r="K855" i="159" s="1"/>
  <c r="J855" i="159"/>
  <c r="F420" i="160"/>
  <c r="J420" i="159"/>
  <c r="G431" i="159"/>
  <c r="G433" i="159" s="1"/>
  <c r="I485" i="162"/>
  <c r="F485" i="166" s="1"/>
  <c r="K854" i="157"/>
  <c r="K855" i="157" s="1"/>
  <c r="F580" i="155"/>
  <c r="F598" i="155" s="1"/>
  <c r="H578" i="155"/>
  <c r="I626" i="162"/>
  <c r="I626" i="166"/>
  <c r="I630" i="166" s="1"/>
  <c r="I630" i="161"/>
  <c r="G626" i="161"/>
  <c r="K266" i="161"/>
  <c r="L266" i="161" s="1"/>
  <c r="I266" i="164"/>
  <c r="J262" i="165"/>
  <c r="I543" i="158"/>
  <c r="I545" i="158" s="1"/>
  <c r="I885" i="158"/>
  <c r="J886" i="158"/>
  <c r="J544" i="158"/>
  <c r="G313" i="158"/>
  <c r="J312" i="158"/>
  <c r="I491" i="160"/>
  <c r="J491" i="160"/>
  <c r="H491" i="160"/>
  <c r="H491" i="162" s="1"/>
  <c r="F493" i="160"/>
  <c r="K234" i="157"/>
  <c r="I220" i="167"/>
  <c r="G223" i="159"/>
  <c r="I274" i="164"/>
  <c r="K274" i="161"/>
  <c r="L274" i="161" s="1"/>
  <c r="K12" i="166"/>
  <c r="J210" i="161"/>
  <c r="G210" i="161"/>
  <c r="H210" i="161"/>
  <c r="I210" i="161"/>
  <c r="G262" i="155"/>
  <c r="F27" i="160"/>
  <c r="F636" i="160"/>
  <c r="F639" i="160" s="1"/>
  <c r="F641" i="160" s="1"/>
  <c r="F644" i="160" s="1"/>
  <c r="F868" i="160"/>
  <c r="F302" i="160"/>
  <c r="G303" i="159"/>
  <c r="G304" i="159" s="1"/>
  <c r="J302" i="159"/>
  <c r="H418" i="162"/>
  <c r="F418" i="165" s="1"/>
  <c r="F235" i="161"/>
  <c r="I236" i="159"/>
  <c r="J269" i="166"/>
  <c r="J212" i="167"/>
  <c r="G266" i="160"/>
  <c r="G266" i="162" s="1"/>
  <c r="H481" i="159"/>
  <c r="H838" i="159" s="1"/>
  <c r="G265" i="155"/>
  <c r="K868" i="159"/>
  <c r="K636" i="159"/>
  <c r="K639" i="159" s="1"/>
  <c r="I539" i="155"/>
  <c r="I854" i="155"/>
  <c r="I855" i="155" s="1"/>
  <c r="I640" i="155" s="1"/>
  <c r="H640" i="166" s="1"/>
  <c r="J640" i="166" s="1"/>
  <c r="I484" i="166"/>
  <c r="F599" i="159"/>
  <c r="F604" i="159"/>
  <c r="F550" i="159"/>
  <c r="J461" i="155"/>
  <c r="I461" i="155"/>
  <c r="H461" i="155"/>
  <c r="F462" i="155"/>
  <c r="J418" i="165"/>
  <c r="I209" i="157"/>
  <c r="H209" i="157"/>
  <c r="F209" i="155" s="1"/>
  <c r="J274" i="165"/>
  <c r="J226" i="165"/>
  <c r="J604" i="158"/>
  <c r="H263" i="162"/>
  <c r="F263" i="165" s="1"/>
  <c r="K263" i="165" s="1"/>
  <c r="G423" i="155"/>
  <c r="J425" i="167"/>
  <c r="G227" i="160"/>
  <c r="G227" i="162" s="1"/>
  <c r="J260" i="167"/>
  <c r="J225" i="165"/>
  <c r="J214" i="166"/>
  <c r="H551" i="9"/>
  <c r="H556" i="9"/>
  <c r="H215" i="159"/>
  <c r="I215" i="159"/>
  <c r="F206" i="161"/>
  <c r="G234" i="167"/>
  <c r="K796" i="160"/>
  <c r="L796" i="160" s="1"/>
  <c r="G539" i="160"/>
  <c r="K498" i="158"/>
  <c r="K18" i="158"/>
  <c r="G484" i="165"/>
  <c r="H20" i="9"/>
  <c r="H21" i="9" s="1"/>
  <c r="H500" i="9"/>
  <c r="G550" i="9"/>
  <c r="G604" i="9"/>
  <c r="G599" i="9"/>
  <c r="H18" i="159"/>
  <c r="H312" i="159"/>
  <c r="H313" i="159" s="1"/>
  <c r="H498" i="159"/>
  <c r="J579" i="162"/>
  <c r="F579" i="167" s="1"/>
  <c r="H579" i="162"/>
  <c r="F579" i="165" s="1"/>
  <c r="I269" i="162"/>
  <c r="F269" i="166" s="1"/>
  <c r="K269" i="166" s="1"/>
  <c r="G418" i="155"/>
  <c r="I212" i="164"/>
  <c r="K212" i="161"/>
  <c r="L212" i="161" s="1"/>
  <c r="I225" i="164"/>
  <c r="K225" i="161"/>
  <c r="L225" i="161" s="1"/>
  <c r="I19" i="157"/>
  <c r="I499" i="157"/>
  <c r="H457" i="167"/>
  <c r="H458" i="167" s="1"/>
  <c r="J458" i="155"/>
  <c r="I626" i="165"/>
  <c r="I630" i="165" s="1"/>
  <c r="H626" i="162"/>
  <c r="H630" i="161"/>
  <c r="H266" i="162"/>
  <c r="F266" i="165" s="1"/>
  <c r="K266" i="165" s="1"/>
  <c r="F521" i="159"/>
  <c r="G521" i="9"/>
  <c r="H868" i="166"/>
  <c r="H27" i="166"/>
  <c r="H636" i="166"/>
  <c r="H639" i="166" s="1"/>
  <c r="H641" i="166" s="1"/>
  <c r="H644" i="166" s="1"/>
  <c r="J428" i="167"/>
  <c r="J259" i="167"/>
  <c r="K259" i="167" s="1"/>
  <c r="G259" i="160"/>
  <c r="G492" i="160"/>
  <c r="H885" i="158"/>
  <c r="H543" i="158"/>
  <c r="H545" i="158" s="1"/>
  <c r="L329" i="161"/>
  <c r="H258" i="157"/>
  <c r="F258" i="155" s="1"/>
  <c r="I258" i="157"/>
  <c r="J422" i="162"/>
  <c r="F422" i="167" s="1"/>
  <c r="J329" i="162"/>
  <c r="I257" i="157"/>
  <c r="F275" i="157"/>
  <c r="H257" i="157"/>
  <c r="G419" i="160"/>
  <c r="I461" i="167"/>
  <c r="I462" i="167" s="1"/>
  <c r="I465" i="167" s="1"/>
  <c r="J462" i="161"/>
  <c r="J465" i="161" s="1"/>
  <c r="G461" i="161"/>
  <c r="G225" i="155"/>
  <c r="J214" i="162"/>
  <c r="F214" i="167" s="1"/>
  <c r="H279" i="157"/>
  <c r="I279" i="157"/>
  <c r="I281" i="157" s="1"/>
  <c r="G279" i="157"/>
  <c r="F281" i="157"/>
  <c r="H636" i="167"/>
  <c r="H639" i="167" s="1"/>
  <c r="H27" i="167"/>
  <c r="H868" i="167"/>
  <c r="J539" i="157"/>
  <c r="G854" i="161"/>
  <c r="K796" i="161"/>
  <c r="L796" i="161" s="1"/>
  <c r="K271" i="160"/>
  <c r="L271" i="160" s="1"/>
  <c r="G271" i="164"/>
  <c r="G461" i="165"/>
  <c r="H462" i="160"/>
  <c r="G461" i="167"/>
  <c r="J462" i="160"/>
  <c r="J424" i="165"/>
  <c r="H480" i="161"/>
  <c r="I480" i="161"/>
  <c r="J480" i="161"/>
  <c r="J485" i="167"/>
  <c r="K485" i="167" s="1"/>
  <c r="G626" i="165"/>
  <c r="H630" i="160"/>
  <c r="G626" i="167"/>
  <c r="J630" i="160"/>
  <c r="G266" i="155"/>
  <c r="F151" i="164"/>
  <c r="F13" i="164" s="1"/>
  <c r="K13" i="164" s="1"/>
  <c r="J423" i="167"/>
  <c r="K423" i="167" s="1"/>
  <c r="G419" i="155"/>
  <c r="H544" i="159"/>
  <c r="H886" i="159"/>
  <c r="I221" i="157"/>
  <c r="G221" i="157" s="1"/>
  <c r="J221" i="157" s="1"/>
  <c r="K221" i="157" s="1"/>
  <c r="H221" i="157"/>
  <c r="F229" i="157"/>
  <c r="K423" i="161"/>
  <c r="L423" i="161" s="1"/>
  <c r="I423" i="164"/>
  <c r="I609" i="159"/>
  <c r="G457" i="160"/>
  <c r="I539" i="166"/>
  <c r="I540" i="166" s="1"/>
  <c r="I539" i="162"/>
  <c r="I540" i="161"/>
  <c r="J269" i="165"/>
  <c r="K269" i="165" s="1"/>
  <c r="J266" i="166"/>
  <c r="G265" i="160"/>
  <c r="G265" i="162" s="1"/>
  <c r="I481" i="159"/>
  <c r="F479" i="161"/>
  <c r="G479" i="159"/>
  <c r="J263" i="166"/>
  <c r="G422" i="160"/>
  <c r="J422" i="165"/>
  <c r="H419" i="162"/>
  <c r="F419" i="165" s="1"/>
  <c r="I491" i="155"/>
  <c r="J491" i="155"/>
  <c r="F493" i="155"/>
  <c r="H491" i="155"/>
  <c r="J854" i="155"/>
  <c r="J855" i="155" s="1"/>
  <c r="J640" i="155" s="1"/>
  <c r="H640" i="167" s="1"/>
  <c r="J640" i="167" s="1"/>
  <c r="J539" i="155"/>
  <c r="K189" i="155"/>
  <c r="F495" i="158"/>
  <c r="H839" i="158"/>
  <c r="G839" i="158"/>
  <c r="I488" i="158"/>
  <c r="I495" i="158" s="1"/>
  <c r="G584" i="159"/>
  <c r="F584" i="161"/>
  <c r="I585" i="159"/>
  <c r="I591" i="159" s="1"/>
  <c r="H226" i="162"/>
  <c r="F226" i="165" s="1"/>
  <c r="K226" i="165" s="1"/>
  <c r="J609" i="9"/>
  <c r="J591" i="9"/>
  <c r="K528" i="160"/>
  <c r="L528" i="160" s="1"/>
  <c r="G528" i="164"/>
  <c r="G528" i="162"/>
  <c r="J220" i="160"/>
  <c r="H220" i="160"/>
  <c r="I220" i="160"/>
  <c r="G264" i="160"/>
  <c r="H423" i="162"/>
  <c r="F423" i="165" s="1"/>
  <c r="K423" i="165" s="1"/>
  <c r="J418" i="166"/>
  <c r="K418" i="166" s="1"/>
  <c r="I535" i="155"/>
  <c r="F536" i="155"/>
  <c r="J535" i="155"/>
  <c r="H535" i="155"/>
  <c r="H235" i="157"/>
  <c r="I235" i="157"/>
  <c r="I236" i="157" s="1"/>
  <c r="F236" i="157"/>
  <c r="F191" i="165"/>
  <c r="I265" i="162"/>
  <c r="F265" i="166" s="1"/>
  <c r="L101" i="162"/>
  <c r="I580" i="159"/>
  <c r="I598" i="159" s="1"/>
  <c r="F578" i="161"/>
  <c r="H229" i="159"/>
  <c r="J274" i="166"/>
  <c r="K274" i="166" s="1"/>
  <c r="H225" i="162"/>
  <c r="F225" i="165" s="1"/>
  <c r="K225" i="165" s="1"/>
  <c r="I423" i="162"/>
  <c r="F423" i="166" s="1"/>
  <c r="K423" i="166" s="1"/>
  <c r="J226" i="166"/>
  <c r="K626" i="155"/>
  <c r="G630" i="155"/>
  <c r="H626" i="164"/>
  <c r="H630" i="164" s="1"/>
  <c r="I234" i="166"/>
  <c r="H265" i="162"/>
  <c r="F265" i="165" s="1"/>
  <c r="G417" i="166"/>
  <c r="J428" i="162"/>
  <c r="F428" i="167" s="1"/>
  <c r="K428" i="167" s="1"/>
  <c r="H260" i="162"/>
  <c r="F260" i="165" s="1"/>
  <c r="G422" i="155"/>
  <c r="K419" i="161"/>
  <c r="L419" i="161" s="1"/>
  <c r="I419" i="164"/>
  <c r="G226" i="155"/>
  <c r="F184" i="167"/>
  <c r="K182" i="167"/>
  <c r="K184" i="167" s="1"/>
  <c r="G629" i="162"/>
  <c r="G225" i="160"/>
  <c r="J206" i="159"/>
  <c r="F206" i="160"/>
  <c r="H609" i="160"/>
  <c r="G234" i="166"/>
  <c r="F258" i="160"/>
  <c r="J258" i="159"/>
  <c r="K258" i="159" s="1"/>
  <c r="I491" i="166"/>
  <c r="I493" i="166" s="1"/>
  <c r="I493" i="161"/>
  <c r="I491" i="162"/>
  <c r="G491" i="161"/>
  <c r="J234" i="155"/>
  <c r="H234" i="155"/>
  <c r="I234" i="155"/>
  <c r="G522" i="158"/>
  <c r="J519" i="158"/>
  <c r="H270" i="157"/>
  <c r="F270" i="155" s="1"/>
  <c r="I270" i="157"/>
  <c r="G457" i="155"/>
  <c r="I626" i="167"/>
  <c r="I630" i="167" s="1"/>
  <c r="J630" i="161"/>
  <c r="J626" i="162"/>
  <c r="F636" i="161"/>
  <c r="F639" i="161" s="1"/>
  <c r="F641" i="161" s="1"/>
  <c r="F644" i="161" s="1"/>
  <c r="F27" i="161"/>
  <c r="F868" i="161"/>
  <c r="K262" i="165"/>
  <c r="K188" i="167"/>
  <c r="K189" i="167" s="1"/>
  <c r="F189" i="167"/>
  <c r="L187" i="162"/>
  <c r="L189" i="162" s="1"/>
  <c r="K189" i="162"/>
  <c r="I14" i="158"/>
  <c r="I15" i="158" s="1"/>
  <c r="I330" i="158"/>
  <c r="I331" i="158" s="1"/>
  <c r="K262" i="160"/>
  <c r="L262" i="160" s="1"/>
  <c r="G262" i="164"/>
  <c r="I417" i="167"/>
  <c r="J493" i="159"/>
  <c r="K491" i="159"/>
  <c r="K493" i="159" s="1"/>
  <c r="I220" i="165"/>
  <c r="J429" i="159"/>
  <c r="K429" i="159" s="1"/>
  <c r="F429" i="160"/>
  <c r="J210" i="159"/>
  <c r="K210" i="159" s="1"/>
  <c r="F210" i="160"/>
  <c r="F465" i="160"/>
  <c r="H834" i="160"/>
  <c r="J485" i="166"/>
  <c r="K274" i="165"/>
  <c r="J536" i="157"/>
  <c r="K535" i="157"/>
  <c r="K536" i="157" s="1"/>
  <c r="G457" i="167"/>
  <c r="J458" i="160"/>
  <c r="J833" i="160" s="1"/>
  <c r="G269" i="160"/>
  <c r="J422" i="167"/>
  <c r="J492" i="162"/>
  <c r="F492" i="167" s="1"/>
  <c r="K492" i="167" s="1"/>
  <c r="I480" i="157"/>
  <c r="H480" i="157"/>
  <c r="F480" i="155" s="1"/>
  <c r="L329" i="160"/>
  <c r="G212" i="155"/>
  <c r="H302" i="157"/>
  <c r="F303" i="157"/>
  <c r="F304" i="157" s="1"/>
  <c r="I302" i="157"/>
  <c r="I303" i="157" s="1"/>
  <c r="I304" i="157" s="1"/>
  <c r="G302" i="157"/>
  <c r="I211" i="157"/>
  <c r="H211" i="157"/>
  <c r="F211" i="155" s="1"/>
  <c r="J270" i="161"/>
  <c r="H270" i="161"/>
  <c r="G270" i="161" s="1"/>
  <c r="I270" i="161"/>
  <c r="J225" i="162"/>
  <c r="F225" i="167" s="1"/>
  <c r="K225" i="167" s="1"/>
  <c r="K528" i="155"/>
  <c r="L528" i="155" s="1"/>
  <c r="H528" i="164"/>
  <c r="H214" i="162"/>
  <c r="F214" i="165" s="1"/>
  <c r="I891" i="157"/>
  <c r="I562" i="157"/>
  <c r="G539" i="166"/>
  <c r="I540" i="160"/>
  <c r="K417" i="157"/>
  <c r="J599" i="158"/>
  <c r="J550" i="158"/>
  <c r="F271" i="164"/>
  <c r="K271" i="162"/>
  <c r="L271" i="162" s="1"/>
  <c r="O801" i="158"/>
  <c r="J801" i="158"/>
  <c r="K801" i="158" s="1"/>
  <c r="J214" i="167"/>
  <c r="I609" i="160"/>
  <c r="G588" i="160"/>
  <c r="G234" i="160"/>
  <c r="G424" i="155"/>
  <c r="I491" i="165"/>
  <c r="I493" i="165" s="1"/>
  <c r="H493" i="161"/>
  <c r="G484" i="166"/>
  <c r="F18" i="159"/>
  <c r="F498" i="159"/>
  <c r="F312" i="159"/>
  <c r="H828" i="159"/>
  <c r="G828" i="159"/>
  <c r="H579" i="166"/>
  <c r="I579" i="166"/>
  <c r="G579" i="166"/>
  <c r="K184" i="155"/>
  <c r="L182" i="155"/>
  <c r="L184" i="155" s="1"/>
  <c r="I876" i="158"/>
  <c r="I833" i="155"/>
  <c r="J833" i="155"/>
  <c r="F34" i="9"/>
  <c r="I522" i="9"/>
  <c r="F519" i="159"/>
  <c r="G519" i="9"/>
  <c r="G485" i="155"/>
  <c r="J265" i="162"/>
  <c r="F265" i="167" s="1"/>
  <c r="G527" i="158"/>
  <c r="I417" i="166"/>
  <c r="G259" i="155"/>
  <c r="H420" i="157"/>
  <c r="I420" i="157"/>
  <c r="F431" i="157"/>
  <c r="F433" i="157" s="1"/>
  <c r="K257" i="9"/>
  <c r="K275" i="9" s="1"/>
  <c r="K283" i="9" s="1"/>
  <c r="K324" i="9" s="1"/>
  <c r="J275" i="9"/>
  <c r="G641" i="157"/>
  <c r="G644" i="157" s="1"/>
  <c r="J644" i="157" s="1"/>
  <c r="H429" i="161"/>
  <c r="I429" i="161"/>
  <c r="J429" i="161"/>
  <c r="I640" i="167"/>
  <c r="J424" i="166"/>
  <c r="K424" i="166" s="1"/>
  <c r="I303" i="159"/>
  <c r="I304" i="159" s="1"/>
  <c r="F302" i="161"/>
  <c r="L850" i="160"/>
  <c r="I536" i="159"/>
  <c r="F535" i="161"/>
  <c r="G535" i="159"/>
  <c r="I259" i="162"/>
  <c r="F259" i="166" s="1"/>
  <c r="K259" i="166" s="1"/>
  <c r="G886" i="157"/>
  <c r="G544" i="157"/>
  <c r="H220" i="155"/>
  <c r="J220" i="155"/>
  <c r="I220" i="155"/>
  <c r="H210" i="157"/>
  <c r="F210" i="155" s="1"/>
  <c r="I210" i="157"/>
  <c r="J265" i="166"/>
  <c r="J261" i="165"/>
  <c r="K261" i="165" s="1"/>
  <c r="I484" i="165"/>
  <c r="H500" i="158"/>
  <c r="H501" i="158" s="1"/>
  <c r="H20" i="158"/>
  <c r="H21" i="158" s="1"/>
  <c r="H417" i="155"/>
  <c r="I417" i="155"/>
  <c r="J417" i="155"/>
  <c r="J417" i="162" s="1"/>
  <c r="K302" i="9"/>
  <c r="K303" i="9" s="1"/>
  <c r="K304" i="9" s="1"/>
  <c r="J303" i="9"/>
  <c r="J304" i="9" s="1"/>
  <c r="I835" i="159"/>
  <c r="J835" i="159"/>
  <c r="K835" i="159" s="1"/>
  <c r="O835" i="159"/>
  <c r="H430" i="161"/>
  <c r="I430" i="161"/>
  <c r="J430" i="161"/>
  <c r="J266" i="162"/>
  <c r="F266" i="167" s="1"/>
  <c r="F279" i="160"/>
  <c r="J279" i="159"/>
  <c r="G281" i="159"/>
  <c r="F189" i="164"/>
  <c r="K187" i="164"/>
  <c r="K189" i="164" s="1"/>
  <c r="F101" i="164"/>
  <c r="F12" i="164" s="1"/>
  <c r="F182" i="164"/>
  <c r="H425" i="162"/>
  <c r="F425" i="165" s="1"/>
  <c r="K425" i="165" s="1"/>
  <c r="J227" i="162"/>
  <c r="F227" i="167" s="1"/>
  <c r="K227" i="167" s="1"/>
  <c r="G428" i="155"/>
  <c r="F215" i="157"/>
  <c r="I206" i="157"/>
  <c r="I215" i="157" s="1"/>
  <c r="H206" i="157"/>
  <c r="J465" i="159"/>
  <c r="F221" i="161"/>
  <c r="I229" i="159"/>
  <c r="I234" i="165"/>
  <c r="G417" i="165"/>
  <c r="H224" i="157"/>
  <c r="F224" i="155" s="1"/>
  <c r="I224" i="157"/>
  <c r="I492" i="162"/>
  <c r="F492" i="166" s="1"/>
  <c r="K492" i="166" s="1"/>
  <c r="J580" i="157"/>
  <c r="J598" i="157" s="1"/>
  <c r="K578" i="157"/>
  <c r="K580" i="157" s="1"/>
  <c r="K598" i="157" s="1"/>
  <c r="H421" i="160"/>
  <c r="G421" i="160" s="1"/>
  <c r="I421" i="160"/>
  <c r="J421" i="160"/>
  <c r="H27" i="165"/>
  <c r="H868" i="165"/>
  <c r="H636" i="165"/>
  <c r="H639" i="165" s="1"/>
  <c r="K484" i="157"/>
  <c r="J609" i="159"/>
  <c r="G260" i="160"/>
  <c r="G260" i="162" s="1"/>
  <c r="J260" i="165"/>
  <c r="G214" i="160"/>
  <c r="G19" i="159"/>
  <c r="G499" i="159"/>
  <c r="F609" i="160"/>
  <c r="K260" i="161"/>
  <c r="L260" i="161" s="1"/>
  <c r="I260" i="164"/>
  <c r="G854" i="160"/>
  <c r="H855" i="160"/>
  <c r="H640" i="160" s="1"/>
  <c r="G640" i="165" s="1"/>
  <c r="K539" i="159"/>
  <c r="K540" i="159" s="1"/>
  <c r="J540" i="159"/>
  <c r="K850" i="155"/>
  <c r="G484" i="160"/>
  <c r="H584" i="157"/>
  <c r="F585" i="157"/>
  <c r="F591" i="157" s="1"/>
  <c r="I584" i="157"/>
  <c r="I585" i="157" s="1"/>
  <c r="I591" i="157" s="1"/>
  <c r="F420" i="161"/>
  <c r="I431" i="159"/>
  <c r="I433" i="159" s="1"/>
  <c r="H275" i="159"/>
  <c r="H283" i="159" s="1"/>
  <c r="H324" i="159" s="1"/>
  <c r="I275" i="159"/>
  <c r="F257" i="161"/>
  <c r="I209" i="161"/>
  <c r="J209" i="161"/>
  <c r="H209" i="161"/>
  <c r="G209" i="161" s="1"/>
  <c r="L12" i="155"/>
  <c r="J461" i="157"/>
  <c r="G462" i="157"/>
  <c r="I259" i="164"/>
  <c r="K259" i="161"/>
  <c r="L259" i="161" s="1"/>
  <c r="G259" i="162"/>
  <c r="H457" i="166"/>
  <c r="H458" i="166" s="1"/>
  <c r="I458" i="155"/>
  <c r="H430" i="157"/>
  <c r="F430" i="155" s="1"/>
  <c r="I430" i="157"/>
  <c r="I520" i="164"/>
  <c r="K520" i="161"/>
  <c r="L520" i="161" s="1"/>
  <c r="I263" i="164"/>
  <c r="K263" i="161"/>
  <c r="L263" i="161" s="1"/>
  <c r="I262" i="164"/>
  <c r="K262" i="161"/>
  <c r="L262" i="161" s="1"/>
  <c r="J220" i="157"/>
  <c r="K188" i="166"/>
  <c r="K189" i="166" s="1"/>
  <c r="K191" i="166" s="1"/>
  <c r="F189" i="166"/>
  <c r="I529" i="159"/>
  <c r="F529" i="161" s="1"/>
  <c r="H529" i="159"/>
  <c r="G529" i="159" s="1"/>
  <c r="I27" i="155"/>
  <c r="I636" i="155"/>
  <c r="I639" i="155" s="1"/>
  <c r="I641" i="155" s="1"/>
  <c r="I644" i="155" s="1"/>
  <c r="I868" i="155"/>
  <c r="K425" i="166"/>
  <c r="J262" i="166"/>
  <c r="K262" i="166" s="1"/>
  <c r="G428" i="160"/>
  <c r="J259" i="165"/>
  <c r="J492" i="165"/>
  <c r="K492" i="165" s="1"/>
  <c r="I428" i="162"/>
  <c r="F428" i="166" s="1"/>
  <c r="K428" i="166" s="1"/>
  <c r="H484" i="155"/>
  <c r="I484" i="155"/>
  <c r="I484" i="162" s="1"/>
  <c r="G484" i="155"/>
  <c r="J484" i="155"/>
  <c r="J484" i="162" s="1"/>
  <c r="I417" i="165"/>
  <c r="H417" i="162"/>
  <c r="K329" i="161"/>
  <c r="K420" i="9"/>
  <c r="K431" i="9" s="1"/>
  <c r="K433" i="9" s="1"/>
  <c r="K498" i="9" s="1"/>
  <c r="J431" i="9"/>
  <c r="J433" i="9" s="1"/>
  <c r="K485" i="161"/>
  <c r="L485" i="161" s="1"/>
  <c r="I485" i="164"/>
  <c r="K418" i="161"/>
  <c r="L418" i="161" s="1"/>
  <c r="I418" i="164"/>
  <c r="K531" i="160"/>
  <c r="L531" i="160" s="1"/>
  <c r="G531" i="164"/>
  <c r="J531" i="164" s="1"/>
  <c r="G531" i="162"/>
  <c r="I220" i="166"/>
  <c r="I220" i="162"/>
  <c r="J419" i="165"/>
  <c r="G214" i="155"/>
  <c r="H834" i="161"/>
  <c r="F465" i="161"/>
  <c r="J834" i="161"/>
  <c r="I461" i="165"/>
  <c r="I462" i="165" s="1"/>
  <c r="I465" i="165" s="1"/>
  <c r="H462" i="161"/>
  <c r="H465" i="161" s="1"/>
  <c r="H325" i="9"/>
  <c r="H326" i="9" s="1"/>
  <c r="H803" i="9"/>
  <c r="J27" i="155"/>
  <c r="J636" i="155"/>
  <c r="J639" i="155" s="1"/>
  <c r="J868" i="155"/>
  <c r="G562" i="157"/>
  <c r="G891" i="157"/>
  <c r="H520" i="160"/>
  <c r="I520" i="160"/>
  <c r="J520" i="160"/>
  <c r="I539" i="165"/>
  <c r="I540" i="165" s="1"/>
  <c r="H540" i="161"/>
  <c r="G539" i="161"/>
  <c r="I539" i="167"/>
  <c r="I540" i="167" s="1"/>
  <c r="J539" i="162"/>
  <c r="J540" i="161"/>
  <c r="G461" i="166"/>
  <c r="I462" i="160"/>
  <c r="I465" i="160" s="1"/>
  <c r="G461" i="160"/>
  <c r="G274" i="155"/>
  <c r="F887" i="9"/>
  <c r="F896" i="9" s="1"/>
  <c r="F897" i="9" s="1"/>
  <c r="F899" i="9" s="1"/>
  <c r="F890" i="9"/>
  <c r="F892" i="9" s="1"/>
  <c r="J485" i="165"/>
  <c r="K485" i="165" s="1"/>
  <c r="G626" i="166"/>
  <c r="I630" i="160"/>
  <c r="G626" i="160"/>
  <c r="H799" i="159"/>
  <c r="K458" i="161"/>
  <c r="L457" i="161"/>
  <c r="L458" i="161" s="1"/>
  <c r="G423" i="160"/>
  <c r="J641" i="157"/>
  <c r="F886" i="159"/>
  <c r="F544" i="159"/>
  <c r="G425" i="155"/>
  <c r="I223" i="157"/>
  <c r="H223" i="157"/>
  <c r="F223" i="155" s="1"/>
  <c r="H588" i="161"/>
  <c r="I588" i="161"/>
  <c r="F589" i="161"/>
  <c r="J588" i="161"/>
  <c r="G800" i="158"/>
  <c r="I800" i="158"/>
  <c r="H800" i="158"/>
  <c r="F321" i="158"/>
  <c r="H429" i="157"/>
  <c r="F429" i="155" s="1"/>
  <c r="I429" i="157"/>
  <c r="H238" i="159"/>
  <c r="G457" i="166"/>
  <c r="I458" i="160"/>
  <c r="I833" i="160" s="1"/>
  <c r="G227" i="155"/>
  <c r="I640" i="166"/>
  <c r="I640" i="162"/>
  <c r="F640" i="166" s="1"/>
  <c r="J212" i="165"/>
  <c r="K212" i="165" s="1"/>
  <c r="J266" i="167"/>
  <c r="J265" i="165"/>
  <c r="G261" i="160"/>
  <c r="K550" i="158"/>
  <c r="K599" i="158"/>
  <c r="I260" i="162"/>
  <c r="F260" i="166" s="1"/>
  <c r="K260" i="166" s="1"/>
  <c r="G263" i="160"/>
  <c r="J540" i="160"/>
  <c r="G539" i="167"/>
  <c r="G213" i="157"/>
  <c r="J213" i="157" s="1"/>
  <c r="K213" i="157"/>
  <c r="I213" i="157"/>
  <c r="H213" i="157"/>
  <c r="F213" i="155" s="1"/>
  <c r="J868" i="159"/>
  <c r="J636" i="159"/>
  <c r="J639" i="159" s="1"/>
  <c r="J641" i="159" s="1"/>
  <c r="J27" i="159"/>
  <c r="K27" i="159" s="1"/>
  <c r="H539" i="155"/>
  <c r="G796" i="155"/>
  <c r="K796" i="155" s="1"/>
  <c r="L796" i="155" s="1"/>
  <c r="H854" i="155"/>
  <c r="H588" i="155"/>
  <c r="L189" i="155"/>
  <c r="G484" i="161"/>
  <c r="G264" i="155"/>
  <c r="G486" i="158"/>
  <c r="K528" i="165"/>
  <c r="G799" i="9"/>
  <c r="J799" i="9" s="1"/>
  <c r="K799" i="9" s="1"/>
  <c r="J329" i="164"/>
  <c r="I457" i="162"/>
  <c r="J212" i="162"/>
  <c r="F212" i="167" s="1"/>
  <c r="K220" i="159"/>
  <c r="H19" i="157"/>
  <c r="H499" i="157"/>
  <c r="J264" i="167"/>
  <c r="K264" i="167" s="1"/>
  <c r="J264" i="165"/>
  <c r="K264" i="165" s="1"/>
  <c r="G269" i="155"/>
  <c r="G418" i="160"/>
  <c r="H544" i="157"/>
  <c r="H886" i="157"/>
  <c r="J262" i="162"/>
  <c r="F262" i="167" s="1"/>
  <c r="K262" i="167" s="1"/>
  <c r="J457" i="157"/>
  <c r="G458" i="157"/>
  <c r="G833" i="157" s="1"/>
  <c r="J816" i="158"/>
  <c r="K816" i="158" s="1"/>
  <c r="O816" i="158"/>
  <c r="F279" i="161"/>
  <c r="I281" i="159"/>
  <c r="G238" i="9"/>
  <c r="J261" i="162"/>
  <c r="F261" i="167" s="1"/>
  <c r="K261" i="167" s="1"/>
  <c r="K101" i="164"/>
  <c r="K182" i="162"/>
  <c r="K101" i="162"/>
  <c r="K12" i="162" s="1"/>
  <c r="K206" i="9"/>
  <c r="K215" i="9" s="1"/>
  <c r="J215" i="9"/>
  <c r="J578" i="159"/>
  <c r="G580" i="159"/>
  <c r="G598" i="159" s="1"/>
  <c r="F578" i="160"/>
  <c r="I264" i="162"/>
  <c r="F264" i="166" s="1"/>
  <c r="K264" i="166" s="1"/>
  <c r="J226" i="162"/>
  <c r="F226" i="167" s="1"/>
  <c r="K226" i="167" s="1"/>
  <c r="J269" i="162"/>
  <c r="F269" i="167" s="1"/>
  <c r="K269" i="167" s="1"/>
  <c r="J274" i="167"/>
  <c r="K274" i="167" s="1"/>
  <c r="G274" i="160"/>
  <c r="G274" i="162" s="1"/>
  <c r="G226" i="160"/>
  <c r="I234" i="167"/>
  <c r="J234" i="162"/>
  <c r="G234" i="161"/>
  <c r="J425" i="166"/>
  <c r="G417" i="167"/>
  <c r="G417" i="160"/>
  <c r="H211" i="161"/>
  <c r="I211" i="161"/>
  <c r="J211" i="161"/>
  <c r="J835" i="9"/>
  <c r="K835" i="9" s="1"/>
  <c r="G529" i="9"/>
  <c r="I212" i="162"/>
  <c r="F212" i="166" s="1"/>
  <c r="K212" i="166" s="1"/>
  <c r="H259" i="162"/>
  <c r="F259" i="165" s="1"/>
  <c r="K259" i="165" s="1"/>
  <c r="J424" i="162"/>
  <c r="F424" i="167" s="1"/>
  <c r="K424" i="167" s="1"/>
  <c r="I263" i="162"/>
  <c r="F263" i="166" s="1"/>
  <c r="I266" i="162"/>
  <c r="F266" i="166" s="1"/>
  <c r="G261" i="155"/>
  <c r="K609" i="159"/>
  <c r="G220" i="155" l="1"/>
  <c r="K265" i="167"/>
  <c r="G491" i="155"/>
  <c r="I275" i="157"/>
  <c r="I283" i="157" s="1"/>
  <c r="I324" i="157" s="1"/>
  <c r="F270" i="160"/>
  <c r="J270" i="160" s="1"/>
  <c r="G270" i="167" s="1"/>
  <c r="K417" i="161"/>
  <c r="K214" i="165"/>
  <c r="I834" i="160"/>
  <c r="K226" i="166"/>
  <c r="H263" i="164"/>
  <c r="K419" i="166"/>
  <c r="K422" i="167"/>
  <c r="G833" i="155"/>
  <c r="K833" i="155" s="1"/>
  <c r="P833" i="155" s="1"/>
  <c r="K428" i="165"/>
  <c r="G429" i="157"/>
  <c r="J429" i="157" s="1"/>
  <c r="K429" i="157" s="1"/>
  <c r="K419" i="165"/>
  <c r="J271" i="164"/>
  <c r="G461" i="155"/>
  <c r="G491" i="160"/>
  <c r="G258" i="161"/>
  <c r="K258" i="161" s="1"/>
  <c r="L258" i="161" s="1"/>
  <c r="F296" i="159"/>
  <c r="J213" i="159"/>
  <c r="K213" i="159" s="1"/>
  <c r="G212" i="160"/>
  <c r="G263" i="162"/>
  <c r="K263" i="162" s="1"/>
  <c r="L263" i="162" s="1"/>
  <c r="K212" i="167"/>
  <c r="L191" i="155"/>
  <c r="I283" i="159"/>
  <c r="I324" i="159" s="1"/>
  <c r="J579" i="166"/>
  <c r="K579" i="166" s="1"/>
  <c r="G480" i="157"/>
  <c r="J480" i="157" s="1"/>
  <c r="K480" i="157" s="1"/>
  <c r="K191" i="167"/>
  <c r="K214" i="166"/>
  <c r="J238" i="9"/>
  <c r="J296" i="9" s="1"/>
  <c r="H465" i="160"/>
  <c r="G211" i="157"/>
  <c r="J211" i="157" s="1"/>
  <c r="K211" i="157" s="1"/>
  <c r="F238" i="157"/>
  <c r="H641" i="167"/>
  <c r="H644" i="167" s="1"/>
  <c r="K263" i="166"/>
  <c r="G224" i="157"/>
  <c r="J224" i="157" s="1"/>
  <c r="K224" i="157" s="1"/>
  <c r="G417" i="155"/>
  <c r="G417" i="162" s="1"/>
  <c r="G270" i="157"/>
  <c r="J270" i="157" s="1"/>
  <c r="K270" i="157" s="1"/>
  <c r="H220" i="162"/>
  <c r="K238" i="9"/>
  <c r="G223" i="161"/>
  <c r="K227" i="165"/>
  <c r="K220" i="155"/>
  <c r="H220" i="164"/>
  <c r="G493" i="155"/>
  <c r="K491" i="155"/>
  <c r="H491" i="164"/>
  <c r="H493" i="164" s="1"/>
  <c r="F227" i="164"/>
  <c r="K227" i="162"/>
  <c r="L227" i="162" s="1"/>
  <c r="G462" i="155"/>
  <c r="K461" i="155"/>
  <c r="H461" i="164"/>
  <c r="H462" i="164" s="1"/>
  <c r="I258" i="164"/>
  <c r="K421" i="160"/>
  <c r="L421" i="160" s="1"/>
  <c r="G421" i="164"/>
  <c r="J421" i="164" s="1"/>
  <c r="G421" i="162"/>
  <c r="H417" i="164"/>
  <c r="K417" i="155"/>
  <c r="F220" i="165"/>
  <c r="I604" i="159"/>
  <c r="I550" i="159"/>
  <c r="I599" i="159"/>
  <c r="J529" i="159"/>
  <c r="K529" i="159" s="1"/>
  <c r="F529" i="160"/>
  <c r="F265" i="164"/>
  <c r="K265" i="162"/>
  <c r="L265" i="162" s="1"/>
  <c r="I213" i="164"/>
  <c r="K213" i="161"/>
  <c r="L213" i="161" s="1"/>
  <c r="K550" i="9"/>
  <c r="K599" i="9"/>
  <c r="F274" i="164"/>
  <c r="K274" i="162"/>
  <c r="L274" i="162" s="1"/>
  <c r="K266" i="162"/>
  <c r="L266" i="162" s="1"/>
  <c r="F266" i="164"/>
  <c r="K223" i="161"/>
  <c r="L223" i="161" s="1"/>
  <c r="I223" i="164"/>
  <c r="L12" i="162"/>
  <c r="K269" i="155"/>
  <c r="L269" i="155" s="1"/>
  <c r="H269" i="164"/>
  <c r="F457" i="166"/>
  <c r="I458" i="162"/>
  <c r="G484" i="162"/>
  <c r="K484" i="161"/>
  <c r="I484" i="164"/>
  <c r="K261" i="160"/>
  <c r="L261" i="160" s="1"/>
  <c r="G261" i="164"/>
  <c r="G261" i="162"/>
  <c r="G458" i="166"/>
  <c r="J457" i="166"/>
  <c r="J458" i="166" s="1"/>
  <c r="F609" i="161"/>
  <c r="G520" i="166"/>
  <c r="J520" i="166" s="1"/>
  <c r="I520" i="162"/>
  <c r="F520" i="166" s="1"/>
  <c r="K520" i="166" s="1"/>
  <c r="F417" i="165"/>
  <c r="K484" i="155"/>
  <c r="H484" i="164"/>
  <c r="F259" i="164"/>
  <c r="K259" i="162"/>
  <c r="L259" i="162" s="1"/>
  <c r="J462" i="157"/>
  <c r="K461" i="157"/>
  <c r="K462" i="157" s="1"/>
  <c r="F275" i="161"/>
  <c r="H257" i="161"/>
  <c r="I257" i="161"/>
  <c r="J257" i="161"/>
  <c r="H420" i="161"/>
  <c r="I420" i="161"/>
  <c r="J420" i="161"/>
  <c r="F431" i="161"/>
  <c r="F433" i="161" s="1"/>
  <c r="K854" i="160"/>
  <c r="G855" i="160"/>
  <c r="G640" i="160" s="1"/>
  <c r="G640" i="164" s="1"/>
  <c r="G214" i="164"/>
  <c r="K214" i="160"/>
  <c r="L214" i="160" s="1"/>
  <c r="G214" i="162"/>
  <c r="K428" i="155"/>
  <c r="L428" i="155" s="1"/>
  <c r="H428" i="164"/>
  <c r="K12" i="164"/>
  <c r="J281" i="159"/>
  <c r="K279" i="159"/>
  <c r="K281" i="159" s="1"/>
  <c r="H417" i="166"/>
  <c r="H633" i="158"/>
  <c r="H870" i="158"/>
  <c r="I429" i="165"/>
  <c r="H429" i="162"/>
  <c r="F429" i="165" s="1"/>
  <c r="I828" i="159"/>
  <c r="J828" i="159" s="1"/>
  <c r="K828" i="159" s="1"/>
  <c r="K588" i="160"/>
  <c r="G589" i="160"/>
  <c r="G303" i="157"/>
  <c r="G304" i="157" s="1"/>
  <c r="J302" i="157"/>
  <c r="H234" i="166"/>
  <c r="G491" i="162"/>
  <c r="K491" i="161"/>
  <c r="I491" i="164"/>
  <c r="I493" i="164" s="1"/>
  <c r="G493" i="161"/>
  <c r="J215" i="159"/>
  <c r="K206" i="159"/>
  <c r="K215" i="159" s="1"/>
  <c r="I234" i="162"/>
  <c r="K630" i="155"/>
  <c r="L626" i="155"/>
  <c r="L630" i="155" s="1"/>
  <c r="F323" i="157"/>
  <c r="F296" i="157"/>
  <c r="J536" i="155"/>
  <c r="H535" i="167"/>
  <c r="H536" i="167" s="1"/>
  <c r="J540" i="155"/>
  <c r="H539" i="167"/>
  <c r="H540" i="167" s="1"/>
  <c r="F539" i="166"/>
  <c r="I540" i="162"/>
  <c r="J626" i="165"/>
  <c r="J630" i="165" s="1"/>
  <c r="G630" i="165"/>
  <c r="G462" i="165"/>
  <c r="K461" i="161"/>
  <c r="I461" i="164"/>
  <c r="I462" i="164" s="1"/>
  <c r="I465" i="164" s="1"/>
  <c r="G461" i="162"/>
  <c r="G462" i="161"/>
  <c r="G465" i="161" s="1"/>
  <c r="K419" i="160"/>
  <c r="L419" i="160" s="1"/>
  <c r="G419" i="164"/>
  <c r="G540" i="160"/>
  <c r="G539" i="164"/>
  <c r="K539" i="160"/>
  <c r="H209" i="155"/>
  <c r="H209" i="165" s="1"/>
  <c r="I209" i="155"/>
  <c r="H209" i="166" s="1"/>
  <c r="J209" i="155"/>
  <c r="H209" i="167" s="1"/>
  <c r="H461" i="167"/>
  <c r="H462" i="167" s="1"/>
  <c r="H465" i="167" s="1"/>
  <c r="J462" i="155"/>
  <c r="J465" i="155" s="1"/>
  <c r="F484" i="166"/>
  <c r="K626" i="161"/>
  <c r="G630" i="161"/>
  <c r="I626" i="164"/>
  <c r="I630" i="164" s="1"/>
  <c r="G626" i="162"/>
  <c r="J431" i="159"/>
  <c r="J433" i="159" s="1"/>
  <c r="K420" i="159"/>
  <c r="K431" i="159" s="1"/>
  <c r="K433" i="159" s="1"/>
  <c r="K498" i="159" s="1"/>
  <c r="K520" i="155"/>
  <c r="L520" i="155" s="1"/>
  <c r="H520" i="164"/>
  <c r="K424" i="165"/>
  <c r="I224" i="165"/>
  <c r="I19" i="161"/>
  <c r="I499" i="161"/>
  <c r="I828" i="9"/>
  <c r="J828" i="9" s="1"/>
  <c r="K828" i="9" s="1"/>
  <c r="G527" i="9"/>
  <c r="I257" i="160"/>
  <c r="J257" i="160"/>
  <c r="H257" i="160"/>
  <c r="G257" i="160" s="1"/>
  <c r="I211" i="165"/>
  <c r="F234" i="167"/>
  <c r="K184" i="162"/>
  <c r="K191" i="162" s="1"/>
  <c r="L182" i="162"/>
  <c r="L184" i="162" s="1"/>
  <c r="L191" i="162" s="1"/>
  <c r="G323" i="9"/>
  <c r="G296" i="9"/>
  <c r="G816" i="9" s="1"/>
  <c r="J816" i="9" s="1"/>
  <c r="K816" i="9" s="1"/>
  <c r="J800" i="158"/>
  <c r="K800" i="158" s="1"/>
  <c r="O800" i="158"/>
  <c r="K626" i="160"/>
  <c r="G630" i="160"/>
  <c r="G626" i="164"/>
  <c r="I499" i="160"/>
  <c r="I19" i="160"/>
  <c r="I891" i="165"/>
  <c r="I562" i="165"/>
  <c r="H14" i="9"/>
  <c r="H15" i="9" s="1"/>
  <c r="H330" i="9"/>
  <c r="H331" i="9" s="1"/>
  <c r="H484" i="166"/>
  <c r="F191" i="166"/>
  <c r="I550" i="157"/>
  <c r="I604" i="157"/>
  <c r="I599" i="157"/>
  <c r="G584" i="157"/>
  <c r="J562" i="159"/>
  <c r="J891" i="159"/>
  <c r="I430" i="166"/>
  <c r="I429" i="167"/>
  <c r="G429" i="161"/>
  <c r="F420" i="155"/>
  <c r="H431" i="157"/>
  <c r="H433" i="157" s="1"/>
  <c r="I417" i="162"/>
  <c r="K485" i="155"/>
  <c r="L485" i="155" s="1"/>
  <c r="H485" i="164"/>
  <c r="G458" i="167"/>
  <c r="J457" i="167"/>
  <c r="J458" i="167" s="1"/>
  <c r="H210" i="160"/>
  <c r="G210" i="165" s="1"/>
  <c r="I210" i="160"/>
  <c r="G210" i="166" s="1"/>
  <c r="J210" i="160"/>
  <c r="G210" i="167" s="1"/>
  <c r="J636" i="161"/>
  <c r="J639" i="161" s="1"/>
  <c r="J641" i="161" s="1"/>
  <c r="J644" i="161" s="1"/>
  <c r="J868" i="161"/>
  <c r="J27" i="161"/>
  <c r="I25" i="168" s="1"/>
  <c r="G876" i="158"/>
  <c r="F491" i="166"/>
  <c r="I493" i="162"/>
  <c r="K225" i="160"/>
  <c r="L225" i="160" s="1"/>
  <c r="G225" i="164"/>
  <c r="H422" i="164"/>
  <c r="K422" i="155"/>
  <c r="L422" i="155" s="1"/>
  <c r="G481" i="159"/>
  <c r="G838" i="159" s="1"/>
  <c r="F479" i="160"/>
  <c r="J479" i="159"/>
  <c r="I891" i="166"/>
  <c r="I562" i="166"/>
  <c r="I480" i="165"/>
  <c r="J465" i="160"/>
  <c r="J540" i="157"/>
  <c r="K539" i="157"/>
  <c r="K540" i="157" s="1"/>
  <c r="H258" i="155"/>
  <c r="H258" i="165" s="1"/>
  <c r="J258" i="155"/>
  <c r="H258" i="167" s="1"/>
  <c r="I258" i="155"/>
  <c r="H258" i="166" s="1"/>
  <c r="G833" i="160"/>
  <c r="K833" i="160" s="1"/>
  <c r="J302" i="160"/>
  <c r="F303" i="160"/>
  <c r="F304" i="160" s="1"/>
  <c r="H302" i="160"/>
  <c r="I302" i="160"/>
  <c r="K262" i="155"/>
  <c r="L262" i="155" s="1"/>
  <c r="H262" i="164"/>
  <c r="K210" i="161"/>
  <c r="L210" i="161" s="1"/>
  <c r="I210" i="164"/>
  <c r="G493" i="160"/>
  <c r="K491" i="160"/>
  <c r="G491" i="164"/>
  <c r="J313" i="158"/>
  <c r="K312" i="158"/>
  <c r="K313" i="158" s="1"/>
  <c r="I868" i="161"/>
  <c r="I27" i="161"/>
  <c r="G25" i="168" s="1"/>
  <c r="I636" i="161"/>
  <c r="I639" i="161" s="1"/>
  <c r="I641" i="161" s="1"/>
  <c r="I644" i="161" s="1"/>
  <c r="I258" i="167"/>
  <c r="K225" i="166"/>
  <c r="F484" i="167"/>
  <c r="K235" i="159"/>
  <c r="K236" i="159" s="1"/>
  <c r="J236" i="159"/>
  <c r="I211" i="167"/>
  <c r="G211" i="161"/>
  <c r="H539" i="165"/>
  <c r="H540" i="165" s="1"/>
  <c r="H540" i="155"/>
  <c r="G539" i="155"/>
  <c r="K266" i="166"/>
  <c r="I211" i="166"/>
  <c r="K417" i="160"/>
  <c r="G417" i="164"/>
  <c r="K234" i="161"/>
  <c r="I234" i="164"/>
  <c r="G226" i="164"/>
  <c r="K226" i="160"/>
  <c r="L226" i="160" s="1"/>
  <c r="G226" i="162"/>
  <c r="J578" i="160"/>
  <c r="J580" i="160" s="1"/>
  <c r="J598" i="160" s="1"/>
  <c r="H578" i="160"/>
  <c r="H580" i="160" s="1"/>
  <c r="H598" i="160" s="1"/>
  <c r="F580" i="160"/>
  <c r="F598" i="160" s="1"/>
  <c r="I578" i="160"/>
  <c r="I580" i="160" s="1"/>
  <c r="I598" i="160" s="1"/>
  <c r="H279" i="161"/>
  <c r="I279" i="161"/>
  <c r="J279" i="161"/>
  <c r="F281" i="161"/>
  <c r="J458" i="157"/>
  <c r="K457" i="157"/>
  <c r="K458" i="157" s="1"/>
  <c r="G418" i="164"/>
  <c r="K418" i="160"/>
  <c r="L418" i="160" s="1"/>
  <c r="K264" i="155"/>
  <c r="L264" i="155" s="1"/>
  <c r="H264" i="164"/>
  <c r="J588" i="155"/>
  <c r="J589" i="155" s="1"/>
  <c r="H589" i="155"/>
  <c r="J891" i="160"/>
  <c r="J562" i="160"/>
  <c r="J429" i="155"/>
  <c r="H429" i="167" s="1"/>
  <c r="I429" i="155"/>
  <c r="H429" i="166" s="1"/>
  <c r="H429" i="155"/>
  <c r="H429" i="165" s="1"/>
  <c r="J589" i="161"/>
  <c r="H589" i="161"/>
  <c r="H588" i="162"/>
  <c r="F588" i="165" s="1"/>
  <c r="G223" i="157"/>
  <c r="J626" i="166"/>
  <c r="J630" i="166" s="1"/>
  <c r="G630" i="166"/>
  <c r="K274" i="155"/>
  <c r="L274" i="155" s="1"/>
  <c r="H274" i="164"/>
  <c r="J562" i="161"/>
  <c r="J891" i="161"/>
  <c r="G540" i="161"/>
  <c r="G539" i="162"/>
  <c r="K539" i="161"/>
  <c r="I539" i="164"/>
  <c r="I540" i="164" s="1"/>
  <c r="G520" i="167"/>
  <c r="J520" i="167" s="1"/>
  <c r="J520" i="162"/>
  <c r="F520" i="167" s="1"/>
  <c r="K520" i="167" s="1"/>
  <c r="H19" i="161"/>
  <c r="H499" i="161"/>
  <c r="I835" i="161"/>
  <c r="J835" i="161"/>
  <c r="J529" i="161" s="1"/>
  <c r="F19" i="161"/>
  <c r="H835" i="161"/>
  <c r="F499" i="161"/>
  <c r="F220" i="166"/>
  <c r="J18" i="9"/>
  <c r="J498" i="9"/>
  <c r="H484" i="167"/>
  <c r="H484" i="165"/>
  <c r="G428" i="164"/>
  <c r="K428" i="160"/>
  <c r="L428" i="160" s="1"/>
  <c r="G428" i="162"/>
  <c r="K220" i="157"/>
  <c r="G262" i="162"/>
  <c r="G430" i="157"/>
  <c r="J430" i="157" s="1"/>
  <c r="K430" i="157" s="1"/>
  <c r="G465" i="157"/>
  <c r="G834" i="157"/>
  <c r="I209" i="165"/>
  <c r="I209" i="166"/>
  <c r="I312" i="159"/>
  <c r="I313" i="159" s="1"/>
  <c r="I18" i="159"/>
  <c r="I498" i="159"/>
  <c r="H585" i="157"/>
  <c r="H591" i="157" s="1"/>
  <c r="F584" i="155"/>
  <c r="L850" i="155"/>
  <c r="G421" i="167"/>
  <c r="J421" i="167" s="1"/>
  <c r="J421" i="162"/>
  <c r="F421" i="167" s="1"/>
  <c r="F206" i="155"/>
  <c r="H215" i="157"/>
  <c r="K182" i="164"/>
  <c r="K184" i="164" s="1"/>
  <c r="F184" i="164"/>
  <c r="F191" i="164" s="1"/>
  <c r="G430" i="161"/>
  <c r="I430" i="165"/>
  <c r="G536" i="159"/>
  <c r="F535" i="160"/>
  <c r="J535" i="159"/>
  <c r="J640" i="162"/>
  <c r="F640" i="167" s="1"/>
  <c r="J283" i="9"/>
  <c r="J324" i="9" s="1"/>
  <c r="G420" i="157"/>
  <c r="J527" i="158"/>
  <c r="G532" i="158"/>
  <c r="H519" i="159"/>
  <c r="F522" i="159"/>
  <c r="I519" i="159"/>
  <c r="F491" i="165"/>
  <c r="H493" i="162"/>
  <c r="K234" i="160"/>
  <c r="G234" i="164"/>
  <c r="K271" i="164"/>
  <c r="I270" i="165"/>
  <c r="J211" i="155"/>
  <c r="H211" i="167" s="1"/>
  <c r="H211" i="155"/>
  <c r="H211" i="165" s="1"/>
  <c r="I211" i="155"/>
  <c r="H211" i="166" s="1"/>
  <c r="F302" i="155"/>
  <c r="H303" i="157"/>
  <c r="H304" i="157" s="1"/>
  <c r="H799" i="157" s="1"/>
  <c r="K269" i="160"/>
  <c r="L269" i="160" s="1"/>
  <c r="G269" i="164"/>
  <c r="G269" i="162"/>
  <c r="J886" i="157"/>
  <c r="J544" i="157"/>
  <c r="J834" i="160"/>
  <c r="J429" i="160"/>
  <c r="G429" i="167" s="1"/>
  <c r="J429" i="167" s="1"/>
  <c r="G429" i="160"/>
  <c r="H429" i="160"/>
  <c r="G429" i="165" s="1"/>
  <c r="I429" i="160"/>
  <c r="G429" i="166" s="1"/>
  <c r="K329" i="167"/>
  <c r="G458" i="155"/>
  <c r="H457" i="164"/>
  <c r="H458" i="164" s="1"/>
  <c r="K457" i="155"/>
  <c r="I270" i="155"/>
  <c r="H270" i="166" s="1"/>
  <c r="J270" i="155"/>
  <c r="H270" i="167" s="1"/>
  <c r="H270" i="155"/>
  <c r="H270" i="165" s="1"/>
  <c r="H234" i="167"/>
  <c r="I206" i="160"/>
  <c r="J206" i="160"/>
  <c r="F215" i="160"/>
  <c r="H206" i="160"/>
  <c r="G419" i="162"/>
  <c r="G636" i="155"/>
  <c r="G639" i="155" s="1"/>
  <c r="G27" i="155"/>
  <c r="G868" i="155"/>
  <c r="H578" i="161"/>
  <c r="F580" i="161"/>
  <c r="F598" i="161" s="1"/>
  <c r="I578" i="161"/>
  <c r="J578" i="161"/>
  <c r="F329" i="165"/>
  <c r="H535" i="165"/>
  <c r="H536" i="165" s="1"/>
  <c r="H536" i="155"/>
  <c r="G220" i="166"/>
  <c r="G220" i="167"/>
  <c r="I20" i="158"/>
  <c r="I21" i="158" s="1"/>
  <c r="I500" i="158"/>
  <c r="I501" i="158" s="1"/>
  <c r="K191" i="155"/>
  <c r="H491" i="166"/>
  <c r="H493" i="166" s="1"/>
  <c r="I493" i="155"/>
  <c r="G422" i="164"/>
  <c r="J422" i="164" s="1"/>
  <c r="K422" i="160"/>
  <c r="L422" i="160" s="1"/>
  <c r="G422" i="162"/>
  <c r="I562" i="161"/>
  <c r="I891" i="161"/>
  <c r="K419" i="155"/>
  <c r="L419" i="155" s="1"/>
  <c r="H419" i="164"/>
  <c r="H636" i="160"/>
  <c r="H639" i="160" s="1"/>
  <c r="H641" i="160" s="1"/>
  <c r="H644" i="160" s="1"/>
  <c r="H27" i="160"/>
  <c r="H868" i="160"/>
  <c r="I480" i="166"/>
  <c r="H19" i="160"/>
  <c r="H499" i="160"/>
  <c r="J279" i="157"/>
  <c r="G281" i="157"/>
  <c r="H225" i="164"/>
  <c r="K225" i="155"/>
  <c r="L225" i="155" s="1"/>
  <c r="I19" i="167"/>
  <c r="I499" i="167"/>
  <c r="F283" i="157"/>
  <c r="F324" i="157" s="1"/>
  <c r="G258" i="157"/>
  <c r="J258" i="157" s="1"/>
  <c r="K258" i="157" s="1"/>
  <c r="K492" i="160"/>
  <c r="L492" i="160" s="1"/>
  <c r="G492" i="164"/>
  <c r="J492" i="164" s="1"/>
  <c r="G492" i="162"/>
  <c r="H521" i="159"/>
  <c r="I521" i="159"/>
  <c r="F521" i="161" s="1"/>
  <c r="I27" i="165"/>
  <c r="I636" i="165"/>
  <c r="I639" i="165" s="1"/>
  <c r="I641" i="165" s="1"/>
  <c r="I644" i="165" s="1"/>
  <c r="I868" i="165"/>
  <c r="J234" i="167"/>
  <c r="G209" i="157"/>
  <c r="J209" i="157" s="1"/>
  <c r="K209" i="157" s="1"/>
  <c r="J834" i="155"/>
  <c r="F465" i="155"/>
  <c r="H834" i="155"/>
  <c r="K265" i="155"/>
  <c r="L265" i="155" s="1"/>
  <c r="H265" i="164"/>
  <c r="J303" i="159"/>
  <c r="J304" i="159" s="1"/>
  <c r="K302" i="159"/>
  <c r="K303" i="159" s="1"/>
  <c r="K304" i="159" s="1"/>
  <c r="I210" i="165"/>
  <c r="G491" i="165"/>
  <c r="H493" i="160"/>
  <c r="G491" i="166"/>
  <c r="I493" i="160"/>
  <c r="F626" i="166"/>
  <c r="I630" i="162"/>
  <c r="G18" i="159"/>
  <c r="G312" i="159"/>
  <c r="G498" i="159"/>
  <c r="I213" i="166"/>
  <c r="H221" i="160"/>
  <c r="G221" i="165" s="1"/>
  <c r="I221" i="160"/>
  <c r="G221" i="166" s="1"/>
  <c r="J221" i="160"/>
  <c r="G221" i="167" s="1"/>
  <c r="H430" i="160"/>
  <c r="G430" i="165" s="1"/>
  <c r="I430" i="160"/>
  <c r="G430" i="166" s="1"/>
  <c r="J430" i="160"/>
  <c r="G430" i="167" s="1"/>
  <c r="G458" i="165"/>
  <c r="J457" i="165"/>
  <c r="J458" i="165" s="1"/>
  <c r="J310" i="158"/>
  <c r="J321" i="158" s="1"/>
  <c r="J325" i="158" s="1"/>
  <c r="J326" i="158" s="1"/>
  <c r="K307" i="158"/>
  <c r="K310" i="158" s="1"/>
  <c r="K424" i="160"/>
  <c r="L424" i="160" s="1"/>
  <c r="G424" i="164"/>
  <c r="G424" i="162"/>
  <c r="I223" i="167"/>
  <c r="K579" i="162"/>
  <c r="L579" i="162" s="1"/>
  <c r="F579" i="164"/>
  <c r="H481" i="157"/>
  <c r="H838" i="157" s="1"/>
  <c r="F479" i="155"/>
  <c r="I270" i="160"/>
  <c r="G270" i="166" s="1"/>
  <c r="J270" i="166" s="1"/>
  <c r="J480" i="160"/>
  <c r="G480" i="167" s="1"/>
  <c r="H480" i="160"/>
  <c r="G480" i="165" s="1"/>
  <c r="I480" i="160"/>
  <c r="G480" i="166" s="1"/>
  <c r="I211" i="160"/>
  <c r="G211" i="166" s="1"/>
  <c r="J211" i="160"/>
  <c r="G211" i="167" s="1"/>
  <c r="H211" i="160"/>
  <c r="G211" i="165" s="1"/>
  <c r="J211" i="165" s="1"/>
  <c r="L220" i="161"/>
  <c r="H213" i="160"/>
  <c r="G213" i="165" s="1"/>
  <c r="J213" i="160"/>
  <c r="G213" i="167" s="1"/>
  <c r="I213" i="160"/>
  <c r="G213" i="166" s="1"/>
  <c r="J529" i="9"/>
  <c r="K529" i="9" s="1"/>
  <c r="F529" i="157"/>
  <c r="G854" i="155"/>
  <c r="H855" i="155"/>
  <c r="H640" i="155" s="1"/>
  <c r="H641" i="155" s="1"/>
  <c r="H644" i="155" s="1"/>
  <c r="K263" i="160"/>
  <c r="L263" i="160" s="1"/>
  <c r="G263" i="164"/>
  <c r="J263" i="164" s="1"/>
  <c r="J223" i="155"/>
  <c r="H223" i="167" s="1"/>
  <c r="H223" i="155"/>
  <c r="H223" i="165" s="1"/>
  <c r="I223" i="155"/>
  <c r="H223" i="166" s="1"/>
  <c r="K425" i="155"/>
  <c r="L425" i="155" s="1"/>
  <c r="H425" i="164"/>
  <c r="K423" i="160"/>
  <c r="L423" i="160" s="1"/>
  <c r="G423" i="164"/>
  <c r="G462" i="160"/>
  <c r="K461" i="160"/>
  <c r="G461" i="164"/>
  <c r="F539" i="167"/>
  <c r="J540" i="162"/>
  <c r="H891" i="161"/>
  <c r="H562" i="161"/>
  <c r="I19" i="165"/>
  <c r="I499" i="165"/>
  <c r="H529" i="161"/>
  <c r="I529" i="161"/>
  <c r="I209" i="164"/>
  <c r="K209" i="161"/>
  <c r="L209" i="161" s="1"/>
  <c r="G421" i="166"/>
  <c r="J421" i="166" s="1"/>
  <c r="I421" i="162"/>
  <c r="F421" i="166" s="1"/>
  <c r="I430" i="167"/>
  <c r="H220" i="167"/>
  <c r="J535" i="161"/>
  <c r="H535" i="161"/>
  <c r="I535" i="161"/>
  <c r="F536" i="161"/>
  <c r="H302" i="161"/>
  <c r="G302" i="161" s="1"/>
  <c r="I302" i="161"/>
  <c r="F303" i="161"/>
  <c r="F304" i="161" s="1"/>
  <c r="J302" i="161"/>
  <c r="I431" i="157"/>
  <c r="I433" i="157" s="1"/>
  <c r="I876" i="9"/>
  <c r="F417" i="167"/>
  <c r="I35" i="158"/>
  <c r="I37" i="158" s="1"/>
  <c r="I334" i="158"/>
  <c r="I899" i="158"/>
  <c r="F626" i="167"/>
  <c r="J630" i="162"/>
  <c r="J522" i="158"/>
  <c r="K519" i="158"/>
  <c r="K522" i="158" s="1"/>
  <c r="F235" i="155"/>
  <c r="H236" i="157"/>
  <c r="G220" i="165"/>
  <c r="J550" i="9"/>
  <c r="J599" i="9"/>
  <c r="I839" i="158"/>
  <c r="J839" i="158"/>
  <c r="K839" i="158" s="1"/>
  <c r="O839" i="158"/>
  <c r="K265" i="160"/>
  <c r="L265" i="160" s="1"/>
  <c r="G265" i="164"/>
  <c r="K854" i="161"/>
  <c r="G855" i="161"/>
  <c r="G640" i="161" s="1"/>
  <c r="K259" i="160"/>
  <c r="L259" i="160" s="1"/>
  <c r="G259" i="164"/>
  <c r="H579" i="165"/>
  <c r="I579" i="165"/>
  <c r="G579" i="165"/>
  <c r="J604" i="9"/>
  <c r="H206" i="161"/>
  <c r="I206" i="161"/>
  <c r="J206" i="161"/>
  <c r="G206" i="161" s="1"/>
  <c r="F215" i="161"/>
  <c r="K227" i="160"/>
  <c r="L227" i="160" s="1"/>
  <c r="G227" i="164"/>
  <c r="K604" i="158"/>
  <c r="H461" i="165"/>
  <c r="H462" i="165" s="1"/>
  <c r="H465" i="165" s="1"/>
  <c r="H462" i="155"/>
  <c r="H465" i="155" s="1"/>
  <c r="H539" i="166"/>
  <c r="H540" i="166" s="1"/>
  <c r="I540" i="155"/>
  <c r="I238" i="159"/>
  <c r="J223" i="159"/>
  <c r="K223" i="159" s="1"/>
  <c r="K229" i="159" s="1"/>
  <c r="F223" i="160"/>
  <c r="G229" i="159"/>
  <c r="G238" i="159" s="1"/>
  <c r="I258" i="165"/>
  <c r="I213" i="165"/>
  <c r="K425" i="160"/>
  <c r="L425" i="160" s="1"/>
  <c r="G425" i="164"/>
  <c r="G425" i="162"/>
  <c r="G224" i="161"/>
  <c r="J323" i="9"/>
  <c r="I223" i="166"/>
  <c r="H562" i="160"/>
  <c r="H891" i="160"/>
  <c r="J479" i="157"/>
  <c r="H35" i="158"/>
  <c r="H37" i="158" s="1"/>
  <c r="H334" i="158"/>
  <c r="H899" i="158"/>
  <c r="K274" i="160"/>
  <c r="L274" i="160" s="1"/>
  <c r="G274" i="164"/>
  <c r="J274" i="164" s="1"/>
  <c r="J580" i="159"/>
  <c r="J598" i="159" s="1"/>
  <c r="K578" i="159"/>
  <c r="K580" i="159" s="1"/>
  <c r="K598" i="159" s="1"/>
  <c r="H323" i="159"/>
  <c r="H296" i="159"/>
  <c r="I589" i="161"/>
  <c r="G799" i="159"/>
  <c r="I562" i="167"/>
  <c r="I891" i="167"/>
  <c r="K214" i="155"/>
  <c r="L214" i="155" s="1"/>
  <c r="H214" i="164"/>
  <c r="H430" i="155"/>
  <c r="H430" i="165" s="1"/>
  <c r="J430" i="155"/>
  <c r="H430" i="167" s="1"/>
  <c r="I430" i="155"/>
  <c r="H430" i="166" s="1"/>
  <c r="I221" i="161"/>
  <c r="J221" i="161"/>
  <c r="H221" i="161"/>
  <c r="F229" i="161"/>
  <c r="K191" i="164"/>
  <c r="J279" i="160"/>
  <c r="H279" i="160"/>
  <c r="G279" i="160" s="1"/>
  <c r="I279" i="160"/>
  <c r="F281" i="160"/>
  <c r="I210" i="155"/>
  <c r="H210" i="166" s="1"/>
  <c r="J210" i="155"/>
  <c r="H210" i="167" s="1"/>
  <c r="H210" i="155"/>
  <c r="H210" i="165" s="1"/>
  <c r="I544" i="159"/>
  <c r="I886" i="159"/>
  <c r="F312" i="157"/>
  <c r="F18" i="157"/>
  <c r="F498" i="157"/>
  <c r="H828" i="157"/>
  <c r="I891" i="160"/>
  <c r="I562" i="160"/>
  <c r="K270" i="161"/>
  <c r="L270" i="161" s="1"/>
  <c r="I270" i="164"/>
  <c r="J480" i="155"/>
  <c r="H480" i="167" s="1"/>
  <c r="H480" i="155"/>
  <c r="H480" i="165" s="1"/>
  <c r="I480" i="155"/>
  <c r="H480" i="166" s="1"/>
  <c r="H234" i="165"/>
  <c r="J234" i="165" s="1"/>
  <c r="J258" i="160"/>
  <c r="G258" i="167" s="1"/>
  <c r="H258" i="160"/>
  <c r="G258" i="165" s="1"/>
  <c r="I258" i="160"/>
  <c r="G258" i="166" s="1"/>
  <c r="K226" i="155"/>
  <c r="L226" i="155" s="1"/>
  <c r="H226" i="164"/>
  <c r="G535" i="155"/>
  <c r="F886" i="155"/>
  <c r="F544" i="155"/>
  <c r="G264" i="164"/>
  <c r="K264" i="160"/>
  <c r="L264" i="160" s="1"/>
  <c r="G264" i="162"/>
  <c r="G220" i="160"/>
  <c r="K528" i="162"/>
  <c r="L528" i="162" s="1"/>
  <c r="F528" i="164"/>
  <c r="J584" i="161"/>
  <c r="H584" i="161"/>
  <c r="G584" i="161" s="1"/>
  <c r="I584" i="161"/>
  <c r="F585" i="161"/>
  <c r="F591" i="161" s="1"/>
  <c r="F221" i="155"/>
  <c r="H229" i="157"/>
  <c r="J27" i="160"/>
  <c r="J636" i="160"/>
  <c r="J639" i="160" s="1"/>
  <c r="J641" i="160" s="1"/>
  <c r="J644" i="160" s="1"/>
  <c r="J868" i="160"/>
  <c r="F279" i="155"/>
  <c r="H281" i="157"/>
  <c r="J499" i="161"/>
  <c r="J19" i="161"/>
  <c r="H556" i="158"/>
  <c r="H551" i="158"/>
  <c r="H27" i="161"/>
  <c r="E25" i="168" s="1"/>
  <c r="H868" i="161"/>
  <c r="H636" i="161"/>
  <c r="H639" i="161" s="1"/>
  <c r="H641" i="161" s="1"/>
  <c r="H644" i="161" s="1"/>
  <c r="G225" i="162"/>
  <c r="G579" i="167"/>
  <c r="H579" i="167"/>
  <c r="I579" i="167"/>
  <c r="K266" i="160"/>
  <c r="L266" i="160" s="1"/>
  <c r="G266" i="164"/>
  <c r="H235" i="161"/>
  <c r="I235" i="161"/>
  <c r="J235" i="161"/>
  <c r="F236" i="161"/>
  <c r="J578" i="155"/>
  <c r="J580" i="155" s="1"/>
  <c r="J598" i="155" s="1"/>
  <c r="H580" i="155"/>
  <c r="H598" i="155" s="1"/>
  <c r="J420" i="160"/>
  <c r="H420" i="160"/>
  <c r="I420" i="160"/>
  <c r="F431" i="160"/>
  <c r="F433" i="160" s="1"/>
  <c r="F491" i="167"/>
  <c r="J493" i="162"/>
  <c r="I224" i="167"/>
  <c r="K323" i="9"/>
  <c r="K500" i="9"/>
  <c r="K501" i="9" s="1"/>
  <c r="K296" i="9"/>
  <c r="F457" i="165"/>
  <c r="H458" i="162"/>
  <c r="J20" i="8"/>
  <c r="J20" i="7"/>
  <c r="J20" i="24"/>
  <c r="F461" i="166"/>
  <c r="I462" i="162"/>
  <c r="I465" i="162" s="1"/>
  <c r="J539" i="165"/>
  <c r="J540" i="165" s="1"/>
  <c r="G540" i="165"/>
  <c r="J275" i="159"/>
  <c r="J283" i="159" s="1"/>
  <c r="J324" i="159" s="1"/>
  <c r="K257" i="159"/>
  <c r="K275" i="159" s="1"/>
  <c r="H209" i="160"/>
  <c r="G209" i="165" s="1"/>
  <c r="I209" i="160"/>
  <c r="G209" i="166" s="1"/>
  <c r="J209" i="166" s="1"/>
  <c r="J209" i="160"/>
  <c r="G209" i="167" s="1"/>
  <c r="K261" i="155"/>
  <c r="L261" i="155" s="1"/>
  <c r="H261" i="164"/>
  <c r="I833" i="157"/>
  <c r="J833" i="157" s="1"/>
  <c r="K833" i="157" s="1"/>
  <c r="J229" i="159"/>
  <c r="J486" i="158"/>
  <c r="G488" i="158"/>
  <c r="G495" i="158" s="1"/>
  <c r="L329" i="155"/>
  <c r="H213" i="155"/>
  <c r="H213" i="165" s="1"/>
  <c r="I213" i="155"/>
  <c r="H213" i="166" s="1"/>
  <c r="J213" i="155"/>
  <c r="H213" i="167" s="1"/>
  <c r="G540" i="167"/>
  <c r="K227" i="155"/>
  <c r="L227" i="155" s="1"/>
  <c r="H227" i="164"/>
  <c r="H803" i="158"/>
  <c r="F325" i="158"/>
  <c r="F326" i="158" s="1"/>
  <c r="I803" i="158"/>
  <c r="G803" i="158"/>
  <c r="G588" i="161"/>
  <c r="I799" i="159"/>
  <c r="I27" i="160"/>
  <c r="I636" i="160"/>
  <c r="I639" i="160" s="1"/>
  <c r="I641" i="160" s="1"/>
  <c r="I644" i="160" s="1"/>
  <c r="I868" i="160"/>
  <c r="G462" i="166"/>
  <c r="H539" i="162"/>
  <c r="G520" i="160"/>
  <c r="G520" i="165"/>
  <c r="J520" i="165" s="1"/>
  <c r="H520" i="162"/>
  <c r="F520" i="165" s="1"/>
  <c r="J641" i="155"/>
  <c r="J644" i="155" s="1"/>
  <c r="H461" i="162"/>
  <c r="I834" i="161"/>
  <c r="G834" i="161" s="1"/>
  <c r="K834" i="161" s="1"/>
  <c r="K531" i="162"/>
  <c r="L531" i="162" s="1"/>
  <c r="F531" i="164"/>
  <c r="K531" i="164" s="1"/>
  <c r="G418" i="162"/>
  <c r="G485" i="162"/>
  <c r="K329" i="166"/>
  <c r="I209" i="167"/>
  <c r="F599" i="157"/>
  <c r="F550" i="157"/>
  <c r="F604" i="157"/>
  <c r="G484" i="164"/>
  <c r="K484" i="160"/>
  <c r="K562" i="159"/>
  <c r="K891" i="159"/>
  <c r="K260" i="162"/>
  <c r="L260" i="162" s="1"/>
  <c r="F260" i="164"/>
  <c r="G260" i="164"/>
  <c r="J260" i="164" s="1"/>
  <c r="K260" i="160"/>
  <c r="L260" i="160" s="1"/>
  <c r="G421" i="165"/>
  <c r="J421" i="165" s="1"/>
  <c r="H421" i="162"/>
  <c r="F421" i="165" s="1"/>
  <c r="H224" i="155"/>
  <c r="H224" i="165" s="1"/>
  <c r="I224" i="155"/>
  <c r="H224" i="166" s="1"/>
  <c r="J224" i="155"/>
  <c r="H224" i="167" s="1"/>
  <c r="H234" i="162"/>
  <c r="J19" i="159"/>
  <c r="K19" i="159" s="1"/>
  <c r="J499" i="159"/>
  <c r="G206" i="157"/>
  <c r="K266" i="167"/>
  <c r="H417" i="167"/>
  <c r="J417" i="167" s="1"/>
  <c r="H417" i="165"/>
  <c r="H484" i="162"/>
  <c r="G210" i="157"/>
  <c r="J210" i="157" s="1"/>
  <c r="K210" i="157" s="1"/>
  <c r="H220" i="166"/>
  <c r="H220" i="165"/>
  <c r="I429" i="166"/>
  <c r="K259" i="155"/>
  <c r="L259" i="155" s="1"/>
  <c r="H259" i="164"/>
  <c r="J519" i="9"/>
  <c r="G522" i="9"/>
  <c r="F519" i="157"/>
  <c r="F35" i="9"/>
  <c r="F37" i="9" s="1"/>
  <c r="F313" i="159"/>
  <c r="K424" i="155"/>
  <c r="L424" i="155" s="1"/>
  <c r="H424" i="164"/>
  <c r="G540" i="166"/>
  <c r="I270" i="166"/>
  <c r="I270" i="167"/>
  <c r="I799" i="157"/>
  <c r="G799" i="157"/>
  <c r="K212" i="155"/>
  <c r="L212" i="155" s="1"/>
  <c r="H212" i="164"/>
  <c r="K886" i="157"/>
  <c r="K544" i="157"/>
  <c r="F19" i="160"/>
  <c r="F499" i="160"/>
  <c r="H835" i="160"/>
  <c r="I835" i="160"/>
  <c r="J835" i="160"/>
  <c r="J262" i="164"/>
  <c r="F191" i="167"/>
  <c r="I27" i="167"/>
  <c r="I636" i="167"/>
  <c r="I639" i="167" s="1"/>
  <c r="I641" i="167" s="1"/>
  <c r="I644" i="167" s="1"/>
  <c r="I868" i="167"/>
  <c r="G234" i="155"/>
  <c r="F629" i="164"/>
  <c r="K629" i="164" s="1"/>
  <c r="K629" i="162"/>
  <c r="L629" i="162" s="1"/>
  <c r="K260" i="165"/>
  <c r="K265" i="165"/>
  <c r="H27" i="164"/>
  <c r="H636" i="164"/>
  <c r="H639" i="164" s="1"/>
  <c r="H868" i="164"/>
  <c r="K265" i="166"/>
  <c r="G235" i="157"/>
  <c r="H535" i="166"/>
  <c r="H536" i="166" s="1"/>
  <c r="I536" i="155"/>
  <c r="J528" i="164"/>
  <c r="G585" i="159"/>
  <c r="G591" i="159" s="1"/>
  <c r="J584" i="159"/>
  <c r="F584" i="160"/>
  <c r="F20" i="158"/>
  <c r="F21" i="158" s="1"/>
  <c r="F500" i="158"/>
  <c r="H491" i="165"/>
  <c r="H493" i="165" s="1"/>
  <c r="H493" i="155"/>
  <c r="H491" i="167"/>
  <c r="H493" i="167" s="1"/>
  <c r="J493" i="155"/>
  <c r="J479" i="161"/>
  <c r="F481" i="161"/>
  <c r="H479" i="161"/>
  <c r="I479" i="161"/>
  <c r="K457" i="160"/>
  <c r="G458" i="160"/>
  <c r="G457" i="164"/>
  <c r="G457" i="162"/>
  <c r="G423" i="162"/>
  <c r="I229" i="157"/>
  <c r="I238" i="157" s="1"/>
  <c r="K266" i="155"/>
  <c r="L266" i="155" s="1"/>
  <c r="H266" i="164"/>
  <c r="J626" i="167"/>
  <c r="J630" i="167" s="1"/>
  <c r="G630" i="167"/>
  <c r="I480" i="167"/>
  <c r="G480" i="161"/>
  <c r="G462" i="167"/>
  <c r="G465" i="167" s="1"/>
  <c r="J461" i="167"/>
  <c r="J462" i="167" s="1"/>
  <c r="K214" i="167"/>
  <c r="J461" i="162"/>
  <c r="H275" i="157"/>
  <c r="H283" i="157" s="1"/>
  <c r="H324" i="157" s="1"/>
  <c r="F257" i="155"/>
  <c r="G257" i="157"/>
  <c r="J521" i="9"/>
  <c r="K521" i="9" s="1"/>
  <c r="F521" i="157"/>
  <c r="F626" i="165"/>
  <c r="H630" i="162"/>
  <c r="K418" i="155"/>
  <c r="L418" i="155" s="1"/>
  <c r="H418" i="164"/>
  <c r="H840" i="9"/>
  <c r="H501" i="9"/>
  <c r="K423" i="155"/>
  <c r="L423" i="155" s="1"/>
  <c r="H423" i="164"/>
  <c r="H461" i="166"/>
  <c r="H462" i="166" s="1"/>
  <c r="H465" i="166" s="1"/>
  <c r="I462" i="155"/>
  <c r="I465" i="155" s="1"/>
  <c r="K418" i="165"/>
  <c r="I210" i="166"/>
  <c r="I210" i="167"/>
  <c r="J210" i="162"/>
  <c r="F210" i="167" s="1"/>
  <c r="J220" i="162"/>
  <c r="G491" i="167"/>
  <c r="J493" i="160"/>
  <c r="I551" i="158"/>
  <c r="I556" i="158"/>
  <c r="I27" i="166"/>
  <c r="I636" i="166"/>
  <c r="I639" i="166" s="1"/>
  <c r="I641" i="166" s="1"/>
  <c r="I644" i="166" s="1"/>
  <c r="I868" i="166"/>
  <c r="K485" i="166"/>
  <c r="I258" i="166"/>
  <c r="I213" i="167"/>
  <c r="I224" i="166"/>
  <c r="J235" i="160"/>
  <c r="H235" i="160"/>
  <c r="G235" i="160" s="1"/>
  <c r="G236" i="160" s="1"/>
  <c r="I235" i="160"/>
  <c r="F236" i="160"/>
  <c r="G321" i="158"/>
  <c r="G325" i="158" s="1"/>
  <c r="G326" i="158" s="1"/>
  <c r="K485" i="160"/>
  <c r="L485" i="160" s="1"/>
  <c r="G485" i="164"/>
  <c r="K13" i="49"/>
  <c r="I499" i="166"/>
  <c r="I19" i="166"/>
  <c r="I223" i="165"/>
  <c r="G313" i="9"/>
  <c r="G801" i="9" s="1"/>
  <c r="I312" i="9"/>
  <c r="I313" i="9" s="1"/>
  <c r="I801" i="9" s="1"/>
  <c r="F551" i="158"/>
  <c r="F556" i="158"/>
  <c r="I481" i="157"/>
  <c r="G283" i="159"/>
  <c r="G324" i="159" s="1"/>
  <c r="F458" i="167"/>
  <c r="L417" i="161"/>
  <c r="J224" i="160"/>
  <c r="G224" i="167" s="1"/>
  <c r="J224" i="167" s="1"/>
  <c r="H224" i="160"/>
  <c r="G224" i="165" s="1"/>
  <c r="I224" i="160"/>
  <c r="G224" i="166" s="1"/>
  <c r="J224" i="166" s="1"/>
  <c r="I258" i="162" l="1"/>
  <c r="F258" i="166" s="1"/>
  <c r="G465" i="166"/>
  <c r="G210" i="155"/>
  <c r="J227" i="164"/>
  <c r="K227" i="164" s="1"/>
  <c r="J579" i="165"/>
  <c r="K579" i="165" s="1"/>
  <c r="H270" i="160"/>
  <c r="J429" i="162"/>
  <c r="F429" i="167" s="1"/>
  <c r="K429" i="167" s="1"/>
  <c r="O828" i="159"/>
  <c r="G212" i="162"/>
  <c r="K212" i="160"/>
  <c r="L212" i="160" s="1"/>
  <c r="G212" i="164"/>
  <c r="G481" i="157"/>
  <c r="G838" i="157" s="1"/>
  <c r="J838" i="157" s="1"/>
  <c r="K838" i="157" s="1"/>
  <c r="J211" i="166"/>
  <c r="K321" i="158"/>
  <c r="K325" i="158" s="1"/>
  <c r="K326" i="158" s="1"/>
  <c r="G834" i="160"/>
  <c r="K834" i="160" s="1"/>
  <c r="L834" i="160" s="1"/>
  <c r="J419" i="164"/>
  <c r="F283" i="161"/>
  <c r="F324" i="161" s="1"/>
  <c r="J213" i="166"/>
  <c r="G578" i="161"/>
  <c r="L833" i="155"/>
  <c r="J212" i="164"/>
  <c r="K520" i="165"/>
  <c r="F238" i="161"/>
  <c r="F296" i="161" s="1"/>
  <c r="J213" i="167"/>
  <c r="G480" i="160"/>
  <c r="G521" i="159"/>
  <c r="I209" i="162"/>
  <c r="F209" i="166" s="1"/>
  <c r="K209" i="166" s="1"/>
  <c r="F263" i="164"/>
  <c r="K263" i="164" s="1"/>
  <c r="J425" i="164"/>
  <c r="I480" i="162"/>
  <c r="F480" i="166" s="1"/>
  <c r="J588" i="162"/>
  <c r="F588" i="167" s="1"/>
  <c r="G588" i="167" s="1"/>
  <c r="J226" i="164"/>
  <c r="O833" i="157"/>
  <c r="K283" i="159"/>
  <c r="K324" i="159" s="1"/>
  <c r="J579" i="167"/>
  <c r="K579" i="167" s="1"/>
  <c r="H258" i="162"/>
  <c r="F258" i="165" s="1"/>
  <c r="J430" i="167"/>
  <c r="H210" i="162"/>
  <c r="F210" i="165" s="1"/>
  <c r="G519" i="159"/>
  <c r="F519" i="160" s="1"/>
  <c r="J225" i="164"/>
  <c r="F275" i="160"/>
  <c r="I270" i="162"/>
  <c r="F270" i="166" s="1"/>
  <c r="K270" i="166" s="1"/>
  <c r="G480" i="155"/>
  <c r="H480" i="164" s="1"/>
  <c r="G223" i="155"/>
  <c r="K223" i="155" s="1"/>
  <c r="L223" i="155" s="1"/>
  <c r="J485" i="164"/>
  <c r="J213" i="162"/>
  <c r="F213" i="167" s="1"/>
  <c r="K421" i="165"/>
  <c r="G213" i="155"/>
  <c r="J264" i="164"/>
  <c r="G258" i="160"/>
  <c r="H816" i="159"/>
  <c r="K421" i="166"/>
  <c r="G644" i="160"/>
  <c r="K644" i="160" s="1"/>
  <c r="J428" i="164"/>
  <c r="J210" i="166"/>
  <c r="G585" i="161"/>
  <c r="K584" i="161"/>
  <c r="G323" i="159"/>
  <c r="G296" i="159"/>
  <c r="G816" i="159" s="1"/>
  <c r="K206" i="161"/>
  <c r="G215" i="161"/>
  <c r="I206" i="164"/>
  <c r="G303" i="161"/>
  <c r="G304" i="161" s="1"/>
  <c r="I302" i="164"/>
  <c r="I303" i="164" s="1"/>
  <c r="I304" i="164" s="1"/>
  <c r="K302" i="161"/>
  <c r="G529" i="161"/>
  <c r="K578" i="161"/>
  <c r="G580" i="161"/>
  <c r="G598" i="161" s="1"/>
  <c r="K633" i="9"/>
  <c r="K870" i="9"/>
  <c r="I838" i="157"/>
  <c r="O838" i="157" s="1"/>
  <c r="G522" i="159"/>
  <c r="J519" i="159"/>
  <c r="K329" i="162"/>
  <c r="I529" i="167"/>
  <c r="I323" i="157"/>
  <c r="I296" i="157"/>
  <c r="F521" i="160"/>
  <c r="J521" i="159"/>
  <c r="K521" i="159" s="1"/>
  <c r="H870" i="9"/>
  <c r="H633" i="9"/>
  <c r="H841" i="9"/>
  <c r="G19" i="167"/>
  <c r="G499" i="167"/>
  <c r="G550" i="159"/>
  <c r="G599" i="159"/>
  <c r="G604" i="159"/>
  <c r="J235" i="157"/>
  <c r="G236" i="157"/>
  <c r="H801" i="159"/>
  <c r="I801" i="159"/>
  <c r="H519" i="157"/>
  <c r="F522" i="157"/>
  <c r="F329" i="164"/>
  <c r="F234" i="165"/>
  <c r="G420" i="165"/>
  <c r="H431" i="160"/>
  <c r="H433" i="160" s="1"/>
  <c r="I235" i="166"/>
  <c r="I236" i="166" s="1"/>
  <c r="I236" i="161"/>
  <c r="H221" i="155"/>
  <c r="I221" i="155"/>
  <c r="I221" i="162" s="1"/>
  <c r="J221" i="155"/>
  <c r="F229" i="155"/>
  <c r="I221" i="165"/>
  <c r="I229" i="165" s="1"/>
  <c r="H221" i="162"/>
  <c r="H229" i="161"/>
  <c r="I221" i="166"/>
  <c r="I229" i="166" s="1"/>
  <c r="I229" i="161"/>
  <c r="H562" i="166"/>
  <c r="H891" i="166"/>
  <c r="J259" i="164"/>
  <c r="H235" i="155"/>
  <c r="I235" i="155"/>
  <c r="I235" i="162" s="1"/>
  <c r="J235" i="155"/>
  <c r="F236" i="155"/>
  <c r="I302" i="167"/>
  <c r="I303" i="167" s="1"/>
  <c r="I304" i="167" s="1"/>
  <c r="J303" i="161"/>
  <c r="J304" i="161" s="1"/>
  <c r="J799" i="161" s="1"/>
  <c r="I535" i="165"/>
  <c r="I536" i="165" s="1"/>
  <c r="H536" i="161"/>
  <c r="G213" i="160"/>
  <c r="K480" i="160"/>
  <c r="L480" i="160" s="1"/>
  <c r="G480" i="164"/>
  <c r="J430" i="165"/>
  <c r="J491" i="166"/>
  <c r="J493" i="166" s="1"/>
  <c r="G493" i="166"/>
  <c r="J220" i="166"/>
  <c r="K220" i="166" s="1"/>
  <c r="G885" i="158"/>
  <c r="G543" i="158"/>
  <c r="G545" i="158" s="1"/>
  <c r="K540" i="161"/>
  <c r="L539" i="161"/>
  <c r="L540" i="161" s="1"/>
  <c r="J27" i="166"/>
  <c r="J636" i="166"/>
  <c r="J639" i="166" s="1"/>
  <c r="J641" i="166" s="1"/>
  <c r="J868" i="166"/>
  <c r="J609" i="161"/>
  <c r="I279" i="167"/>
  <c r="I281" i="167" s="1"/>
  <c r="J281" i="161"/>
  <c r="G578" i="160"/>
  <c r="I211" i="162"/>
  <c r="F211" i="166" s="1"/>
  <c r="G302" i="166"/>
  <c r="I303" i="160"/>
  <c r="I304" i="160" s="1"/>
  <c r="G302" i="160"/>
  <c r="J626" i="164"/>
  <c r="J630" i="164" s="1"/>
  <c r="G630" i="164"/>
  <c r="F283" i="160"/>
  <c r="F324" i="160" s="1"/>
  <c r="J18" i="159"/>
  <c r="J498" i="159"/>
  <c r="I499" i="164"/>
  <c r="I19" i="164"/>
  <c r="H891" i="167"/>
  <c r="H562" i="167"/>
  <c r="F234" i="166"/>
  <c r="K589" i="160"/>
  <c r="L588" i="160"/>
  <c r="L589" i="160" s="1"/>
  <c r="I420" i="167"/>
  <c r="I431" i="167" s="1"/>
  <c r="I433" i="167" s="1"/>
  <c r="J431" i="161"/>
  <c r="J433" i="161" s="1"/>
  <c r="L834" i="161"/>
  <c r="P834" i="161"/>
  <c r="F604" i="161"/>
  <c r="F550" i="161"/>
  <c r="F599" i="161"/>
  <c r="L484" i="161"/>
  <c r="J224" i="165"/>
  <c r="K457" i="167"/>
  <c r="K458" i="167" s="1"/>
  <c r="G235" i="166"/>
  <c r="I236" i="160"/>
  <c r="J27" i="167"/>
  <c r="J868" i="167"/>
  <c r="J636" i="167"/>
  <c r="J639" i="167" s="1"/>
  <c r="J641" i="167" s="1"/>
  <c r="K458" i="160"/>
  <c r="L457" i="160"/>
  <c r="L458" i="160" s="1"/>
  <c r="J484" i="164"/>
  <c r="K485" i="162"/>
  <c r="L485" i="162" s="1"/>
  <c r="F485" i="164"/>
  <c r="K485" i="164" s="1"/>
  <c r="G19" i="166"/>
  <c r="G499" i="166"/>
  <c r="J258" i="167"/>
  <c r="G279" i="167"/>
  <c r="J281" i="160"/>
  <c r="G221" i="161"/>
  <c r="G430" i="155"/>
  <c r="G430" i="162" s="1"/>
  <c r="J14" i="158"/>
  <c r="J15" i="158" s="1"/>
  <c r="J330" i="158"/>
  <c r="J331" i="158" s="1"/>
  <c r="L854" i="161"/>
  <c r="L855" i="161" s="1"/>
  <c r="L640" i="161" s="1"/>
  <c r="K855" i="161"/>
  <c r="K640" i="161" s="1"/>
  <c r="G535" i="161"/>
  <c r="J417" i="165"/>
  <c r="J423" i="164"/>
  <c r="K854" i="155"/>
  <c r="G855" i="155"/>
  <c r="G640" i="155" s="1"/>
  <c r="H640" i="164" s="1"/>
  <c r="J480" i="167"/>
  <c r="F424" i="164"/>
  <c r="K424" i="162"/>
  <c r="L424" i="162" s="1"/>
  <c r="G206" i="165"/>
  <c r="H215" i="160"/>
  <c r="K429" i="160"/>
  <c r="L429" i="160" s="1"/>
  <c r="G429" i="164"/>
  <c r="F493" i="165"/>
  <c r="J532" i="158"/>
  <c r="K527" i="158"/>
  <c r="K532" i="158" s="1"/>
  <c r="J206" i="155"/>
  <c r="F215" i="155"/>
  <c r="I206" i="155"/>
  <c r="I206" i="162" s="1"/>
  <c r="H206" i="155"/>
  <c r="G206" i="155" s="1"/>
  <c r="K539" i="162"/>
  <c r="G540" i="162"/>
  <c r="F539" i="164"/>
  <c r="J223" i="157"/>
  <c r="G229" i="157"/>
  <c r="G429" i="155"/>
  <c r="I279" i="166"/>
  <c r="I281" i="166" s="1"/>
  <c r="I279" i="162"/>
  <c r="I281" i="161"/>
  <c r="J258" i="162"/>
  <c r="F258" i="167" s="1"/>
  <c r="G302" i="165"/>
  <c r="H303" i="160"/>
  <c r="H304" i="160" s="1"/>
  <c r="H799" i="160" s="1"/>
  <c r="I838" i="159"/>
  <c r="O838" i="159" s="1"/>
  <c r="J838" i="159"/>
  <c r="K838" i="159" s="1"/>
  <c r="F417" i="166"/>
  <c r="G27" i="160"/>
  <c r="G636" i="160"/>
  <c r="G639" i="160" s="1"/>
  <c r="G641" i="160" s="1"/>
  <c r="G868" i="160"/>
  <c r="G209" i="155"/>
  <c r="J27" i="165"/>
  <c r="J636" i="165"/>
  <c r="J639" i="165" s="1"/>
  <c r="J868" i="165"/>
  <c r="J891" i="155"/>
  <c r="J562" i="155"/>
  <c r="J303" i="157"/>
  <c r="J304" i="157" s="1"/>
  <c r="K302" i="157"/>
  <c r="K303" i="157" s="1"/>
  <c r="K304" i="157" s="1"/>
  <c r="K214" i="162"/>
  <c r="L214" i="162" s="1"/>
  <c r="F214" i="164"/>
  <c r="I420" i="166"/>
  <c r="I431" i="166" s="1"/>
  <c r="I433" i="166" s="1"/>
  <c r="I431" i="161"/>
  <c r="I433" i="161" s="1"/>
  <c r="K259" i="164"/>
  <c r="G235" i="165"/>
  <c r="H236" i="160"/>
  <c r="I479" i="166"/>
  <c r="I481" i="166" s="1"/>
  <c r="I481" i="161"/>
  <c r="G479" i="161"/>
  <c r="I584" i="160"/>
  <c r="I585" i="160" s="1"/>
  <c r="I591" i="160" s="1"/>
  <c r="F585" i="160"/>
  <c r="F591" i="160" s="1"/>
  <c r="J584" i="160"/>
  <c r="J585" i="160" s="1"/>
  <c r="J591" i="160" s="1"/>
  <c r="H584" i="160"/>
  <c r="H585" i="160" s="1"/>
  <c r="H591" i="160" s="1"/>
  <c r="G224" i="160"/>
  <c r="L13" i="49"/>
  <c r="G330" i="158"/>
  <c r="G331" i="158" s="1"/>
  <c r="G14" i="158"/>
  <c r="G15" i="158" s="1"/>
  <c r="I499" i="155"/>
  <c r="I19" i="155"/>
  <c r="H521" i="157"/>
  <c r="F521" i="155" s="1"/>
  <c r="J257" i="155"/>
  <c r="F275" i="155"/>
  <c r="F283" i="155" s="1"/>
  <c r="F324" i="155" s="1"/>
  <c r="I257" i="155"/>
  <c r="H257" i="155"/>
  <c r="J465" i="167"/>
  <c r="G458" i="164"/>
  <c r="J457" i="164"/>
  <c r="J458" i="164" s="1"/>
  <c r="I479" i="165"/>
  <c r="I481" i="165" s="1"/>
  <c r="H481" i="161"/>
  <c r="I479" i="167"/>
  <c r="I481" i="167" s="1"/>
  <c r="J481" i="161"/>
  <c r="J585" i="159"/>
  <c r="J591" i="159" s="1"/>
  <c r="K584" i="159"/>
  <c r="K585" i="159" s="1"/>
  <c r="K591" i="159" s="1"/>
  <c r="H544" i="166"/>
  <c r="H886" i="166"/>
  <c r="H641" i="164"/>
  <c r="H644" i="164" s="1"/>
  <c r="G835" i="160"/>
  <c r="K835" i="160" s="1"/>
  <c r="J539" i="166"/>
  <c r="J540" i="166" s="1"/>
  <c r="K260" i="164"/>
  <c r="F539" i="165"/>
  <c r="H540" i="162"/>
  <c r="O803" i="158"/>
  <c r="J803" i="158"/>
  <c r="K803" i="158" s="1"/>
  <c r="J488" i="158"/>
  <c r="J495" i="158" s="1"/>
  <c r="K486" i="158"/>
  <c r="K488" i="158" s="1"/>
  <c r="K495" i="158" s="1"/>
  <c r="F462" i="166"/>
  <c r="G420" i="166"/>
  <c r="I431" i="160"/>
  <c r="I433" i="160" s="1"/>
  <c r="I235" i="167"/>
  <c r="I236" i="167" s="1"/>
  <c r="J235" i="162"/>
  <c r="J236" i="161"/>
  <c r="J266" i="164"/>
  <c r="G279" i="155"/>
  <c r="H279" i="155"/>
  <c r="J279" i="155"/>
  <c r="J279" i="162" s="1"/>
  <c r="I279" i="155"/>
  <c r="F281" i="155"/>
  <c r="K528" i="164"/>
  <c r="G536" i="155"/>
  <c r="K535" i="155"/>
  <c r="H535" i="164"/>
  <c r="H536" i="164" s="1"/>
  <c r="J258" i="165"/>
  <c r="G279" i="165"/>
  <c r="H281" i="160"/>
  <c r="I221" i="167"/>
  <c r="I229" i="167" s="1"/>
  <c r="J221" i="162"/>
  <c r="F221" i="167" s="1"/>
  <c r="J229" i="161"/>
  <c r="I609" i="161"/>
  <c r="I591" i="161"/>
  <c r="H26" i="158"/>
  <c r="H548" i="158"/>
  <c r="H634" i="158"/>
  <c r="K425" i="162"/>
  <c r="L425" i="162" s="1"/>
  <c r="F425" i="164"/>
  <c r="K425" i="164" s="1"/>
  <c r="I223" i="160"/>
  <c r="J223" i="160"/>
  <c r="G223" i="160"/>
  <c r="H223" i="160"/>
  <c r="F229" i="160"/>
  <c r="F238" i="160" s="1"/>
  <c r="I562" i="155"/>
  <c r="I891" i="155"/>
  <c r="I206" i="165"/>
  <c r="I215" i="165" s="1"/>
  <c r="H215" i="161"/>
  <c r="H238" i="157"/>
  <c r="J27" i="162"/>
  <c r="J28" i="49" s="1"/>
  <c r="J868" i="162"/>
  <c r="J636" i="162"/>
  <c r="J639" i="162" s="1"/>
  <c r="J641" i="162" s="1"/>
  <c r="J644" i="162" s="1"/>
  <c r="K462" i="160"/>
  <c r="K465" i="160" s="1"/>
  <c r="L461" i="160"/>
  <c r="L462" i="160" s="1"/>
  <c r="L465" i="160" s="1"/>
  <c r="L499" i="160" s="1"/>
  <c r="J213" i="165"/>
  <c r="J211" i="167"/>
  <c r="J480" i="165"/>
  <c r="J270" i="167"/>
  <c r="I479" i="155"/>
  <c r="J479" i="155"/>
  <c r="F481" i="155"/>
  <c r="H479" i="155"/>
  <c r="I213" i="162"/>
  <c r="F213" i="166" s="1"/>
  <c r="K213" i="166" s="1"/>
  <c r="J312" i="159"/>
  <c r="G313" i="159"/>
  <c r="G801" i="159" s="1"/>
  <c r="I834" i="155"/>
  <c r="G834" i="155" s="1"/>
  <c r="K834" i="155" s="1"/>
  <c r="J521" i="161"/>
  <c r="H521" i="161"/>
  <c r="I521" i="161"/>
  <c r="K492" i="162"/>
  <c r="L492" i="162" s="1"/>
  <c r="F492" i="164"/>
  <c r="K492" i="164" s="1"/>
  <c r="I633" i="158"/>
  <c r="I870" i="158"/>
  <c r="I229" i="160"/>
  <c r="I580" i="161"/>
  <c r="I598" i="161" s="1"/>
  <c r="K419" i="162"/>
  <c r="L419" i="162" s="1"/>
  <c r="F419" i="164"/>
  <c r="J234" i="166"/>
  <c r="G270" i="155"/>
  <c r="K458" i="155"/>
  <c r="L457" i="155"/>
  <c r="L458" i="155" s="1"/>
  <c r="J429" i="165"/>
  <c r="J269" i="164"/>
  <c r="H302" i="155"/>
  <c r="I302" i="155"/>
  <c r="J302" i="155"/>
  <c r="F303" i="155"/>
  <c r="F304" i="155" s="1"/>
  <c r="G211" i="155"/>
  <c r="L234" i="160"/>
  <c r="L236" i="160" s="1"/>
  <c r="I522" i="159"/>
  <c r="F519" i="161"/>
  <c r="G544" i="159"/>
  <c r="G886" i="159"/>
  <c r="H430" i="162"/>
  <c r="F430" i="165" s="1"/>
  <c r="K430" i="165" s="1"/>
  <c r="K421" i="167"/>
  <c r="H209" i="162"/>
  <c r="F209" i="165" s="1"/>
  <c r="K209" i="165" s="1"/>
  <c r="K428" i="162"/>
  <c r="L428" i="162" s="1"/>
  <c r="F428" i="164"/>
  <c r="K18" i="9"/>
  <c r="G835" i="161"/>
  <c r="K835" i="161" s="1"/>
  <c r="I562" i="164"/>
  <c r="I891" i="164"/>
  <c r="G868" i="166"/>
  <c r="G636" i="166"/>
  <c r="G639" i="166" s="1"/>
  <c r="G641" i="166" s="1"/>
  <c r="G644" i="166" s="1"/>
  <c r="J644" i="166" s="1"/>
  <c r="G27" i="166"/>
  <c r="H609" i="161"/>
  <c r="J609" i="155"/>
  <c r="J418" i="164"/>
  <c r="G279" i="161"/>
  <c r="I279" i="165"/>
  <c r="I281" i="165" s="1"/>
  <c r="H279" i="162"/>
  <c r="H281" i="161"/>
  <c r="L417" i="160"/>
  <c r="G540" i="155"/>
  <c r="K539" i="155"/>
  <c r="H539" i="164"/>
  <c r="H540" i="164" s="1"/>
  <c r="K211" i="161"/>
  <c r="L211" i="161" s="1"/>
  <c r="I211" i="164"/>
  <c r="J238" i="159"/>
  <c r="J484" i="165"/>
  <c r="G258" i="155"/>
  <c r="H480" i="162"/>
  <c r="F480" i="165" s="1"/>
  <c r="J481" i="159"/>
  <c r="K479" i="159"/>
  <c r="K481" i="159" s="1"/>
  <c r="F493" i="166"/>
  <c r="J210" i="167"/>
  <c r="K210" i="167" s="1"/>
  <c r="H420" i="155"/>
  <c r="J420" i="155"/>
  <c r="I420" i="155"/>
  <c r="I420" i="162" s="1"/>
  <c r="F431" i="155"/>
  <c r="F433" i="155" s="1"/>
  <c r="I430" i="162"/>
  <c r="F430" i="166" s="1"/>
  <c r="J584" i="157"/>
  <c r="G585" i="157"/>
  <c r="G591" i="157" s="1"/>
  <c r="F329" i="166"/>
  <c r="K234" i="167"/>
  <c r="G257" i="165"/>
  <c r="H275" i="160"/>
  <c r="H283" i="160" s="1"/>
  <c r="H324" i="160" s="1"/>
  <c r="G257" i="166"/>
  <c r="I275" i="160"/>
  <c r="G27" i="161"/>
  <c r="C25" i="168" s="1"/>
  <c r="G868" i="161"/>
  <c r="G636" i="161"/>
  <c r="G639" i="161" s="1"/>
  <c r="G641" i="161" s="1"/>
  <c r="G644" i="161" s="1"/>
  <c r="K644" i="161" s="1"/>
  <c r="H19" i="167"/>
  <c r="H499" i="167"/>
  <c r="G891" i="160"/>
  <c r="G562" i="160"/>
  <c r="G462" i="162"/>
  <c r="F461" i="164"/>
  <c r="K461" i="162"/>
  <c r="G465" i="165"/>
  <c r="F540" i="166"/>
  <c r="J544" i="155"/>
  <c r="J886" i="155"/>
  <c r="K636" i="155"/>
  <c r="K639" i="155" s="1"/>
  <c r="K868" i="155"/>
  <c r="K27" i="155"/>
  <c r="L27" i="155" s="1"/>
  <c r="G609" i="160"/>
  <c r="J214" i="164"/>
  <c r="G420" i="161"/>
  <c r="I420" i="165"/>
  <c r="I431" i="165" s="1"/>
  <c r="I433" i="165" s="1"/>
  <c r="H431" i="161"/>
  <c r="H433" i="161" s="1"/>
  <c r="H828" i="161" s="1"/>
  <c r="I257" i="165"/>
  <c r="I275" i="165" s="1"/>
  <c r="H275" i="161"/>
  <c r="J465" i="157"/>
  <c r="F261" i="164"/>
  <c r="K261" i="162"/>
  <c r="L261" i="162" s="1"/>
  <c r="F458" i="166"/>
  <c r="K457" i="166"/>
  <c r="K458" i="166" s="1"/>
  <c r="K266" i="164"/>
  <c r="L417" i="155"/>
  <c r="K330" i="158"/>
  <c r="K331" i="158" s="1"/>
  <c r="K14" i="158"/>
  <c r="K15" i="158" s="1"/>
  <c r="K235" i="160"/>
  <c r="L235" i="160" s="1"/>
  <c r="G235" i="164"/>
  <c r="H499" i="166"/>
  <c r="H19" i="166"/>
  <c r="G868" i="167"/>
  <c r="G636" i="167"/>
  <c r="G639" i="167" s="1"/>
  <c r="G641" i="167" s="1"/>
  <c r="G644" i="167" s="1"/>
  <c r="J644" i="167" s="1"/>
  <c r="G27" i="167"/>
  <c r="J838" i="161"/>
  <c r="H838" i="161"/>
  <c r="G838" i="161" s="1"/>
  <c r="K838" i="161" s="1"/>
  <c r="I838" i="161"/>
  <c r="G840" i="158"/>
  <c r="H840" i="158"/>
  <c r="F501" i="158"/>
  <c r="L484" i="160"/>
  <c r="J461" i="166"/>
  <c r="J462" i="166" s="1"/>
  <c r="J465" i="166" s="1"/>
  <c r="K213" i="155"/>
  <c r="L213" i="155" s="1"/>
  <c r="H213" i="164"/>
  <c r="G562" i="165"/>
  <c r="G891" i="165"/>
  <c r="F493" i="167"/>
  <c r="H585" i="161"/>
  <c r="H591" i="161" s="1"/>
  <c r="K258" i="160"/>
  <c r="L258" i="160" s="1"/>
  <c r="G258" i="164"/>
  <c r="K480" i="155"/>
  <c r="L480" i="155" s="1"/>
  <c r="K210" i="155"/>
  <c r="L210" i="155" s="1"/>
  <c r="H210" i="164"/>
  <c r="K279" i="160"/>
  <c r="G279" i="164"/>
  <c r="G281" i="160"/>
  <c r="I206" i="167"/>
  <c r="I215" i="167" s="1"/>
  <c r="J215" i="161"/>
  <c r="G640" i="162"/>
  <c r="I640" i="164"/>
  <c r="J640" i="164" s="1"/>
  <c r="K626" i="167"/>
  <c r="K630" i="167" s="1"/>
  <c r="K868" i="167" s="1"/>
  <c r="F630" i="167"/>
  <c r="I302" i="165"/>
  <c r="I303" i="165" s="1"/>
  <c r="I304" i="165" s="1"/>
  <c r="H302" i="162"/>
  <c r="H303" i="161"/>
  <c r="H304" i="161" s="1"/>
  <c r="I529" i="166"/>
  <c r="J891" i="162"/>
  <c r="J562" i="162"/>
  <c r="G465" i="160"/>
  <c r="H640" i="165"/>
  <c r="H640" i="162"/>
  <c r="F640" i="165" s="1"/>
  <c r="G579" i="164"/>
  <c r="I579" i="164"/>
  <c r="H579" i="164"/>
  <c r="G206" i="167"/>
  <c r="J215" i="160"/>
  <c r="L329" i="162"/>
  <c r="F876" i="159"/>
  <c r="H584" i="155"/>
  <c r="H584" i="162" s="1"/>
  <c r="F585" i="155"/>
  <c r="F591" i="155" s="1"/>
  <c r="K262" i="162"/>
  <c r="L262" i="162" s="1"/>
  <c r="F262" i="164"/>
  <c r="K262" i="164" s="1"/>
  <c r="L234" i="161"/>
  <c r="H562" i="155"/>
  <c r="H891" i="155"/>
  <c r="J211" i="162"/>
  <c r="F211" i="167" s="1"/>
  <c r="K238" i="159"/>
  <c r="J491" i="164"/>
  <c r="J493" i="164" s="1"/>
  <c r="G493" i="164"/>
  <c r="K562" i="157"/>
  <c r="K891" i="157"/>
  <c r="I479" i="160"/>
  <c r="J479" i="160"/>
  <c r="J479" i="162" s="1"/>
  <c r="F481" i="160"/>
  <c r="H479" i="160"/>
  <c r="G479" i="160" s="1"/>
  <c r="K429" i="161"/>
  <c r="L429" i="161" s="1"/>
  <c r="G429" i="162"/>
  <c r="I429" i="164"/>
  <c r="H211" i="162"/>
  <c r="F211" i="165" s="1"/>
  <c r="K211" i="165" s="1"/>
  <c r="I307" i="9"/>
  <c r="I486" i="9"/>
  <c r="I527" i="9"/>
  <c r="I487" i="9"/>
  <c r="I308" i="9"/>
  <c r="K630" i="161"/>
  <c r="L626" i="161"/>
  <c r="L630" i="161" s="1"/>
  <c r="G27" i="165"/>
  <c r="G868" i="165"/>
  <c r="G636" i="165"/>
  <c r="G639" i="165" s="1"/>
  <c r="G641" i="165" s="1"/>
  <c r="G644" i="165" s="1"/>
  <c r="I816" i="157"/>
  <c r="K429" i="165"/>
  <c r="I257" i="167"/>
  <c r="I275" i="167" s="1"/>
  <c r="I283" i="167" s="1"/>
  <c r="I324" i="167" s="1"/>
  <c r="J275" i="161"/>
  <c r="J283" i="161" s="1"/>
  <c r="J324" i="161" s="1"/>
  <c r="J257" i="162"/>
  <c r="L484" i="155"/>
  <c r="J261" i="164"/>
  <c r="J529" i="160"/>
  <c r="G529" i="167" s="1"/>
  <c r="H529" i="160"/>
  <c r="G529" i="165" s="1"/>
  <c r="I529" i="160"/>
  <c r="G529" i="166" s="1"/>
  <c r="H465" i="164"/>
  <c r="J312" i="9"/>
  <c r="G235" i="167"/>
  <c r="J236" i="160"/>
  <c r="J491" i="167"/>
  <c r="J493" i="167" s="1"/>
  <c r="G493" i="167"/>
  <c r="I210" i="162"/>
  <c r="F210" i="166" s="1"/>
  <c r="H636" i="162"/>
  <c r="H639" i="162" s="1"/>
  <c r="H641" i="162" s="1"/>
  <c r="H644" i="162" s="1"/>
  <c r="H27" i="162"/>
  <c r="H868" i="162"/>
  <c r="F461" i="167"/>
  <c r="J462" i="162"/>
  <c r="J465" i="162" s="1"/>
  <c r="K480" i="161"/>
  <c r="L480" i="161" s="1"/>
  <c r="I480" i="164"/>
  <c r="G480" i="162"/>
  <c r="K423" i="162"/>
  <c r="L423" i="162" s="1"/>
  <c r="F423" i="164"/>
  <c r="K234" i="155"/>
  <c r="H234" i="164"/>
  <c r="J234" i="164" s="1"/>
  <c r="G876" i="9"/>
  <c r="J206" i="157"/>
  <c r="G215" i="157"/>
  <c r="G224" i="155"/>
  <c r="J209" i="162"/>
  <c r="F209" i="167" s="1"/>
  <c r="F14" i="158"/>
  <c r="F15" i="158" s="1"/>
  <c r="F330" i="158"/>
  <c r="F331" i="158" s="1"/>
  <c r="J539" i="167"/>
  <c r="J540" i="167" s="1"/>
  <c r="J209" i="165"/>
  <c r="J562" i="165"/>
  <c r="J891" i="165"/>
  <c r="F458" i="165"/>
  <c r="K457" i="165"/>
  <c r="K458" i="165" s="1"/>
  <c r="J224" i="162"/>
  <c r="F224" i="167" s="1"/>
  <c r="K224" i="167" s="1"/>
  <c r="F18" i="160"/>
  <c r="F498" i="160"/>
  <c r="H828" i="160"/>
  <c r="F312" i="160"/>
  <c r="G420" i="160"/>
  <c r="F323" i="161"/>
  <c r="K220" i="160"/>
  <c r="G220" i="164"/>
  <c r="G220" i="162"/>
  <c r="O799" i="159"/>
  <c r="J799" i="159"/>
  <c r="K799" i="159" s="1"/>
  <c r="H19" i="155"/>
  <c r="H499" i="155"/>
  <c r="I206" i="166"/>
  <c r="I215" i="166" s="1"/>
  <c r="I215" i="161"/>
  <c r="K876" i="158"/>
  <c r="K417" i="167"/>
  <c r="F544" i="161"/>
  <c r="F886" i="161"/>
  <c r="F540" i="167"/>
  <c r="G211" i="160"/>
  <c r="G430" i="160"/>
  <c r="I27" i="162"/>
  <c r="I28" i="49" s="1"/>
  <c r="I868" i="162"/>
  <c r="I636" i="162"/>
  <c r="I639" i="162" s="1"/>
  <c r="I641" i="162" s="1"/>
  <c r="I644" i="162" s="1"/>
  <c r="F19" i="155"/>
  <c r="F499" i="155"/>
  <c r="H835" i="155"/>
  <c r="I835" i="155"/>
  <c r="J835" i="155"/>
  <c r="J281" i="157"/>
  <c r="K279" i="157"/>
  <c r="K281" i="157" s="1"/>
  <c r="F422" i="164"/>
  <c r="K422" i="164" s="1"/>
  <c r="K422" i="162"/>
  <c r="L422" i="162" s="1"/>
  <c r="H544" i="155"/>
  <c r="H886" i="155"/>
  <c r="G206" i="166"/>
  <c r="I215" i="160"/>
  <c r="H522" i="159"/>
  <c r="J536" i="159"/>
  <c r="K535" i="159"/>
  <c r="K536" i="159" s="1"/>
  <c r="K430" i="161"/>
  <c r="L430" i="161" s="1"/>
  <c r="I430" i="164"/>
  <c r="H550" i="157"/>
  <c r="H604" i="157"/>
  <c r="H599" i="157"/>
  <c r="I834" i="157"/>
  <c r="J834" i="157" s="1"/>
  <c r="K834" i="157" s="1"/>
  <c r="F589" i="167"/>
  <c r="I588" i="167"/>
  <c r="I589" i="167" s="1"/>
  <c r="H562" i="165"/>
  <c r="H891" i="165"/>
  <c r="K493" i="160"/>
  <c r="L491" i="160"/>
  <c r="L493" i="160" s="1"/>
  <c r="G302" i="167"/>
  <c r="J303" i="160"/>
  <c r="J304" i="160" s="1"/>
  <c r="J891" i="157"/>
  <c r="J562" i="157"/>
  <c r="G257" i="164"/>
  <c r="K257" i="160"/>
  <c r="H224" i="162"/>
  <c r="F224" i="165" s="1"/>
  <c r="K224" i="165" s="1"/>
  <c r="G630" i="162"/>
  <c r="F626" i="164"/>
  <c r="K626" i="162"/>
  <c r="L539" i="160"/>
  <c r="L540" i="160" s="1"/>
  <c r="K540" i="160"/>
  <c r="K462" i="161"/>
  <c r="K465" i="161" s="1"/>
  <c r="L461" i="161"/>
  <c r="L462" i="161" s="1"/>
  <c r="L465" i="161" s="1"/>
  <c r="L499" i="161" s="1"/>
  <c r="K493" i="161"/>
  <c r="L491" i="161"/>
  <c r="L493" i="161" s="1"/>
  <c r="L854" i="160"/>
  <c r="L855" i="160" s="1"/>
  <c r="L640" i="160" s="1"/>
  <c r="K855" i="160"/>
  <c r="K640" i="160" s="1"/>
  <c r="I257" i="166"/>
  <c r="I275" i="166" s="1"/>
  <c r="I283" i="166" s="1"/>
  <c r="I324" i="166" s="1"/>
  <c r="I257" i="162"/>
  <c r="I275" i="161"/>
  <c r="G257" i="161"/>
  <c r="F484" i="164"/>
  <c r="K484" i="162"/>
  <c r="K417" i="162"/>
  <c r="F417" i="164"/>
  <c r="K421" i="162"/>
  <c r="L421" i="162" s="1"/>
  <c r="F421" i="164"/>
  <c r="K421" i="164" s="1"/>
  <c r="K462" i="155"/>
  <c r="L461" i="155"/>
  <c r="L462" i="155" s="1"/>
  <c r="L465" i="155" s="1"/>
  <c r="L499" i="155" s="1"/>
  <c r="J801" i="9"/>
  <c r="K801" i="9" s="1"/>
  <c r="I224" i="162"/>
  <c r="F224" i="166" s="1"/>
  <c r="K224" i="166" s="1"/>
  <c r="F220" i="167"/>
  <c r="K626" i="165"/>
  <c r="K630" i="165" s="1"/>
  <c r="K868" i="165" s="1"/>
  <c r="F630" i="165"/>
  <c r="J257" i="157"/>
  <c r="G275" i="157"/>
  <c r="G283" i="157" s="1"/>
  <c r="G324" i="157" s="1"/>
  <c r="J480" i="162"/>
  <c r="F480" i="167" s="1"/>
  <c r="K480" i="167" s="1"/>
  <c r="G458" i="162"/>
  <c r="F457" i="164"/>
  <c r="K457" i="162"/>
  <c r="I544" i="155"/>
  <c r="I886" i="155"/>
  <c r="F329" i="167"/>
  <c r="O799" i="157"/>
  <c r="J799" i="157"/>
  <c r="K799" i="157" s="1"/>
  <c r="J270" i="162"/>
  <c r="F270" i="167" s="1"/>
  <c r="G562" i="166"/>
  <c r="G891" i="166"/>
  <c r="J484" i="166"/>
  <c r="J522" i="9"/>
  <c r="K519" i="9"/>
  <c r="K522" i="9" s="1"/>
  <c r="I429" i="162"/>
  <c r="F429" i="166" s="1"/>
  <c r="F484" i="165"/>
  <c r="K418" i="162"/>
  <c r="L418" i="162" s="1"/>
  <c r="F418" i="164"/>
  <c r="F461" i="165"/>
  <c r="H462" i="162"/>
  <c r="H465" i="162" s="1"/>
  <c r="G520" i="164"/>
  <c r="J520" i="164" s="1"/>
  <c r="K520" i="160"/>
  <c r="L520" i="160" s="1"/>
  <c r="G520" i="162"/>
  <c r="G589" i="161"/>
  <c r="K588" i="161"/>
  <c r="G891" i="167"/>
  <c r="G562" i="167"/>
  <c r="G500" i="158"/>
  <c r="G501" i="158" s="1"/>
  <c r="G20" i="158"/>
  <c r="G21" i="158" s="1"/>
  <c r="J209" i="167"/>
  <c r="G209" i="160"/>
  <c r="I499" i="162"/>
  <c r="I19" i="162"/>
  <c r="I20" i="49" s="1"/>
  <c r="G420" i="167"/>
  <c r="J431" i="160"/>
  <c r="J433" i="160" s="1"/>
  <c r="J828" i="160" s="1"/>
  <c r="G235" i="161"/>
  <c r="I235" i="165"/>
  <c r="I236" i="165" s="1"/>
  <c r="I238" i="165" s="1"/>
  <c r="H236" i="161"/>
  <c r="F225" i="164"/>
  <c r="K225" i="162"/>
  <c r="L225" i="162" s="1"/>
  <c r="I585" i="161"/>
  <c r="J585" i="161"/>
  <c r="J591" i="161" s="1"/>
  <c r="K264" i="162"/>
  <c r="L264" i="162" s="1"/>
  <c r="F264" i="164"/>
  <c r="K264" i="164" s="1"/>
  <c r="J417" i="166"/>
  <c r="J258" i="166"/>
  <c r="K258" i="166" s="1"/>
  <c r="F313" i="157"/>
  <c r="G279" i="166"/>
  <c r="I281" i="160"/>
  <c r="K329" i="164"/>
  <c r="J481" i="157"/>
  <c r="K479" i="157"/>
  <c r="K481" i="157" s="1"/>
  <c r="I224" i="164"/>
  <c r="K224" i="161"/>
  <c r="L224" i="161" s="1"/>
  <c r="H213" i="162"/>
  <c r="F213" i="165" s="1"/>
  <c r="K213" i="165" s="1"/>
  <c r="I323" i="159"/>
  <c r="I296" i="159"/>
  <c r="I816" i="159" s="1"/>
  <c r="H19" i="165"/>
  <c r="H499" i="165"/>
  <c r="K604" i="9"/>
  <c r="J265" i="164"/>
  <c r="K265" i="164" s="1"/>
  <c r="J220" i="165"/>
  <c r="K220" i="165" s="1"/>
  <c r="J876" i="158"/>
  <c r="I634" i="158"/>
  <c r="I26" i="158"/>
  <c r="I548" i="158"/>
  <c r="I18" i="157"/>
  <c r="I312" i="157"/>
  <c r="I313" i="157" s="1"/>
  <c r="I498" i="157"/>
  <c r="I302" i="166"/>
  <c r="I303" i="166" s="1"/>
  <c r="I304" i="166" s="1"/>
  <c r="I303" i="161"/>
  <c r="I304" i="161" s="1"/>
  <c r="I302" i="162"/>
  <c r="I535" i="166"/>
  <c r="I536" i="166" s="1"/>
  <c r="I536" i="161"/>
  <c r="I535" i="167"/>
  <c r="I536" i="167" s="1"/>
  <c r="J536" i="161"/>
  <c r="J430" i="162"/>
  <c r="F430" i="167" s="1"/>
  <c r="I529" i="165"/>
  <c r="G462" i="164"/>
  <c r="G465" i="164" s="1"/>
  <c r="J461" i="164"/>
  <c r="J462" i="164" s="1"/>
  <c r="H529" i="157"/>
  <c r="F529" i="155" s="1"/>
  <c r="J480" i="166"/>
  <c r="K480" i="166" s="1"/>
  <c r="G270" i="160"/>
  <c r="G275" i="160" s="1"/>
  <c r="G283" i="160" s="1"/>
  <c r="G324" i="160" s="1"/>
  <c r="J484" i="167"/>
  <c r="J424" i="164"/>
  <c r="J430" i="166"/>
  <c r="G221" i="160"/>
  <c r="K626" i="166"/>
  <c r="K630" i="166" s="1"/>
  <c r="F630" i="166"/>
  <c r="J491" i="165"/>
  <c r="J493" i="165" s="1"/>
  <c r="G493" i="165"/>
  <c r="K329" i="155"/>
  <c r="J220" i="167"/>
  <c r="H544" i="165"/>
  <c r="H886" i="165"/>
  <c r="J578" i="162"/>
  <c r="J580" i="161"/>
  <c r="J598" i="161" s="1"/>
  <c r="H580" i="161"/>
  <c r="H598" i="161" s="1"/>
  <c r="H578" i="162"/>
  <c r="G641" i="155"/>
  <c r="G644" i="155" s="1"/>
  <c r="K644" i="155" s="1"/>
  <c r="G206" i="160"/>
  <c r="J429" i="166"/>
  <c r="F269" i="164"/>
  <c r="K269" i="164" s="1"/>
  <c r="K269" i="162"/>
  <c r="L269" i="162" s="1"/>
  <c r="J420" i="157"/>
  <c r="G431" i="157"/>
  <c r="G433" i="157" s="1"/>
  <c r="I535" i="160"/>
  <c r="I535" i="162" s="1"/>
  <c r="F536" i="160"/>
  <c r="J535" i="160"/>
  <c r="G535" i="160"/>
  <c r="H535" i="160"/>
  <c r="G19" i="157"/>
  <c r="G499" i="157"/>
  <c r="G835" i="157"/>
  <c r="G891" i="161"/>
  <c r="G562" i="161"/>
  <c r="H588" i="165"/>
  <c r="H589" i="165" s="1"/>
  <c r="F589" i="165"/>
  <c r="I588" i="165"/>
  <c r="I589" i="165" s="1"/>
  <c r="G588" i="165"/>
  <c r="H609" i="155"/>
  <c r="K226" i="162"/>
  <c r="L226" i="162" s="1"/>
  <c r="F226" i="164"/>
  <c r="G234" i="162"/>
  <c r="J417" i="164"/>
  <c r="K484" i="167"/>
  <c r="I799" i="160"/>
  <c r="P833" i="160"/>
  <c r="L833" i="160"/>
  <c r="J19" i="160"/>
  <c r="J499" i="160"/>
  <c r="G210" i="160"/>
  <c r="J210" i="165"/>
  <c r="K210" i="165" s="1"/>
  <c r="H18" i="157"/>
  <c r="H312" i="157"/>
  <c r="H313" i="157" s="1"/>
  <c r="H498" i="157"/>
  <c r="H35" i="9"/>
  <c r="H37" i="9" s="1"/>
  <c r="H334" i="9"/>
  <c r="H899" i="9"/>
  <c r="H817" i="9"/>
  <c r="K630" i="160"/>
  <c r="L626" i="160"/>
  <c r="L630" i="160" s="1"/>
  <c r="G257" i="167"/>
  <c r="J275" i="160"/>
  <c r="J283" i="160" s="1"/>
  <c r="J324" i="160" s="1"/>
  <c r="J527" i="9"/>
  <c r="G532" i="9"/>
  <c r="F527" i="157"/>
  <c r="I27" i="164"/>
  <c r="I636" i="164"/>
  <c r="I639" i="164" s="1"/>
  <c r="I641" i="164" s="1"/>
  <c r="I644" i="164" s="1"/>
  <c r="I868" i="164"/>
  <c r="J19" i="155"/>
  <c r="J499" i="155"/>
  <c r="G540" i="164"/>
  <c r="J539" i="164"/>
  <c r="J540" i="164" s="1"/>
  <c r="G499" i="161"/>
  <c r="G19" i="161"/>
  <c r="J461" i="165"/>
  <c r="J462" i="165" s="1"/>
  <c r="J465" i="165" s="1"/>
  <c r="I562" i="162"/>
  <c r="I891" i="162"/>
  <c r="H544" i="167"/>
  <c r="H886" i="167"/>
  <c r="L636" i="155"/>
  <c r="L639" i="155" s="1"/>
  <c r="L868" i="155"/>
  <c r="K491" i="162"/>
  <c r="G493" i="162"/>
  <c r="F491" i="164"/>
  <c r="F312" i="161"/>
  <c r="F498" i="161"/>
  <c r="I828" i="161"/>
  <c r="J828" i="161"/>
  <c r="F18" i="161"/>
  <c r="K465" i="157"/>
  <c r="K499" i="157" s="1"/>
  <c r="K274" i="164"/>
  <c r="G465" i="155"/>
  <c r="K493" i="155"/>
  <c r="L491" i="155"/>
  <c r="L493" i="155" s="1"/>
  <c r="L220" i="155"/>
  <c r="F235" i="166" l="1"/>
  <c r="I236" i="162"/>
  <c r="K225" i="164"/>
  <c r="K429" i="166"/>
  <c r="O834" i="157"/>
  <c r="K213" i="167"/>
  <c r="G206" i="162"/>
  <c r="F206" i="164" s="1"/>
  <c r="K430" i="167"/>
  <c r="H206" i="162"/>
  <c r="K258" i="167"/>
  <c r="G270" i="165"/>
  <c r="J270" i="165" s="1"/>
  <c r="H270" i="162"/>
  <c r="F270" i="165" s="1"/>
  <c r="K270" i="165" s="1"/>
  <c r="K226" i="164"/>
  <c r="K210" i="166"/>
  <c r="K419" i="164"/>
  <c r="H588" i="167"/>
  <c r="H589" i="167" s="1"/>
  <c r="H609" i="167" s="1"/>
  <c r="K211" i="167"/>
  <c r="P834" i="160"/>
  <c r="H223" i="164"/>
  <c r="G479" i="155"/>
  <c r="G479" i="162" s="1"/>
  <c r="F238" i="155"/>
  <c r="F296" i="155" s="1"/>
  <c r="J465" i="164"/>
  <c r="I283" i="165"/>
  <c r="I324" i="165" s="1"/>
  <c r="K480" i="165"/>
  <c r="K428" i="164"/>
  <c r="K258" i="165"/>
  <c r="F465" i="166"/>
  <c r="K211" i="166"/>
  <c r="K212" i="162"/>
  <c r="L212" i="162" s="1"/>
  <c r="F212" i="164"/>
  <c r="K212" i="164" s="1"/>
  <c r="F206" i="166"/>
  <c r="I215" i="162"/>
  <c r="J604" i="161"/>
  <c r="J550" i="161"/>
  <c r="J599" i="161"/>
  <c r="G481" i="155"/>
  <c r="K479" i="155"/>
  <c r="F323" i="160"/>
  <c r="F296" i="160"/>
  <c r="F279" i="167"/>
  <c r="J281" i="162"/>
  <c r="H599" i="161"/>
  <c r="H604" i="161"/>
  <c r="H550" i="161"/>
  <c r="L834" i="155"/>
  <c r="P834" i="155"/>
  <c r="F420" i="166"/>
  <c r="F431" i="166" s="1"/>
  <c r="F433" i="166" s="1"/>
  <c r="I431" i="162"/>
  <c r="I433" i="162" s="1"/>
  <c r="O801" i="159"/>
  <c r="J801" i="159"/>
  <c r="K801" i="159" s="1"/>
  <c r="K206" i="155"/>
  <c r="G215" i="155"/>
  <c r="H206" i="164"/>
  <c r="F430" i="164"/>
  <c r="K430" i="162"/>
  <c r="L430" i="162" s="1"/>
  <c r="F493" i="164"/>
  <c r="K491" i="164"/>
  <c r="K493" i="164" s="1"/>
  <c r="G543" i="9"/>
  <c r="G545" i="9" s="1"/>
  <c r="G885" i="9"/>
  <c r="H26" i="9"/>
  <c r="H634" i="9"/>
  <c r="H595" i="9"/>
  <c r="H548" i="9"/>
  <c r="H609" i="165"/>
  <c r="I835" i="157"/>
  <c r="J835" i="157"/>
  <c r="K835" i="157" s="1"/>
  <c r="O835" i="157"/>
  <c r="I323" i="165"/>
  <c r="I296" i="165"/>
  <c r="K520" i="162"/>
  <c r="L520" i="162" s="1"/>
  <c r="F520" i="164"/>
  <c r="K520" i="164" s="1"/>
  <c r="L417" i="162"/>
  <c r="L562" i="160"/>
  <c r="L891" i="160"/>
  <c r="F609" i="167"/>
  <c r="J886" i="159"/>
  <c r="J544" i="159"/>
  <c r="K211" i="160"/>
  <c r="L211" i="160" s="1"/>
  <c r="G211" i="164"/>
  <c r="L220" i="160"/>
  <c r="J562" i="167"/>
  <c r="J891" i="167"/>
  <c r="K224" i="155"/>
  <c r="L224" i="155" s="1"/>
  <c r="H224" i="164"/>
  <c r="L234" i="155"/>
  <c r="J313" i="9"/>
  <c r="K312" i="9"/>
  <c r="K313" i="9" s="1"/>
  <c r="F308" i="159"/>
  <c r="G308" i="9"/>
  <c r="K281" i="160"/>
  <c r="L279" i="160"/>
  <c r="L281" i="160" s="1"/>
  <c r="L838" i="161"/>
  <c r="P838" i="161"/>
  <c r="K261" i="164"/>
  <c r="H420" i="165"/>
  <c r="H431" i="165" s="1"/>
  <c r="H433" i="165" s="1"/>
  <c r="H431" i="155"/>
  <c r="H433" i="155" s="1"/>
  <c r="K258" i="155"/>
  <c r="L258" i="155" s="1"/>
  <c r="H258" i="164"/>
  <c r="G891" i="155"/>
  <c r="G562" i="155"/>
  <c r="H302" i="167"/>
  <c r="H303" i="167" s="1"/>
  <c r="H304" i="167" s="1"/>
  <c r="J303" i="155"/>
  <c r="J304" i="155" s="1"/>
  <c r="G302" i="155"/>
  <c r="I521" i="167"/>
  <c r="J313" i="159"/>
  <c r="K312" i="159"/>
  <c r="K313" i="159" s="1"/>
  <c r="K223" i="160"/>
  <c r="L223" i="160" s="1"/>
  <c r="G223" i="164"/>
  <c r="J223" i="164" s="1"/>
  <c r="G223" i="162"/>
  <c r="G544" i="155"/>
  <c r="G886" i="155"/>
  <c r="I18" i="160"/>
  <c r="I312" i="160"/>
  <c r="I313" i="160" s="1"/>
  <c r="I498" i="160"/>
  <c r="F479" i="167"/>
  <c r="J481" i="162"/>
  <c r="J19" i="167"/>
  <c r="J499" i="167"/>
  <c r="H550" i="160"/>
  <c r="H599" i="160"/>
  <c r="H604" i="160"/>
  <c r="I18" i="161"/>
  <c r="I498" i="161"/>
  <c r="I312" i="161"/>
  <c r="I313" i="161" s="1"/>
  <c r="H206" i="167"/>
  <c r="H215" i="167" s="1"/>
  <c r="J215" i="155"/>
  <c r="K424" i="164"/>
  <c r="I18" i="167"/>
  <c r="I498" i="167"/>
  <c r="I312" i="167"/>
  <c r="I313" i="167" s="1"/>
  <c r="K18" i="159"/>
  <c r="K578" i="160"/>
  <c r="G580" i="160"/>
  <c r="G598" i="160" s="1"/>
  <c r="H221" i="167"/>
  <c r="J229" i="155"/>
  <c r="J420" i="165"/>
  <c r="G431" i="165"/>
  <c r="G433" i="165" s="1"/>
  <c r="F522" i="160"/>
  <c r="H519" i="160"/>
  <c r="I519" i="160"/>
  <c r="J519" i="160"/>
  <c r="K585" i="161"/>
  <c r="L584" i="161"/>
  <c r="L585" i="161" s="1"/>
  <c r="G258" i="162"/>
  <c r="G562" i="164"/>
  <c r="G891" i="164"/>
  <c r="G535" i="165"/>
  <c r="H536" i="160"/>
  <c r="F886" i="160"/>
  <c r="F544" i="160"/>
  <c r="G236" i="164"/>
  <c r="F578" i="167"/>
  <c r="J580" i="162"/>
  <c r="J598" i="162" s="1"/>
  <c r="K221" i="160"/>
  <c r="L221" i="160" s="1"/>
  <c r="G221" i="164"/>
  <c r="J19" i="164"/>
  <c r="J499" i="164"/>
  <c r="F535" i="166"/>
  <c r="I536" i="162"/>
  <c r="G281" i="166"/>
  <c r="L484" i="162"/>
  <c r="K484" i="166"/>
  <c r="G636" i="162"/>
  <c r="G639" i="162" s="1"/>
  <c r="G641" i="162" s="1"/>
  <c r="G868" i="162"/>
  <c r="G27" i="162"/>
  <c r="G28" i="49" s="1"/>
  <c r="K220" i="162"/>
  <c r="F220" i="164"/>
  <c r="G479" i="167"/>
  <c r="J481" i="160"/>
  <c r="J838" i="160" s="1"/>
  <c r="H18" i="161"/>
  <c r="H498" i="161"/>
  <c r="H312" i="161"/>
  <c r="H313" i="161" s="1"/>
  <c r="K462" i="162"/>
  <c r="L461" i="162"/>
  <c r="L462" i="162" s="1"/>
  <c r="G275" i="166"/>
  <c r="G283" i="166" s="1"/>
  <c r="G324" i="166" s="1"/>
  <c r="G599" i="157"/>
  <c r="G604" i="157"/>
  <c r="G550" i="157"/>
  <c r="I303" i="155"/>
  <c r="I304" i="155" s="1"/>
  <c r="H302" i="166"/>
  <c r="H303" i="166" s="1"/>
  <c r="H304" i="166" s="1"/>
  <c r="K270" i="155"/>
  <c r="L270" i="155" s="1"/>
  <c r="H270" i="164"/>
  <c r="F206" i="165"/>
  <c r="H215" i="162"/>
  <c r="I550" i="161"/>
  <c r="I599" i="161"/>
  <c r="I604" i="161"/>
  <c r="J238" i="161"/>
  <c r="G431" i="166"/>
  <c r="G433" i="166" s="1"/>
  <c r="J562" i="166"/>
  <c r="J891" i="166"/>
  <c r="G584" i="160"/>
  <c r="K209" i="155"/>
  <c r="L209" i="155" s="1"/>
  <c r="H209" i="164"/>
  <c r="F279" i="166"/>
  <c r="I281" i="162"/>
  <c r="K223" i="157"/>
  <c r="K229" i="157" s="1"/>
  <c r="J229" i="157"/>
  <c r="K885" i="158"/>
  <c r="K543" i="158"/>
  <c r="K545" i="158" s="1"/>
  <c r="I221" i="164"/>
  <c r="I229" i="164" s="1"/>
  <c r="K221" i="161"/>
  <c r="G229" i="161"/>
  <c r="H235" i="165"/>
  <c r="H236" i="165" s="1"/>
  <c r="H236" i="155"/>
  <c r="F221" i="166"/>
  <c r="H221" i="166"/>
  <c r="I229" i="155"/>
  <c r="G238" i="157"/>
  <c r="I521" i="160"/>
  <c r="G521" i="166" s="1"/>
  <c r="J521" i="160"/>
  <c r="G521" i="167" s="1"/>
  <c r="H521" i="160"/>
  <c r="G521" i="165" s="1"/>
  <c r="J522" i="159"/>
  <c r="K519" i="159"/>
  <c r="K522" i="159" s="1"/>
  <c r="K215" i="161"/>
  <c r="L206" i="161"/>
  <c r="L215" i="161" s="1"/>
  <c r="F313" i="161"/>
  <c r="H515" i="9"/>
  <c r="G210" i="164"/>
  <c r="J210" i="164" s="1"/>
  <c r="K210" i="160"/>
  <c r="L210" i="160" s="1"/>
  <c r="G210" i="162"/>
  <c r="G535" i="166"/>
  <c r="I536" i="160"/>
  <c r="J529" i="155"/>
  <c r="H529" i="155"/>
  <c r="H529" i="165" s="1"/>
  <c r="J529" i="165" s="1"/>
  <c r="I529" i="155"/>
  <c r="H529" i="166" s="1"/>
  <c r="J529" i="166" s="1"/>
  <c r="G19" i="164"/>
  <c r="G499" i="164"/>
  <c r="J544" i="161"/>
  <c r="J886" i="161"/>
  <c r="I544" i="161"/>
  <c r="I886" i="161"/>
  <c r="H238" i="161"/>
  <c r="J18" i="160"/>
  <c r="J312" i="160"/>
  <c r="J313" i="160" s="1"/>
  <c r="J498" i="160"/>
  <c r="G633" i="158"/>
  <c r="G870" i="158"/>
  <c r="G591" i="161"/>
  <c r="G609" i="161"/>
  <c r="K876" i="9"/>
  <c r="K458" i="162"/>
  <c r="L457" i="162"/>
  <c r="L458" i="162" s="1"/>
  <c r="F257" i="166"/>
  <c r="I275" i="162"/>
  <c r="K499" i="161"/>
  <c r="K19" i="161"/>
  <c r="L19" i="161" s="1"/>
  <c r="G303" i="167"/>
  <c r="G304" i="167" s="1"/>
  <c r="F562" i="167"/>
  <c r="F891" i="167"/>
  <c r="J220" i="164"/>
  <c r="F313" i="160"/>
  <c r="J215" i="157"/>
  <c r="K206" i="157"/>
  <c r="K215" i="157" s="1"/>
  <c r="J19" i="162"/>
  <c r="J20" i="49" s="1"/>
  <c r="J499" i="162"/>
  <c r="G529" i="160"/>
  <c r="L868" i="161"/>
  <c r="L636" i="161"/>
  <c r="L639" i="161" s="1"/>
  <c r="L641" i="161" s="1"/>
  <c r="L644" i="161" s="1"/>
  <c r="I532" i="9"/>
  <c r="F527" i="159"/>
  <c r="G479" i="165"/>
  <c r="H481" i="160"/>
  <c r="H838" i="160" s="1"/>
  <c r="G479" i="166"/>
  <c r="I481" i="160"/>
  <c r="I838" i="160" s="1"/>
  <c r="H585" i="155"/>
  <c r="H591" i="155" s="1"/>
  <c r="J584" i="155"/>
  <c r="J579" i="164"/>
  <c r="K579" i="164" s="1"/>
  <c r="F640" i="164"/>
  <c r="K640" i="162"/>
  <c r="F640" i="162"/>
  <c r="J258" i="164"/>
  <c r="K491" i="167"/>
  <c r="K493" i="167" s="1"/>
  <c r="I840" i="158"/>
  <c r="J840" i="158" s="1"/>
  <c r="K840" i="158" s="1"/>
  <c r="H283" i="161"/>
  <c r="H324" i="161" s="1"/>
  <c r="H420" i="162"/>
  <c r="F562" i="166"/>
  <c r="F891" i="166"/>
  <c r="F462" i="164"/>
  <c r="K461" i="164"/>
  <c r="K462" i="164" s="1"/>
  <c r="J585" i="157"/>
  <c r="J591" i="157" s="1"/>
  <c r="K584" i="157"/>
  <c r="K585" i="157" s="1"/>
  <c r="K591" i="157" s="1"/>
  <c r="H420" i="167"/>
  <c r="H431" i="167" s="1"/>
  <c r="H433" i="167" s="1"/>
  <c r="J431" i="155"/>
  <c r="J433" i="155" s="1"/>
  <c r="J323" i="159"/>
  <c r="J296" i="159"/>
  <c r="H891" i="164"/>
  <c r="H562" i="164"/>
  <c r="P835" i="161"/>
  <c r="L835" i="161"/>
  <c r="H519" i="161"/>
  <c r="I519" i="161"/>
  <c r="J519" i="161"/>
  <c r="F522" i="161"/>
  <c r="K211" i="155"/>
  <c r="L211" i="155" s="1"/>
  <c r="H211" i="164"/>
  <c r="I521" i="165"/>
  <c r="K19" i="160"/>
  <c r="L19" i="160" s="1"/>
  <c r="K499" i="160"/>
  <c r="G223" i="167"/>
  <c r="J229" i="160"/>
  <c r="J238" i="160" s="1"/>
  <c r="J223" i="162"/>
  <c r="F223" i="167" s="1"/>
  <c r="H544" i="164"/>
  <c r="H886" i="164"/>
  <c r="H279" i="165"/>
  <c r="H281" i="165" s="1"/>
  <c r="H281" i="155"/>
  <c r="F235" i="167"/>
  <c r="J236" i="162"/>
  <c r="J20" i="158"/>
  <c r="J21" i="158" s="1"/>
  <c r="J500" i="158"/>
  <c r="J501" i="158" s="1"/>
  <c r="K539" i="165"/>
  <c r="K540" i="165" s="1"/>
  <c r="F540" i="165"/>
  <c r="L835" i="160"/>
  <c r="P835" i="160"/>
  <c r="K550" i="159"/>
  <c r="K599" i="159"/>
  <c r="H257" i="167"/>
  <c r="H275" i="167" s="1"/>
  <c r="J275" i="155"/>
  <c r="I521" i="155"/>
  <c r="H521" i="166" s="1"/>
  <c r="J521" i="155"/>
  <c r="H521" i="167" s="1"/>
  <c r="H521" i="155"/>
  <c r="H521" i="165" s="1"/>
  <c r="K224" i="160"/>
  <c r="L224" i="160" s="1"/>
  <c r="G224" i="164"/>
  <c r="J224" i="164" s="1"/>
  <c r="J599" i="160"/>
  <c r="J604" i="160"/>
  <c r="J550" i="160"/>
  <c r="I479" i="162"/>
  <c r="J235" i="165"/>
  <c r="J236" i="165" s="1"/>
  <c r="G236" i="165"/>
  <c r="I18" i="166"/>
  <c r="I312" i="166"/>
  <c r="I313" i="166" s="1"/>
  <c r="I498" i="166"/>
  <c r="G303" i="165"/>
  <c r="G304" i="165" s="1"/>
  <c r="K539" i="164"/>
  <c r="K540" i="164" s="1"/>
  <c r="F540" i="164"/>
  <c r="J543" i="158"/>
  <c r="J545" i="158" s="1"/>
  <c r="J885" i="158"/>
  <c r="G536" i="161"/>
  <c r="K535" i="161"/>
  <c r="G535" i="162"/>
  <c r="I535" i="164"/>
  <c r="I536" i="164" s="1"/>
  <c r="J312" i="161"/>
  <c r="J313" i="161" s="1"/>
  <c r="J498" i="161"/>
  <c r="J18" i="161"/>
  <c r="L609" i="160"/>
  <c r="K234" i="166"/>
  <c r="F236" i="166"/>
  <c r="G868" i="164"/>
  <c r="G27" i="164"/>
  <c r="G636" i="164"/>
  <c r="G639" i="164" s="1"/>
  <c r="G641" i="164" s="1"/>
  <c r="G644" i="164" s="1"/>
  <c r="J644" i="164" s="1"/>
  <c r="G303" i="166"/>
  <c r="G304" i="166" s="1"/>
  <c r="K891" i="161"/>
  <c r="K562" i="161"/>
  <c r="K213" i="160"/>
  <c r="L213" i="160" s="1"/>
  <c r="G213" i="164"/>
  <c r="J213" i="164" s="1"/>
  <c r="G213" i="162"/>
  <c r="H235" i="167"/>
  <c r="H236" i="167" s="1"/>
  <c r="J236" i="155"/>
  <c r="G235" i="155"/>
  <c r="I238" i="166"/>
  <c r="K235" i="157"/>
  <c r="K236" i="157" s="1"/>
  <c r="J236" i="157"/>
  <c r="J238" i="157" s="1"/>
  <c r="G876" i="159"/>
  <c r="K303" i="161"/>
  <c r="K304" i="161" s="1"/>
  <c r="L302" i="161"/>
  <c r="L303" i="161" s="1"/>
  <c r="L304" i="161" s="1"/>
  <c r="J816" i="159"/>
  <c r="K816" i="159" s="1"/>
  <c r="O816" i="159"/>
  <c r="G19" i="155"/>
  <c r="G499" i="155"/>
  <c r="J562" i="164"/>
  <c r="J891" i="164"/>
  <c r="L636" i="160"/>
  <c r="L639" i="160" s="1"/>
  <c r="L641" i="160" s="1"/>
  <c r="L644" i="160" s="1"/>
  <c r="L868" i="160"/>
  <c r="G535" i="167"/>
  <c r="J536" i="160"/>
  <c r="K420" i="157"/>
  <c r="K431" i="157" s="1"/>
  <c r="K433" i="157" s="1"/>
  <c r="K498" i="157" s="1"/>
  <c r="J431" i="157"/>
  <c r="J433" i="157" s="1"/>
  <c r="G215" i="160"/>
  <c r="K206" i="160"/>
  <c r="G206" i="164"/>
  <c r="I886" i="167"/>
  <c r="I544" i="167"/>
  <c r="F302" i="166"/>
  <c r="I303" i="162"/>
  <c r="I304" i="162" s="1"/>
  <c r="F462" i="165"/>
  <c r="F465" i="165" s="1"/>
  <c r="K461" i="165"/>
  <c r="K462" i="165" s="1"/>
  <c r="K465" i="165" s="1"/>
  <c r="K499" i="165" s="1"/>
  <c r="F27" i="165"/>
  <c r="K27" i="165" s="1"/>
  <c r="F636" i="165"/>
  <c r="F868" i="165"/>
  <c r="K257" i="161"/>
  <c r="I257" i="164"/>
  <c r="I275" i="164" s="1"/>
  <c r="G275" i="161"/>
  <c r="G257" i="162"/>
  <c r="F630" i="164"/>
  <c r="K626" i="164"/>
  <c r="K630" i="164" s="1"/>
  <c r="G215" i="166"/>
  <c r="I310" i="9"/>
  <c r="F307" i="159"/>
  <c r="G307" i="9"/>
  <c r="G481" i="160"/>
  <c r="G479" i="164"/>
  <c r="K479" i="160"/>
  <c r="F599" i="155"/>
  <c r="F550" i="155"/>
  <c r="F604" i="155"/>
  <c r="J206" i="167"/>
  <c r="J215" i="167" s="1"/>
  <c r="G215" i="167"/>
  <c r="J640" i="165"/>
  <c r="J641" i="165" s="1"/>
  <c r="H641" i="165"/>
  <c r="H644" i="165" s="1"/>
  <c r="J644" i="165" s="1"/>
  <c r="F584" i="165"/>
  <c r="H585" i="162"/>
  <c r="H591" i="162" s="1"/>
  <c r="F870" i="158"/>
  <c r="F633" i="158"/>
  <c r="H841" i="158"/>
  <c r="G841" i="158"/>
  <c r="K420" i="161"/>
  <c r="G420" i="162"/>
  <c r="I420" i="164"/>
  <c r="I431" i="164" s="1"/>
  <c r="I433" i="164" s="1"/>
  <c r="G431" i="161"/>
  <c r="G433" i="161" s="1"/>
  <c r="G19" i="165"/>
  <c r="G499" i="165"/>
  <c r="I283" i="160"/>
  <c r="I324" i="160" s="1"/>
  <c r="F18" i="155"/>
  <c r="F312" i="155"/>
  <c r="F498" i="155"/>
  <c r="H828" i="155"/>
  <c r="I521" i="166"/>
  <c r="I521" i="162"/>
  <c r="F521" i="166" s="1"/>
  <c r="H479" i="166"/>
  <c r="H481" i="166" s="1"/>
  <c r="I481" i="155"/>
  <c r="I838" i="155" s="1"/>
  <c r="H279" i="167"/>
  <c r="H281" i="167" s="1"/>
  <c r="J281" i="155"/>
  <c r="F19" i="166"/>
  <c r="F499" i="166"/>
  <c r="I604" i="160"/>
  <c r="I550" i="160"/>
  <c r="I599" i="160"/>
  <c r="K417" i="166"/>
  <c r="K540" i="162"/>
  <c r="L539" i="162"/>
  <c r="L540" i="162" s="1"/>
  <c r="G215" i="165"/>
  <c r="H799" i="161"/>
  <c r="K430" i="155"/>
  <c r="L430" i="155" s="1"/>
  <c r="H430" i="164"/>
  <c r="G236" i="166"/>
  <c r="G303" i="160"/>
  <c r="G304" i="160" s="1"/>
  <c r="K302" i="160"/>
  <c r="G302" i="164"/>
  <c r="G556" i="158"/>
  <c r="G551" i="158"/>
  <c r="J480" i="164"/>
  <c r="H886" i="161"/>
  <c r="H544" i="161"/>
  <c r="F221" i="165"/>
  <c r="I238" i="161"/>
  <c r="K234" i="165"/>
  <c r="F876" i="157"/>
  <c r="K580" i="161"/>
  <c r="K598" i="161" s="1"/>
  <c r="L578" i="161"/>
  <c r="L580" i="161" s="1"/>
  <c r="L598" i="161" s="1"/>
  <c r="G828" i="161"/>
  <c r="K828" i="161" s="1"/>
  <c r="J19" i="165"/>
  <c r="J499" i="165"/>
  <c r="J532" i="9"/>
  <c r="K527" i="9"/>
  <c r="K532" i="9" s="1"/>
  <c r="K27" i="160"/>
  <c r="L27" i="160" s="1"/>
  <c r="K636" i="160"/>
  <c r="K639" i="160" s="1"/>
  <c r="K641" i="160" s="1"/>
  <c r="K868" i="160"/>
  <c r="G589" i="165"/>
  <c r="J588" i="165"/>
  <c r="G235" i="162"/>
  <c r="G236" i="162" s="1"/>
  <c r="I235" i="164"/>
  <c r="I236" i="164" s="1"/>
  <c r="K235" i="161"/>
  <c r="G236" i="161"/>
  <c r="G238" i="161" s="1"/>
  <c r="K589" i="161"/>
  <c r="L588" i="161"/>
  <c r="L589" i="161" s="1"/>
  <c r="K418" i="164"/>
  <c r="I283" i="161"/>
  <c r="I324" i="161" s="1"/>
  <c r="H876" i="159"/>
  <c r="G835" i="155"/>
  <c r="K835" i="155" s="1"/>
  <c r="K539" i="167"/>
  <c r="K540" i="167" s="1"/>
  <c r="I828" i="160"/>
  <c r="G828" i="160" s="1"/>
  <c r="K828" i="160" s="1"/>
  <c r="H817" i="158"/>
  <c r="I817" i="158"/>
  <c r="G817" i="158"/>
  <c r="F899" i="158"/>
  <c r="F35" i="158"/>
  <c r="F37" i="158" s="1"/>
  <c r="F334" i="158"/>
  <c r="K423" i="164"/>
  <c r="P27" i="162"/>
  <c r="H28" i="49"/>
  <c r="F487" i="159"/>
  <c r="G487" i="9"/>
  <c r="F302" i="165"/>
  <c r="H303" i="162"/>
  <c r="H304" i="162" s="1"/>
  <c r="J499" i="166"/>
  <c r="J19" i="166"/>
  <c r="J19" i="157"/>
  <c r="K19" i="157" s="1"/>
  <c r="J499" i="157"/>
  <c r="H420" i="166"/>
  <c r="H431" i="166" s="1"/>
  <c r="H433" i="166" s="1"/>
  <c r="I431" i="155"/>
  <c r="I433" i="155" s="1"/>
  <c r="I828" i="155" s="1"/>
  <c r="G420" i="155"/>
  <c r="F279" i="165"/>
  <c r="H281" i="162"/>
  <c r="K236" i="160"/>
  <c r="K500" i="158"/>
  <c r="K501" i="158" s="1"/>
  <c r="K20" i="158"/>
  <c r="K21" i="158" s="1"/>
  <c r="K29" i="158"/>
  <c r="H562" i="162"/>
  <c r="H891" i="162"/>
  <c r="H257" i="165"/>
  <c r="H275" i="165" s="1"/>
  <c r="H283" i="165" s="1"/>
  <c r="H324" i="165" s="1"/>
  <c r="H275" i="155"/>
  <c r="G257" i="155"/>
  <c r="K479" i="161"/>
  <c r="G481" i="161"/>
  <c r="I479" i="164"/>
  <c r="I481" i="164" s="1"/>
  <c r="H206" i="166"/>
  <c r="H215" i="166" s="1"/>
  <c r="I215" i="155"/>
  <c r="J431" i="165"/>
  <c r="J433" i="165" s="1"/>
  <c r="J35" i="158"/>
  <c r="J37" i="158" s="1"/>
  <c r="J899" i="158"/>
  <c r="L891" i="161"/>
  <c r="L562" i="161"/>
  <c r="I544" i="165"/>
  <c r="I886" i="165"/>
  <c r="F323" i="155"/>
  <c r="H522" i="157"/>
  <c r="F519" i="155"/>
  <c r="K529" i="161"/>
  <c r="L529" i="161" s="1"/>
  <c r="I529" i="164"/>
  <c r="G302" i="162"/>
  <c r="K417" i="165"/>
  <c r="K493" i="162"/>
  <c r="L491" i="162"/>
  <c r="L493" i="162" s="1"/>
  <c r="I609" i="165"/>
  <c r="G536" i="160"/>
  <c r="K535" i="160"/>
  <c r="G535" i="164"/>
  <c r="F578" i="165"/>
  <c r="H580" i="162"/>
  <c r="H598" i="162" s="1"/>
  <c r="F27" i="166"/>
  <c r="K27" i="166" s="1"/>
  <c r="F636" i="166"/>
  <c r="F639" i="166" s="1"/>
  <c r="F641" i="166" s="1"/>
  <c r="F644" i="166" s="1"/>
  <c r="F868" i="166"/>
  <c r="G270" i="164"/>
  <c r="G275" i="164" s="1"/>
  <c r="K270" i="160"/>
  <c r="L270" i="160" s="1"/>
  <c r="G270" i="162"/>
  <c r="F532" i="157"/>
  <c r="H527" i="157"/>
  <c r="G275" i="167"/>
  <c r="J257" i="167"/>
  <c r="J275" i="167" s="1"/>
  <c r="J799" i="160"/>
  <c r="G799" i="160" s="1"/>
  <c r="K799" i="160" s="1"/>
  <c r="F234" i="164"/>
  <c r="K234" i="162"/>
  <c r="F609" i="165"/>
  <c r="G18" i="157"/>
  <c r="G312" i="157"/>
  <c r="G498" i="157"/>
  <c r="G828" i="157"/>
  <c r="K868" i="166"/>
  <c r="K636" i="166"/>
  <c r="K639" i="166" s="1"/>
  <c r="J535" i="162"/>
  <c r="I544" i="166"/>
  <c r="I886" i="166"/>
  <c r="G224" i="162"/>
  <c r="H801" i="157"/>
  <c r="I801" i="157"/>
  <c r="H235" i="162"/>
  <c r="G431" i="167"/>
  <c r="G433" i="167" s="1"/>
  <c r="K209" i="160"/>
  <c r="L209" i="160" s="1"/>
  <c r="G209" i="164"/>
  <c r="G209" i="162"/>
  <c r="H499" i="162"/>
  <c r="H19" i="162"/>
  <c r="K484" i="165"/>
  <c r="J876" i="9"/>
  <c r="K270" i="167"/>
  <c r="K457" i="164"/>
  <c r="K458" i="164" s="1"/>
  <c r="F458" i="164"/>
  <c r="J275" i="157"/>
  <c r="J283" i="157" s="1"/>
  <c r="J324" i="157" s="1"/>
  <c r="K257" i="157"/>
  <c r="K275" i="157" s="1"/>
  <c r="K283" i="157" s="1"/>
  <c r="K324" i="157" s="1"/>
  <c r="F229" i="167"/>
  <c r="K220" i="167"/>
  <c r="K465" i="155"/>
  <c r="K417" i="164"/>
  <c r="K484" i="164"/>
  <c r="K891" i="160"/>
  <c r="K562" i="160"/>
  <c r="K630" i="162"/>
  <c r="L626" i="162"/>
  <c r="L630" i="162" s="1"/>
  <c r="L257" i="160"/>
  <c r="I609" i="167"/>
  <c r="G589" i="167"/>
  <c r="K544" i="159"/>
  <c r="K886" i="159"/>
  <c r="K430" i="160"/>
  <c r="L430" i="160" s="1"/>
  <c r="G430" i="164"/>
  <c r="G229" i="160"/>
  <c r="K420" i="160"/>
  <c r="G420" i="164"/>
  <c r="G431" i="160"/>
  <c r="G433" i="160" s="1"/>
  <c r="K209" i="167"/>
  <c r="F480" i="164"/>
  <c r="K480" i="162"/>
  <c r="L480" i="162" s="1"/>
  <c r="F462" i="167"/>
  <c r="F465" i="167" s="1"/>
  <c r="K461" i="167"/>
  <c r="K462" i="167" s="1"/>
  <c r="K465" i="167" s="1"/>
  <c r="K499" i="167" s="1"/>
  <c r="G236" i="167"/>
  <c r="H19" i="164"/>
  <c r="H499" i="164"/>
  <c r="F257" i="167"/>
  <c r="J275" i="162"/>
  <c r="J283" i="162" s="1"/>
  <c r="J324" i="162" s="1"/>
  <c r="K27" i="161"/>
  <c r="L27" i="161" s="1"/>
  <c r="K868" i="161"/>
  <c r="K636" i="161"/>
  <c r="K639" i="161" s="1"/>
  <c r="K641" i="161" s="1"/>
  <c r="F486" i="159"/>
  <c r="I488" i="9"/>
  <c r="G486" i="9"/>
  <c r="K429" i="162"/>
  <c r="L429" i="162" s="1"/>
  <c r="F429" i="164"/>
  <c r="K323" i="159"/>
  <c r="K296" i="159"/>
  <c r="G19" i="160"/>
  <c r="G499" i="160"/>
  <c r="F27" i="167"/>
  <c r="K27" i="167" s="1"/>
  <c r="F868" i="167"/>
  <c r="F636" i="167"/>
  <c r="J206" i="162"/>
  <c r="G281" i="164"/>
  <c r="K334" i="158"/>
  <c r="K899" i="158"/>
  <c r="K35" i="158"/>
  <c r="K37" i="158" s="1"/>
  <c r="H257" i="162"/>
  <c r="I18" i="165"/>
  <c r="I312" i="165"/>
  <c r="I313" i="165" s="1"/>
  <c r="I498" i="165"/>
  <c r="K539" i="166"/>
  <c r="K540" i="166" s="1"/>
  <c r="G465" i="162"/>
  <c r="G275" i="165"/>
  <c r="K430" i="166"/>
  <c r="K491" i="166"/>
  <c r="K493" i="166" s="1"/>
  <c r="G211" i="162"/>
  <c r="L539" i="155"/>
  <c r="L540" i="155" s="1"/>
  <c r="K540" i="155"/>
  <c r="G279" i="162"/>
  <c r="K279" i="161"/>
  <c r="I279" i="164"/>
  <c r="I281" i="164" s="1"/>
  <c r="G281" i="161"/>
  <c r="I876" i="159"/>
  <c r="I799" i="155"/>
  <c r="H302" i="165"/>
  <c r="H303" i="165" s="1"/>
  <c r="H304" i="165" s="1"/>
  <c r="H303" i="155"/>
  <c r="H304" i="155" s="1"/>
  <c r="G521" i="161"/>
  <c r="H479" i="165"/>
  <c r="H481" i="165" s="1"/>
  <c r="H481" i="155"/>
  <c r="H838" i="155" s="1"/>
  <c r="H479" i="167"/>
  <c r="H481" i="167" s="1"/>
  <c r="J481" i="155"/>
  <c r="J838" i="155" s="1"/>
  <c r="H323" i="157"/>
  <c r="H296" i="157"/>
  <c r="H816" i="157" s="1"/>
  <c r="G223" i="165"/>
  <c r="H223" i="162"/>
  <c r="F223" i="165" s="1"/>
  <c r="H229" i="160"/>
  <c r="H238" i="160" s="1"/>
  <c r="G223" i="166"/>
  <c r="I223" i="162"/>
  <c r="F223" i="166" s="1"/>
  <c r="G281" i="165"/>
  <c r="K536" i="155"/>
  <c r="L535" i="155"/>
  <c r="L536" i="155" s="1"/>
  <c r="H279" i="166"/>
  <c r="H281" i="166" s="1"/>
  <c r="I281" i="155"/>
  <c r="K279" i="155"/>
  <c r="H279" i="164"/>
  <c r="H281" i="164" s="1"/>
  <c r="G281" i="155"/>
  <c r="I238" i="167"/>
  <c r="K461" i="166"/>
  <c r="K462" i="166" s="1"/>
  <c r="K465" i="166" s="1"/>
  <c r="K499" i="166" s="1"/>
  <c r="J599" i="159"/>
  <c r="J550" i="159"/>
  <c r="H479" i="162"/>
  <c r="H257" i="166"/>
  <c r="H275" i="166" s="1"/>
  <c r="I275" i="155"/>
  <c r="G334" i="158"/>
  <c r="G899" i="158"/>
  <c r="G35" i="158"/>
  <c r="G37" i="158" s="1"/>
  <c r="F599" i="160"/>
  <c r="F604" i="160"/>
  <c r="F550" i="160"/>
  <c r="K214" i="164"/>
  <c r="K429" i="155"/>
  <c r="L429" i="155" s="1"/>
  <c r="H429" i="164"/>
  <c r="J429" i="164" s="1"/>
  <c r="G562" i="162"/>
  <c r="G891" i="162"/>
  <c r="H206" i="165"/>
  <c r="H215" i="165" s="1"/>
  <c r="H215" i="155"/>
  <c r="K491" i="165"/>
  <c r="K493" i="165" s="1"/>
  <c r="L854" i="155"/>
  <c r="L855" i="155" s="1"/>
  <c r="K855" i="155"/>
  <c r="K640" i="155" s="1"/>
  <c r="K641" i="155" s="1"/>
  <c r="I799" i="161"/>
  <c r="G281" i="167"/>
  <c r="I238" i="160"/>
  <c r="J420" i="162"/>
  <c r="K609" i="160"/>
  <c r="J868" i="164"/>
  <c r="J636" i="164"/>
  <c r="J639" i="164" s="1"/>
  <c r="J641" i="164" s="1"/>
  <c r="J27" i="164"/>
  <c r="H535" i="162"/>
  <c r="J302" i="162"/>
  <c r="H235" i="166"/>
  <c r="H236" i="166" s="1"/>
  <c r="I236" i="155"/>
  <c r="G221" i="155"/>
  <c r="H221" i="165"/>
  <c r="H229" i="155"/>
  <c r="H312" i="160"/>
  <c r="H313" i="160" s="1"/>
  <c r="H18" i="160"/>
  <c r="H498" i="160"/>
  <c r="J604" i="159"/>
  <c r="I215" i="164"/>
  <c r="G283" i="161" l="1"/>
  <c r="G324" i="161" s="1"/>
  <c r="G519" i="160"/>
  <c r="H479" i="164"/>
  <c r="H481" i="164" s="1"/>
  <c r="J588" i="167"/>
  <c r="J589" i="167" s="1"/>
  <c r="L275" i="160"/>
  <c r="L283" i="160" s="1"/>
  <c r="L324" i="160" s="1"/>
  <c r="G283" i="164"/>
  <c r="G324" i="164" s="1"/>
  <c r="J206" i="166"/>
  <c r="J215" i="166" s="1"/>
  <c r="H283" i="167"/>
  <c r="H324" i="167" s="1"/>
  <c r="I229" i="162"/>
  <c r="I238" i="162" s="1"/>
  <c r="J257" i="166"/>
  <c r="J275" i="166" s="1"/>
  <c r="J420" i="167"/>
  <c r="J431" i="167" s="1"/>
  <c r="J433" i="167" s="1"/>
  <c r="J238" i="155"/>
  <c r="J323" i="155" s="1"/>
  <c r="J302" i="166"/>
  <c r="J303" i="166" s="1"/>
  <c r="J304" i="166" s="1"/>
  <c r="J302" i="167"/>
  <c r="J303" i="167" s="1"/>
  <c r="J304" i="167" s="1"/>
  <c r="J279" i="167"/>
  <c r="J281" i="167" s="1"/>
  <c r="J283" i="167"/>
  <c r="J324" i="167" s="1"/>
  <c r="H283" i="155"/>
  <c r="H324" i="155" s="1"/>
  <c r="J206" i="165"/>
  <c r="J215" i="165" s="1"/>
  <c r="K19" i="166"/>
  <c r="I283" i="162"/>
  <c r="I324" i="162" s="1"/>
  <c r="J211" i="164"/>
  <c r="H323" i="160"/>
  <c r="H296" i="160"/>
  <c r="H816" i="160" s="1"/>
  <c r="F312" i="166"/>
  <c r="F498" i="166"/>
  <c r="F18" i="166"/>
  <c r="L828" i="160"/>
  <c r="P828" i="160"/>
  <c r="G838" i="155"/>
  <c r="K838" i="155" s="1"/>
  <c r="L799" i="160"/>
  <c r="P799" i="160"/>
  <c r="J323" i="160"/>
  <c r="J296" i="160"/>
  <c r="I323" i="162"/>
  <c r="K519" i="160"/>
  <c r="G519" i="164"/>
  <c r="K221" i="155"/>
  <c r="H221" i="164"/>
  <c r="H229" i="164" s="1"/>
  <c r="G229" i="155"/>
  <c r="K640" i="165"/>
  <c r="K640" i="166"/>
  <c r="L640" i="155"/>
  <c r="L641" i="155" s="1"/>
  <c r="L644" i="155" s="1"/>
  <c r="K640" i="167"/>
  <c r="K640" i="157"/>
  <c r="K641" i="157" s="1"/>
  <c r="K644" i="157" s="1"/>
  <c r="K640" i="158"/>
  <c r="K641" i="158" s="1"/>
  <c r="K644" i="158" s="1"/>
  <c r="K640" i="164"/>
  <c r="K640" i="159"/>
  <c r="K641" i="159" s="1"/>
  <c r="K644" i="159" s="1"/>
  <c r="F479" i="165"/>
  <c r="H481" i="162"/>
  <c r="L562" i="155"/>
  <c r="L891" i="155"/>
  <c r="K636" i="167"/>
  <c r="K639" i="167" s="1"/>
  <c r="K641" i="167" s="1"/>
  <c r="K644" i="167" s="1"/>
  <c r="F639" i="167"/>
  <c r="F641" i="167" s="1"/>
  <c r="F644" i="167" s="1"/>
  <c r="G431" i="164"/>
  <c r="G433" i="164" s="1"/>
  <c r="F209" i="164"/>
  <c r="F215" i="164" s="1"/>
  <c r="K209" i="162"/>
  <c r="L209" i="162" s="1"/>
  <c r="K641" i="166"/>
  <c r="K644" i="166" s="1"/>
  <c r="H876" i="157"/>
  <c r="H312" i="166"/>
  <c r="H313" i="166" s="1"/>
  <c r="H498" i="166"/>
  <c r="H18" i="166"/>
  <c r="G323" i="161"/>
  <c r="G296" i="161"/>
  <c r="J885" i="9"/>
  <c r="J543" i="9"/>
  <c r="J545" i="9" s="1"/>
  <c r="F420" i="164"/>
  <c r="K420" i="162"/>
  <c r="G431" i="162"/>
  <c r="G433" i="162" s="1"/>
  <c r="I307" i="159"/>
  <c r="F310" i="159"/>
  <c r="G307" i="159"/>
  <c r="H307" i="159"/>
  <c r="F19" i="165"/>
  <c r="K19" i="165" s="1"/>
  <c r="F499" i="165"/>
  <c r="G536" i="167"/>
  <c r="J535" i="167"/>
  <c r="J536" i="167" s="1"/>
  <c r="J302" i="165"/>
  <c r="J303" i="165" s="1"/>
  <c r="J304" i="165" s="1"/>
  <c r="F479" i="166"/>
  <c r="I481" i="162"/>
  <c r="I519" i="166"/>
  <c r="I522" i="166" s="1"/>
  <c r="I522" i="161"/>
  <c r="H550" i="155"/>
  <c r="H604" i="155"/>
  <c r="H599" i="155"/>
  <c r="J479" i="165"/>
  <c r="J481" i="165" s="1"/>
  <c r="G481" i="165"/>
  <c r="J521" i="165"/>
  <c r="J420" i="166"/>
  <c r="J431" i="166" s="1"/>
  <c r="J433" i="166" s="1"/>
  <c r="I886" i="162"/>
  <c r="I544" i="162"/>
  <c r="F223" i="164"/>
  <c r="K223" i="164" s="1"/>
  <c r="K223" i="162"/>
  <c r="L223" i="162" s="1"/>
  <c r="G308" i="159"/>
  <c r="H308" i="159"/>
  <c r="I308" i="159"/>
  <c r="F308" i="161" s="1"/>
  <c r="I312" i="162"/>
  <c r="I313" i="162" s="1"/>
  <c r="I18" i="162"/>
  <c r="I498" i="162"/>
  <c r="F281" i="167"/>
  <c r="K604" i="159"/>
  <c r="I238" i="155"/>
  <c r="J279" i="165"/>
  <c r="J281" i="165" s="1"/>
  <c r="K281" i="161"/>
  <c r="L279" i="161"/>
  <c r="L281" i="161" s="1"/>
  <c r="F211" i="164"/>
  <c r="K211" i="164" s="1"/>
  <c r="K211" i="162"/>
  <c r="L211" i="162" s="1"/>
  <c r="F19" i="167"/>
  <c r="K19" i="167" s="1"/>
  <c r="F499" i="167"/>
  <c r="L420" i="160"/>
  <c r="L431" i="160" s="1"/>
  <c r="L433" i="160" s="1"/>
  <c r="L498" i="160" s="1"/>
  <c r="K431" i="160"/>
  <c r="K433" i="160" s="1"/>
  <c r="K588" i="167"/>
  <c r="K589" i="167" s="1"/>
  <c r="F235" i="165"/>
  <c r="H236" i="162"/>
  <c r="G283" i="167"/>
  <c r="G324" i="167" s="1"/>
  <c r="K536" i="160"/>
  <c r="L535" i="160"/>
  <c r="L536" i="160" s="1"/>
  <c r="K633" i="158"/>
  <c r="K870" i="158"/>
  <c r="F634" i="158"/>
  <c r="F548" i="158"/>
  <c r="F26" i="158"/>
  <c r="L235" i="161"/>
  <c r="L236" i="161" s="1"/>
  <c r="L238" i="161" s="1"/>
  <c r="K236" i="161"/>
  <c r="L562" i="162"/>
  <c r="L891" i="162"/>
  <c r="F313" i="155"/>
  <c r="L420" i="161"/>
  <c r="L431" i="161" s="1"/>
  <c r="L433" i="161" s="1"/>
  <c r="L498" i="161" s="1"/>
  <c r="K431" i="161"/>
  <c r="K433" i="161" s="1"/>
  <c r="I800" i="9"/>
  <c r="I321" i="9"/>
  <c r="J498" i="157"/>
  <c r="J18" i="157"/>
  <c r="K238" i="157"/>
  <c r="J223" i="167"/>
  <c r="G229" i="167"/>
  <c r="G238" i="167" s="1"/>
  <c r="F876" i="161"/>
  <c r="K465" i="164"/>
  <c r="K499" i="164" s="1"/>
  <c r="O840" i="158"/>
  <c r="I529" i="162"/>
  <c r="F529" i="166" s="1"/>
  <c r="K529" i="166" s="1"/>
  <c r="I527" i="159"/>
  <c r="F532" i="159"/>
  <c r="H527" i="159"/>
  <c r="H532" i="159" s="1"/>
  <c r="G527" i="159"/>
  <c r="K529" i="160"/>
  <c r="L529" i="160" s="1"/>
  <c r="G529" i="164"/>
  <c r="F275" i="166"/>
  <c r="K257" i="166"/>
  <c r="K275" i="166" s="1"/>
  <c r="G599" i="161"/>
  <c r="G604" i="161"/>
  <c r="G550" i="161"/>
  <c r="J521" i="167"/>
  <c r="J323" i="161"/>
  <c r="J296" i="161"/>
  <c r="J816" i="161" s="1"/>
  <c r="J479" i="167"/>
  <c r="J481" i="167" s="1"/>
  <c r="G481" i="167"/>
  <c r="G18" i="165"/>
  <c r="G312" i="165"/>
  <c r="G498" i="165"/>
  <c r="I283" i="155"/>
  <c r="I324" i="155" s="1"/>
  <c r="L544" i="155"/>
  <c r="L886" i="155"/>
  <c r="J257" i="165"/>
  <c r="J275" i="165" s="1"/>
  <c r="J283" i="165" s="1"/>
  <c r="J324" i="165" s="1"/>
  <c r="J279" i="164"/>
  <c r="J281" i="164" s="1"/>
  <c r="H229" i="165"/>
  <c r="J221" i="165"/>
  <c r="F302" i="167"/>
  <c r="J303" i="162"/>
  <c r="J304" i="162" s="1"/>
  <c r="F420" i="167"/>
  <c r="J431" i="162"/>
  <c r="J433" i="162" s="1"/>
  <c r="H283" i="166"/>
  <c r="H324" i="166" s="1"/>
  <c r="K281" i="155"/>
  <c r="L279" i="155"/>
  <c r="L281" i="155" s="1"/>
  <c r="K544" i="155"/>
  <c r="K886" i="155"/>
  <c r="K223" i="166"/>
  <c r="J223" i="165"/>
  <c r="G229" i="165"/>
  <c r="H799" i="155"/>
  <c r="K562" i="155"/>
  <c r="K891" i="155"/>
  <c r="G19" i="162"/>
  <c r="G20" i="49" s="1"/>
  <c r="G499" i="162"/>
  <c r="F206" i="167"/>
  <c r="J215" i="162"/>
  <c r="G838" i="160"/>
  <c r="K838" i="160" s="1"/>
  <c r="I495" i="9"/>
  <c r="I839" i="9"/>
  <c r="J235" i="167"/>
  <c r="J236" i="167" s="1"/>
  <c r="K480" i="164"/>
  <c r="G18" i="160"/>
  <c r="G312" i="160"/>
  <c r="G498" i="160"/>
  <c r="J430" i="164"/>
  <c r="K430" i="164" s="1"/>
  <c r="K636" i="162"/>
  <c r="K639" i="162" s="1"/>
  <c r="K641" i="162" s="1"/>
  <c r="K27" i="162"/>
  <c r="L27" i="162" s="1"/>
  <c r="K868" i="162"/>
  <c r="G312" i="167"/>
  <c r="G498" i="167"/>
  <c r="G18" i="167"/>
  <c r="H529" i="162"/>
  <c r="F529" i="165" s="1"/>
  <c r="K529" i="165" s="1"/>
  <c r="H532" i="157"/>
  <c r="F527" i="155"/>
  <c r="K270" i="162"/>
  <c r="L270" i="162" s="1"/>
  <c r="F270" i="164"/>
  <c r="F522" i="155"/>
  <c r="H519" i="155"/>
  <c r="I519" i="155"/>
  <c r="I519" i="162" s="1"/>
  <c r="J519" i="155"/>
  <c r="K279" i="165"/>
  <c r="K281" i="165" s="1"/>
  <c r="F281" i="165"/>
  <c r="I18" i="155"/>
  <c r="I312" i="155"/>
  <c r="I313" i="155" s="1"/>
  <c r="I498" i="155"/>
  <c r="J487" i="9"/>
  <c r="K487" i="9" s="1"/>
  <c r="F487" i="157"/>
  <c r="K235" i="162"/>
  <c r="L235" i="162" s="1"/>
  <c r="F235" i="164"/>
  <c r="F236" i="164" s="1"/>
  <c r="G609" i="165"/>
  <c r="K543" i="9"/>
  <c r="K545" i="9" s="1"/>
  <c r="K885" i="9"/>
  <c r="P828" i="161"/>
  <c r="L828" i="161"/>
  <c r="H229" i="162"/>
  <c r="G303" i="164"/>
  <c r="G304" i="164" s="1"/>
  <c r="J235" i="166"/>
  <c r="I18" i="164"/>
  <c r="I498" i="164"/>
  <c r="I312" i="164"/>
  <c r="I313" i="164" s="1"/>
  <c r="H584" i="165"/>
  <c r="H585" i="165" s="1"/>
  <c r="H591" i="165" s="1"/>
  <c r="F585" i="165"/>
  <c r="F591" i="165" s="1"/>
  <c r="I584" i="165"/>
  <c r="I585" i="165" s="1"/>
  <c r="I591" i="165" s="1"/>
  <c r="G310" i="9"/>
  <c r="J307" i="9"/>
  <c r="F307" i="157"/>
  <c r="F868" i="164"/>
  <c r="F636" i="164"/>
  <c r="F639" i="164" s="1"/>
  <c r="F641" i="164" s="1"/>
  <c r="F644" i="164" s="1"/>
  <c r="F27" i="164"/>
  <c r="K27" i="164" s="1"/>
  <c r="K275" i="161"/>
  <c r="K283" i="161" s="1"/>
  <c r="K324" i="161" s="1"/>
  <c r="L257" i="161"/>
  <c r="L275" i="161" s="1"/>
  <c r="L283" i="161" s="1"/>
  <c r="L324" i="161" s="1"/>
  <c r="F303" i="166"/>
  <c r="F304" i="166" s="1"/>
  <c r="K215" i="160"/>
  <c r="K238" i="160" s="1"/>
  <c r="L206" i="160"/>
  <c r="L215" i="160" s="1"/>
  <c r="J886" i="160"/>
  <c r="J544" i="160"/>
  <c r="K235" i="155"/>
  <c r="H235" i="164"/>
  <c r="G236" i="155"/>
  <c r="F213" i="164"/>
  <c r="K213" i="164" s="1"/>
  <c r="K213" i="162"/>
  <c r="L213" i="162" s="1"/>
  <c r="G886" i="161"/>
  <c r="G544" i="161"/>
  <c r="K562" i="164"/>
  <c r="K891" i="164"/>
  <c r="G521" i="155"/>
  <c r="J283" i="155"/>
  <c r="J324" i="155" s="1"/>
  <c r="J870" i="158"/>
  <c r="J633" i="158"/>
  <c r="K223" i="167"/>
  <c r="I519" i="167"/>
  <c r="I522" i="167" s="1"/>
  <c r="J522" i="161"/>
  <c r="K599" i="157"/>
  <c r="K550" i="157"/>
  <c r="J585" i="155"/>
  <c r="J591" i="155" s="1"/>
  <c r="J584" i="162"/>
  <c r="J801" i="160"/>
  <c r="I801" i="160"/>
  <c r="H801" i="160"/>
  <c r="G801" i="160" s="1"/>
  <c r="K801" i="160" s="1"/>
  <c r="G229" i="164"/>
  <c r="G238" i="164" s="1"/>
  <c r="H323" i="161"/>
  <c r="H296" i="161"/>
  <c r="H816" i="161" s="1"/>
  <c r="H529" i="167"/>
  <c r="J529" i="167" s="1"/>
  <c r="J529" i="162"/>
  <c r="F529" i="167" s="1"/>
  <c r="H516" i="9"/>
  <c r="F515" i="158"/>
  <c r="G323" i="157"/>
  <c r="G296" i="157"/>
  <c r="G816" i="157" s="1"/>
  <c r="J221" i="166"/>
  <c r="J229" i="166" s="1"/>
  <c r="H229" i="166"/>
  <c r="H238" i="166" s="1"/>
  <c r="H238" i="165"/>
  <c r="L221" i="161"/>
  <c r="L229" i="161" s="1"/>
  <c r="K229" i="161"/>
  <c r="G585" i="160"/>
  <c r="G591" i="160" s="1"/>
  <c r="K584" i="160"/>
  <c r="G312" i="166"/>
  <c r="G498" i="166"/>
  <c r="G18" i="166"/>
  <c r="K465" i="162"/>
  <c r="K220" i="164"/>
  <c r="K28" i="49"/>
  <c r="K258" i="162"/>
  <c r="L258" i="162" s="1"/>
  <c r="F258" i="164"/>
  <c r="K258" i="164" s="1"/>
  <c r="G519" i="167"/>
  <c r="J522" i="160"/>
  <c r="F876" i="160"/>
  <c r="K580" i="160"/>
  <c r="K598" i="160" s="1"/>
  <c r="L578" i="160"/>
  <c r="L580" i="160" s="1"/>
  <c r="L598" i="160" s="1"/>
  <c r="K302" i="155"/>
  <c r="G303" i="155"/>
  <c r="G304" i="155" s="1"/>
  <c r="H302" i="164"/>
  <c r="H303" i="164" s="1"/>
  <c r="H304" i="164" s="1"/>
  <c r="H312" i="165"/>
  <c r="H313" i="165" s="1"/>
  <c r="H18" i="165"/>
  <c r="H498" i="165"/>
  <c r="J308" i="9"/>
  <c r="K308" i="9" s="1"/>
  <c r="F308" i="157"/>
  <c r="K229" i="160"/>
  <c r="I519" i="157"/>
  <c r="I529" i="157"/>
  <c r="G529" i="157" s="1"/>
  <c r="J529" i="157" s="1"/>
  <c r="K529" i="157" s="1"/>
  <c r="I521" i="157"/>
  <c r="G521" i="157" s="1"/>
  <c r="J521" i="157" s="1"/>
  <c r="K521" i="157" s="1"/>
  <c r="H215" i="164"/>
  <c r="K481" i="155"/>
  <c r="L479" i="155"/>
  <c r="L481" i="155" s="1"/>
  <c r="G215" i="162"/>
  <c r="F535" i="165"/>
  <c r="H536" i="162"/>
  <c r="G26" i="158"/>
  <c r="G548" i="158"/>
  <c r="J334" i="158"/>
  <c r="G634" i="158"/>
  <c r="I323" i="167"/>
  <c r="I296" i="167"/>
  <c r="J223" i="166"/>
  <c r="G229" i="166"/>
  <c r="K562" i="166"/>
  <c r="K891" i="166"/>
  <c r="K26" i="158"/>
  <c r="K548" i="158"/>
  <c r="K634" i="158"/>
  <c r="K429" i="164"/>
  <c r="I486" i="159"/>
  <c r="H486" i="159"/>
  <c r="F488" i="159"/>
  <c r="G609" i="167"/>
  <c r="J18" i="167"/>
  <c r="J498" i="167"/>
  <c r="G313" i="157"/>
  <c r="G801" i="157" s="1"/>
  <c r="J312" i="157"/>
  <c r="G536" i="164"/>
  <c r="J535" i="164"/>
  <c r="J536" i="164" s="1"/>
  <c r="K481" i="161"/>
  <c r="L479" i="161"/>
  <c r="L481" i="161" s="1"/>
  <c r="H487" i="159"/>
  <c r="G487" i="159" s="1"/>
  <c r="I487" i="159"/>
  <c r="F487" i="161" s="1"/>
  <c r="O817" i="158"/>
  <c r="J817" i="158"/>
  <c r="K817" i="158" s="1"/>
  <c r="K221" i="165"/>
  <c r="F229" i="165"/>
  <c r="K303" i="160"/>
  <c r="K304" i="160" s="1"/>
  <c r="L302" i="160"/>
  <c r="L303" i="160" s="1"/>
  <c r="L304" i="160" s="1"/>
  <c r="K481" i="160"/>
  <c r="L479" i="160"/>
  <c r="L481" i="160" s="1"/>
  <c r="G275" i="162"/>
  <c r="F257" i="164"/>
  <c r="K257" i="162"/>
  <c r="J323" i="157"/>
  <c r="J296" i="157"/>
  <c r="I544" i="164"/>
  <c r="I886" i="164"/>
  <c r="H521" i="162"/>
  <c r="F521" i="165" s="1"/>
  <c r="K521" i="165" s="1"/>
  <c r="J599" i="157"/>
  <c r="J550" i="157"/>
  <c r="K210" i="162"/>
  <c r="L210" i="162" s="1"/>
  <c r="F210" i="164"/>
  <c r="K210" i="164" s="1"/>
  <c r="H801" i="161"/>
  <c r="I801" i="161"/>
  <c r="J801" i="161"/>
  <c r="G801" i="161"/>
  <c r="K801" i="161" s="1"/>
  <c r="K876" i="159"/>
  <c r="G519" i="166"/>
  <c r="I522" i="160"/>
  <c r="H229" i="167"/>
  <c r="H238" i="167" s="1"/>
  <c r="J221" i="167"/>
  <c r="G556" i="9"/>
  <c r="G551" i="9"/>
  <c r="J799" i="155"/>
  <c r="G283" i="165"/>
  <c r="G324" i="165" s="1"/>
  <c r="F257" i="165"/>
  <c r="H275" i="162"/>
  <c r="H283" i="162" s="1"/>
  <c r="H324" i="162" s="1"/>
  <c r="K275" i="160"/>
  <c r="K283" i="160" s="1"/>
  <c r="K324" i="160" s="1"/>
  <c r="J209" i="164"/>
  <c r="K224" i="162"/>
  <c r="L224" i="162" s="1"/>
  <c r="F224" i="164"/>
  <c r="K224" i="164" s="1"/>
  <c r="L234" i="162"/>
  <c r="K236" i="162"/>
  <c r="J270" i="164"/>
  <c r="K479" i="162"/>
  <c r="G481" i="162"/>
  <c r="F479" i="164"/>
  <c r="K891" i="167"/>
  <c r="K562" i="167"/>
  <c r="L591" i="161"/>
  <c r="L609" i="161"/>
  <c r="G481" i="164"/>
  <c r="J479" i="164"/>
  <c r="J481" i="164" s="1"/>
  <c r="F639" i="165"/>
  <c r="F641" i="165" s="1"/>
  <c r="F644" i="165" s="1"/>
  <c r="K644" i="165" s="1"/>
  <c r="K636" i="165"/>
  <c r="K639" i="165" s="1"/>
  <c r="K641" i="165" s="1"/>
  <c r="F238" i="166"/>
  <c r="K535" i="162"/>
  <c r="F535" i="164"/>
  <c r="G536" i="162"/>
  <c r="J551" i="158"/>
  <c r="J556" i="158"/>
  <c r="F562" i="165"/>
  <c r="F891" i="165"/>
  <c r="J18" i="155"/>
  <c r="J312" i="155"/>
  <c r="J313" i="155" s="1"/>
  <c r="J498" i="155"/>
  <c r="F420" i="165"/>
  <c r="H431" i="162"/>
  <c r="H433" i="162" s="1"/>
  <c r="L640" i="162"/>
  <c r="F641" i="162"/>
  <c r="F644" i="162" s="1"/>
  <c r="I886" i="160"/>
  <c r="I544" i="160"/>
  <c r="J876" i="159"/>
  <c r="K221" i="166"/>
  <c r="F229" i="166"/>
  <c r="K556" i="158"/>
  <c r="K551" i="158"/>
  <c r="J604" i="157"/>
  <c r="L220" i="162"/>
  <c r="F536" i="166"/>
  <c r="I578" i="167"/>
  <c r="I580" i="167" s="1"/>
  <c r="I598" i="167" s="1"/>
  <c r="F580" i="167"/>
  <c r="F598" i="167" s="1"/>
  <c r="H578" i="167"/>
  <c r="H580" i="167" s="1"/>
  <c r="H598" i="167" s="1"/>
  <c r="G578" i="167"/>
  <c r="H544" i="160"/>
  <c r="H886" i="160"/>
  <c r="K479" i="167"/>
  <c r="K481" i="167" s="1"/>
  <c r="F481" i="167"/>
  <c r="J521" i="162"/>
  <c r="F521" i="167" s="1"/>
  <c r="K215" i="155"/>
  <c r="L206" i="155"/>
  <c r="L215" i="155" s="1"/>
  <c r="J816" i="160"/>
  <c r="I323" i="160"/>
  <c r="I296" i="160"/>
  <c r="I816" i="160" s="1"/>
  <c r="K223" i="165"/>
  <c r="K521" i="161"/>
  <c r="L521" i="161" s="1"/>
  <c r="I521" i="164"/>
  <c r="F279" i="164"/>
  <c r="K279" i="162"/>
  <c r="G281" i="162"/>
  <c r="J486" i="9"/>
  <c r="F486" i="157"/>
  <c r="G488" i="9"/>
  <c r="F275" i="167"/>
  <c r="K257" i="167"/>
  <c r="K275" i="167" s="1"/>
  <c r="G238" i="160"/>
  <c r="L636" i="162"/>
  <c r="L639" i="162" s="1"/>
  <c r="L868" i="162"/>
  <c r="K19" i="155"/>
  <c r="L19" i="155" s="1"/>
  <c r="K499" i="155"/>
  <c r="H20" i="49"/>
  <c r="P19" i="162"/>
  <c r="F535" i="167"/>
  <c r="J536" i="162"/>
  <c r="I828" i="157"/>
  <c r="I527" i="157" s="1"/>
  <c r="J828" i="157"/>
  <c r="K828" i="157" s="1"/>
  <c r="K234" i="164"/>
  <c r="F543" i="157"/>
  <c r="F545" i="157" s="1"/>
  <c r="F885" i="157"/>
  <c r="F580" i="165"/>
  <c r="F598" i="165" s="1"/>
  <c r="G578" i="165"/>
  <c r="I578" i="165"/>
  <c r="I580" i="165" s="1"/>
  <c r="I598" i="165" s="1"/>
  <c r="H578" i="165"/>
  <c r="H580" i="165" s="1"/>
  <c r="H598" i="165" s="1"/>
  <c r="G886" i="160"/>
  <c r="G544" i="160"/>
  <c r="K302" i="162"/>
  <c r="F302" i="164"/>
  <c r="G303" i="162"/>
  <c r="G304" i="162" s="1"/>
  <c r="J18" i="165"/>
  <c r="J498" i="165"/>
  <c r="K257" i="155"/>
  <c r="H257" i="164"/>
  <c r="G275" i="155"/>
  <c r="G283" i="155" s="1"/>
  <c r="G324" i="155" s="1"/>
  <c r="K420" i="155"/>
  <c r="H420" i="164"/>
  <c r="H431" i="164" s="1"/>
  <c r="H433" i="164" s="1"/>
  <c r="G431" i="155"/>
  <c r="G433" i="155" s="1"/>
  <c r="F303" i="165"/>
  <c r="F304" i="165" s="1"/>
  <c r="L835" i="155"/>
  <c r="P835" i="155"/>
  <c r="K591" i="161"/>
  <c r="K609" i="161"/>
  <c r="I238" i="164"/>
  <c r="J589" i="165"/>
  <c r="K588" i="165"/>
  <c r="K589" i="165" s="1"/>
  <c r="I323" i="161"/>
  <c r="I296" i="161"/>
  <c r="I816" i="161" s="1"/>
  <c r="G238" i="166"/>
  <c r="G799" i="161"/>
  <c r="K799" i="161" s="1"/>
  <c r="K562" i="162"/>
  <c r="K891" i="162"/>
  <c r="K521" i="166"/>
  <c r="J828" i="155"/>
  <c r="G828" i="155" s="1"/>
  <c r="K828" i="155" s="1"/>
  <c r="G18" i="161"/>
  <c r="G312" i="161"/>
  <c r="G498" i="161"/>
  <c r="I841" i="158"/>
  <c r="O841" i="158" s="1"/>
  <c r="H604" i="162"/>
  <c r="H550" i="162"/>
  <c r="H599" i="162"/>
  <c r="K868" i="164"/>
  <c r="K636" i="164"/>
  <c r="K639" i="164" s="1"/>
  <c r="I283" i="164"/>
  <c r="I324" i="164" s="1"/>
  <c r="J206" i="164"/>
  <c r="G215" i="164"/>
  <c r="I323" i="166"/>
  <c r="I296" i="166"/>
  <c r="K536" i="161"/>
  <c r="L535" i="161"/>
  <c r="L536" i="161" s="1"/>
  <c r="F562" i="164"/>
  <c r="F891" i="164"/>
  <c r="G238" i="165"/>
  <c r="K562" i="165"/>
  <c r="K891" i="165"/>
  <c r="K235" i="167"/>
  <c r="K236" i="167" s="1"/>
  <c r="F236" i="167"/>
  <c r="G519" i="161"/>
  <c r="I519" i="165"/>
  <c r="I522" i="165" s="1"/>
  <c r="H522" i="161"/>
  <c r="H519" i="162"/>
  <c r="H312" i="167"/>
  <c r="H313" i="167" s="1"/>
  <c r="H18" i="167"/>
  <c r="H498" i="167"/>
  <c r="F465" i="164"/>
  <c r="J479" i="166"/>
  <c r="J481" i="166" s="1"/>
  <c r="G481" i="166"/>
  <c r="I543" i="9"/>
  <c r="I545" i="9" s="1"/>
  <c r="I885" i="9"/>
  <c r="J229" i="162"/>
  <c r="J238" i="162" s="1"/>
  <c r="G529" i="155"/>
  <c r="J535" i="166"/>
  <c r="J536" i="166" s="1"/>
  <c r="G536" i="166"/>
  <c r="G521" i="160"/>
  <c r="J521" i="166"/>
  <c r="H238" i="155"/>
  <c r="G221" i="162"/>
  <c r="F281" i="166"/>
  <c r="F215" i="165"/>
  <c r="K206" i="165"/>
  <c r="K215" i="165" s="1"/>
  <c r="L465" i="162"/>
  <c r="L499" i="162" s="1"/>
  <c r="J279" i="166"/>
  <c r="J281" i="166" s="1"/>
  <c r="J283" i="166" s="1"/>
  <c r="J324" i="166" s="1"/>
  <c r="J535" i="165"/>
  <c r="J536" i="165" s="1"/>
  <c r="G536" i="165"/>
  <c r="G519" i="165"/>
  <c r="H522" i="160"/>
  <c r="H498" i="155"/>
  <c r="H18" i="155"/>
  <c r="H312" i="155"/>
  <c r="H313" i="155" s="1"/>
  <c r="L229" i="160"/>
  <c r="L238" i="160" s="1"/>
  <c r="K206" i="162"/>
  <c r="K206" i="166"/>
  <c r="K215" i="166" s="1"/>
  <c r="F215" i="166"/>
  <c r="G799" i="155" l="1"/>
  <c r="K799" i="155" s="1"/>
  <c r="K535" i="166"/>
  <c r="K536" i="166" s="1"/>
  <c r="K279" i="166"/>
  <c r="K281" i="166" s="1"/>
  <c r="J841" i="158"/>
  <c r="K841" i="158" s="1"/>
  <c r="G238" i="155"/>
  <c r="K302" i="166"/>
  <c r="K303" i="166" s="1"/>
  <c r="K304" i="166" s="1"/>
  <c r="K279" i="167"/>
  <c r="K281" i="167" s="1"/>
  <c r="K283" i="167" s="1"/>
  <c r="K324" i="167" s="1"/>
  <c r="H488" i="159"/>
  <c r="H495" i="159" s="1"/>
  <c r="H500" i="159" s="1"/>
  <c r="H501" i="159" s="1"/>
  <c r="J229" i="165"/>
  <c r="J238" i="165" s="1"/>
  <c r="I296" i="162"/>
  <c r="K641" i="164"/>
  <c r="K644" i="164" s="1"/>
  <c r="G283" i="162"/>
  <c r="G324" i="162" s="1"/>
  <c r="K529" i="167"/>
  <c r="J221" i="164"/>
  <c r="J229" i="164" s="1"/>
  <c r="H310" i="159"/>
  <c r="H321" i="159" s="1"/>
  <c r="H325" i="159" s="1"/>
  <c r="H326" i="159" s="1"/>
  <c r="H14" i="159" s="1"/>
  <c r="H15" i="159" s="1"/>
  <c r="J323" i="162"/>
  <c r="J296" i="162"/>
  <c r="L828" i="155"/>
  <c r="P828" i="155"/>
  <c r="G323" i="164"/>
  <c r="G296" i="164"/>
  <c r="F519" i="166"/>
  <c r="I522" i="162"/>
  <c r="K323" i="160"/>
  <c r="K296" i="160"/>
  <c r="G323" i="167"/>
  <c r="G296" i="167"/>
  <c r="H323" i="166"/>
  <c r="H296" i="166"/>
  <c r="G816" i="160"/>
  <c r="K816" i="160" s="1"/>
  <c r="K521" i="160"/>
  <c r="L521" i="160" s="1"/>
  <c r="G521" i="164"/>
  <c r="I551" i="9"/>
  <c r="I556" i="9"/>
  <c r="H876" i="161"/>
  <c r="G18" i="155"/>
  <c r="G312" i="155"/>
  <c r="G498" i="155"/>
  <c r="H275" i="164"/>
  <c r="H283" i="164" s="1"/>
  <c r="H324" i="164" s="1"/>
  <c r="J257" i="164"/>
  <c r="J275" i="164" s="1"/>
  <c r="J283" i="164" s="1"/>
  <c r="J324" i="164" s="1"/>
  <c r="K279" i="164"/>
  <c r="K281" i="164" s="1"/>
  <c r="F281" i="164"/>
  <c r="F544" i="166"/>
  <c r="F886" i="166"/>
  <c r="K479" i="164"/>
  <c r="K481" i="164" s="1"/>
  <c r="F481" i="164"/>
  <c r="L801" i="161"/>
  <c r="P801" i="161"/>
  <c r="J313" i="157"/>
  <c r="K312" i="157"/>
  <c r="K313" i="157" s="1"/>
  <c r="K303" i="155"/>
  <c r="K304" i="155" s="1"/>
  <c r="L302" i="155"/>
  <c r="L303" i="155" s="1"/>
  <c r="L304" i="155" s="1"/>
  <c r="G522" i="167"/>
  <c r="H323" i="165"/>
  <c r="H296" i="165"/>
  <c r="I876" i="167"/>
  <c r="J522" i="155"/>
  <c r="H519" i="167"/>
  <c r="H522" i="167" s="1"/>
  <c r="L799" i="155"/>
  <c r="P799" i="155"/>
  <c r="L323" i="161"/>
  <c r="L296" i="161"/>
  <c r="J609" i="167"/>
  <c r="F321" i="159"/>
  <c r="F431" i="164"/>
  <c r="F433" i="164" s="1"/>
  <c r="L519" i="160"/>
  <c r="F221" i="164"/>
  <c r="K221" i="162"/>
  <c r="G229" i="162"/>
  <c r="G238" i="162" s="1"/>
  <c r="G886" i="166"/>
  <c r="G544" i="166"/>
  <c r="H18" i="164"/>
  <c r="H312" i="164"/>
  <c r="H313" i="164" s="1"/>
  <c r="H498" i="164"/>
  <c r="J578" i="165"/>
  <c r="G580" i="165"/>
  <c r="G598" i="165" s="1"/>
  <c r="L641" i="162"/>
  <c r="L644" i="162" s="1"/>
  <c r="F283" i="167"/>
  <c r="F324" i="167" s="1"/>
  <c r="K886" i="166"/>
  <c r="K544" i="166"/>
  <c r="H18" i="162"/>
  <c r="H312" i="162"/>
  <c r="H498" i="162"/>
  <c r="K535" i="164"/>
  <c r="K536" i="164" s="1"/>
  <c r="F536" i="164"/>
  <c r="L236" i="162"/>
  <c r="K257" i="165"/>
  <c r="K275" i="165" s="1"/>
  <c r="K283" i="165" s="1"/>
  <c r="K324" i="165" s="1"/>
  <c r="F275" i="165"/>
  <c r="F283" i="165" s="1"/>
  <c r="F324" i="165" s="1"/>
  <c r="G522" i="166"/>
  <c r="J487" i="159"/>
  <c r="K487" i="159" s="1"/>
  <c r="F487" i="160"/>
  <c r="O801" i="157"/>
  <c r="J801" i="157"/>
  <c r="K801" i="157" s="1"/>
  <c r="G486" i="159"/>
  <c r="G599" i="160"/>
  <c r="G604" i="160"/>
  <c r="G550" i="160"/>
  <c r="I604" i="165"/>
  <c r="I550" i="165"/>
  <c r="I599" i="165"/>
  <c r="J236" i="166"/>
  <c r="J238" i="166" s="1"/>
  <c r="K235" i="166"/>
  <c r="K236" i="166" s="1"/>
  <c r="H487" i="157"/>
  <c r="F487" i="155" s="1"/>
  <c r="I487" i="157"/>
  <c r="G487" i="157" s="1"/>
  <c r="J487" i="157" s="1"/>
  <c r="K487" i="157" s="1"/>
  <c r="G519" i="155"/>
  <c r="H527" i="155"/>
  <c r="G527" i="155" s="1"/>
  <c r="I527" i="155"/>
  <c r="F532" i="155"/>
  <c r="J527" i="155"/>
  <c r="L838" i="160"/>
  <c r="P838" i="160"/>
  <c r="K302" i="167"/>
  <c r="K303" i="167" s="1"/>
  <c r="K304" i="167" s="1"/>
  <c r="F303" i="167"/>
  <c r="F304" i="167" s="1"/>
  <c r="K283" i="166"/>
  <c r="K324" i="166" s="1"/>
  <c r="F543" i="159"/>
  <c r="F545" i="159" s="1"/>
  <c r="F885" i="159"/>
  <c r="K18" i="161"/>
  <c r="K498" i="161"/>
  <c r="K18" i="160"/>
  <c r="K498" i="160"/>
  <c r="J498" i="166"/>
  <c r="J18" i="166"/>
  <c r="I876" i="166"/>
  <c r="J886" i="167"/>
  <c r="J544" i="167"/>
  <c r="I310" i="159"/>
  <c r="I321" i="159" s="1"/>
  <c r="I325" i="159" s="1"/>
  <c r="I326" i="159" s="1"/>
  <c r="F307" i="161"/>
  <c r="F481" i="165"/>
  <c r="K479" i="165"/>
  <c r="K481" i="165" s="1"/>
  <c r="H876" i="160"/>
  <c r="H323" i="155"/>
  <c r="H296" i="155"/>
  <c r="H816" i="155" s="1"/>
  <c r="G816" i="155" s="1"/>
  <c r="K816" i="155" s="1"/>
  <c r="J544" i="166"/>
  <c r="J886" i="166"/>
  <c r="G522" i="161"/>
  <c r="G519" i="162"/>
  <c r="I519" i="164"/>
  <c r="I522" i="164" s="1"/>
  <c r="K519" i="161"/>
  <c r="G495" i="9"/>
  <c r="G839" i="9"/>
  <c r="J839" i="9" s="1"/>
  <c r="K839" i="9" s="1"/>
  <c r="K521" i="167"/>
  <c r="G522" i="165"/>
  <c r="K529" i="155"/>
  <c r="L529" i="155" s="1"/>
  <c r="H529" i="164"/>
  <c r="J529" i="164" s="1"/>
  <c r="F19" i="164"/>
  <c r="K19" i="164" s="1"/>
  <c r="F499" i="164"/>
  <c r="F519" i="165"/>
  <c r="H522" i="162"/>
  <c r="L886" i="161"/>
  <c r="L544" i="161"/>
  <c r="J215" i="164"/>
  <c r="G313" i="161"/>
  <c r="K312" i="161"/>
  <c r="L799" i="161"/>
  <c r="P799" i="161"/>
  <c r="K609" i="165"/>
  <c r="K599" i="161"/>
  <c r="K604" i="161"/>
  <c r="K550" i="161"/>
  <c r="L302" i="162"/>
  <c r="L303" i="162" s="1"/>
  <c r="L304" i="162" s="1"/>
  <c r="K303" i="162"/>
  <c r="K304" i="162" s="1"/>
  <c r="O828" i="157"/>
  <c r="F536" i="167"/>
  <c r="K535" i="167"/>
  <c r="K536" i="167" s="1"/>
  <c r="H486" i="157"/>
  <c r="I486" i="157"/>
  <c r="I488" i="157" s="1"/>
  <c r="I495" i="157" s="1"/>
  <c r="F488" i="157"/>
  <c r="L279" i="162"/>
  <c r="L281" i="162" s="1"/>
  <c r="K281" i="162"/>
  <c r="K420" i="166"/>
  <c r="K431" i="166" s="1"/>
  <c r="K433" i="166" s="1"/>
  <c r="K498" i="166" s="1"/>
  <c r="J578" i="167"/>
  <c r="G580" i="167"/>
  <c r="G598" i="167" s="1"/>
  <c r="G644" i="162"/>
  <c r="K644" i="162" s="1"/>
  <c r="F646" i="162"/>
  <c r="F647" i="162" s="1"/>
  <c r="L599" i="161"/>
  <c r="L604" i="161"/>
  <c r="L550" i="161"/>
  <c r="F275" i="164"/>
  <c r="F283" i="164" s="1"/>
  <c r="F324" i="164" s="1"/>
  <c r="K257" i="164"/>
  <c r="K229" i="165"/>
  <c r="J634" i="158"/>
  <c r="J548" i="158"/>
  <c r="J26" i="158"/>
  <c r="H544" i="162"/>
  <c r="H886" i="162"/>
  <c r="J876" i="160"/>
  <c r="J816" i="157"/>
  <c r="K816" i="157" s="1"/>
  <c r="O816" i="157"/>
  <c r="H875" i="9"/>
  <c r="H524" i="9"/>
  <c r="J599" i="155"/>
  <c r="J550" i="155"/>
  <c r="J604" i="155"/>
  <c r="J519" i="162"/>
  <c r="J235" i="164"/>
  <c r="J236" i="164" s="1"/>
  <c r="H236" i="164"/>
  <c r="H238" i="164" s="1"/>
  <c r="G584" i="165"/>
  <c r="H550" i="165"/>
  <c r="H599" i="165"/>
  <c r="H604" i="165"/>
  <c r="J302" i="164"/>
  <c r="J303" i="164" s="1"/>
  <c r="J304" i="164" s="1"/>
  <c r="H519" i="165"/>
  <c r="H522" i="165" s="1"/>
  <c r="H522" i="155"/>
  <c r="K270" i="164"/>
  <c r="J312" i="167"/>
  <c r="J313" i="167" s="1"/>
  <c r="G313" i="167"/>
  <c r="K312" i="160"/>
  <c r="G313" i="160"/>
  <c r="K206" i="167"/>
  <c r="K215" i="167" s="1"/>
  <c r="F215" i="167"/>
  <c r="F238" i="167" s="1"/>
  <c r="K420" i="167"/>
  <c r="K431" i="167" s="1"/>
  <c r="K433" i="167" s="1"/>
  <c r="K498" i="167" s="1"/>
  <c r="F431" i="167"/>
  <c r="F433" i="167" s="1"/>
  <c r="H885" i="159"/>
  <c r="H543" i="159"/>
  <c r="H545" i="159" s="1"/>
  <c r="K323" i="157"/>
  <c r="K296" i="157"/>
  <c r="K238" i="161"/>
  <c r="K886" i="160"/>
  <c r="K544" i="160"/>
  <c r="K609" i="167"/>
  <c r="I323" i="155"/>
  <c r="I296" i="155"/>
  <c r="I816" i="155" s="1"/>
  <c r="I19" i="49"/>
  <c r="F481" i="166"/>
  <c r="K479" i="166"/>
  <c r="K481" i="166" s="1"/>
  <c r="L420" i="162"/>
  <c r="L431" i="162" s="1"/>
  <c r="L433" i="162" s="1"/>
  <c r="L498" i="162" s="1"/>
  <c r="K431" i="162"/>
  <c r="K433" i="162" s="1"/>
  <c r="J556" i="9"/>
  <c r="J551" i="9"/>
  <c r="G522" i="160"/>
  <c r="L838" i="155"/>
  <c r="P838" i="155"/>
  <c r="L323" i="160"/>
  <c r="L296" i="160"/>
  <c r="G886" i="165"/>
  <c r="G544" i="165"/>
  <c r="G323" i="165"/>
  <c r="G296" i="165"/>
  <c r="K886" i="161"/>
  <c r="K544" i="161"/>
  <c r="G323" i="166"/>
  <c r="G296" i="166"/>
  <c r="J609" i="165"/>
  <c r="F551" i="157"/>
  <c r="F556" i="157"/>
  <c r="K486" i="9"/>
  <c r="K488" i="9" s="1"/>
  <c r="K495" i="9" s="1"/>
  <c r="J488" i="9"/>
  <c r="J495" i="9" s="1"/>
  <c r="G544" i="162"/>
  <c r="G886" i="162"/>
  <c r="F323" i="166"/>
  <c r="I876" i="160"/>
  <c r="K535" i="165"/>
  <c r="K536" i="165" s="1"/>
  <c r="F536" i="165"/>
  <c r="K585" i="160"/>
  <c r="K591" i="160" s="1"/>
  <c r="L584" i="160"/>
  <c r="L585" i="160" s="1"/>
  <c r="L591" i="160" s="1"/>
  <c r="L801" i="160"/>
  <c r="P801" i="160"/>
  <c r="L235" i="155"/>
  <c r="L236" i="155" s="1"/>
  <c r="K236" i="155"/>
  <c r="F310" i="157"/>
  <c r="G307" i="157"/>
  <c r="I307" i="157"/>
  <c r="H307" i="157"/>
  <c r="K556" i="9"/>
  <c r="K551" i="9"/>
  <c r="F876" i="155"/>
  <c r="I20" i="9"/>
  <c r="I21" i="9" s="1"/>
  <c r="I500" i="9"/>
  <c r="K18" i="157"/>
  <c r="J801" i="155"/>
  <c r="H801" i="155"/>
  <c r="G801" i="155" s="1"/>
  <c r="K801" i="155" s="1"/>
  <c r="I801" i="155"/>
  <c r="I876" i="161"/>
  <c r="G312" i="164"/>
  <c r="G18" i="164"/>
  <c r="G498" i="164"/>
  <c r="K229" i="155"/>
  <c r="L221" i="155"/>
  <c r="L229" i="155" s="1"/>
  <c r="K312" i="166"/>
  <c r="K313" i="166" s="1"/>
  <c r="F313" i="166"/>
  <c r="L206" i="162"/>
  <c r="L215" i="162" s="1"/>
  <c r="K215" i="162"/>
  <c r="J544" i="165"/>
  <c r="J886" i="165"/>
  <c r="I876" i="165"/>
  <c r="I323" i="164"/>
  <c r="I296" i="164"/>
  <c r="K275" i="155"/>
  <c r="K283" i="155" s="1"/>
  <c r="K324" i="155" s="1"/>
  <c r="L257" i="155"/>
  <c r="L275" i="155" s="1"/>
  <c r="L283" i="155" s="1"/>
  <c r="L324" i="155" s="1"/>
  <c r="I532" i="157"/>
  <c r="G527" i="157"/>
  <c r="K604" i="157"/>
  <c r="J886" i="164"/>
  <c r="J544" i="164"/>
  <c r="I522" i="157"/>
  <c r="G519" i="157"/>
  <c r="H308" i="157"/>
  <c r="F308" i="155" s="1"/>
  <c r="I308" i="157"/>
  <c r="G308" i="157"/>
  <c r="K521" i="155"/>
  <c r="L521" i="155" s="1"/>
  <c r="H521" i="164"/>
  <c r="J310" i="9"/>
  <c r="J321" i="9" s="1"/>
  <c r="J325" i="9" s="1"/>
  <c r="J326" i="9" s="1"/>
  <c r="K307" i="9"/>
  <c r="K310" i="9" s="1"/>
  <c r="K321" i="9" s="1"/>
  <c r="K325" i="9" s="1"/>
  <c r="K326" i="9" s="1"/>
  <c r="K330" i="9" s="1"/>
  <c r="K331" i="9" s="1"/>
  <c r="H519" i="166"/>
  <c r="H522" i="166" s="1"/>
  <c r="I522" i="155"/>
  <c r="K20" i="49"/>
  <c r="L20" i="49" s="1"/>
  <c r="H238" i="162"/>
  <c r="F308" i="160"/>
  <c r="J308" i="159"/>
  <c r="K308" i="159" s="1"/>
  <c r="H330" i="159"/>
  <c r="H331" i="159" s="1"/>
  <c r="J420" i="164"/>
  <c r="J431" i="164" s="1"/>
  <c r="J433" i="164" s="1"/>
  <c r="K302" i="165"/>
  <c r="K303" i="165" s="1"/>
  <c r="K304" i="165" s="1"/>
  <c r="L420" i="155"/>
  <c r="L431" i="155" s="1"/>
  <c r="L433" i="155" s="1"/>
  <c r="L498" i="155" s="1"/>
  <c r="K431" i="155"/>
  <c r="K433" i="155" s="1"/>
  <c r="K302" i="164"/>
  <c r="K303" i="164" s="1"/>
  <c r="K304" i="164" s="1"/>
  <c r="F303" i="164"/>
  <c r="F304" i="164" s="1"/>
  <c r="J886" i="162"/>
  <c r="J544" i="162"/>
  <c r="G323" i="160"/>
  <c r="G296" i="160"/>
  <c r="G521" i="162"/>
  <c r="K229" i="166"/>
  <c r="K420" i="165"/>
  <c r="K431" i="165" s="1"/>
  <c r="K433" i="165" s="1"/>
  <c r="K498" i="165" s="1"/>
  <c r="F431" i="165"/>
  <c r="F433" i="165" s="1"/>
  <c r="K536" i="162"/>
  <c r="L535" i="162"/>
  <c r="L536" i="162" s="1"/>
  <c r="H323" i="167"/>
  <c r="H296" i="167"/>
  <c r="K481" i="162"/>
  <c r="L479" i="162"/>
  <c r="L481" i="162" s="1"/>
  <c r="K221" i="167"/>
  <c r="K229" i="167" s="1"/>
  <c r="K238" i="167" s="1"/>
  <c r="J229" i="167"/>
  <c r="J238" i="167" s="1"/>
  <c r="L257" i="162"/>
  <c r="L275" i="162" s="1"/>
  <c r="K275" i="162"/>
  <c r="K283" i="162" s="1"/>
  <c r="K324" i="162" s="1"/>
  <c r="H487" i="161"/>
  <c r="I487" i="161"/>
  <c r="J487" i="161"/>
  <c r="G487" i="161" s="1"/>
  <c r="G544" i="164"/>
  <c r="G886" i="164"/>
  <c r="F495" i="159"/>
  <c r="F486" i="161"/>
  <c r="I488" i="159"/>
  <c r="I495" i="159" s="1"/>
  <c r="K19" i="162"/>
  <c r="L19" i="162" s="1"/>
  <c r="K499" i="162"/>
  <c r="J312" i="166"/>
  <c r="J313" i="166" s="1"/>
  <c r="G313" i="166"/>
  <c r="H515" i="158"/>
  <c r="H516" i="158" s="1"/>
  <c r="F516" i="158"/>
  <c r="I515" i="158"/>
  <c r="I516" i="158" s="1"/>
  <c r="G816" i="161"/>
  <c r="K816" i="161" s="1"/>
  <c r="F584" i="167"/>
  <c r="J585" i="162"/>
  <c r="J591" i="162" s="1"/>
  <c r="J876" i="161"/>
  <c r="J323" i="165"/>
  <c r="J296" i="165"/>
  <c r="G323" i="155"/>
  <c r="G296" i="155"/>
  <c r="G800" i="9"/>
  <c r="J800" i="9" s="1"/>
  <c r="K800" i="9" s="1"/>
  <c r="G321" i="9"/>
  <c r="F604" i="165"/>
  <c r="F599" i="165"/>
  <c r="F550" i="165"/>
  <c r="G529" i="162"/>
  <c r="H885" i="157"/>
  <c r="H543" i="157"/>
  <c r="H545" i="157" s="1"/>
  <c r="J18" i="162"/>
  <c r="J498" i="162"/>
  <c r="J312" i="162"/>
  <c r="J313" i="162" s="1"/>
  <c r="G313" i="165"/>
  <c r="J312" i="165"/>
  <c r="J313" i="165" s="1"/>
  <c r="F283" i="166"/>
  <c r="F324" i="166" s="1"/>
  <c r="J527" i="159"/>
  <c r="F527" i="160"/>
  <c r="G532" i="159"/>
  <c r="I532" i="159"/>
  <c r="F527" i="161"/>
  <c r="I325" i="9"/>
  <c r="I326" i="9" s="1"/>
  <c r="I803" i="9"/>
  <c r="L544" i="160"/>
  <c r="L886" i="160"/>
  <c r="K235" i="165"/>
  <c r="K236" i="165" s="1"/>
  <c r="K238" i="165" s="1"/>
  <c r="F236" i="165"/>
  <c r="F238" i="165" s="1"/>
  <c r="K206" i="164"/>
  <c r="H308" i="161"/>
  <c r="I308" i="161"/>
  <c r="J308" i="161"/>
  <c r="J296" i="155"/>
  <c r="J816" i="155" s="1"/>
  <c r="G544" i="167"/>
  <c r="G886" i="167"/>
  <c r="J307" i="159"/>
  <c r="F307" i="160"/>
  <c r="G310" i="159"/>
  <c r="G321" i="159" s="1"/>
  <c r="G325" i="159" s="1"/>
  <c r="G326" i="159" s="1"/>
  <c r="G18" i="162"/>
  <c r="G498" i="162"/>
  <c r="K209" i="164"/>
  <c r="G522" i="164"/>
  <c r="K18" i="166"/>
  <c r="H839" i="159" l="1"/>
  <c r="K235" i="164"/>
  <c r="K236" i="164" s="1"/>
  <c r="H20" i="159"/>
  <c r="H21" i="159" s="1"/>
  <c r="J519" i="166"/>
  <c r="J522" i="166" s="1"/>
  <c r="J876" i="166" s="1"/>
  <c r="G308" i="161"/>
  <c r="K308" i="161" s="1"/>
  <c r="L308" i="161" s="1"/>
  <c r="L522" i="160"/>
  <c r="F296" i="166"/>
  <c r="H800" i="159"/>
  <c r="I487" i="164"/>
  <c r="K487" i="161"/>
  <c r="L487" i="161" s="1"/>
  <c r="J323" i="167"/>
  <c r="J296" i="167"/>
  <c r="F323" i="167"/>
  <c r="F296" i="167"/>
  <c r="K323" i="167"/>
  <c r="K296" i="167"/>
  <c r="F307" i="155"/>
  <c r="H310" i="157"/>
  <c r="H321" i="157" s="1"/>
  <c r="H325" i="157" s="1"/>
  <c r="H326" i="157" s="1"/>
  <c r="F321" i="157"/>
  <c r="H323" i="164"/>
  <c r="H296" i="164"/>
  <c r="F650" i="162"/>
  <c r="F867" i="162"/>
  <c r="I20" i="157"/>
  <c r="I21" i="157" s="1"/>
  <c r="I500" i="157"/>
  <c r="I501" i="157" s="1"/>
  <c r="K544" i="167"/>
  <c r="K886" i="167"/>
  <c r="H876" i="162"/>
  <c r="G522" i="162"/>
  <c r="K519" i="162"/>
  <c r="F519" i="164"/>
  <c r="P816" i="155"/>
  <c r="L816" i="155"/>
  <c r="I14" i="159"/>
  <c r="I15" i="159" s="1"/>
  <c r="I330" i="159"/>
  <c r="I331" i="159" s="1"/>
  <c r="L18" i="160"/>
  <c r="F551" i="159"/>
  <c r="F556" i="159"/>
  <c r="F543" i="155"/>
  <c r="F545" i="155" s="1"/>
  <c r="F885" i="155"/>
  <c r="K519" i="155"/>
  <c r="G522" i="155"/>
  <c r="H519" i="164"/>
  <c r="L876" i="160"/>
  <c r="K420" i="164"/>
  <c r="K431" i="164" s="1"/>
  <c r="K433" i="164" s="1"/>
  <c r="K498" i="164" s="1"/>
  <c r="G800" i="159"/>
  <c r="G313" i="155"/>
  <c r="K312" i="155"/>
  <c r="I876" i="162"/>
  <c r="G876" i="164"/>
  <c r="G19" i="49"/>
  <c r="I308" i="167"/>
  <c r="K323" i="165"/>
  <c r="K296" i="165"/>
  <c r="I543" i="159"/>
  <c r="I545" i="159" s="1"/>
  <c r="I885" i="159"/>
  <c r="H584" i="167"/>
  <c r="H585" i="167" s="1"/>
  <c r="H591" i="167" s="1"/>
  <c r="F585" i="167"/>
  <c r="F591" i="167" s="1"/>
  <c r="I584" i="167"/>
  <c r="I585" i="167" s="1"/>
  <c r="I591" i="167" s="1"/>
  <c r="H875" i="158"/>
  <c r="H524" i="158"/>
  <c r="I20" i="159"/>
  <c r="I21" i="159" s="1"/>
  <c r="I500" i="159"/>
  <c r="I501" i="159" s="1"/>
  <c r="F500" i="159"/>
  <c r="F20" i="159"/>
  <c r="I487" i="165"/>
  <c r="K521" i="162"/>
  <c r="L521" i="162" s="1"/>
  <c r="F521" i="164"/>
  <c r="K498" i="155"/>
  <c r="K18" i="155"/>
  <c r="H876" i="166"/>
  <c r="J308" i="157"/>
  <c r="K308" i="157" s="1"/>
  <c r="I876" i="157"/>
  <c r="I840" i="9"/>
  <c r="I501" i="9"/>
  <c r="I310" i="157"/>
  <c r="I321" i="157" s="1"/>
  <c r="I325" i="157" s="1"/>
  <c r="I326" i="157" s="1"/>
  <c r="K238" i="155"/>
  <c r="L550" i="160"/>
  <c r="L599" i="160"/>
  <c r="L604" i="160"/>
  <c r="J238" i="164"/>
  <c r="F486" i="155"/>
  <c r="H488" i="157"/>
  <c r="H495" i="157" s="1"/>
  <c r="F886" i="167"/>
  <c r="F544" i="167"/>
  <c r="F522" i="165"/>
  <c r="G876" i="161"/>
  <c r="H527" i="166"/>
  <c r="H532" i="166" s="1"/>
  <c r="I532" i="155"/>
  <c r="H487" i="155"/>
  <c r="H487" i="165" s="1"/>
  <c r="J487" i="155"/>
  <c r="H487" i="167" s="1"/>
  <c r="I487" i="155"/>
  <c r="H487" i="166" s="1"/>
  <c r="H487" i="160"/>
  <c r="G487" i="165" s="1"/>
  <c r="J487" i="165" s="1"/>
  <c r="J487" i="160"/>
  <c r="G487" i="167" s="1"/>
  <c r="I487" i="160"/>
  <c r="G487" i="166" s="1"/>
  <c r="G876" i="166"/>
  <c r="H313" i="162"/>
  <c r="G312" i="162"/>
  <c r="J580" i="165"/>
  <c r="J598" i="165" s="1"/>
  <c r="K578" i="165"/>
  <c r="K580" i="165" s="1"/>
  <c r="K598" i="165" s="1"/>
  <c r="G323" i="162"/>
  <c r="G296" i="162"/>
  <c r="K522" i="160"/>
  <c r="H803" i="159"/>
  <c r="F325" i="159"/>
  <c r="F326" i="159" s="1"/>
  <c r="I803" i="159"/>
  <c r="G803" i="159"/>
  <c r="P816" i="160"/>
  <c r="L816" i="160"/>
  <c r="K519" i="166"/>
  <c r="K522" i="166" s="1"/>
  <c r="F522" i="166"/>
  <c r="J310" i="159"/>
  <c r="J321" i="159" s="1"/>
  <c r="J325" i="159" s="1"/>
  <c r="J326" i="159" s="1"/>
  <c r="K307" i="159"/>
  <c r="K310" i="159" s="1"/>
  <c r="K321" i="159" s="1"/>
  <c r="K325" i="159" s="1"/>
  <c r="K326" i="159" s="1"/>
  <c r="K330" i="159" s="1"/>
  <c r="K331" i="159" s="1"/>
  <c r="F323" i="165"/>
  <c r="F296" i="165"/>
  <c r="I527" i="161"/>
  <c r="J527" i="161"/>
  <c r="F532" i="161"/>
  <c r="H527" i="161"/>
  <c r="J532" i="159"/>
  <c r="K527" i="159"/>
  <c r="K532" i="159" s="1"/>
  <c r="J599" i="162"/>
  <c r="J550" i="162"/>
  <c r="J604" i="162"/>
  <c r="F875" i="158"/>
  <c r="F524" i="158"/>
  <c r="I885" i="157"/>
  <c r="I543" i="157"/>
  <c r="I545" i="157" s="1"/>
  <c r="P801" i="155"/>
  <c r="L801" i="155"/>
  <c r="K886" i="165"/>
  <c r="K544" i="165"/>
  <c r="J20" i="9"/>
  <c r="J500" i="9"/>
  <c r="J501" i="9" s="1"/>
  <c r="H876" i="165"/>
  <c r="I308" i="166"/>
  <c r="K215" i="164"/>
  <c r="G543" i="159"/>
  <c r="G545" i="159" s="1"/>
  <c r="G885" i="159"/>
  <c r="J19" i="49"/>
  <c r="H556" i="157"/>
  <c r="H551" i="157"/>
  <c r="G325" i="9"/>
  <c r="G326" i="9" s="1"/>
  <c r="G803" i="9"/>
  <c r="J803" i="9" s="1"/>
  <c r="K803" i="9" s="1"/>
  <c r="L816" i="161"/>
  <c r="P816" i="161"/>
  <c r="H486" i="161"/>
  <c r="I486" i="161"/>
  <c r="J486" i="161"/>
  <c r="F488" i="161"/>
  <c r="J312" i="164"/>
  <c r="J313" i="164" s="1"/>
  <c r="G313" i="164"/>
  <c r="H633" i="159"/>
  <c r="H870" i="159"/>
  <c r="K18" i="162"/>
  <c r="K498" i="162"/>
  <c r="H556" i="159"/>
  <c r="H551" i="159"/>
  <c r="K313" i="161"/>
  <c r="L312" i="161"/>
  <c r="L313" i="161" s="1"/>
  <c r="G876" i="165"/>
  <c r="K522" i="161"/>
  <c r="L519" i="161"/>
  <c r="L522" i="161" s="1"/>
  <c r="L18" i="161"/>
  <c r="K527" i="155"/>
  <c r="G532" i="155"/>
  <c r="H527" i="164"/>
  <c r="H532" i="164" s="1"/>
  <c r="K238" i="166"/>
  <c r="F886" i="164"/>
  <c r="F544" i="164"/>
  <c r="P18" i="162"/>
  <c r="H19" i="49"/>
  <c r="L221" i="162"/>
  <c r="L229" i="162" s="1"/>
  <c r="L238" i="162" s="1"/>
  <c r="K229" i="162"/>
  <c r="K238" i="162" s="1"/>
  <c r="I800" i="159"/>
  <c r="I308" i="165"/>
  <c r="K529" i="162"/>
  <c r="L529" i="162" s="1"/>
  <c r="F529" i="164"/>
  <c r="K529" i="164" s="1"/>
  <c r="F18" i="165"/>
  <c r="F312" i="165"/>
  <c r="F498" i="165"/>
  <c r="I876" i="155"/>
  <c r="G522" i="157"/>
  <c r="J519" i="157"/>
  <c r="G14" i="159"/>
  <c r="G15" i="159" s="1"/>
  <c r="G330" i="159"/>
  <c r="G331" i="159" s="1"/>
  <c r="I487" i="167"/>
  <c r="L544" i="162"/>
  <c r="L886" i="162"/>
  <c r="J498" i="164"/>
  <c r="J18" i="164"/>
  <c r="J308" i="160"/>
  <c r="G308" i="167" s="1"/>
  <c r="H308" i="160"/>
  <c r="G308" i="165" s="1"/>
  <c r="I308" i="160"/>
  <c r="G308" i="166" s="1"/>
  <c r="K35" i="9"/>
  <c r="K37" i="9" s="1"/>
  <c r="K899" i="9"/>
  <c r="L238" i="155"/>
  <c r="K599" i="160"/>
  <c r="K604" i="160"/>
  <c r="K550" i="160"/>
  <c r="G876" i="160"/>
  <c r="F312" i="167"/>
  <c r="F18" i="167"/>
  <c r="F498" i="167"/>
  <c r="F519" i="167"/>
  <c r="J522" i="162"/>
  <c r="K275" i="164"/>
  <c r="K283" i="164" s="1"/>
  <c r="K324" i="164" s="1"/>
  <c r="J486" i="159"/>
  <c r="F486" i="160"/>
  <c r="G488" i="159"/>
  <c r="H876" i="167"/>
  <c r="J519" i="167"/>
  <c r="J522" i="167" s="1"/>
  <c r="I307" i="160"/>
  <c r="J307" i="160"/>
  <c r="H307" i="160"/>
  <c r="F310" i="160"/>
  <c r="I14" i="9"/>
  <c r="I15" i="9" s="1"/>
  <c r="I330" i="9"/>
  <c r="I331" i="9" s="1"/>
  <c r="H527" i="160"/>
  <c r="I527" i="160"/>
  <c r="F532" i="160"/>
  <c r="J527" i="160"/>
  <c r="I875" i="158"/>
  <c r="I524" i="158"/>
  <c r="G515" i="158"/>
  <c r="I487" i="166"/>
  <c r="L283" i="162"/>
  <c r="L324" i="162" s="1"/>
  <c r="K544" i="162"/>
  <c r="K886" i="162"/>
  <c r="H334" i="159"/>
  <c r="H899" i="159"/>
  <c r="H35" i="159"/>
  <c r="H37" i="159" s="1"/>
  <c r="H323" i="162"/>
  <c r="H296" i="162"/>
  <c r="J14" i="9"/>
  <c r="J330" i="9"/>
  <c r="J331" i="9" s="1"/>
  <c r="H308" i="155"/>
  <c r="H308" i="165" s="1"/>
  <c r="J308" i="155"/>
  <c r="H308" i="167" s="1"/>
  <c r="I308" i="155"/>
  <c r="H308" i="166" s="1"/>
  <c r="J527" i="157"/>
  <c r="G532" i="157"/>
  <c r="J307" i="157"/>
  <c r="G310" i="157"/>
  <c r="G321" i="157" s="1"/>
  <c r="G325" i="157" s="1"/>
  <c r="G326" i="157" s="1"/>
  <c r="F886" i="165"/>
  <c r="F544" i="165"/>
  <c r="K323" i="161"/>
  <c r="K296" i="161"/>
  <c r="K313" i="160"/>
  <c r="L312" i="160"/>
  <c r="L313" i="160" s="1"/>
  <c r="H876" i="155"/>
  <c r="G585" i="165"/>
  <c r="G591" i="165" s="1"/>
  <c r="J584" i="165"/>
  <c r="H549" i="9"/>
  <c r="H552" i="9" s="1"/>
  <c r="H555" i="9" s="1"/>
  <c r="H597" i="9"/>
  <c r="J580" i="167"/>
  <c r="J598" i="167" s="1"/>
  <c r="K578" i="167"/>
  <c r="K580" i="167" s="1"/>
  <c r="K598" i="167" s="1"/>
  <c r="F495" i="157"/>
  <c r="H839" i="157"/>
  <c r="G486" i="157"/>
  <c r="J519" i="165"/>
  <c r="J522" i="165" s="1"/>
  <c r="G20" i="9"/>
  <c r="G21" i="9" s="1"/>
  <c r="G500" i="9"/>
  <c r="I876" i="164"/>
  <c r="H307" i="161"/>
  <c r="F310" i="161"/>
  <c r="I307" i="161"/>
  <c r="J307" i="161"/>
  <c r="H527" i="167"/>
  <c r="H532" i="167" s="1"/>
  <c r="J532" i="155"/>
  <c r="H527" i="165"/>
  <c r="H532" i="165" s="1"/>
  <c r="H532" i="155"/>
  <c r="J323" i="166"/>
  <c r="J296" i="166"/>
  <c r="K544" i="164"/>
  <c r="K886" i="164"/>
  <c r="K221" i="164"/>
  <c r="K229" i="164" s="1"/>
  <c r="K238" i="164" s="1"/>
  <c r="F229" i="164"/>
  <c r="F238" i="164" s="1"/>
  <c r="F312" i="164"/>
  <c r="F18" i="164"/>
  <c r="F498" i="164"/>
  <c r="J876" i="155"/>
  <c r="G876" i="167"/>
  <c r="J521" i="164"/>
  <c r="G307" i="160" l="1"/>
  <c r="I308" i="164"/>
  <c r="G527" i="161"/>
  <c r="K527" i="161" s="1"/>
  <c r="L323" i="162"/>
  <c r="L296" i="162"/>
  <c r="K323" i="164"/>
  <c r="K296" i="164"/>
  <c r="K307" i="160"/>
  <c r="G307" i="164"/>
  <c r="G532" i="161"/>
  <c r="I527" i="164"/>
  <c r="I532" i="164" s="1"/>
  <c r="I307" i="166"/>
  <c r="I310" i="166" s="1"/>
  <c r="I321" i="166" s="1"/>
  <c r="I325" i="166" s="1"/>
  <c r="I326" i="166" s="1"/>
  <c r="I310" i="161"/>
  <c r="I321" i="161" s="1"/>
  <c r="I325" i="161" s="1"/>
  <c r="I326" i="161" s="1"/>
  <c r="G527" i="165"/>
  <c r="H532" i="160"/>
  <c r="F885" i="160"/>
  <c r="F543" i="160"/>
  <c r="F545" i="160" s="1"/>
  <c r="J308" i="166"/>
  <c r="J633" i="9"/>
  <c r="J870" i="9"/>
  <c r="F549" i="158"/>
  <c r="F552" i="158" s="1"/>
  <c r="F555" i="158" s="1"/>
  <c r="F597" i="158"/>
  <c r="G527" i="166"/>
  <c r="I532" i="160"/>
  <c r="J488" i="159"/>
  <c r="J495" i="159" s="1"/>
  <c r="K486" i="159"/>
  <c r="K488" i="159" s="1"/>
  <c r="K495" i="159" s="1"/>
  <c r="K500" i="159" s="1"/>
  <c r="K501" i="159" s="1"/>
  <c r="J876" i="162"/>
  <c r="K312" i="167"/>
  <c r="K313" i="167" s="1"/>
  <c r="F313" i="167"/>
  <c r="J308" i="165"/>
  <c r="J487" i="162"/>
  <c r="F487" i="167" s="1"/>
  <c r="G876" i="157"/>
  <c r="F313" i="165"/>
  <c r="K312" i="165"/>
  <c r="K313" i="165" s="1"/>
  <c r="H308" i="162"/>
  <c r="F308" i="165" s="1"/>
  <c r="K323" i="166"/>
  <c r="K296" i="166"/>
  <c r="F495" i="161"/>
  <c r="I486" i="165"/>
  <c r="I488" i="165" s="1"/>
  <c r="I495" i="165" s="1"/>
  <c r="H488" i="161"/>
  <c r="H495" i="161" s="1"/>
  <c r="G556" i="159"/>
  <c r="G551" i="159"/>
  <c r="K20" i="9"/>
  <c r="J21" i="9"/>
  <c r="K885" i="159"/>
  <c r="K543" i="159"/>
  <c r="K545" i="159" s="1"/>
  <c r="J487" i="166"/>
  <c r="G487" i="160"/>
  <c r="H543" i="166"/>
  <c r="H545" i="166" s="1"/>
  <c r="H885" i="166"/>
  <c r="I14" i="157"/>
  <c r="I15" i="157" s="1"/>
  <c r="I330" i="157"/>
  <c r="I331" i="157" s="1"/>
  <c r="K521" i="164"/>
  <c r="H487" i="162"/>
  <c r="F487" i="165" s="1"/>
  <c r="K487" i="165" s="1"/>
  <c r="I633" i="159"/>
  <c r="I870" i="159"/>
  <c r="I604" i="167"/>
  <c r="I599" i="167"/>
  <c r="I550" i="167"/>
  <c r="G584" i="167"/>
  <c r="J308" i="162"/>
  <c r="F308" i="167" s="1"/>
  <c r="K313" i="155"/>
  <c r="L312" i="155"/>
  <c r="L313" i="155" s="1"/>
  <c r="J800" i="159"/>
  <c r="K800" i="159" s="1"/>
  <c r="O800" i="159"/>
  <c r="G876" i="162"/>
  <c r="I633" i="157"/>
  <c r="I870" i="157"/>
  <c r="F325" i="157"/>
  <c r="F326" i="157" s="1"/>
  <c r="H803" i="157"/>
  <c r="I803" i="157"/>
  <c r="G803" i="157"/>
  <c r="H14" i="157"/>
  <c r="H15" i="157" s="1"/>
  <c r="H330" i="157"/>
  <c r="H331" i="157" s="1"/>
  <c r="K312" i="164"/>
  <c r="K313" i="164" s="1"/>
  <c r="F313" i="164"/>
  <c r="H885" i="167"/>
  <c r="H543" i="167"/>
  <c r="H545" i="167" s="1"/>
  <c r="J585" i="165"/>
  <c r="J591" i="165" s="1"/>
  <c r="K584" i="165"/>
  <c r="K585" i="165" s="1"/>
  <c r="K591" i="165" s="1"/>
  <c r="G308" i="155"/>
  <c r="J515" i="158"/>
  <c r="G516" i="158"/>
  <c r="G527" i="160"/>
  <c r="F321" i="160"/>
  <c r="F323" i="164"/>
  <c r="F296" i="164"/>
  <c r="H543" i="155"/>
  <c r="H545" i="155" s="1"/>
  <c r="H885" i="155"/>
  <c r="I800" i="161"/>
  <c r="J800" i="161"/>
  <c r="F321" i="161"/>
  <c r="J876" i="165"/>
  <c r="G599" i="165"/>
  <c r="G550" i="165"/>
  <c r="G604" i="165"/>
  <c r="J310" i="157"/>
  <c r="J321" i="157" s="1"/>
  <c r="J325" i="157" s="1"/>
  <c r="J326" i="157" s="1"/>
  <c r="K307" i="157"/>
  <c r="K310" i="157" s="1"/>
  <c r="K321" i="157" s="1"/>
  <c r="K325" i="157" s="1"/>
  <c r="K326" i="157" s="1"/>
  <c r="K330" i="157" s="1"/>
  <c r="K331" i="157" s="1"/>
  <c r="I549" i="158"/>
  <c r="I552" i="158" s="1"/>
  <c r="I555" i="158" s="1"/>
  <c r="I597" i="158"/>
  <c r="I334" i="9"/>
  <c r="I817" i="9"/>
  <c r="G307" i="165"/>
  <c r="H310" i="160"/>
  <c r="H321" i="160" s="1"/>
  <c r="H325" i="160" s="1"/>
  <c r="H326" i="160" s="1"/>
  <c r="J876" i="167"/>
  <c r="J486" i="160"/>
  <c r="H486" i="160"/>
  <c r="I486" i="160"/>
  <c r="F488" i="160"/>
  <c r="K18" i="167"/>
  <c r="L323" i="155"/>
  <c r="L296" i="155"/>
  <c r="J522" i="157"/>
  <c r="K519" i="157"/>
  <c r="K522" i="157" s="1"/>
  <c r="K323" i="162"/>
  <c r="K296" i="162"/>
  <c r="K532" i="155"/>
  <c r="L527" i="155"/>
  <c r="L532" i="155" s="1"/>
  <c r="K876" i="161"/>
  <c r="I527" i="166"/>
  <c r="I532" i="166" s="1"/>
  <c r="I532" i="161"/>
  <c r="I527" i="162"/>
  <c r="J14" i="159"/>
  <c r="J15" i="159" s="1"/>
  <c r="J330" i="159"/>
  <c r="J331" i="159" s="1"/>
  <c r="F330" i="159"/>
  <c r="F331" i="159" s="1"/>
  <c r="F14" i="159"/>
  <c r="G313" i="162"/>
  <c r="K312" i="162"/>
  <c r="I543" i="155"/>
  <c r="I545" i="155" s="1"/>
  <c r="I885" i="155"/>
  <c r="K519" i="165"/>
  <c r="K522" i="165" s="1"/>
  <c r="J486" i="155"/>
  <c r="I486" i="155"/>
  <c r="H486" i="155"/>
  <c r="G486" i="155" s="1"/>
  <c r="F488" i="155"/>
  <c r="K323" i="155"/>
  <c r="K296" i="155"/>
  <c r="H840" i="159"/>
  <c r="F501" i="159"/>
  <c r="K522" i="155"/>
  <c r="L519" i="155"/>
  <c r="L522" i="155" s="1"/>
  <c r="K522" i="162"/>
  <c r="L519" i="162"/>
  <c r="L522" i="162" s="1"/>
  <c r="G800" i="157"/>
  <c r="H543" i="165"/>
  <c r="H545" i="165" s="1"/>
  <c r="H885" i="165"/>
  <c r="F500" i="157"/>
  <c r="F20" i="157"/>
  <c r="H557" i="9"/>
  <c r="H561" i="9"/>
  <c r="H563" i="9" s="1"/>
  <c r="G543" i="157"/>
  <c r="G545" i="157" s="1"/>
  <c r="G885" i="157"/>
  <c r="K14" i="9"/>
  <c r="K15" i="9" s="1"/>
  <c r="J15" i="9"/>
  <c r="I487" i="162"/>
  <c r="F487" i="166" s="1"/>
  <c r="K18" i="164"/>
  <c r="J885" i="155"/>
  <c r="J543" i="155"/>
  <c r="J545" i="155" s="1"/>
  <c r="I307" i="167"/>
  <c r="I310" i="167" s="1"/>
  <c r="I321" i="167" s="1"/>
  <c r="I325" i="167" s="1"/>
  <c r="I326" i="167" s="1"/>
  <c r="J310" i="161"/>
  <c r="J321" i="161" s="1"/>
  <c r="J325" i="161" s="1"/>
  <c r="J326" i="161" s="1"/>
  <c r="I307" i="165"/>
  <c r="I310" i="165" s="1"/>
  <c r="I321" i="165" s="1"/>
  <c r="I325" i="165" s="1"/>
  <c r="I326" i="165" s="1"/>
  <c r="H310" i="161"/>
  <c r="H321" i="161" s="1"/>
  <c r="H325" i="161" s="1"/>
  <c r="H326" i="161" s="1"/>
  <c r="G840" i="9"/>
  <c r="J840" i="9" s="1"/>
  <c r="K840" i="9" s="1"/>
  <c r="G501" i="9"/>
  <c r="J486" i="157"/>
  <c r="G488" i="157"/>
  <c r="J532" i="157"/>
  <c r="K527" i="157"/>
  <c r="K532" i="157" s="1"/>
  <c r="H548" i="159"/>
  <c r="H595" i="159"/>
  <c r="H634" i="159"/>
  <c r="H26" i="159"/>
  <c r="G527" i="167"/>
  <c r="J532" i="160"/>
  <c r="G307" i="167"/>
  <c r="J310" i="160"/>
  <c r="J321" i="160" s="1"/>
  <c r="J325" i="160" s="1"/>
  <c r="J326" i="160" s="1"/>
  <c r="F522" i="167"/>
  <c r="K519" i="167"/>
  <c r="K522" i="167" s="1"/>
  <c r="G308" i="160"/>
  <c r="K18" i="165"/>
  <c r="H885" i="164"/>
  <c r="H543" i="164"/>
  <c r="H545" i="164" s="1"/>
  <c r="L18" i="162"/>
  <c r="I486" i="167"/>
  <c r="I488" i="167" s="1"/>
  <c r="I495" i="167" s="1"/>
  <c r="J488" i="161"/>
  <c r="J495" i="161" s="1"/>
  <c r="G486" i="161"/>
  <c r="I556" i="157"/>
  <c r="I551" i="157"/>
  <c r="J543" i="159"/>
  <c r="J545" i="159" s="1"/>
  <c r="J885" i="159"/>
  <c r="F885" i="161"/>
  <c r="F543" i="161"/>
  <c r="F545" i="161" s="1"/>
  <c r="F876" i="166"/>
  <c r="O803" i="159"/>
  <c r="J803" i="159"/>
  <c r="K803" i="159" s="1"/>
  <c r="K876" i="160"/>
  <c r="J487" i="167"/>
  <c r="J323" i="164"/>
  <c r="J296" i="164"/>
  <c r="I633" i="9"/>
  <c r="I870" i="9"/>
  <c r="I841" i="9"/>
  <c r="F599" i="167"/>
  <c r="F550" i="167"/>
  <c r="F604" i="167"/>
  <c r="I551" i="159"/>
  <c r="I556" i="159"/>
  <c r="H522" i="164"/>
  <c r="J519" i="164"/>
  <c r="J522" i="164" s="1"/>
  <c r="F551" i="155"/>
  <c r="F556" i="155"/>
  <c r="H800" i="157"/>
  <c r="J307" i="155"/>
  <c r="J307" i="162" s="1"/>
  <c r="I307" i="155"/>
  <c r="I307" i="162" s="1"/>
  <c r="F310" i="155"/>
  <c r="H307" i="155"/>
  <c r="G307" i="161"/>
  <c r="G330" i="157"/>
  <c r="G331" i="157" s="1"/>
  <c r="G14" i="157"/>
  <c r="G15" i="157" s="1"/>
  <c r="G307" i="166"/>
  <c r="I310" i="160"/>
  <c r="I321" i="160" s="1"/>
  <c r="I325" i="160" s="1"/>
  <c r="I326" i="160" s="1"/>
  <c r="G495" i="159"/>
  <c r="G839" i="159"/>
  <c r="J308" i="167"/>
  <c r="G334" i="159"/>
  <c r="G543" i="155"/>
  <c r="G545" i="155" s="1"/>
  <c r="G885" i="155"/>
  <c r="L876" i="161"/>
  <c r="I486" i="166"/>
  <c r="I488" i="166" s="1"/>
  <c r="I495" i="166" s="1"/>
  <c r="I488" i="161"/>
  <c r="I495" i="161" s="1"/>
  <c r="G14" i="9"/>
  <c r="G15" i="9" s="1"/>
  <c r="G330" i="9"/>
  <c r="G331" i="9" s="1"/>
  <c r="I308" i="162"/>
  <c r="F308" i="166" s="1"/>
  <c r="K308" i="166" s="1"/>
  <c r="I527" i="165"/>
  <c r="I532" i="165" s="1"/>
  <c r="H527" i="162"/>
  <c r="H532" i="161"/>
  <c r="I527" i="167"/>
  <c r="I532" i="167" s="1"/>
  <c r="J532" i="161"/>
  <c r="J527" i="162"/>
  <c r="K334" i="159"/>
  <c r="K899" i="159"/>
  <c r="K35" i="159"/>
  <c r="K37" i="159" s="1"/>
  <c r="K876" i="166"/>
  <c r="G487" i="155"/>
  <c r="F876" i="165"/>
  <c r="H20" i="157"/>
  <c r="H21" i="157" s="1"/>
  <c r="H500" i="157"/>
  <c r="H501" i="157" s="1"/>
  <c r="L18" i="155"/>
  <c r="F21" i="159"/>
  <c r="H597" i="158"/>
  <c r="H549" i="158"/>
  <c r="H552" i="158" s="1"/>
  <c r="H555" i="158" s="1"/>
  <c r="H604" i="167"/>
  <c r="H550" i="167"/>
  <c r="H599" i="167"/>
  <c r="K19" i="49"/>
  <c r="G876" i="155"/>
  <c r="I334" i="159"/>
  <c r="K519" i="164"/>
  <c r="K522" i="164" s="1"/>
  <c r="F522" i="164"/>
  <c r="F869" i="162"/>
  <c r="F871" i="162"/>
  <c r="I800" i="157"/>
  <c r="I800" i="160" l="1"/>
  <c r="K308" i="165"/>
  <c r="K487" i="166"/>
  <c r="F307" i="166"/>
  <c r="I310" i="162"/>
  <c r="I321" i="162" s="1"/>
  <c r="I325" i="162" s="1"/>
  <c r="I326" i="162" s="1"/>
  <c r="K486" i="155"/>
  <c r="H486" i="164"/>
  <c r="G488" i="155"/>
  <c r="G495" i="155" s="1"/>
  <c r="H307" i="165"/>
  <c r="H310" i="165" s="1"/>
  <c r="H321" i="165" s="1"/>
  <c r="H325" i="165" s="1"/>
  <c r="H326" i="165" s="1"/>
  <c r="H310" i="155"/>
  <c r="H321" i="155" s="1"/>
  <c r="H325" i="155" s="1"/>
  <c r="H326" i="155" s="1"/>
  <c r="F551" i="161"/>
  <c r="F556" i="161"/>
  <c r="J800" i="157"/>
  <c r="K800" i="157" s="1"/>
  <c r="O800" i="157"/>
  <c r="G486" i="166"/>
  <c r="I488" i="160"/>
  <c r="I495" i="160" s="1"/>
  <c r="J307" i="165"/>
  <c r="J310" i="165" s="1"/>
  <c r="J321" i="165" s="1"/>
  <c r="J325" i="165" s="1"/>
  <c r="J326" i="165" s="1"/>
  <c r="G310" i="165"/>
  <c r="G321" i="165" s="1"/>
  <c r="G325" i="165" s="1"/>
  <c r="G326" i="165" s="1"/>
  <c r="F14" i="157"/>
  <c r="F330" i="157"/>
  <c r="F331" i="157" s="1"/>
  <c r="K21" i="9"/>
  <c r="I839" i="161"/>
  <c r="I14" i="166"/>
  <c r="I15" i="166" s="1"/>
  <c r="I330" i="166"/>
  <c r="I331" i="166" s="1"/>
  <c r="H633" i="157"/>
  <c r="H870" i="157"/>
  <c r="I543" i="167"/>
  <c r="I545" i="167" s="1"/>
  <c r="I885" i="167"/>
  <c r="I486" i="162"/>
  <c r="G548" i="159"/>
  <c r="G595" i="159"/>
  <c r="J334" i="159"/>
  <c r="G26" i="159"/>
  <c r="G634" i="159"/>
  <c r="G20" i="159"/>
  <c r="G21" i="159" s="1"/>
  <c r="G500" i="159"/>
  <c r="G334" i="157"/>
  <c r="F321" i="155"/>
  <c r="J20" i="161"/>
  <c r="J21" i="161" s="1"/>
  <c r="J500" i="161"/>
  <c r="J501" i="161" s="1"/>
  <c r="G495" i="157"/>
  <c r="G839" i="157"/>
  <c r="J14" i="161"/>
  <c r="J15" i="161" s="1"/>
  <c r="I17" i="168" s="1"/>
  <c r="J330" i="161"/>
  <c r="J331" i="161" s="1"/>
  <c r="K876" i="155"/>
  <c r="H486" i="166"/>
  <c r="H488" i="166" s="1"/>
  <c r="H495" i="166" s="1"/>
  <c r="I488" i="155"/>
  <c r="I495" i="155" s="1"/>
  <c r="J876" i="157"/>
  <c r="G486" i="165"/>
  <c r="H488" i="160"/>
  <c r="H495" i="160" s="1"/>
  <c r="I515" i="9"/>
  <c r="H556" i="155"/>
  <c r="H551" i="155"/>
  <c r="H800" i="160"/>
  <c r="G527" i="164"/>
  <c r="G532" i="160"/>
  <c r="K527" i="160"/>
  <c r="K308" i="155"/>
  <c r="L308" i="155" s="1"/>
  <c r="H308" i="164"/>
  <c r="H556" i="167"/>
  <c r="H551" i="167"/>
  <c r="O803" i="157"/>
  <c r="J803" i="157"/>
  <c r="K803" i="157" s="1"/>
  <c r="K308" i="167"/>
  <c r="K556" i="159"/>
  <c r="K551" i="159"/>
  <c r="H486" i="162"/>
  <c r="H839" i="161"/>
  <c r="G532" i="166"/>
  <c r="J527" i="166"/>
  <c r="J532" i="166" s="1"/>
  <c r="G532" i="165"/>
  <c r="J527" i="165"/>
  <c r="J532" i="165" s="1"/>
  <c r="G527" i="162"/>
  <c r="K876" i="164"/>
  <c r="J885" i="161"/>
  <c r="J543" i="161"/>
  <c r="J545" i="161" s="1"/>
  <c r="I20" i="161"/>
  <c r="I21" i="161" s="1"/>
  <c r="I500" i="161"/>
  <c r="I501" i="161" s="1"/>
  <c r="G307" i="155"/>
  <c r="K486" i="161"/>
  <c r="I486" i="164"/>
  <c r="I488" i="164" s="1"/>
  <c r="I495" i="164" s="1"/>
  <c r="G488" i="161"/>
  <c r="G495" i="161" s="1"/>
  <c r="G310" i="167"/>
  <c r="G321" i="167" s="1"/>
  <c r="G325" i="167" s="1"/>
  <c r="G326" i="167" s="1"/>
  <c r="J543" i="157"/>
  <c r="J545" i="157" s="1"/>
  <c r="J885" i="157"/>
  <c r="J310" i="162"/>
  <c r="J321" i="162" s="1"/>
  <c r="J325" i="162" s="1"/>
  <c r="J326" i="162" s="1"/>
  <c r="F307" i="167"/>
  <c r="G551" i="157"/>
  <c r="G556" i="157"/>
  <c r="L876" i="155"/>
  <c r="K876" i="165"/>
  <c r="I885" i="166"/>
  <c r="I543" i="166"/>
  <c r="I545" i="166" s="1"/>
  <c r="K543" i="155"/>
  <c r="K545" i="155" s="1"/>
  <c r="K885" i="155"/>
  <c r="G486" i="167"/>
  <c r="J488" i="160"/>
  <c r="J495" i="160" s="1"/>
  <c r="J14" i="157"/>
  <c r="J15" i="157" s="1"/>
  <c r="J330" i="157"/>
  <c r="J331" i="157" s="1"/>
  <c r="H803" i="160"/>
  <c r="I803" i="160"/>
  <c r="J803" i="160"/>
  <c r="F325" i="160"/>
  <c r="F326" i="160" s="1"/>
  <c r="H500" i="161"/>
  <c r="H501" i="161" s="1"/>
  <c r="H20" i="161"/>
  <c r="H21" i="161" s="1"/>
  <c r="I885" i="160"/>
  <c r="I543" i="160"/>
  <c r="I545" i="160" s="1"/>
  <c r="F551" i="160"/>
  <c r="F556" i="160"/>
  <c r="H885" i="160"/>
  <c r="H543" i="160"/>
  <c r="H545" i="160" s="1"/>
  <c r="K532" i="161"/>
  <c r="L527" i="161"/>
  <c r="L532" i="161" s="1"/>
  <c r="K487" i="155"/>
  <c r="L487" i="155" s="1"/>
  <c r="H487" i="164"/>
  <c r="H307" i="167"/>
  <c r="H310" i="167" s="1"/>
  <c r="H321" i="167" s="1"/>
  <c r="H325" i="167" s="1"/>
  <c r="H326" i="167" s="1"/>
  <c r="J310" i="155"/>
  <c r="J321" i="155" s="1"/>
  <c r="J325" i="155" s="1"/>
  <c r="J326" i="155" s="1"/>
  <c r="K876" i="167"/>
  <c r="J885" i="160"/>
  <c r="J543" i="160"/>
  <c r="J545" i="160" s="1"/>
  <c r="H330" i="161"/>
  <c r="H331" i="161" s="1"/>
  <c r="H14" i="161"/>
  <c r="H15" i="161" s="1"/>
  <c r="E17" i="168" s="1"/>
  <c r="F872" i="162"/>
  <c r="I26" i="159"/>
  <c r="I595" i="159"/>
  <c r="I634" i="159"/>
  <c r="I548" i="159"/>
  <c r="L19" i="49"/>
  <c r="K548" i="159"/>
  <c r="K634" i="159"/>
  <c r="H543" i="161"/>
  <c r="H545" i="161" s="1"/>
  <c r="H885" i="161"/>
  <c r="G817" i="9"/>
  <c r="I20" i="166"/>
  <c r="I21" i="166" s="1"/>
  <c r="I500" i="166"/>
  <c r="I501" i="166" s="1"/>
  <c r="G556" i="155"/>
  <c r="G551" i="155"/>
  <c r="I14" i="160"/>
  <c r="I15" i="160" s="1"/>
  <c r="I330" i="160"/>
  <c r="I331" i="160" s="1"/>
  <c r="K307" i="161"/>
  <c r="I307" i="164"/>
  <c r="I310" i="164" s="1"/>
  <c r="I321" i="164" s="1"/>
  <c r="I325" i="164" s="1"/>
  <c r="I326" i="164" s="1"/>
  <c r="G310" i="161"/>
  <c r="G321" i="161" s="1"/>
  <c r="G325" i="161" s="1"/>
  <c r="G326" i="161" s="1"/>
  <c r="G307" i="162"/>
  <c r="J876" i="164"/>
  <c r="J486" i="162"/>
  <c r="H556" i="164"/>
  <c r="H551" i="164"/>
  <c r="F876" i="167"/>
  <c r="G532" i="167"/>
  <c r="J527" i="167"/>
  <c r="J532" i="167" s="1"/>
  <c r="J488" i="157"/>
  <c r="J495" i="157" s="1"/>
  <c r="K486" i="157"/>
  <c r="K488" i="157" s="1"/>
  <c r="K495" i="157" s="1"/>
  <c r="K500" i="157" s="1"/>
  <c r="K501" i="157" s="1"/>
  <c r="H307" i="162"/>
  <c r="I14" i="167"/>
  <c r="I15" i="167" s="1"/>
  <c r="I330" i="167"/>
  <c r="I331" i="167" s="1"/>
  <c r="H22" i="9"/>
  <c r="H596" i="9"/>
  <c r="H600" i="9" s="1"/>
  <c r="H603" i="9" s="1"/>
  <c r="H635" i="9"/>
  <c r="H637" i="9" s="1"/>
  <c r="H645" i="9" s="1"/>
  <c r="H646" i="9" s="1"/>
  <c r="H647" i="9" s="1"/>
  <c r="H556" i="165"/>
  <c r="H551" i="165"/>
  <c r="L876" i="162"/>
  <c r="F495" i="155"/>
  <c r="I551" i="155"/>
  <c r="I556" i="155"/>
  <c r="K14" i="159"/>
  <c r="K15" i="159" s="1"/>
  <c r="F15" i="159"/>
  <c r="F527" i="166"/>
  <c r="I532" i="162"/>
  <c r="I557" i="158"/>
  <c r="I561" i="158"/>
  <c r="I563" i="158" s="1"/>
  <c r="J604" i="165"/>
  <c r="H800" i="161"/>
  <c r="G800" i="161" s="1"/>
  <c r="K800" i="161" s="1"/>
  <c r="G875" i="158"/>
  <c r="G524" i="158"/>
  <c r="K599" i="165"/>
  <c r="K550" i="165"/>
  <c r="J584" i="167"/>
  <c r="G585" i="167"/>
  <c r="G591" i="167" s="1"/>
  <c r="I334" i="157"/>
  <c r="I35" i="157"/>
  <c r="I37" i="157" s="1"/>
  <c r="I899" i="157"/>
  <c r="H556" i="166"/>
  <c r="H551" i="166"/>
  <c r="I20" i="165"/>
  <c r="I21" i="165" s="1"/>
  <c r="I500" i="165"/>
  <c r="I501" i="165" s="1"/>
  <c r="F20" i="161"/>
  <c r="F500" i="161"/>
  <c r="K633" i="159"/>
  <c r="K870" i="159"/>
  <c r="I543" i="164"/>
  <c r="I545" i="164" s="1"/>
  <c r="I885" i="164"/>
  <c r="L307" i="160"/>
  <c r="I885" i="165"/>
  <c r="I543" i="165"/>
  <c r="I545" i="165" s="1"/>
  <c r="I839" i="159"/>
  <c r="O839" i="159" s="1"/>
  <c r="J839" i="159"/>
  <c r="K839" i="159" s="1"/>
  <c r="H840" i="157"/>
  <c r="F501" i="157"/>
  <c r="F870" i="159"/>
  <c r="F633" i="159"/>
  <c r="H841" i="159"/>
  <c r="K876" i="157"/>
  <c r="F876" i="164"/>
  <c r="H561" i="158"/>
  <c r="H563" i="158" s="1"/>
  <c r="H557" i="158"/>
  <c r="F527" i="167"/>
  <c r="J532" i="162"/>
  <c r="F527" i="165"/>
  <c r="H532" i="162"/>
  <c r="G310" i="166"/>
  <c r="G321" i="166" s="1"/>
  <c r="G325" i="166" s="1"/>
  <c r="G326" i="166" s="1"/>
  <c r="H307" i="166"/>
  <c r="H310" i="166" s="1"/>
  <c r="H321" i="166" s="1"/>
  <c r="H325" i="166" s="1"/>
  <c r="H326" i="166" s="1"/>
  <c r="I310" i="155"/>
  <c r="I321" i="155" s="1"/>
  <c r="I325" i="155" s="1"/>
  <c r="I326" i="155" s="1"/>
  <c r="H876" i="164"/>
  <c r="J551" i="159"/>
  <c r="J556" i="159"/>
  <c r="I20" i="167"/>
  <c r="I21" i="167" s="1"/>
  <c r="I500" i="167"/>
  <c r="I501" i="167" s="1"/>
  <c r="K308" i="160"/>
  <c r="L308" i="160" s="1"/>
  <c r="G308" i="164"/>
  <c r="J308" i="164" s="1"/>
  <c r="G308" i="162"/>
  <c r="J330" i="160"/>
  <c r="J331" i="160" s="1"/>
  <c r="J14" i="160"/>
  <c r="J15" i="160" s="1"/>
  <c r="K543" i="157"/>
  <c r="K545" i="157" s="1"/>
  <c r="K885" i="157"/>
  <c r="G633" i="9"/>
  <c r="G870" i="9"/>
  <c r="G841" i="9"/>
  <c r="J841" i="9" s="1"/>
  <c r="K841" i="9" s="1"/>
  <c r="I330" i="165"/>
  <c r="I331" i="165" s="1"/>
  <c r="I14" i="165"/>
  <c r="I15" i="165" s="1"/>
  <c r="J551" i="155"/>
  <c r="J556" i="155"/>
  <c r="F21" i="157"/>
  <c r="K876" i="162"/>
  <c r="H486" i="165"/>
  <c r="H488" i="165" s="1"/>
  <c r="H495" i="165" s="1"/>
  <c r="H488" i="155"/>
  <c r="H495" i="155" s="1"/>
  <c r="H486" i="167"/>
  <c r="H488" i="167" s="1"/>
  <c r="H495" i="167" s="1"/>
  <c r="J488" i="155"/>
  <c r="J495" i="155" s="1"/>
  <c r="K313" i="162"/>
  <c r="L312" i="162"/>
  <c r="L313" i="162" s="1"/>
  <c r="H817" i="159"/>
  <c r="I817" i="159"/>
  <c r="F334" i="159"/>
  <c r="G817" i="159"/>
  <c r="I543" i="161"/>
  <c r="I545" i="161" s="1"/>
  <c r="I885" i="161"/>
  <c r="L543" i="155"/>
  <c r="L545" i="155" s="1"/>
  <c r="L551" i="155" s="1"/>
  <c r="L885" i="155"/>
  <c r="J839" i="160"/>
  <c r="F495" i="160"/>
  <c r="H839" i="160"/>
  <c r="G486" i="160"/>
  <c r="G486" i="162" s="1"/>
  <c r="H14" i="160"/>
  <c r="H15" i="160" s="1"/>
  <c r="H330" i="160"/>
  <c r="H331" i="160" s="1"/>
  <c r="I26" i="9"/>
  <c r="I634" i="9"/>
  <c r="I595" i="9"/>
  <c r="I548" i="9"/>
  <c r="G334" i="9"/>
  <c r="K899" i="157"/>
  <c r="K35" i="157"/>
  <c r="K37" i="157" s="1"/>
  <c r="K334" i="157"/>
  <c r="J803" i="161"/>
  <c r="F325" i="161"/>
  <c r="F326" i="161" s="1"/>
  <c r="H803" i="161"/>
  <c r="I803" i="161"/>
  <c r="J800" i="160"/>
  <c r="J516" i="158"/>
  <c r="K515" i="158"/>
  <c r="K516" i="158" s="1"/>
  <c r="J550" i="165"/>
  <c r="J599" i="165"/>
  <c r="H334" i="157"/>
  <c r="K487" i="160"/>
  <c r="L487" i="160" s="1"/>
  <c r="G487" i="164"/>
  <c r="J487" i="164" s="1"/>
  <c r="G487" i="162"/>
  <c r="J839" i="161"/>
  <c r="K487" i="167"/>
  <c r="J20" i="159"/>
  <c r="J500" i="159"/>
  <c r="J501" i="159" s="1"/>
  <c r="F557" i="158"/>
  <c r="F561" i="158"/>
  <c r="F563" i="158" s="1"/>
  <c r="I14" i="161"/>
  <c r="I15" i="161" s="1"/>
  <c r="G17" i="168" s="1"/>
  <c r="I330" i="161"/>
  <c r="I331" i="161" s="1"/>
  <c r="G885" i="161"/>
  <c r="G543" i="161"/>
  <c r="G545" i="161" s="1"/>
  <c r="G310" i="160"/>
  <c r="G321" i="160" s="1"/>
  <c r="G325" i="160" s="1"/>
  <c r="G326" i="160" s="1"/>
  <c r="H839" i="155" l="1"/>
  <c r="K486" i="162"/>
  <c r="F486" i="164"/>
  <c r="G488" i="162"/>
  <c r="G495" i="162" s="1"/>
  <c r="I334" i="161"/>
  <c r="H14" i="166"/>
  <c r="H15" i="166" s="1"/>
  <c r="H330" i="166"/>
  <c r="H331" i="166" s="1"/>
  <c r="I556" i="165"/>
  <c r="I551" i="165"/>
  <c r="H650" i="9"/>
  <c r="H867" i="9"/>
  <c r="H844" i="9"/>
  <c r="J817" i="9"/>
  <c r="K817" i="9" s="1"/>
  <c r="G20" i="157"/>
  <c r="G21" i="157" s="1"/>
  <c r="G500" i="157"/>
  <c r="I551" i="167"/>
  <c r="I556" i="167"/>
  <c r="H817" i="157"/>
  <c r="I817" i="157"/>
  <c r="F334" i="157"/>
  <c r="G817" i="157"/>
  <c r="H14" i="155"/>
  <c r="H15" i="155" s="1"/>
  <c r="H330" i="155"/>
  <c r="H331" i="155" s="1"/>
  <c r="J21" i="159"/>
  <c r="K20" i="159"/>
  <c r="K875" i="158"/>
  <c r="K524" i="158"/>
  <c r="K595" i="157"/>
  <c r="K548" i="157"/>
  <c r="K634" i="157"/>
  <c r="H334" i="160"/>
  <c r="F20" i="160"/>
  <c r="F500" i="160"/>
  <c r="F26" i="159"/>
  <c r="F595" i="159"/>
  <c r="F634" i="159"/>
  <c r="F548" i="159"/>
  <c r="H20" i="167"/>
  <c r="H21" i="167" s="1"/>
  <c r="H500" i="167"/>
  <c r="H501" i="167" s="1"/>
  <c r="G330" i="166"/>
  <c r="G331" i="166" s="1"/>
  <c r="G14" i="166"/>
  <c r="G15" i="166" s="1"/>
  <c r="J543" i="162"/>
  <c r="J545" i="162" s="1"/>
  <c r="J885" i="162"/>
  <c r="F870" i="157"/>
  <c r="H841" i="157"/>
  <c r="F633" i="157"/>
  <c r="I551" i="164"/>
  <c r="I556" i="164"/>
  <c r="F21" i="161"/>
  <c r="G550" i="167"/>
  <c r="G599" i="167"/>
  <c r="G604" i="167"/>
  <c r="K604" i="165"/>
  <c r="F20" i="155"/>
  <c r="F500" i="155"/>
  <c r="H608" i="9"/>
  <c r="H610" i="9" s="1"/>
  <c r="H605" i="9"/>
  <c r="H23" i="9" s="1"/>
  <c r="H24" i="9" s="1"/>
  <c r="H28" i="9" s="1"/>
  <c r="F307" i="165"/>
  <c r="H310" i="162"/>
  <c r="H321" i="162" s="1"/>
  <c r="H325" i="162" s="1"/>
  <c r="H326" i="162" s="1"/>
  <c r="J543" i="167"/>
  <c r="J545" i="167" s="1"/>
  <c r="J885" i="167"/>
  <c r="K310" i="161"/>
  <c r="K321" i="161" s="1"/>
  <c r="K325" i="161" s="1"/>
  <c r="K326" i="161" s="1"/>
  <c r="L307" i="161"/>
  <c r="L310" i="161" s="1"/>
  <c r="L321" i="161" s="1"/>
  <c r="L325" i="161" s="1"/>
  <c r="L326" i="161" s="1"/>
  <c r="L330" i="161" s="1"/>
  <c r="L331" i="161" s="1"/>
  <c r="H334" i="161"/>
  <c r="G20" i="161"/>
  <c r="G21" i="161" s="1"/>
  <c r="G500" i="161"/>
  <c r="G501" i="161" s="1"/>
  <c r="K307" i="155"/>
  <c r="G310" i="155"/>
  <c r="G321" i="155" s="1"/>
  <c r="G325" i="155" s="1"/>
  <c r="G326" i="155" s="1"/>
  <c r="H307" i="164"/>
  <c r="G310" i="164"/>
  <c r="G321" i="164" s="1"/>
  <c r="G325" i="164" s="1"/>
  <c r="G326" i="164" s="1"/>
  <c r="G543" i="165"/>
  <c r="G545" i="165" s="1"/>
  <c r="G885" i="165"/>
  <c r="G800" i="160"/>
  <c r="K800" i="160" s="1"/>
  <c r="J486" i="165"/>
  <c r="J488" i="165" s="1"/>
  <c r="J495" i="165" s="1"/>
  <c r="G488" i="165"/>
  <c r="G495" i="165" s="1"/>
  <c r="H20" i="166"/>
  <c r="H21" i="166" s="1"/>
  <c r="H500" i="166"/>
  <c r="H501" i="166" s="1"/>
  <c r="J334" i="161"/>
  <c r="H800" i="155"/>
  <c r="K14" i="157"/>
  <c r="K15" i="157" s="1"/>
  <c r="F15" i="157"/>
  <c r="J486" i="166"/>
  <c r="J488" i="166" s="1"/>
  <c r="J495" i="166" s="1"/>
  <c r="G488" i="166"/>
  <c r="G495" i="166" s="1"/>
  <c r="H330" i="165"/>
  <c r="H331" i="165" s="1"/>
  <c r="H14" i="165"/>
  <c r="H15" i="165" s="1"/>
  <c r="I14" i="162"/>
  <c r="I330" i="162"/>
  <c r="I331" i="162" s="1"/>
  <c r="J870" i="159"/>
  <c r="J633" i="159"/>
  <c r="G26" i="9"/>
  <c r="J334" i="9"/>
  <c r="G634" i="9"/>
  <c r="G548" i="9"/>
  <c r="G595" i="9"/>
  <c r="J500" i="155"/>
  <c r="J501" i="155" s="1"/>
  <c r="J20" i="155"/>
  <c r="J21" i="155" s="1"/>
  <c r="H840" i="161"/>
  <c r="I840" i="161"/>
  <c r="J840" i="161"/>
  <c r="F501" i="161"/>
  <c r="H14" i="167"/>
  <c r="H15" i="167" s="1"/>
  <c r="H330" i="167"/>
  <c r="H331" i="167" s="1"/>
  <c r="H556" i="160"/>
  <c r="H551" i="160"/>
  <c r="F330" i="160"/>
  <c r="F331" i="160" s="1"/>
  <c r="F14" i="160"/>
  <c r="K488" i="161"/>
  <c r="K495" i="161" s="1"/>
  <c r="L486" i="161"/>
  <c r="L488" i="161" s="1"/>
  <c r="L495" i="161" s="1"/>
  <c r="L500" i="161" s="1"/>
  <c r="L501" i="161" s="1"/>
  <c r="J543" i="165"/>
  <c r="J545" i="165" s="1"/>
  <c r="J885" i="165"/>
  <c r="I20" i="155"/>
  <c r="I21" i="155" s="1"/>
  <c r="I500" i="155"/>
  <c r="I501" i="155" s="1"/>
  <c r="G26" i="157"/>
  <c r="G595" i="157"/>
  <c r="G634" i="157"/>
  <c r="J334" i="157"/>
  <c r="G548" i="157"/>
  <c r="I20" i="160"/>
  <c r="I21" i="160" s="1"/>
  <c r="I500" i="160"/>
  <c r="I501" i="160" s="1"/>
  <c r="K488" i="155"/>
  <c r="K495" i="155" s="1"/>
  <c r="L486" i="155"/>
  <c r="L488" i="155" s="1"/>
  <c r="L495" i="155" s="1"/>
  <c r="L500" i="155" s="1"/>
  <c r="L501" i="155" s="1"/>
  <c r="G803" i="161"/>
  <c r="K803" i="161" s="1"/>
  <c r="H20" i="155"/>
  <c r="H21" i="155" s="1"/>
  <c r="H500" i="155"/>
  <c r="H501" i="155" s="1"/>
  <c r="J334" i="160"/>
  <c r="I633" i="167"/>
  <c r="I870" i="167"/>
  <c r="J307" i="166"/>
  <c r="J310" i="166" s="1"/>
  <c r="J321" i="166" s="1"/>
  <c r="J325" i="166" s="1"/>
  <c r="J326" i="166" s="1"/>
  <c r="K527" i="167"/>
  <c r="K532" i="167" s="1"/>
  <c r="F532" i="167"/>
  <c r="L310" i="160"/>
  <c r="L321" i="160" s="1"/>
  <c r="L325" i="160" s="1"/>
  <c r="L326" i="160" s="1"/>
  <c r="L330" i="160" s="1"/>
  <c r="L331" i="160" s="1"/>
  <c r="I633" i="165"/>
  <c r="I870" i="165"/>
  <c r="J585" i="167"/>
  <c r="J591" i="167" s="1"/>
  <c r="K584" i="167"/>
  <c r="K585" i="167" s="1"/>
  <c r="K591" i="167" s="1"/>
  <c r="G549" i="158"/>
  <c r="G552" i="158" s="1"/>
  <c r="G555" i="158" s="1"/>
  <c r="G597" i="158"/>
  <c r="I543" i="162"/>
  <c r="I545" i="162" s="1"/>
  <c r="I885" i="162"/>
  <c r="J839" i="155"/>
  <c r="K633" i="157"/>
  <c r="K870" i="157"/>
  <c r="G885" i="167"/>
  <c r="G543" i="167"/>
  <c r="G545" i="167" s="1"/>
  <c r="F307" i="164"/>
  <c r="K307" i="162"/>
  <c r="G310" i="162"/>
  <c r="G321" i="162" s="1"/>
  <c r="G325" i="162" s="1"/>
  <c r="G326" i="162" s="1"/>
  <c r="I334" i="160"/>
  <c r="I870" i="166"/>
  <c r="I633" i="166"/>
  <c r="J551" i="160"/>
  <c r="J556" i="160"/>
  <c r="L543" i="161"/>
  <c r="L545" i="161" s="1"/>
  <c r="L885" i="161"/>
  <c r="J20" i="160"/>
  <c r="J21" i="160" s="1"/>
  <c r="J500" i="160"/>
  <c r="J501" i="160" s="1"/>
  <c r="K551" i="155"/>
  <c r="K556" i="155"/>
  <c r="L556" i="155" s="1"/>
  <c r="J551" i="157"/>
  <c r="J556" i="157"/>
  <c r="I870" i="161"/>
  <c r="I633" i="161"/>
  <c r="G839" i="161"/>
  <c r="K839" i="161" s="1"/>
  <c r="K532" i="160"/>
  <c r="L527" i="160"/>
  <c r="L532" i="160" s="1"/>
  <c r="J870" i="161"/>
  <c r="J633" i="161"/>
  <c r="J800" i="155"/>
  <c r="F486" i="166"/>
  <c r="I488" i="162"/>
  <c r="I495" i="162" s="1"/>
  <c r="G14" i="165"/>
  <c r="G15" i="165" s="1"/>
  <c r="G330" i="165"/>
  <c r="G331" i="165" s="1"/>
  <c r="G20" i="155"/>
  <c r="G21" i="155" s="1"/>
  <c r="G500" i="155"/>
  <c r="G501" i="155" s="1"/>
  <c r="F310" i="166"/>
  <c r="F321" i="166" s="1"/>
  <c r="F325" i="166" s="1"/>
  <c r="F326" i="166" s="1"/>
  <c r="K487" i="162"/>
  <c r="L487" i="162" s="1"/>
  <c r="F487" i="164"/>
  <c r="K487" i="164" s="1"/>
  <c r="O817" i="159"/>
  <c r="J817" i="159"/>
  <c r="K817" i="159" s="1"/>
  <c r="K551" i="157"/>
  <c r="K556" i="157"/>
  <c r="F532" i="165"/>
  <c r="K527" i="165"/>
  <c r="K532" i="165" s="1"/>
  <c r="I634" i="157"/>
  <c r="I548" i="157"/>
  <c r="I26" i="157"/>
  <c r="I595" i="157"/>
  <c r="L800" i="161"/>
  <c r="P800" i="161"/>
  <c r="I22" i="158"/>
  <c r="I24" i="158" s="1"/>
  <c r="I28" i="158" s="1"/>
  <c r="I596" i="158"/>
  <c r="I600" i="158" s="1"/>
  <c r="I603" i="158" s="1"/>
  <c r="I635" i="158"/>
  <c r="I637" i="158" s="1"/>
  <c r="I645" i="158" s="1"/>
  <c r="I14" i="164"/>
  <c r="I15" i="164" s="1"/>
  <c r="I330" i="164"/>
  <c r="I331" i="164" s="1"/>
  <c r="H551" i="161"/>
  <c r="H556" i="161"/>
  <c r="I551" i="160"/>
  <c r="I556" i="160"/>
  <c r="J14" i="162"/>
  <c r="J330" i="162"/>
  <c r="J331" i="162" s="1"/>
  <c r="J307" i="167"/>
  <c r="J310" i="167" s="1"/>
  <c r="J321" i="167" s="1"/>
  <c r="J325" i="167" s="1"/>
  <c r="J326" i="167" s="1"/>
  <c r="J551" i="161"/>
  <c r="J556" i="161"/>
  <c r="G543" i="166"/>
  <c r="G545" i="166" s="1"/>
  <c r="G885" i="166"/>
  <c r="G532" i="164"/>
  <c r="J527" i="164"/>
  <c r="J532" i="164" s="1"/>
  <c r="H20" i="160"/>
  <c r="H21" i="160" s="1"/>
  <c r="H500" i="160"/>
  <c r="H501" i="160" s="1"/>
  <c r="H803" i="155"/>
  <c r="F325" i="155"/>
  <c r="F326" i="155" s="1"/>
  <c r="I803" i="155"/>
  <c r="J803" i="155"/>
  <c r="G14" i="160"/>
  <c r="G15" i="160" s="1"/>
  <c r="G330" i="160"/>
  <c r="G331" i="160" s="1"/>
  <c r="G551" i="161"/>
  <c r="G556" i="161"/>
  <c r="H548" i="157"/>
  <c r="H595" i="157"/>
  <c r="H634" i="157"/>
  <c r="H26" i="157"/>
  <c r="J875" i="158"/>
  <c r="J524" i="158"/>
  <c r="F22" i="158"/>
  <c r="F596" i="158"/>
  <c r="F600" i="158" s="1"/>
  <c r="F603" i="158" s="1"/>
  <c r="F635" i="158"/>
  <c r="F637" i="158" s="1"/>
  <c r="F645" i="158" s="1"/>
  <c r="F646" i="158" s="1"/>
  <c r="F647" i="158" s="1"/>
  <c r="F14" i="161"/>
  <c r="F330" i="161"/>
  <c r="F331" i="161" s="1"/>
  <c r="K486" i="160"/>
  <c r="G486" i="164"/>
  <c r="G488" i="160"/>
  <c r="G495" i="160" s="1"/>
  <c r="I839" i="160"/>
  <c r="G839" i="160" s="1"/>
  <c r="K839" i="160" s="1"/>
  <c r="I556" i="161"/>
  <c r="I551" i="161"/>
  <c r="H20" i="165"/>
  <c r="H21" i="165" s="1"/>
  <c r="H500" i="165"/>
  <c r="H501" i="165" s="1"/>
  <c r="I334" i="165"/>
  <c r="K308" i="162"/>
  <c r="L308" i="162" s="1"/>
  <c r="F308" i="164"/>
  <c r="K308" i="164" s="1"/>
  <c r="I330" i="155"/>
  <c r="I331" i="155" s="1"/>
  <c r="I14" i="155"/>
  <c r="I15" i="155" s="1"/>
  <c r="H885" i="162"/>
  <c r="H543" i="162"/>
  <c r="H545" i="162" s="1"/>
  <c r="H596" i="158"/>
  <c r="H600" i="158" s="1"/>
  <c r="H603" i="158" s="1"/>
  <c r="H635" i="158"/>
  <c r="H637" i="158" s="1"/>
  <c r="H645" i="158" s="1"/>
  <c r="H22" i="158"/>
  <c r="H24" i="158" s="1"/>
  <c r="H28" i="158" s="1"/>
  <c r="K310" i="160"/>
  <c r="K321" i="160" s="1"/>
  <c r="K325" i="160" s="1"/>
  <c r="K326" i="160" s="1"/>
  <c r="F532" i="166"/>
  <c r="K527" i="166"/>
  <c r="K532" i="166" s="1"/>
  <c r="I839" i="155"/>
  <c r="I334" i="167"/>
  <c r="J500" i="157"/>
  <c r="J501" i="157" s="1"/>
  <c r="J20" i="157"/>
  <c r="F486" i="167"/>
  <c r="J488" i="162"/>
  <c r="J495" i="162" s="1"/>
  <c r="G14" i="161"/>
  <c r="G15" i="161" s="1"/>
  <c r="C17" i="168" s="1"/>
  <c r="G330" i="161"/>
  <c r="G331" i="161" s="1"/>
  <c r="F895" i="162"/>
  <c r="F877" i="162"/>
  <c r="F881" i="162" s="1"/>
  <c r="F882" i="162" s="1"/>
  <c r="F884" i="162" s="1"/>
  <c r="J14" i="155"/>
  <c r="J15" i="155" s="1"/>
  <c r="J330" i="155"/>
  <c r="J331" i="155" s="1"/>
  <c r="K885" i="161"/>
  <c r="K543" i="161"/>
  <c r="K545" i="161" s="1"/>
  <c r="H633" i="161"/>
  <c r="H870" i="161"/>
  <c r="G803" i="160"/>
  <c r="K803" i="160" s="1"/>
  <c r="J486" i="167"/>
  <c r="J488" i="167" s="1"/>
  <c r="J495" i="167" s="1"/>
  <c r="G488" i="167"/>
  <c r="G495" i="167" s="1"/>
  <c r="I556" i="166"/>
  <c r="I551" i="166"/>
  <c r="F310" i="167"/>
  <c r="F321" i="167" s="1"/>
  <c r="F325" i="167" s="1"/>
  <c r="F326" i="167" s="1"/>
  <c r="K307" i="167"/>
  <c r="K310" i="167" s="1"/>
  <c r="K321" i="167" s="1"/>
  <c r="K325" i="167" s="1"/>
  <c r="K326" i="167" s="1"/>
  <c r="K330" i="167" s="1"/>
  <c r="K331" i="167" s="1"/>
  <c r="G330" i="167"/>
  <c r="G331" i="167" s="1"/>
  <c r="G14" i="167"/>
  <c r="G15" i="167" s="1"/>
  <c r="I20" i="164"/>
  <c r="I21" i="164" s="1"/>
  <c r="I500" i="164"/>
  <c r="I501" i="164" s="1"/>
  <c r="G532" i="162"/>
  <c r="K527" i="162"/>
  <c r="F527" i="164"/>
  <c r="J543" i="166"/>
  <c r="J545" i="166" s="1"/>
  <c r="J885" i="166"/>
  <c r="F486" i="165"/>
  <c r="H488" i="162"/>
  <c r="H495" i="162" s="1"/>
  <c r="G543" i="160"/>
  <c r="G545" i="160" s="1"/>
  <c r="G885" i="160"/>
  <c r="I516" i="9"/>
  <c r="F515" i="159"/>
  <c r="G515" i="9"/>
  <c r="I839" i="157"/>
  <c r="J839" i="157" s="1"/>
  <c r="K839" i="157" s="1"/>
  <c r="I800" i="155"/>
  <c r="G501" i="159"/>
  <c r="G840" i="159"/>
  <c r="J26" i="159"/>
  <c r="J595" i="159"/>
  <c r="J634" i="159"/>
  <c r="J548" i="159"/>
  <c r="I334" i="166"/>
  <c r="J14" i="165"/>
  <c r="J15" i="165" s="1"/>
  <c r="J330" i="165"/>
  <c r="J331" i="165" s="1"/>
  <c r="H488" i="164"/>
  <c r="H495" i="164" s="1"/>
  <c r="G800" i="155" l="1"/>
  <c r="K800" i="155" s="1"/>
  <c r="G839" i="155"/>
  <c r="K839" i="155" s="1"/>
  <c r="P839" i="155"/>
  <c r="L839" i="155"/>
  <c r="P839" i="160"/>
  <c r="L839" i="160"/>
  <c r="G551" i="160"/>
  <c r="G556" i="160"/>
  <c r="K14" i="160"/>
  <c r="K15" i="160" s="1"/>
  <c r="K330" i="160"/>
  <c r="K331" i="160" s="1"/>
  <c r="I334" i="155"/>
  <c r="J486" i="164"/>
  <c r="J488" i="164" s="1"/>
  <c r="J495" i="164" s="1"/>
  <c r="G488" i="164"/>
  <c r="G495" i="164" s="1"/>
  <c r="J543" i="164"/>
  <c r="J545" i="164" s="1"/>
  <c r="J885" i="164"/>
  <c r="K550" i="167"/>
  <c r="K599" i="167"/>
  <c r="I15" i="49"/>
  <c r="I16" i="49" s="1"/>
  <c r="I15" i="162"/>
  <c r="H633" i="166"/>
  <c r="H870" i="166"/>
  <c r="G334" i="166"/>
  <c r="I634" i="161"/>
  <c r="I548" i="161"/>
  <c r="I595" i="161"/>
  <c r="I26" i="161"/>
  <c r="G21" i="168" s="1"/>
  <c r="I840" i="159"/>
  <c r="J840" i="159" s="1"/>
  <c r="K840" i="159" s="1"/>
  <c r="O839" i="157"/>
  <c r="H515" i="159"/>
  <c r="H516" i="159" s="1"/>
  <c r="F516" i="159"/>
  <c r="I515" i="159"/>
  <c r="H20" i="162"/>
  <c r="H500" i="162"/>
  <c r="H501" i="162" s="1"/>
  <c r="K527" i="164"/>
  <c r="K532" i="164" s="1"/>
  <c r="F532" i="164"/>
  <c r="I870" i="164"/>
  <c r="I633" i="164"/>
  <c r="K334" i="167"/>
  <c r="K548" i="167" s="1"/>
  <c r="G20" i="167"/>
  <c r="G21" i="167" s="1"/>
  <c r="G500" i="167"/>
  <c r="G501" i="167" s="1"/>
  <c r="K486" i="167"/>
  <c r="K488" i="167" s="1"/>
  <c r="K495" i="167" s="1"/>
  <c r="K500" i="167" s="1"/>
  <c r="K501" i="167" s="1"/>
  <c r="K870" i="167" s="1"/>
  <c r="F488" i="167"/>
  <c r="F495" i="167" s="1"/>
  <c r="I26" i="167"/>
  <c r="I595" i="167"/>
  <c r="I634" i="167"/>
  <c r="I548" i="167"/>
  <c r="F543" i="166"/>
  <c r="F545" i="166" s="1"/>
  <c r="F885" i="166"/>
  <c r="H551" i="162"/>
  <c r="H556" i="162"/>
  <c r="K488" i="160"/>
  <c r="K495" i="160" s="1"/>
  <c r="L486" i="160"/>
  <c r="L488" i="160" s="1"/>
  <c r="L495" i="160" s="1"/>
  <c r="L500" i="160" s="1"/>
  <c r="L501" i="160" s="1"/>
  <c r="F608" i="158"/>
  <c r="F610" i="158" s="1"/>
  <c r="F605" i="158"/>
  <c r="F23" i="158" s="1"/>
  <c r="F24" i="158" s="1"/>
  <c r="F28" i="158" s="1"/>
  <c r="G803" i="155"/>
  <c r="K803" i="155" s="1"/>
  <c r="G543" i="164"/>
  <c r="G545" i="164" s="1"/>
  <c r="G885" i="164"/>
  <c r="K307" i="166"/>
  <c r="K310" i="166" s="1"/>
  <c r="K321" i="166" s="1"/>
  <c r="K325" i="166" s="1"/>
  <c r="K326" i="166" s="1"/>
  <c r="K330" i="166" s="1"/>
  <c r="K331" i="166" s="1"/>
  <c r="K486" i="166"/>
  <c r="K488" i="166" s="1"/>
  <c r="K495" i="166" s="1"/>
  <c r="K500" i="166" s="1"/>
  <c r="K501" i="166" s="1"/>
  <c r="F488" i="166"/>
  <c r="F495" i="166" s="1"/>
  <c r="L885" i="160"/>
  <c r="L543" i="160"/>
  <c r="L545" i="160" s="1"/>
  <c r="F310" i="164"/>
  <c r="F321" i="164" s="1"/>
  <c r="F325" i="164" s="1"/>
  <c r="F326" i="164" s="1"/>
  <c r="I551" i="162"/>
  <c r="I556" i="162"/>
  <c r="J599" i="167"/>
  <c r="J550" i="167"/>
  <c r="F543" i="167"/>
  <c r="F545" i="167" s="1"/>
  <c r="F885" i="167"/>
  <c r="K20" i="155"/>
  <c r="K21" i="155" s="1"/>
  <c r="K500" i="155"/>
  <c r="K501" i="155" s="1"/>
  <c r="J26" i="157"/>
  <c r="J595" i="157"/>
  <c r="J634" i="157"/>
  <c r="J548" i="157"/>
  <c r="I633" i="155"/>
  <c r="I870" i="155"/>
  <c r="L633" i="161"/>
  <c r="L870" i="161"/>
  <c r="G840" i="161"/>
  <c r="K840" i="161" s="1"/>
  <c r="G14" i="155"/>
  <c r="G15" i="155" s="1"/>
  <c r="G330" i="155"/>
  <c r="G331" i="155" s="1"/>
  <c r="J551" i="167"/>
  <c r="J556" i="167"/>
  <c r="H870" i="167"/>
  <c r="H633" i="167"/>
  <c r="K26" i="159"/>
  <c r="O817" i="157"/>
  <c r="J817" i="157"/>
  <c r="K817" i="157" s="1"/>
  <c r="H869" i="9"/>
  <c r="H871" i="9"/>
  <c r="H334" i="166"/>
  <c r="L486" i="162"/>
  <c r="L488" i="162" s="1"/>
  <c r="L495" i="162" s="1"/>
  <c r="L500" i="162" s="1"/>
  <c r="L501" i="162" s="1"/>
  <c r="K488" i="162"/>
  <c r="K495" i="162" s="1"/>
  <c r="J551" i="166"/>
  <c r="J556" i="166"/>
  <c r="J334" i="155"/>
  <c r="J500" i="162"/>
  <c r="J501" i="162" s="1"/>
  <c r="J20" i="162"/>
  <c r="K543" i="166"/>
  <c r="K545" i="166" s="1"/>
  <c r="K885" i="166"/>
  <c r="F650" i="158"/>
  <c r="F867" i="158"/>
  <c r="F330" i="155"/>
  <c r="F331" i="155" s="1"/>
  <c r="F14" i="155"/>
  <c r="J15" i="49"/>
  <c r="J16" i="49" s="1"/>
  <c r="J15" i="162"/>
  <c r="L307" i="162"/>
  <c r="L310" i="162" s="1"/>
  <c r="L321" i="162" s="1"/>
  <c r="L325" i="162" s="1"/>
  <c r="L326" i="162" s="1"/>
  <c r="L330" i="162" s="1"/>
  <c r="L331" i="162" s="1"/>
  <c r="K310" i="162"/>
  <c r="K321" i="162" s="1"/>
  <c r="K325" i="162" s="1"/>
  <c r="K326" i="162" s="1"/>
  <c r="H870" i="155"/>
  <c r="H633" i="155"/>
  <c r="J551" i="165"/>
  <c r="J556" i="165"/>
  <c r="P800" i="155"/>
  <c r="L800" i="155"/>
  <c r="H745" i="9"/>
  <c r="H744" i="9"/>
  <c r="F488" i="164"/>
  <c r="F495" i="164" s="1"/>
  <c r="G633" i="159"/>
  <c r="G870" i="159"/>
  <c r="G841" i="159"/>
  <c r="I875" i="9"/>
  <c r="I524" i="9"/>
  <c r="K486" i="165"/>
  <c r="K488" i="165" s="1"/>
  <c r="K495" i="165" s="1"/>
  <c r="K500" i="165" s="1"/>
  <c r="K501" i="165" s="1"/>
  <c r="K870" i="165" s="1"/>
  <c r="F488" i="165"/>
  <c r="F495" i="165" s="1"/>
  <c r="K532" i="162"/>
  <c r="L527" i="162"/>
  <c r="L532" i="162" s="1"/>
  <c r="F330" i="167"/>
  <c r="F331" i="167" s="1"/>
  <c r="F14" i="167"/>
  <c r="J20" i="167"/>
  <c r="J21" i="167" s="1"/>
  <c r="J500" i="167"/>
  <c r="J501" i="167" s="1"/>
  <c r="K551" i="161"/>
  <c r="K556" i="161"/>
  <c r="F890" i="162"/>
  <c r="F892" i="162" s="1"/>
  <c r="F887" i="162"/>
  <c r="F896" i="162" s="1"/>
  <c r="F897" i="162" s="1"/>
  <c r="F899" i="162" s="1"/>
  <c r="J21" i="157"/>
  <c r="K20" i="157"/>
  <c r="H30" i="158"/>
  <c r="I634" i="165"/>
  <c r="I548" i="165"/>
  <c r="I26" i="165"/>
  <c r="I595" i="165"/>
  <c r="F334" i="161"/>
  <c r="H817" i="161"/>
  <c r="I817" i="161"/>
  <c r="J817" i="161"/>
  <c r="H870" i="160"/>
  <c r="H633" i="160"/>
  <c r="J330" i="167"/>
  <c r="J331" i="167" s="1"/>
  <c r="J14" i="167"/>
  <c r="J15" i="167" s="1"/>
  <c r="I608" i="158"/>
  <c r="I610" i="158" s="1"/>
  <c r="I605" i="158"/>
  <c r="I23" i="158" s="1"/>
  <c r="K543" i="165"/>
  <c r="K545" i="165" s="1"/>
  <c r="K885" i="165"/>
  <c r="F330" i="166"/>
  <c r="F331" i="166" s="1"/>
  <c r="F14" i="166"/>
  <c r="K543" i="160"/>
  <c r="K545" i="160" s="1"/>
  <c r="K885" i="160"/>
  <c r="J633" i="160"/>
  <c r="J870" i="160"/>
  <c r="L551" i="161"/>
  <c r="L556" i="161"/>
  <c r="I26" i="160"/>
  <c r="I634" i="160"/>
  <c r="I595" i="160"/>
  <c r="I548" i="160"/>
  <c r="G556" i="167"/>
  <c r="G551" i="167"/>
  <c r="K885" i="167"/>
  <c r="K543" i="167"/>
  <c r="K545" i="167" s="1"/>
  <c r="K551" i="167" s="1"/>
  <c r="J26" i="160"/>
  <c r="J548" i="160"/>
  <c r="J595" i="160"/>
  <c r="J634" i="160"/>
  <c r="I870" i="160"/>
  <c r="I633" i="160"/>
  <c r="K20" i="161"/>
  <c r="K500" i="161"/>
  <c r="K501" i="161" s="1"/>
  <c r="I841" i="161"/>
  <c r="J841" i="161"/>
  <c r="F870" i="161"/>
  <c r="F633" i="161"/>
  <c r="H841" i="161"/>
  <c r="H334" i="165"/>
  <c r="G20" i="165"/>
  <c r="G21" i="165" s="1"/>
  <c r="G500" i="165"/>
  <c r="G501" i="165" s="1"/>
  <c r="G551" i="165"/>
  <c r="G556" i="165"/>
  <c r="K310" i="155"/>
  <c r="K321" i="155" s="1"/>
  <c r="K325" i="155" s="1"/>
  <c r="K326" i="155" s="1"/>
  <c r="L307" i="155"/>
  <c r="L310" i="155" s="1"/>
  <c r="L321" i="155" s="1"/>
  <c r="L325" i="155" s="1"/>
  <c r="L326" i="155" s="1"/>
  <c r="L330" i="155" s="1"/>
  <c r="L331" i="155" s="1"/>
  <c r="H634" i="161"/>
  <c r="H548" i="161"/>
  <c r="H595" i="161"/>
  <c r="H26" i="161"/>
  <c r="E21" i="168" s="1"/>
  <c r="L899" i="161"/>
  <c r="L334" i="161"/>
  <c r="L35" i="161"/>
  <c r="L37" i="161" s="1"/>
  <c r="H14" i="162"/>
  <c r="H330" i="162"/>
  <c r="H331" i="162" s="1"/>
  <c r="J840" i="155"/>
  <c r="I840" i="155"/>
  <c r="H840" i="155"/>
  <c r="F501" i="155"/>
  <c r="J604" i="167"/>
  <c r="J556" i="162"/>
  <c r="J551" i="162"/>
  <c r="J840" i="160"/>
  <c r="H840" i="160"/>
  <c r="I840" i="160"/>
  <c r="F501" i="160"/>
  <c r="H26" i="160"/>
  <c r="H634" i="160"/>
  <c r="H595" i="160"/>
  <c r="H548" i="160"/>
  <c r="K21" i="159"/>
  <c r="G501" i="157"/>
  <c r="G840" i="157"/>
  <c r="J515" i="9"/>
  <c r="G516" i="9"/>
  <c r="F515" i="157"/>
  <c r="G334" i="167"/>
  <c r="H608" i="158"/>
  <c r="H610" i="158" s="1"/>
  <c r="H605" i="158"/>
  <c r="H23" i="158" s="1"/>
  <c r="I20" i="162"/>
  <c r="I500" i="162"/>
  <c r="I501" i="162" s="1"/>
  <c r="L334" i="160"/>
  <c r="L35" i="160"/>
  <c r="L37" i="160" s="1"/>
  <c r="L899" i="160"/>
  <c r="L633" i="155"/>
  <c r="L870" i="155"/>
  <c r="F334" i="160"/>
  <c r="J817" i="160"/>
  <c r="H817" i="160"/>
  <c r="I817" i="160"/>
  <c r="J500" i="166"/>
  <c r="J501" i="166" s="1"/>
  <c r="J20" i="166"/>
  <c r="J21" i="166" s="1"/>
  <c r="P800" i="160"/>
  <c r="L800" i="160"/>
  <c r="H310" i="164"/>
  <c r="H321" i="164" s="1"/>
  <c r="H325" i="164" s="1"/>
  <c r="H326" i="164" s="1"/>
  <c r="J307" i="164"/>
  <c r="J310" i="164" s="1"/>
  <c r="J321" i="164" s="1"/>
  <c r="J325" i="164" s="1"/>
  <c r="J326" i="164" s="1"/>
  <c r="H20" i="164"/>
  <c r="H21" i="164" s="1"/>
  <c r="H500" i="164"/>
  <c r="H501" i="164" s="1"/>
  <c r="I548" i="166"/>
  <c r="I26" i="166"/>
  <c r="I634" i="166"/>
  <c r="I595" i="166"/>
  <c r="G885" i="162"/>
  <c r="G543" i="162"/>
  <c r="G545" i="162" s="1"/>
  <c r="L803" i="160"/>
  <c r="P803" i="160"/>
  <c r="J870" i="157"/>
  <c r="J633" i="157"/>
  <c r="H633" i="165"/>
  <c r="H870" i="165"/>
  <c r="G20" i="160"/>
  <c r="G21" i="160" s="1"/>
  <c r="G500" i="160"/>
  <c r="G501" i="160" s="1"/>
  <c r="F15" i="161"/>
  <c r="J549" i="158"/>
  <c r="J552" i="158" s="1"/>
  <c r="J597" i="158"/>
  <c r="G551" i="166"/>
  <c r="G556" i="166"/>
  <c r="J334" i="162"/>
  <c r="I334" i="164"/>
  <c r="I30" i="158"/>
  <c r="F543" i="165"/>
  <c r="F545" i="165" s="1"/>
  <c r="F885" i="165"/>
  <c r="G870" i="155"/>
  <c r="G633" i="155"/>
  <c r="L839" i="161"/>
  <c r="P839" i="161"/>
  <c r="G14" i="162"/>
  <c r="G330" i="162"/>
  <c r="G331" i="162" s="1"/>
  <c r="G561" i="158"/>
  <c r="G563" i="158" s="1"/>
  <c r="J555" i="158"/>
  <c r="G557" i="158"/>
  <c r="J330" i="166"/>
  <c r="J331" i="166" s="1"/>
  <c r="J14" i="166"/>
  <c r="J15" i="166" s="1"/>
  <c r="L803" i="161"/>
  <c r="P803" i="161"/>
  <c r="L14" i="160"/>
  <c r="F15" i="160"/>
  <c r="L15" i="160" s="1"/>
  <c r="H334" i="167"/>
  <c r="J633" i="155"/>
  <c r="J870" i="155"/>
  <c r="J26" i="9"/>
  <c r="K26" i="9" s="1"/>
  <c r="J548" i="9"/>
  <c r="J595" i="9"/>
  <c r="J634" i="9"/>
  <c r="K334" i="9"/>
  <c r="I334" i="162"/>
  <c r="G500" i="166"/>
  <c r="G501" i="166" s="1"/>
  <c r="G20" i="166"/>
  <c r="G21" i="166" s="1"/>
  <c r="J26" i="161"/>
  <c r="I21" i="168" s="1"/>
  <c r="J634" i="161"/>
  <c r="J548" i="161"/>
  <c r="J595" i="161"/>
  <c r="J20" i="165"/>
  <c r="J21" i="165" s="1"/>
  <c r="J500" i="165"/>
  <c r="J501" i="165" s="1"/>
  <c r="G330" i="164"/>
  <c r="G331" i="164" s="1"/>
  <c r="G14" i="164"/>
  <c r="G15" i="164" s="1"/>
  <c r="G633" i="161"/>
  <c r="G870" i="161"/>
  <c r="K14" i="161"/>
  <c r="K15" i="161" s="1"/>
  <c r="K330" i="161"/>
  <c r="K331" i="161" s="1"/>
  <c r="F310" i="165"/>
  <c r="F321" i="165" s="1"/>
  <c r="F325" i="165" s="1"/>
  <c r="F326" i="165" s="1"/>
  <c r="K307" i="165"/>
  <c r="K310" i="165" s="1"/>
  <c r="K321" i="165" s="1"/>
  <c r="K325" i="165" s="1"/>
  <c r="K326" i="165" s="1"/>
  <c r="K330" i="165" s="1"/>
  <c r="K331" i="165" s="1"/>
  <c r="F21" i="155"/>
  <c r="F21" i="160"/>
  <c r="K597" i="158"/>
  <c r="K549" i="158"/>
  <c r="K552" i="158" s="1"/>
  <c r="K555" i="158" s="1"/>
  <c r="H334" i="155"/>
  <c r="F26" i="157"/>
  <c r="K26" i="157" s="1"/>
  <c r="F595" i="157"/>
  <c r="F634" i="157"/>
  <c r="F548" i="157"/>
  <c r="G500" i="162"/>
  <c r="G501" i="162" s="1"/>
  <c r="G20" i="162"/>
  <c r="L20" i="155" l="1"/>
  <c r="H872" i="9"/>
  <c r="O840" i="159"/>
  <c r="I548" i="162"/>
  <c r="I634" i="162"/>
  <c r="I26" i="162"/>
  <c r="I27" i="49" s="1"/>
  <c r="I595" i="162"/>
  <c r="I633" i="162"/>
  <c r="I870" i="162"/>
  <c r="G633" i="157"/>
  <c r="G870" i="157"/>
  <c r="G841" i="157"/>
  <c r="K604" i="167"/>
  <c r="H31" i="9"/>
  <c r="H649" i="9"/>
  <c r="H651" i="9" s="1"/>
  <c r="H763" i="9"/>
  <c r="F745" i="158"/>
  <c r="F869" i="158"/>
  <c r="F871" i="158"/>
  <c r="I516" i="159"/>
  <c r="F515" i="161"/>
  <c r="G26" i="166"/>
  <c r="J334" i="166"/>
  <c r="G548" i="166"/>
  <c r="G595" i="166"/>
  <c r="G634" i="166"/>
  <c r="J20" i="164"/>
  <c r="J21" i="164" s="1"/>
  <c r="J500" i="164"/>
  <c r="J501" i="164" s="1"/>
  <c r="I595" i="155"/>
  <c r="I26" i="155"/>
  <c r="I548" i="155"/>
  <c r="I634" i="155"/>
  <c r="G334" i="164"/>
  <c r="G633" i="166"/>
  <c r="G870" i="166"/>
  <c r="K634" i="9"/>
  <c r="K548" i="9"/>
  <c r="L27" i="49"/>
  <c r="J557" i="158"/>
  <c r="J561" i="158"/>
  <c r="J563" i="158" s="1"/>
  <c r="L15" i="161"/>
  <c r="G556" i="162"/>
  <c r="G551" i="162"/>
  <c r="F548" i="160"/>
  <c r="F595" i="160"/>
  <c r="G334" i="160"/>
  <c r="F26" i="160"/>
  <c r="F634" i="160"/>
  <c r="I21" i="49"/>
  <c r="I22" i="49" s="1"/>
  <c r="I21" i="162"/>
  <c r="J516" i="9"/>
  <c r="K515" i="9"/>
  <c r="K516" i="9" s="1"/>
  <c r="L634" i="161"/>
  <c r="L548" i="161"/>
  <c r="L595" i="161"/>
  <c r="G841" i="161"/>
  <c r="K841" i="161" s="1"/>
  <c r="K551" i="160"/>
  <c r="K556" i="160"/>
  <c r="K551" i="165"/>
  <c r="K556" i="165"/>
  <c r="K14" i="167"/>
  <c r="K15" i="167" s="1"/>
  <c r="F15" i="167"/>
  <c r="K885" i="162"/>
  <c r="K543" i="162"/>
  <c r="K545" i="162" s="1"/>
  <c r="F500" i="164"/>
  <c r="F501" i="164" s="1"/>
  <c r="F20" i="164"/>
  <c r="K14" i="162"/>
  <c r="K330" i="162"/>
  <c r="K331" i="162" s="1"/>
  <c r="K551" i="166"/>
  <c r="K556" i="166"/>
  <c r="K500" i="162"/>
  <c r="K501" i="162" s="1"/>
  <c r="K20" i="162"/>
  <c r="H548" i="166"/>
  <c r="H26" i="166"/>
  <c r="H634" i="166"/>
  <c r="H595" i="166"/>
  <c r="K870" i="155"/>
  <c r="K633" i="155"/>
  <c r="L556" i="160"/>
  <c r="L551" i="160"/>
  <c r="K20" i="160"/>
  <c r="K500" i="160"/>
  <c r="K501" i="160" s="1"/>
  <c r="F551" i="166"/>
  <c r="F556" i="166"/>
  <c r="G633" i="167"/>
  <c r="G870" i="167"/>
  <c r="K543" i="164"/>
  <c r="K545" i="164" s="1"/>
  <c r="K885" i="164"/>
  <c r="F875" i="159"/>
  <c r="F524" i="159"/>
  <c r="C17" i="6"/>
  <c r="J551" i="164"/>
  <c r="J556" i="164"/>
  <c r="L21" i="155"/>
  <c r="G596" i="158"/>
  <c r="G600" i="158" s="1"/>
  <c r="G603" i="158" s="1"/>
  <c r="G635" i="158"/>
  <c r="G637" i="158" s="1"/>
  <c r="G645" i="158" s="1"/>
  <c r="G22" i="158"/>
  <c r="G24" i="158" s="1"/>
  <c r="G28" i="158" s="1"/>
  <c r="F551" i="165"/>
  <c r="F556" i="165"/>
  <c r="L885" i="162"/>
  <c r="L543" i="162"/>
  <c r="L545" i="162" s="1"/>
  <c r="C18" i="6"/>
  <c r="L840" i="161"/>
  <c r="P840" i="161"/>
  <c r="F330" i="164"/>
  <c r="F331" i="164" s="1"/>
  <c r="F14" i="164"/>
  <c r="K633" i="166"/>
  <c r="K870" i="166"/>
  <c r="L803" i="155"/>
  <c r="P803" i="155"/>
  <c r="L870" i="160"/>
  <c r="L633" i="160"/>
  <c r="F543" i="164"/>
  <c r="F545" i="164" s="1"/>
  <c r="F885" i="164"/>
  <c r="G515" i="159"/>
  <c r="G21" i="49"/>
  <c r="G21" i="162"/>
  <c r="H26" i="155"/>
  <c r="H634" i="155"/>
  <c r="H595" i="155"/>
  <c r="H548" i="155"/>
  <c r="K35" i="165"/>
  <c r="K899" i="165"/>
  <c r="K334" i="165"/>
  <c r="K548" i="165" s="1"/>
  <c r="J633" i="165"/>
  <c r="J870" i="165"/>
  <c r="H26" i="167"/>
  <c r="H634" i="167"/>
  <c r="H548" i="167"/>
  <c r="H595" i="167"/>
  <c r="J548" i="162"/>
  <c r="J634" i="162"/>
  <c r="J26" i="162"/>
  <c r="J27" i="49" s="1"/>
  <c r="J595" i="162"/>
  <c r="L14" i="161"/>
  <c r="J14" i="164"/>
  <c r="J15" i="164" s="1"/>
  <c r="J330" i="164"/>
  <c r="J331" i="164" s="1"/>
  <c r="G817" i="160"/>
  <c r="K817" i="160" s="1"/>
  <c r="L634" i="160"/>
  <c r="L548" i="160"/>
  <c r="L595" i="160"/>
  <c r="G26" i="167"/>
  <c r="J334" i="167"/>
  <c r="G548" i="167"/>
  <c r="G634" i="167"/>
  <c r="G595" i="167"/>
  <c r="G840" i="160"/>
  <c r="K840" i="160" s="1"/>
  <c r="F633" i="155"/>
  <c r="H841" i="155"/>
  <c r="F870" i="155"/>
  <c r="I841" i="155"/>
  <c r="J841" i="155"/>
  <c r="H334" i="162"/>
  <c r="K633" i="161"/>
  <c r="K870" i="161"/>
  <c r="K14" i="166"/>
  <c r="K15" i="166" s="1"/>
  <c r="F15" i="166"/>
  <c r="G817" i="161"/>
  <c r="K817" i="161" s="1"/>
  <c r="F334" i="167"/>
  <c r="F20" i="165"/>
  <c r="F500" i="165"/>
  <c r="F501" i="165" s="1"/>
  <c r="I841" i="159"/>
  <c r="J841" i="159" s="1"/>
  <c r="K841" i="159" s="1"/>
  <c r="K486" i="164"/>
  <c r="K488" i="164" s="1"/>
  <c r="K495" i="164" s="1"/>
  <c r="K500" i="164" s="1"/>
  <c r="K501" i="164" s="1"/>
  <c r="L334" i="162"/>
  <c r="L14" i="155"/>
  <c r="F15" i="155"/>
  <c r="J21" i="49"/>
  <c r="J22" i="49" s="1"/>
  <c r="J21" i="162"/>
  <c r="J548" i="155"/>
  <c r="J634" i="155"/>
  <c r="J595" i="155"/>
  <c r="J26" i="155"/>
  <c r="L633" i="162"/>
  <c r="L870" i="162"/>
  <c r="F551" i="167"/>
  <c r="F556" i="167"/>
  <c r="K556" i="167" s="1"/>
  <c r="F20" i="167"/>
  <c r="F500" i="167"/>
  <c r="F501" i="167" s="1"/>
  <c r="H633" i="162"/>
  <c r="H870" i="162"/>
  <c r="H875" i="159"/>
  <c r="H524" i="159"/>
  <c r="K561" i="158"/>
  <c r="K563" i="158" s="1"/>
  <c r="K557" i="158"/>
  <c r="G15" i="49"/>
  <c r="G15" i="162"/>
  <c r="H633" i="164"/>
  <c r="H870" i="164"/>
  <c r="G875" i="9"/>
  <c r="G524" i="9"/>
  <c r="F633" i="160"/>
  <c r="H841" i="160"/>
  <c r="G841" i="160" s="1"/>
  <c r="K841" i="160" s="1"/>
  <c r="I841" i="160"/>
  <c r="J841" i="160"/>
  <c r="F870" i="160"/>
  <c r="K14" i="155"/>
  <c r="K15" i="155" s="1"/>
  <c r="K330" i="155"/>
  <c r="K331" i="155" s="1"/>
  <c r="I549" i="9"/>
  <c r="I552" i="9" s="1"/>
  <c r="I555" i="9" s="1"/>
  <c r="I597" i="9"/>
  <c r="G870" i="162"/>
  <c r="G633" i="162"/>
  <c r="F14" i="165"/>
  <c r="F330" i="165"/>
  <c r="F331" i="165" s="1"/>
  <c r="I26" i="164"/>
  <c r="I595" i="164"/>
  <c r="I548" i="164"/>
  <c r="I634" i="164"/>
  <c r="G870" i="160"/>
  <c r="G633" i="160"/>
  <c r="H14" i="164"/>
  <c r="H15" i="164" s="1"/>
  <c r="H330" i="164"/>
  <c r="H331" i="164" s="1"/>
  <c r="J870" i="166"/>
  <c r="J633" i="166"/>
  <c r="H515" i="157"/>
  <c r="G515" i="157" s="1"/>
  <c r="F516" i="157"/>
  <c r="I515" i="157"/>
  <c r="I516" i="157" s="1"/>
  <c r="I840" i="157"/>
  <c r="O840" i="157" s="1"/>
  <c r="G840" i="155"/>
  <c r="K840" i="155" s="1"/>
  <c r="P14" i="162"/>
  <c r="H15" i="49"/>
  <c r="H16" i="49" s="1"/>
  <c r="H15" i="162"/>
  <c r="G633" i="165"/>
  <c r="G870" i="165"/>
  <c r="H26" i="165"/>
  <c r="H548" i="165"/>
  <c r="H634" i="165"/>
  <c r="H595" i="165"/>
  <c r="K21" i="161"/>
  <c r="L20" i="161"/>
  <c r="F334" i="166"/>
  <c r="F26" i="161"/>
  <c r="G334" i="161"/>
  <c r="F634" i="161"/>
  <c r="F595" i="161"/>
  <c r="F548" i="161"/>
  <c r="K21" i="157"/>
  <c r="J633" i="167"/>
  <c r="J870" i="167"/>
  <c r="H40" i="9"/>
  <c r="H761" i="9"/>
  <c r="F744" i="158"/>
  <c r="F334" i="155"/>
  <c r="J817" i="155"/>
  <c r="H817" i="155"/>
  <c r="I817" i="155"/>
  <c r="J870" i="162"/>
  <c r="J633" i="162"/>
  <c r="H895" i="9"/>
  <c r="H877" i="9"/>
  <c r="H881" i="9" s="1"/>
  <c r="H882" i="9" s="1"/>
  <c r="H884" i="9" s="1"/>
  <c r="K307" i="164"/>
  <c r="K310" i="164" s="1"/>
  <c r="K321" i="164" s="1"/>
  <c r="K325" i="164" s="1"/>
  <c r="K326" i="164" s="1"/>
  <c r="K330" i="164" s="1"/>
  <c r="K331" i="164" s="1"/>
  <c r="F500" i="166"/>
  <c r="F501" i="166" s="1"/>
  <c r="F20" i="166"/>
  <c r="K334" i="166"/>
  <c r="K899" i="166"/>
  <c r="K35" i="166"/>
  <c r="G556" i="164"/>
  <c r="G551" i="164"/>
  <c r="P20" i="162"/>
  <c r="H21" i="49"/>
  <c r="H22" i="49" s="1"/>
  <c r="H21" i="162"/>
  <c r="G20" i="164"/>
  <c r="G21" i="164" s="1"/>
  <c r="G500" i="164"/>
  <c r="G501" i="164" s="1"/>
  <c r="G841" i="155" l="1"/>
  <c r="K841" i="155" s="1"/>
  <c r="K633" i="164"/>
  <c r="K870" i="164"/>
  <c r="F595" i="167"/>
  <c r="F26" i="167"/>
  <c r="F548" i="167"/>
  <c r="F634" i="167"/>
  <c r="K634" i="167" s="1"/>
  <c r="H26" i="162"/>
  <c r="H595" i="162"/>
  <c r="H634" i="162"/>
  <c r="H548" i="162"/>
  <c r="G334" i="162"/>
  <c r="K870" i="160"/>
  <c r="K633" i="160"/>
  <c r="K875" i="9"/>
  <c r="K524" i="9"/>
  <c r="G26" i="164"/>
  <c r="G548" i="164"/>
  <c r="G595" i="164"/>
  <c r="G634" i="164"/>
  <c r="J595" i="166"/>
  <c r="J26" i="166"/>
  <c r="J634" i="166"/>
  <c r="J548" i="166"/>
  <c r="G817" i="155"/>
  <c r="K817" i="155" s="1"/>
  <c r="I875" i="157"/>
  <c r="I524" i="157"/>
  <c r="F334" i="165"/>
  <c r="G597" i="9"/>
  <c r="G549" i="9"/>
  <c r="G552" i="9" s="1"/>
  <c r="G555" i="9" s="1"/>
  <c r="K596" i="158"/>
  <c r="K600" i="158" s="1"/>
  <c r="K635" i="158"/>
  <c r="K22" i="158"/>
  <c r="K24" i="158" s="1"/>
  <c r="K28" i="158" s="1"/>
  <c r="F633" i="167"/>
  <c r="F870" i="167"/>
  <c r="O841" i="159"/>
  <c r="K20" i="165"/>
  <c r="F21" i="165"/>
  <c r="K36" i="165"/>
  <c r="K38" i="165" s="1"/>
  <c r="K37" i="165"/>
  <c r="K21" i="49"/>
  <c r="G22" i="49"/>
  <c r="F551" i="164"/>
  <c r="F556" i="164"/>
  <c r="K14" i="164"/>
  <c r="K15" i="164" s="1"/>
  <c r="F15" i="164"/>
  <c r="L551" i="162"/>
  <c r="L556" i="162"/>
  <c r="C17" i="24"/>
  <c r="C17" i="7"/>
  <c r="C17" i="8"/>
  <c r="K21" i="160"/>
  <c r="L20" i="160"/>
  <c r="L14" i="162"/>
  <c r="K15" i="162"/>
  <c r="K556" i="162"/>
  <c r="K551" i="162"/>
  <c r="J875" i="9"/>
  <c r="J524" i="9"/>
  <c r="H890" i="9"/>
  <c r="H892" i="9" s="1"/>
  <c r="H887" i="9"/>
  <c r="H896" i="9" s="1"/>
  <c r="H897" i="9" s="1"/>
  <c r="F633" i="165"/>
  <c r="F870" i="165"/>
  <c r="L841" i="155"/>
  <c r="P841" i="155"/>
  <c r="J603" i="158"/>
  <c r="G608" i="158"/>
  <c r="G610" i="158" s="1"/>
  <c r="G605" i="158"/>
  <c r="G23" i="158" s="1"/>
  <c r="K870" i="162"/>
  <c r="K633" i="162"/>
  <c r="K548" i="166"/>
  <c r="K634" i="166"/>
  <c r="F548" i="155"/>
  <c r="F634" i="155"/>
  <c r="F595" i="155"/>
  <c r="F26" i="155"/>
  <c r="G334" i="155"/>
  <c r="J840" i="157"/>
  <c r="K840" i="157" s="1"/>
  <c r="P21" i="162"/>
  <c r="K20" i="166"/>
  <c r="F21" i="166"/>
  <c r="H42" i="9"/>
  <c r="H44" i="9"/>
  <c r="H41" i="9"/>
  <c r="G548" i="161"/>
  <c r="G595" i="161"/>
  <c r="G26" i="161"/>
  <c r="C21" i="168" s="1"/>
  <c r="K334" i="161"/>
  <c r="G634" i="161"/>
  <c r="F875" i="157"/>
  <c r="F524" i="157"/>
  <c r="H334" i="164"/>
  <c r="J334" i="164" s="1"/>
  <c r="K14" i="165"/>
  <c r="K15" i="165" s="1"/>
  <c r="F15" i="165"/>
  <c r="C15" i="6"/>
  <c r="K20" i="167"/>
  <c r="F21" i="167"/>
  <c r="L817" i="161"/>
  <c r="P817" i="161"/>
  <c r="L840" i="160"/>
  <c r="P840" i="160"/>
  <c r="J26" i="167"/>
  <c r="J595" i="167"/>
  <c r="J548" i="167"/>
  <c r="J634" i="167"/>
  <c r="F334" i="164"/>
  <c r="C18" i="8"/>
  <c r="C18" i="7"/>
  <c r="C18" i="24"/>
  <c r="G30" i="158"/>
  <c r="K556" i="164"/>
  <c r="K551" i="164"/>
  <c r="K20" i="164"/>
  <c r="F21" i="164"/>
  <c r="P841" i="161"/>
  <c r="L841" i="161"/>
  <c r="G634" i="160"/>
  <c r="G548" i="160"/>
  <c r="G595" i="160"/>
  <c r="G26" i="160"/>
  <c r="K334" i="160"/>
  <c r="J633" i="164"/>
  <c r="J870" i="164"/>
  <c r="J515" i="161"/>
  <c r="F516" i="161"/>
  <c r="H515" i="161"/>
  <c r="I515" i="161"/>
  <c r="F872" i="158"/>
  <c r="H653" i="9"/>
  <c r="H654" i="9"/>
  <c r="H34" i="9" s="1"/>
  <c r="K334" i="164"/>
  <c r="K35" i="164"/>
  <c r="K899" i="164"/>
  <c r="P15" i="162"/>
  <c r="C16" i="6"/>
  <c r="G516" i="157"/>
  <c r="J515" i="157"/>
  <c r="G633" i="164"/>
  <c r="G870" i="164"/>
  <c r="K37" i="166"/>
  <c r="K36" i="166"/>
  <c r="K38" i="166" s="1"/>
  <c r="F633" i="166"/>
  <c r="F870" i="166"/>
  <c r="F40" i="158"/>
  <c r="F761" i="158"/>
  <c r="F548" i="166"/>
  <c r="F595" i="166"/>
  <c r="F634" i="166"/>
  <c r="F26" i="166"/>
  <c r="L21" i="161"/>
  <c r="L840" i="155"/>
  <c r="P840" i="155"/>
  <c r="F515" i="155"/>
  <c r="H516" i="157"/>
  <c r="I557" i="9"/>
  <c r="I561" i="9"/>
  <c r="I563" i="9" s="1"/>
  <c r="L841" i="160"/>
  <c r="P841" i="160"/>
  <c r="K15" i="49"/>
  <c r="G16" i="49"/>
  <c r="H549" i="159"/>
  <c r="H552" i="159" s="1"/>
  <c r="H555" i="159" s="1"/>
  <c r="H597" i="159"/>
  <c r="L15" i="155"/>
  <c r="L595" i="162"/>
  <c r="L548" i="162"/>
  <c r="L634" i="162"/>
  <c r="L817" i="160"/>
  <c r="P817" i="160"/>
  <c r="G516" i="159"/>
  <c r="F515" i="160"/>
  <c r="J515" i="159"/>
  <c r="J645" i="158"/>
  <c r="F597" i="159"/>
  <c r="F549" i="159"/>
  <c r="F552" i="159" s="1"/>
  <c r="F555" i="159" s="1"/>
  <c r="L20" i="162"/>
  <c r="K21" i="162"/>
  <c r="F633" i="164"/>
  <c r="F870" i="164"/>
  <c r="J22" i="158"/>
  <c r="J24" i="158" s="1"/>
  <c r="J28" i="158" s="1"/>
  <c r="J635" i="158"/>
  <c r="J637" i="158" s="1"/>
  <c r="K637" i="158" s="1"/>
  <c r="K645" i="158" s="1"/>
  <c r="K646" i="158" s="1"/>
  <c r="J596" i="158"/>
  <c r="J600" i="158" s="1"/>
  <c r="I875" i="159"/>
  <c r="I524" i="159"/>
  <c r="F31" i="158"/>
  <c r="F43" i="158" s="1"/>
  <c r="F763" i="158"/>
  <c r="F649" i="158"/>
  <c r="F651" i="158" s="1"/>
  <c r="H43" i="9"/>
  <c r="I841" i="157"/>
  <c r="J841" i="157" s="1"/>
  <c r="K841" i="157" s="1"/>
  <c r="O841" i="157"/>
  <c r="J26" i="164" l="1"/>
  <c r="J595" i="164"/>
  <c r="J634" i="164"/>
  <c r="J548" i="164"/>
  <c r="F654" i="158"/>
  <c r="F34" i="158" s="1"/>
  <c r="F653" i="158"/>
  <c r="I515" i="166"/>
  <c r="I516" i="166" s="1"/>
  <c r="I516" i="161"/>
  <c r="G548" i="155"/>
  <c r="G634" i="155"/>
  <c r="K334" i="155"/>
  <c r="G595" i="155"/>
  <c r="G26" i="155"/>
  <c r="K30" i="158"/>
  <c r="K32" i="158" s="1"/>
  <c r="K41" i="158"/>
  <c r="J30" i="158"/>
  <c r="I515" i="165"/>
  <c r="I516" i="165" s="1"/>
  <c r="H516" i="161"/>
  <c r="I515" i="167"/>
  <c r="I516" i="167" s="1"/>
  <c r="J516" i="161"/>
  <c r="K634" i="160"/>
  <c r="K26" i="160"/>
  <c r="L26" i="160" s="1"/>
  <c r="K548" i="160"/>
  <c r="K595" i="160"/>
  <c r="K21" i="164"/>
  <c r="F26" i="164"/>
  <c r="K26" i="164" s="1"/>
  <c r="F634" i="164"/>
  <c r="F595" i="164"/>
  <c r="F548" i="164"/>
  <c r="F549" i="157"/>
  <c r="F552" i="157" s="1"/>
  <c r="F555" i="157" s="1"/>
  <c r="F597" i="157"/>
  <c r="K548" i="161"/>
  <c r="K595" i="161"/>
  <c r="K26" i="161"/>
  <c r="L26" i="161" s="1"/>
  <c r="K634" i="161"/>
  <c r="K21" i="166"/>
  <c r="K633" i="165"/>
  <c r="J597" i="9"/>
  <c r="J549" i="9"/>
  <c r="J552" i="9" s="1"/>
  <c r="L21" i="160"/>
  <c r="L817" i="155"/>
  <c r="P817" i="155"/>
  <c r="G26" i="162"/>
  <c r="G27" i="49" s="1"/>
  <c r="G548" i="162"/>
  <c r="G595" i="162"/>
  <c r="K334" i="162"/>
  <c r="G634" i="162"/>
  <c r="P26" i="162"/>
  <c r="H27" i="49"/>
  <c r="K26" i="167"/>
  <c r="C15" i="24"/>
  <c r="C15" i="7"/>
  <c r="C15" i="8"/>
  <c r="C20" i="6"/>
  <c r="J15" i="6" s="1"/>
  <c r="F557" i="159"/>
  <c r="F561" i="159"/>
  <c r="F563" i="159" s="1"/>
  <c r="J516" i="159"/>
  <c r="K515" i="159"/>
  <c r="K516" i="159" s="1"/>
  <c r="H561" i="159"/>
  <c r="H563" i="159" s="1"/>
  <c r="H557" i="159"/>
  <c r="I515" i="155"/>
  <c r="F516" i="155"/>
  <c r="J515" i="155"/>
  <c r="H515" i="155"/>
  <c r="I549" i="159"/>
  <c r="I552" i="159" s="1"/>
  <c r="I555" i="159" s="1"/>
  <c r="I597" i="159"/>
  <c r="L21" i="162"/>
  <c r="I515" i="160"/>
  <c r="I515" i="162" s="1"/>
  <c r="F516" i="160"/>
  <c r="J515" i="160"/>
  <c r="J515" i="162" s="1"/>
  <c r="H515" i="160"/>
  <c r="K26" i="166"/>
  <c r="F42" i="158"/>
  <c r="F44" i="158"/>
  <c r="F41" i="158"/>
  <c r="J516" i="157"/>
  <c r="K515" i="157"/>
  <c r="K516" i="157" s="1"/>
  <c r="K37" i="164"/>
  <c r="K36" i="164"/>
  <c r="K38" i="164" s="1"/>
  <c r="F875" i="161"/>
  <c r="F524" i="161"/>
  <c r="L15" i="162"/>
  <c r="K21" i="165"/>
  <c r="I597" i="157"/>
  <c r="I549" i="157"/>
  <c r="I552" i="157" s="1"/>
  <c r="I555" i="157" s="1"/>
  <c r="K23" i="158"/>
  <c r="K647" i="158"/>
  <c r="H875" i="157"/>
  <c r="H524" i="157"/>
  <c r="C16" i="24"/>
  <c r="C16" i="7"/>
  <c r="C16" i="8"/>
  <c r="G515" i="161"/>
  <c r="K21" i="167"/>
  <c r="H634" i="164"/>
  <c r="H548" i="164"/>
  <c r="H26" i="164"/>
  <c r="H595" i="164"/>
  <c r="G875" i="159"/>
  <c r="G524" i="159"/>
  <c r="L15" i="49"/>
  <c r="L16" i="49" s="1"/>
  <c r="K16" i="49"/>
  <c r="I22" i="9"/>
  <c r="I596" i="9"/>
  <c r="I600" i="9" s="1"/>
  <c r="I603" i="9" s="1"/>
  <c r="I635" i="9"/>
  <c r="I637" i="9" s="1"/>
  <c r="I645" i="9" s="1"/>
  <c r="I646" i="9" s="1"/>
  <c r="I647" i="9" s="1"/>
  <c r="G875" i="157"/>
  <c r="G524" i="157"/>
  <c r="K548" i="164"/>
  <c r="K634" i="164"/>
  <c r="F895" i="158"/>
  <c r="F877" i="158"/>
  <c r="F881" i="158" s="1"/>
  <c r="F882" i="158" s="1"/>
  <c r="F884" i="158" s="1"/>
  <c r="J608" i="158"/>
  <c r="J610" i="158" s="1"/>
  <c r="J605" i="158"/>
  <c r="J23" i="158" s="1"/>
  <c r="K603" i="158"/>
  <c r="L21" i="49"/>
  <c r="L22" i="49" s="1"/>
  <c r="K22" i="49"/>
  <c r="K633" i="167"/>
  <c r="G561" i="9"/>
  <c r="G563" i="9" s="1"/>
  <c r="G557" i="9"/>
  <c r="J555" i="9"/>
  <c r="F595" i="165"/>
  <c r="F26" i="165"/>
  <c r="G334" i="165"/>
  <c r="F634" i="165"/>
  <c r="F548" i="165"/>
  <c r="K597" i="9"/>
  <c r="K549" i="9"/>
  <c r="K552" i="9" s="1"/>
  <c r="K555" i="9" s="1"/>
  <c r="J16" i="6" l="1"/>
  <c r="F515" i="166"/>
  <c r="I516" i="162"/>
  <c r="F890" i="158"/>
  <c r="F892" i="158" s="1"/>
  <c r="F887" i="158"/>
  <c r="F896" i="158" s="1"/>
  <c r="F897" i="158" s="1"/>
  <c r="G549" i="157"/>
  <c r="G552" i="157" s="1"/>
  <c r="G555" i="157" s="1"/>
  <c r="G597" i="157"/>
  <c r="G515" i="165"/>
  <c r="H516" i="160"/>
  <c r="H515" i="166"/>
  <c r="H516" i="166" s="1"/>
  <c r="I516" i="155"/>
  <c r="J875" i="159"/>
  <c r="J524" i="159"/>
  <c r="C20" i="7"/>
  <c r="K27" i="49"/>
  <c r="F557" i="157"/>
  <c r="F561" i="157"/>
  <c r="F563" i="157" s="1"/>
  <c r="F515" i="167"/>
  <c r="J516" i="162"/>
  <c r="I875" i="165"/>
  <c r="I524" i="165"/>
  <c r="I875" i="161"/>
  <c r="I524" i="161"/>
  <c r="J561" i="9"/>
  <c r="J563" i="9" s="1"/>
  <c r="J557" i="9"/>
  <c r="G516" i="161"/>
  <c r="K515" i="161"/>
  <c r="I515" i="164"/>
  <c r="I516" i="164" s="1"/>
  <c r="J16" i="7"/>
  <c r="J875" i="157"/>
  <c r="J524" i="157"/>
  <c r="G515" i="160"/>
  <c r="H596" i="159"/>
  <c r="H600" i="159" s="1"/>
  <c r="H603" i="159" s="1"/>
  <c r="H22" i="159"/>
  <c r="H635" i="159"/>
  <c r="H637" i="159" s="1"/>
  <c r="H645" i="159" s="1"/>
  <c r="H646" i="159" s="1"/>
  <c r="H647" i="159" s="1"/>
  <c r="K595" i="162"/>
  <c r="K26" i="162"/>
  <c r="L26" i="162" s="1"/>
  <c r="K634" i="162"/>
  <c r="K548" i="162"/>
  <c r="I875" i="167"/>
  <c r="I524" i="167"/>
  <c r="G597" i="159"/>
  <c r="G549" i="159"/>
  <c r="G552" i="159" s="1"/>
  <c r="G555" i="159" s="1"/>
  <c r="H597" i="157"/>
  <c r="H549" i="157"/>
  <c r="H552" i="157" s="1"/>
  <c r="H555" i="157" s="1"/>
  <c r="F597" i="161"/>
  <c r="F549" i="161"/>
  <c r="F552" i="161" s="1"/>
  <c r="F555" i="161" s="1"/>
  <c r="G515" i="166"/>
  <c r="I516" i="160"/>
  <c r="I557" i="159"/>
  <c r="I561" i="159"/>
  <c r="I563" i="159" s="1"/>
  <c r="G515" i="155"/>
  <c r="G26" i="165"/>
  <c r="G595" i="165"/>
  <c r="J334" i="165"/>
  <c r="G634" i="165"/>
  <c r="G548" i="165"/>
  <c r="G22" i="9"/>
  <c r="G596" i="9"/>
  <c r="G600" i="9" s="1"/>
  <c r="G603" i="9" s="1"/>
  <c r="G635" i="9"/>
  <c r="G637" i="9" s="1"/>
  <c r="G645" i="9" s="1"/>
  <c r="K608" i="158"/>
  <c r="K610" i="158" s="1"/>
  <c r="K605" i="158"/>
  <c r="G515" i="167"/>
  <c r="J516" i="160"/>
  <c r="J516" i="155"/>
  <c r="H515" i="167"/>
  <c r="H516" i="167" s="1"/>
  <c r="F22" i="159"/>
  <c r="F635" i="159"/>
  <c r="F637" i="159" s="1"/>
  <c r="F645" i="159" s="1"/>
  <c r="F646" i="159" s="1"/>
  <c r="F647" i="159" s="1"/>
  <c r="F596" i="159"/>
  <c r="F600" i="159" s="1"/>
  <c r="F603" i="159" s="1"/>
  <c r="J17" i="6"/>
  <c r="J18" i="6"/>
  <c r="H875" i="161"/>
  <c r="H524" i="161"/>
  <c r="I875" i="166"/>
  <c r="I524" i="166"/>
  <c r="K561" i="9"/>
  <c r="K563" i="9" s="1"/>
  <c r="K557" i="9"/>
  <c r="I608" i="9"/>
  <c r="I610" i="9" s="1"/>
  <c r="I605" i="9"/>
  <c r="I23" i="9" s="1"/>
  <c r="I24" i="9" s="1"/>
  <c r="I28" i="9" s="1"/>
  <c r="I561" i="157"/>
  <c r="I563" i="157" s="1"/>
  <c r="I557" i="157"/>
  <c r="K875" i="157"/>
  <c r="K524" i="157"/>
  <c r="I650" i="9"/>
  <c r="I867" i="9"/>
  <c r="I844" i="9"/>
  <c r="K650" i="158"/>
  <c r="K651" i="158" s="1"/>
  <c r="K867" i="158"/>
  <c r="F875" i="160"/>
  <c r="F524" i="160"/>
  <c r="H515" i="165"/>
  <c r="H516" i="165" s="1"/>
  <c r="H516" i="155"/>
  <c r="F875" i="155"/>
  <c r="F524" i="155"/>
  <c r="K875" i="159"/>
  <c r="K524" i="159"/>
  <c r="C20" i="8"/>
  <c r="J16" i="8" s="1"/>
  <c r="C20" i="24"/>
  <c r="J875" i="161"/>
  <c r="J524" i="161"/>
  <c r="H515" i="162"/>
  <c r="K548" i="155"/>
  <c r="K634" i="155"/>
  <c r="K26" i="155"/>
  <c r="L26" i="155" s="1"/>
  <c r="K595" i="155"/>
  <c r="L334" i="155"/>
  <c r="J597" i="161" l="1"/>
  <c r="J549" i="161"/>
  <c r="J552" i="161" s="1"/>
  <c r="J555" i="161" s="1"/>
  <c r="I871" i="9"/>
  <c r="I869" i="9"/>
  <c r="I872" i="9" s="1"/>
  <c r="G608" i="9"/>
  <c r="G610" i="9" s="1"/>
  <c r="J603" i="9"/>
  <c r="G605" i="9"/>
  <c r="G23" i="9" s="1"/>
  <c r="J595" i="165"/>
  <c r="J634" i="165"/>
  <c r="J26" i="165"/>
  <c r="K26" i="165" s="1"/>
  <c r="J548" i="165"/>
  <c r="J22" i="9"/>
  <c r="J596" i="9"/>
  <c r="J600" i="9" s="1"/>
  <c r="J635" i="9"/>
  <c r="J637" i="9" s="1"/>
  <c r="K637" i="9" s="1"/>
  <c r="K645" i="9" s="1"/>
  <c r="K646" i="9" s="1"/>
  <c r="K647" i="9" s="1"/>
  <c r="K867" i="9" s="1"/>
  <c r="J555" i="157"/>
  <c r="G557" i="157"/>
  <c r="G561" i="157"/>
  <c r="G563" i="157" s="1"/>
  <c r="J17" i="24"/>
  <c r="J18" i="24"/>
  <c r="F597" i="155"/>
  <c r="F549" i="155"/>
  <c r="F552" i="155" s="1"/>
  <c r="F555" i="155" s="1"/>
  <c r="I549" i="166"/>
  <c r="I597" i="166"/>
  <c r="F608" i="159"/>
  <c r="F610" i="159" s="1"/>
  <c r="F605" i="159"/>
  <c r="F23" i="159" s="1"/>
  <c r="J875" i="155"/>
  <c r="J524" i="155"/>
  <c r="J16" i="24"/>
  <c r="G24" i="9"/>
  <c r="G28" i="9" s="1"/>
  <c r="I596" i="159"/>
  <c r="I600" i="159" s="1"/>
  <c r="I603" i="159" s="1"/>
  <c r="I22" i="159"/>
  <c r="I635" i="159"/>
  <c r="I637" i="159" s="1"/>
  <c r="I645" i="159" s="1"/>
  <c r="I646" i="159" s="1"/>
  <c r="I647" i="159" s="1"/>
  <c r="G561" i="159"/>
  <c r="G563" i="159" s="1"/>
  <c r="J555" i="159"/>
  <c r="G557" i="159"/>
  <c r="I549" i="167"/>
  <c r="I552" i="167" s="1"/>
  <c r="I555" i="167" s="1"/>
  <c r="I597" i="167"/>
  <c r="H867" i="159"/>
  <c r="H650" i="159"/>
  <c r="J549" i="157"/>
  <c r="J552" i="157" s="1"/>
  <c r="J597" i="157"/>
  <c r="K516" i="161"/>
  <c r="L515" i="161"/>
  <c r="L516" i="161" s="1"/>
  <c r="J597" i="159"/>
  <c r="J549" i="159"/>
  <c r="J552" i="159" s="1"/>
  <c r="H875" i="160"/>
  <c r="H524" i="160"/>
  <c r="J18" i="8"/>
  <c r="J17" i="8"/>
  <c r="K869" i="158"/>
  <c r="K872" i="158" s="1"/>
  <c r="K871" i="158"/>
  <c r="H549" i="161"/>
  <c r="H552" i="161" s="1"/>
  <c r="H555" i="161" s="1"/>
  <c r="H597" i="161"/>
  <c r="H875" i="167"/>
  <c r="H524" i="167"/>
  <c r="F557" i="161"/>
  <c r="F561" i="161"/>
  <c r="F563" i="161" s="1"/>
  <c r="I875" i="164"/>
  <c r="I524" i="164"/>
  <c r="I597" i="161"/>
  <c r="I549" i="161"/>
  <c r="I552" i="161" s="1"/>
  <c r="I555" i="161" s="1"/>
  <c r="H875" i="166"/>
  <c r="H524" i="166"/>
  <c r="K653" i="158"/>
  <c r="K654" i="158" s="1"/>
  <c r="K34" i="158" s="1"/>
  <c r="L595" i="155"/>
  <c r="L548" i="155"/>
  <c r="L634" i="155"/>
  <c r="K596" i="9"/>
  <c r="K600" i="9" s="1"/>
  <c r="K635" i="9"/>
  <c r="H844" i="159"/>
  <c r="F650" i="159"/>
  <c r="F867" i="159"/>
  <c r="J875" i="160"/>
  <c r="J524" i="160"/>
  <c r="I875" i="160"/>
  <c r="I524" i="160"/>
  <c r="H561" i="157"/>
  <c r="H563" i="157" s="1"/>
  <c r="H557" i="157"/>
  <c r="G875" i="161"/>
  <c r="G524" i="161"/>
  <c r="J875" i="162"/>
  <c r="J524" i="162"/>
  <c r="F596" i="157"/>
  <c r="F600" i="157" s="1"/>
  <c r="F603" i="157" s="1"/>
  <c r="F635" i="157"/>
  <c r="F637" i="157" s="1"/>
  <c r="F645" i="157" s="1"/>
  <c r="F646" i="157" s="1"/>
  <c r="F647" i="157" s="1"/>
  <c r="F22" i="157"/>
  <c r="J18" i="7"/>
  <c r="J17" i="7"/>
  <c r="J515" i="165"/>
  <c r="J516" i="165" s="1"/>
  <c r="G516" i="165"/>
  <c r="H875" i="165"/>
  <c r="H524" i="165"/>
  <c r="G516" i="160"/>
  <c r="G515" i="164"/>
  <c r="K515" i="160"/>
  <c r="I597" i="165"/>
  <c r="I549" i="165"/>
  <c r="I552" i="165" s="1"/>
  <c r="I555" i="165" s="1"/>
  <c r="F516" i="166"/>
  <c r="J15" i="8"/>
  <c r="F597" i="160"/>
  <c r="F549" i="160"/>
  <c r="F552" i="160" s="1"/>
  <c r="F555" i="160" s="1"/>
  <c r="K549" i="157"/>
  <c r="K552" i="157" s="1"/>
  <c r="K555" i="157" s="1"/>
  <c r="K597" i="157"/>
  <c r="J15" i="24"/>
  <c r="F515" i="165"/>
  <c r="H516" i="162"/>
  <c r="K597" i="159"/>
  <c r="K549" i="159"/>
  <c r="K552" i="159" s="1"/>
  <c r="K555" i="159" s="1"/>
  <c r="H875" i="155"/>
  <c r="H524" i="155"/>
  <c r="I744" i="9"/>
  <c r="I745" i="9"/>
  <c r="I22" i="157"/>
  <c r="I596" i="157"/>
  <c r="I600" i="157" s="1"/>
  <c r="I603" i="157" s="1"/>
  <c r="I635" i="157"/>
  <c r="I637" i="157" s="1"/>
  <c r="I645" i="157" s="1"/>
  <c r="I646" i="157" s="1"/>
  <c r="I647" i="157" s="1"/>
  <c r="F24" i="159"/>
  <c r="G516" i="167"/>
  <c r="J515" i="167"/>
  <c r="J516" i="167" s="1"/>
  <c r="J645" i="9"/>
  <c r="J646" i="9" s="1"/>
  <c r="J647" i="9" s="1"/>
  <c r="G646" i="9"/>
  <c r="G647" i="9" s="1"/>
  <c r="G516" i="155"/>
  <c r="K515" i="155"/>
  <c r="H515" i="164"/>
  <c r="H516" i="164" s="1"/>
  <c r="J515" i="166"/>
  <c r="J516" i="166" s="1"/>
  <c r="G516" i="166"/>
  <c r="H608" i="159"/>
  <c r="H610" i="159" s="1"/>
  <c r="H605" i="159"/>
  <c r="H23" i="159" s="1"/>
  <c r="H24" i="159" s="1"/>
  <c r="H28" i="159" s="1"/>
  <c r="G515" i="162"/>
  <c r="F516" i="167"/>
  <c r="J15" i="7"/>
  <c r="I875" i="155"/>
  <c r="I524" i="155"/>
  <c r="I875" i="162"/>
  <c r="I524" i="162"/>
  <c r="K515" i="167" l="1"/>
  <c r="K516" i="167" s="1"/>
  <c r="H30" i="159"/>
  <c r="I867" i="157"/>
  <c r="I650" i="157"/>
  <c r="K875" i="167"/>
  <c r="K524" i="167"/>
  <c r="K516" i="155"/>
  <c r="L515" i="155"/>
  <c r="L516" i="155" s="1"/>
  <c r="J867" i="9"/>
  <c r="J869" i="9" s="1"/>
  <c r="J650" i="9"/>
  <c r="K650" i="9" s="1"/>
  <c r="H549" i="155"/>
  <c r="H552" i="155" s="1"/>
  <c r="H555" i="155" s="1"/>
  <c r="H597" i="155"/>
  <c r="H875" i="162"/>
  <c r="H524" i="162"/>
  <c r="F561" i="160"/>
  <c r="F563" i="160" s="1"/>
  <c r="F557" i="160"/>
  <c r="F875" i="166"/>
  <c r="F524" i="166"/>
  <c r="K516" i="160"/>
  <c r="L515" i="160"/>
  <c r="L516" i="160" s="1"/>
  <c r="J875" i="165"/>
  <c r="J524" i="165"/>
  <c r="G597" i="161"/>
  <c r="G549" i="161"/>
  <c r="G552" i="161" s="1"/>
  <c r="G555" i="161" s="1"/>
  <c r="F869" i="159"/>
  <c r="F871" i="159"/>
  <c r="H869" i="159"/>
  <c r="H871" i="159"/>
  <c r="G22" i="159"/>
  <c r="G635" i="159"/>
  <c r="G637" i="159" s="1"/>
  <c r="G645" i="159" s="1"/>
  <c r="G596" i="159"/>
  <c r="G600" i="159" s="1"/>
  <c r="G603" i="159" s="1"/>
  <c r="J557" i="157"/>
  <c r="J561" i="157"/>
  <c r="J563" i="157" s="1"/>
  <c r="I895" i="9"/>
  <c r="I877" i="9"/>
  <c r="I881" i="9" s="1"/>
  <c r="I882" i="9" s="1"/>
  <c r="I884" i="9" s="1"/>
  <c r="F875" i="167"/>
  <c r="F524" i="167"/>
  <c r="G875" i="166"/>
  <c r="G524" i="166"/>
  <c r="G875" i="155"/>
  <c r="G524" i="155"/>
  <c r="J875" i="167"/>
  <c r="J524" i="167"/>
  <c r="I24" i="157"/>
  <c r="I28" i="157" s="1"/>
  <c r="K515" i="165"/>
  <c r="K516" i="165" s="1"/>
  <c r="F516" i="165"/>
  <c r="K515" i="166"/>
  <c r="K516" i="166" s="1"/>
  <c r="G516" i="164"/>
  <c r="J515" i="164"/>
  <c r="J516" i="164" s="1"/>
  <c r="H597" i="165"/>
  <c r="H549" i="165"/>
  <c r="H552" i="165" s="1"/>
  <c r="H555" i="165" s="1"/>
  <c r="F608" i="157"/>
  <c r="F610" i="157" s="1"/>
  <c r="F605" i="157"/>
  <c r="F23" i="157" s="1"/>
  <c r="F24" i="157" s="1"/>
  <c r="H22" i="157"/>
  <c r="H596" i="157"/>
  <c r="H600" i="157" s="1"/>
  <c r="H603" i="157" s="1"/>
  <c r="H635" i="157"/>
  <c r="H637" i="157" s="1"/>
  <c r="H645" i="157" s="1"/>
  <c r="H646" i="157" s="1"/>
  <c r="H647" i="157" s="1"/>
  <c r="H844" i="157" s="1"/>
  <c r="I561" i="161"/>
  <c r="I563" i="161" s="1"/>
  <c r="I557" i="161"/>
  <c r="L875" i="161"/>
  <c r="L524" i="161"/>
  <c r="J557" i="159"/>
  <c r="J561" i="159"/>
  <c r="J563" i="159" s="1"/>
  <c r="I608" i="159"/>
  <c r="I610" i="159" s="1"/>
  <c r="I605" i="159"/>
  <c r="I23" i="159" s="1"/>
  <c r="I24" i="159" s="1"/>
  <c r="I28" i="159" s="1"/>
  <c r="J549" i="155"/>
  <c r="J552" i="155" s="1"/>
  <c r="J555" i="155" s="1"/>
  <c r="J597" i="155"/>
  <c r="K869" i="9"/>
  <c r="K871" i="9"/>
  <c r="H875" i="164"/>
  <c r="H524" i="164"/>
  <c r="G867" i="9"/>
  <c r="G650" i="9"/>
  <c r="G844" i="9"/>
  <c r="J844" i="9" s="1"/>
  <c r="K844" i="9" s="1"/>
  <c r="F28" i="159"/>
  <c r="I597" i="155"/>
  <c r="I549" i="155"/>
  <c r="I608" i="157"/>
  <c r="I610" i="157" s="1"/>
  <c r="I605" i="157"/>
  <c r="I23" i="157" s="1"/>
  <c r="F650" i="157"/>
  <c r="F867" i="157"/>
  <c r="K895" i="158"/>
  <c r="K897" i="158" s="1"/>
  <c r="K877" i="158"/>
  <c r="K881" i="158" s="1"/>
  <c r="K882" i="158" s="1"/>
  <c r="K884" i="158" s="1"/>
  <c r="I597" i="162"/>
  <c r="I549" i="162"/>
  <c r="K515" i="162"/>
  <c r="G516" i="162"/>
  <c r="F515" i="164"/>
  <c r="J875" i="166"/>
  <c r="J524" i="166"/>
  <c r="G875" i="167"/>
  <c r="G524" i="167"/>
  <c r="I31" i="9"/>
  <c r="I649" i="9"/>
  <c r="I651" i="9" s="1"/>
  <c r="I763" i="9"/>
  <c r="F745" i="159"/>
  <c r="G745" i="9"/>
  <c r="K561" i="159"/>
  <c r="K563" i="159" s="1"/>
  <c r="K557" i="159"/>
  <c r="I561" i="165"/>
  <c r="I563" i="165" s="1"/>
  <c r="I557" i="165"/>
  <c r="G875" i="160"/>
  <c r="G524" i="160"/>
  <c r="J549" i="162"/>
  <c r="J552" i="162" s="1"/>
  <c r="J555" i="162" s="1"/>
  <c r="J597" i="162"/>
  <c r="J597" i="160"/>
  <c r="J549" i="160"/>
  <c r="J552" i="160" s="1"/>
  <c r="J555" i="160" s="1"/>
  <c r="F635" i="161"/>
  <c r="F637" i="161" s="1"/>
  <c r="F645" i="161" s="1"/>
  <c r="F646" i="161" s="1"/>
  <c r="F647" i="161" s="1"/>
  <c r="F596" i="161"/>
  <c r="F600" i="161" s="1"/>
  <c r="F603" i="161" s="1"/>
  <c r="F22" i="161"/>
  <c r="H561" i="161"/>
  <c r="H563" i="161" s="1"/>
  <c r="H557" i="161"/>
  <c r="K875" i="161"/>
  <c r="K524" i="161"/>
  <c r="F561" i="155"/>
  <c r="F563" i="155" s="1"/>
  <c r="F557" i="155"/>
  <c r="J608" i="9"/>
  <c r="J610" i="9" s="1"/>
  <c r="K603" i="9"/>
  <c r="J605" i="9"/>
  <c r="J23" i="9" s="1"/>
  <c r="K23" i="9" s="1"/>
  <c r="I40" i="9"/>
  <c r="I761" i="9"/>
  <c r="F744" i="159"/>
  <c r="G744" i="9"/>
  <c r="K557" i="157"/>
  <c r="K561" i="157"/>
  <c r="K563" i="157" s="1"/>
  <c r="G875" i="165"/>
  <c r="G524" i="165"/>
  <c r="I597" i="160"/>
  <c r="I549" i="160"/>
  <c r="I552" i="160" s="1"/>
  <c r="I555" i="160" s="1"/>
  <c r="H549" i="166"/>
  <c r="H597" i="166"/>
  <c r="I549" i="164"/>
  <c r="I597" i="164"/>
  <c r="H549" i="167"/>
  <c r="H552" i="167" s="1"/>
  <c r="H555" i="167" s="1"/>
  <c r="H597" i="167"/>
  <c r="H597" i="160"/>
  <c r="H549" i="160"/>
  <c r="H552" i="160" s="1"/>
  <c r="H555" i="160" s="1"/>
  <c r="I557" i="167"/>
  <c r="I561" i="167"/>
  <c r="I563" i="167" s="1"/>
  <c r="I867" i="159"/>
  <c r="I650" i="159"/>
  <c r="G635" i="157"/>
  <c r="G637" i="157" s="1"/>
  <c r="G645" i="157" s="1"/>
  <c r="G22" i="157"/>
  <c r="G596" i="157"/>
  <c r="G600" i="157" s="1"/>
  <c r="G603" i="157" s="1"/>
  <c r="K22" i="9"/>
  <c r="K634" i="165"/>
  <c r="J557" i="161"/>
  <c r="J561" i="161"/>
  <c r="J563" i="161" s="1"/>
  <c r="K872" i="9" l="1"/>
  <c r="I43" i="9"/>
  <c r="F872" i="159"/>
  <c r="I30" i="159"/>
  <c r="F28" i="157"/>
  <c r="H561" i="167"/>
  <c r="H563" i="167" s="1"/>
  <c r="H557" i="167"/>
  <c r="G597" i="165"/>
  <c r="G549" i="165"/>
  <c r="G552" i="165" s="1"/>
  <c r="G555" i="165" s="1"/>
  <c r="J645" i="157"/>
  <c r="J646" i="157" s="1"/>
  <c r="G646" i="157"/>
  <c r="G647" i="157" s="1"/>
  <c r="I869" i="159"/>
  <c r="I871" i="159"/>
  <c r="J561" i="162"/>
  <c r="J563" i="162" s="1"/>
  <c r="J557" i="162"/>
  <c r="G549" i="160"/>
  <c r="G552" i="160" s="1"/>
  <c r="G555" i="160" s="1"/>
  <c r="G597" i="160"/>
  <c r="G31" i="9"/>
  <c r="G649" i="9"/>
  <c r="G763" i="9"/>
  <c r="J745" i="9"/>
  <c r="F745" i="157"/>
  <c r="F871" i="157"/>
  <c r="F869" i="157"/>
  <c r="F872" i="157" s="1"/>
  <c r="L549" i="161"/>
  <c r="L552" i="161" s="1"/>
  <c r="L555" i="161" s="1"/>
  <c r="L597" i="161"/>
  <c r="I635" i="161"/>
  <c r="I637" i="161" s="1"/>
  <c r="I645" i="161" s="1"/>
  <c r="I646" i="161" s="1"/>
  <c r="I647" i="161" s="1"/>
  <c r="I596" i="161"/>
  <c r="I600" i="161" s="1"/>
  <c r="I603" i="161" s="1"/>
  <c r="I22" i="161"/>
  <c r="I30" i="157"/>
  <c r="H557" i="155"/>
  <c r="H561" i="155"/>
  <c r="H563" i="155" s="1"/>
  <c r="K875" i="155"/>
  <c r="K524" i="155"/>
  <c r="J561" i="160"/>
  <c r="J563" i="160" s="1"/>
  <c r="J557" i="160"/>
  <c r="H745" i="159"/>
  <c r="F31" i="159"/>
  <c r="F763" i="159"/>
  <c r="F649" i="159"/>
  <c r="F651" i="159" s="1"/>
  <c r="G597" i="167"/>
  <c r="G549" i="167"/>
  <c r="G552" i="167" s="1"/>
  <c r="K515" i="164"/>
  <c r="K516" i="164" s="1"/>
  <c r="F516" i="164"/>
  <c r="G651" i="9"/>
  <c r="F875" i="165"/>
  <c r="F524" i="165"/>
  <c r="J597" i="167"/>
  <c r="J549" i="167"/>
  <c r="J552" i="167" s="1"/>
  <c r="G549" i="166"/>
  <c r="G597" i="166"/>
  <c r="J603" i="159"/>
  <c r="G608" i="159"/>
  <c r="G610" i="159" s="1"/>
  <c r="G605" i="159"/>
  <c r="G23" i="159" s="1"/>
  <c r="H872" i="159"/>
  <c r="J549" i="165"/>
  <c r="J552" i="165" s="1"/>
  <c r="J597" i="165"/>
  <c r="F549" i="166"/>
  <c r="F597" i="166"/>
  <c r="H549" i="162"/>
  <c r="H552" i="162" s="1"/>
  <c r="H555" i="162" s="1"/>
  <c r="H597" i="162"/>
  <c r="K597" i="167"/>
  <c r="K549" i="167"/>
  <c r="K552" i="167" s="1"/>
  <c r="J24" i="9"/>
  <c r="H561" i="160"/>
  <c r="H563" i="160" s="1"/>
  <c r="H557" i="160"/>
  <c r="F40" i="159"/>
  <c r="H744" i="159"/>
  <c r="F761" i="159"/>
  <c r="K608" i="9"/>
  <c r="K610" i="9" s="1"/>
  <c r="K605" i="9"/>
  <c r="K890" i="158"/>
  <c r="K892" i="158" s="1"/>
  <c r="K887" i="158"/>
  <c r="K896" i="158" s="1"/>
  <c r="H608" i="157"/>
  <c r="H610" i="157" s="1"/>
  <c r="H605" i="157"/>
  <c r="H23" i="157" s="1"/>
  <c r="H24" i="157" s="1"/>
  <c r="H28" i="157" s="1"/>
  <c r="H561" i="165"/>
  <c r="H563" i="165" s="1"/>
  <c r="H557" i="165"/>
  <c r="K875" i="166"/>
  <c r="K524" i="166"/>
  <c r="K875" i="160"/>
  <c r="K524" i="160"/>
  <c r="I869" i="157"/>
  <c r="I871" i="157"/>
  <c r="J635" i="161"/>
  <c r="J637" i="161" s="1"/>
  <c r="J645" i="161" s="1"/>
  <c r="J646" i="161" s="1"/>
  <c r="J647" i="161" s="1"/>
  <c r="J844" i="161" s="1"/>
  <c r="J596" i="161"/>
  <c r="J600" i="161" s="1"/>
  <c r="J603" i="161" s="1"/>
  <c r="J22" i="161"/>
  <c r="J603" i="157"/>
  <c r="G608" i="157"/>
  <c r="G610" i="157" s="1"/>
  <c r="G605" i="157"/>
  <c r="G23" i="157" s="1"/>
  <c r="I22" i="167"/>
  <c r="I596" i="167"/>
  <c r="I600" i="167" s="1"/>
  <c r="I603" i="167" s="1"/>
  <c r="I635" i="167"/>
  <c r="I637" i="167" s="1"/>
  <c r="I645" i="167" s="1"/>
  <c r="I646" i="167" s="1"/>
  <c r="I647" i="167" s="1"/>
  <c r="I557" i="160"/>
  <c r="I561" i="160"/>
  <c r="I563" i="160" s="1"/>
  <c r="K635" i="157"/>
  <c r="K596" i="157"/>
  <c r="K600" i="157" s="1"/>
  <c r="I44" i="9"/>
  <c r="I41" i="9"/>
  <c r="I42" i="9" s="1"/>
  <c r="F596" i="155"/>
  <c r="F600" i="155" s="1"/>
  <c r="F603" i="155" s="1"/>
  <c r="F22" i="155"/>
  <c r="F635" i="155"/>
  <c r="F637" i="155" s="1"/>
  <c r="F645" i="155" s="1"/>
  <c r="F646" i="155" s="1"/>
  <c r="F647" i="155" s="1"/>
  <c r="F608" i="161"/>
  <c r="F610" i="161" s="1"/>
  <c r="F605" i="161"/>
  <c r="F23" i="161" s="1"/>
  <c r="F24" i="161" s="1"/>
  <c r="I596" i="165"/>
  <c r="I600" i="165" s="1"/>
  <c r="I603" i="165" s="1"/>
  <c r="I22" i="165"/>
  <c r="I635" i="165"/>
  <c r="I637" i="165" s="1"/>
  <c r="I645" i="165" s="1"/>
  <c r="I646" i="165" s="1"/>
  <c r="I647" i="165" s="1"/>
  <c r="K635" i="159"/>
  <c r="K596" i="159"/>
  <c r="K600" i="159" s="1"/>
  <c r="I764" i="9"/>
  <c r="G875" i="162"/>
  <c r="G524" i="162"/>
  <c r="F41" i="159"/>
  <c r="G869" i="9"/>
  <c r="G871" i="9"/>
  <c r="J871" i="9" s="1"/>
  <c r="J875" i="164"/>
  <c r="J524" i="164"/>
  <c r="K875" i="165"/>
  <c r="K524" i="165"/>
  <c r="I887" i="9"/>
  <c r="I896" i="9" s="1"/>
  <c r="I890" i="9"/>
  <c r="I892" i="9" s="1"/>
  <c r="J635" i="157"/>
  <c r="J637" i="157" s="1"/>
  <c r="K637" i="157" s="1"/>
  <c r="K645" i="157" s="1"/>
  <c r="K646" i="157" s="1"/>
  <c r="K647" i="157" s="1"/>
  <c r="J22" i="157"/>
  <c r="J596" i="157"/>
  <c r="J600" i="157" s="1"/>
  <c r="J645" i="159"/>
  <c r="J646" i="159" s="1"/>
  <c r="G646" i="159"/>
  <c r="G647" i="159" s="1"/>
  <c r="F895" i="159"/>
  <c r="F877" i="159"/>
  <c r="F881" i="159" s="1"/>
  <c r="F882" i="159" s="1"/>
  <c r="F884" i="159" s="1"/>
  <c r="G24" i="157"/>
  <c r="G28" i="157" s="1"/>
  <c r="J744" i="9"/>
  <c r="G40" i="9"/>
  <c r="G761" i="9"/>
  <c r="I762" i="9" s="1"/>
  <c r="F744" i="157"/>
  <c r="K549" i="161"/>
  <c r="K552" i="161" s="1"/>
  <c r="K597" i="161"/>
  <c r="H596" i="161"/>
  <c r="H600" i="161" s="1"/>
  <c r="H603" i="161" s="1"/>
  <c r="H22" i="161"/>
  <c r="H635" i="161"/>
  <c r="H637" i="161" s="1"/>
  <c r="H645" i="161" s="1"/>
  <c r="H646" i="161" s="1"/>
  <c r="H647" i="161" s="1"/>
  <c r="F867" i="161"/>
  <c r="F650" i="161"/>
  <c r="H844" i="161"/>
  <c r="I844" i="161"/>
  <c r="I653" i="9"/>
  <c r="I654" i="9" s="1"/>
  <c r="I34" i="9" s="1"/>
  <c r="I35" i="9" s="1"/>
  <c r="I37" i="9" s="1"/>
  <c r="J549" i="166"/>
  <c r="J597" i="166"/>
  <c r="K516" i="162"/>
  <c r="L515" i="162"/>
  <c r="L516" i="162" s="1"/>
  <c r="H597" i="164"/>
  <c r="H549" i="164"/>
  <c r="K895" i="9"/>
  <c r="K877" i="9"/>
  <c r="K881" i="9" s="1"/>
  <c r="K882" i="9" s="1"/>
  <c r="K884" i="9" s="1"/>
  <c r="J561" i="155"/>
  <c r="J563" i="155" s="1"/>
  <c r="J557" i="155"/>
  <c r="J596" i="159"/>
  <c r="J600" i="159" s="1"/>
  <c r="J635" i="159"/>
  <c r="J637" i="159" s="1"/>
  <c r="K637" i="159" s="1"/>
  <c r="K645" i="159" s="1"/>
  <c r="K646" i="159" s="1"/>
  <c r="K647" i="159" s="1"/>
  <c r="J22" i="159"/>
  <c r="H867" i="157"/>
  <c r="H650" i="157"/>
  <c r="G875" i="164"/>
  <c r="G524" i="164"/>
  <c r="G549" i="155"/>
  <c r="G597" i="155"/>
  <c r="F597" i="167"/>
  <c r="F549" i="167"/>
  <c r="F552" i="167" s="1"/>
  <c r="F555" i="167" s="1"/>
  <c r="I897" i="9"/>
  <c r="I899" i="9" s="1"/>
  <c r="G24" i="159"/>
  <c r="G28" i="159" s="1"/>
  <c r="G561" i="161"/>
  <c r="G563" i="161" s="1"/>
  <c r="G557" i="161"/>
  <c r="K555" i="161"/>
  <c r="L875" i="160"/>
  <c r="L524" i="160"/>
  <c r="F22" i="160"/>
  <c r="F635" i="160"/>
  <c r="F637" i="160" s="1"/>
  <c r="F645" i="160" s="1"/>
  <c r="F596" i="160"/>
  <c r="F600" i="160" s="1"/>
  <c r="F603" i="160" s="1"/>
  <c r="L875" i="155"/>
  <c r="L524" i="155"/>
  <c r="I872" i="157" l="1"/>
  <c r="G872" i="9"/>
  <c r="F28" i="161"/>
  <c r="H30" i="157"/>
  <c r="F646" i="160"/>
  <c r="F647" i="160" s="1"/>
  <c r="K561" i="161"/>
  <c r="K563" i="161" s="1"/>
  <c r="K557" i="161"/>
  <c r="F871" i="161"/>
  <c r="F869" i="161"/>
  <c r="G30" i="157"/>
  <c r="J872" i="9"/>
  <c r="J895" i="9" s="1"/>
  <c r="G895" i="9"/>
  <c r="G877" i="9"/>
  <c r="I895" i="157"/>
  <c r="I877" i="157"/>
  <c r="I881" i="157" s="1"/>
  <c r="I882" i="157" s="1"/>
  <c r="I884" i="157" s="1"/>
  <c r="K549" i="166"/>
  <c r="K597" i="166"/>
  <c r="K555" i="160"/>
  <c r="G561" i="160"/>
  <c r="G563" i="160" s="1"/>
  <c r="G557" i="160"/>
  <c r="L549" i="155"/>
  <c r="L597" i="155"/>
  <c r="G22" i="161"/>
  <c r="G635" i="161"/>
  <c r="G637" i="161" s="1"/>
  <c r="G645" i="161" s="1"/>
  <c r="G596" i="161"/>
  <c r="G600" i="161" s="1"/>
  <c r="G603" i="161" s="1"/>
  <c r="F557" i="167"/>
  <c r="F561" i="167"/>
  <c r="F563" i="167" s="1"/>
  <c r="G555" i="167"/>
  <c r="G597" i="164"/>
  <c r="G549" i="164"/>
  <c r="H869" i="157"/>
  <c r="H871" i="157"/>
  <c r="J596" i="155"/>
  <c r="J600" i="155" s="1"/>
  <c r="J603" i="155" s="1"/>
  <c r="J22" i="155"/>
  <c r="J635" i="155"/>
  <c r="J637" i="155" s="1"/>
  <c r="J645" i="155" s="1"/>
  <c r="J646" i="155" s="1"/>
  <c r="J647" i="155" s="1"/>
  <c r="G41" i="9"/>
  <c r="G42" i="9" s="1"/>
  <c r="F890" i="159"/>
  <c r="F892" i="159" s="1"/>
  <c r="F887" i="159"/>
  <c r="F896" i="159" s="1"/>
  <c r="J597" i="164"/>
  <c r="J549" i="164"/>
  <c r="G549" i="162"/>
  <c r="G597" i="162"/>
  <c r="I608" i="165"/>
  <c r="I610" i="165" s="1"/>
  <c r="I605" i="165"/>
  <c r="I23" i="165" s="1"/>
  <c r="I24" i="165" s="1"/>
  <c r="I28" i="165" s="1"/>
  <c r="I22" i="160"/>
  <c r="I635" i="160"/>
  <c r="I637" i="160" s="1"/>
  <c r="I645" i="160" s="1"/>
  <c r="I646" i="160" s="1"/>
  <c r="I647" i="160" s="1"/>
  <c r="I596" i="160"/>
  <c r="I600" i="160" s="1"/>
  <c r="I603" i="160" s="1"/>
  <c r="J608" i="161"/>
  <c r="J610" i="161" s="1"/>
  <c r="J605" i="161"/>
  <c r="J23" i="161" s="1"/>
  <c r="J24" i="161" s="1"/>
  <c r="K549" i="160"/>
  <c r="K552" i="160" s="1"/>
  <c r="K597" i="160"/>
  <c r="F42" i="159"/>
  <c r="F44" i="159"/>
  <c r="H895" i="159"/>
  <c r="H877" i="159"/>
  <c r="H881" i="159" s="1"/>
  <c r="H882" i="159" s="1"/>
  <c r="H884" i="159" s="1"/>
  <c r="F549" i="165"/>
  <c r="F552" i="165" s="1"/>
  <c r="F555" i="165" s="1"/>
  <c r="F597" i="165"/>
  <c r="J651" i="9"/>
  <c r="G653" i="9"/>
  <c r="J653" i="9" s="1"/>
  <c r="K653" i="9" s="1"/>
  <c r="H635" i="155"/>
  <c r="H637" i="155" s="1"/>
  <c r="H645" i="155" s="1"/>
  <c r="H646" i="155" s="1"/>
  <c r="H647" i="155" s="1"/>
  <c r="H844" i="155" s="1"/>
  <c r="H22" i="155"/>
  <c r="H596" i="155"/>
  <c r="H600" i="155" s="1"/>
  <c r="H603" i="155" s="1"/>
  <c r="L561" i="161"/>
  <c r="L563" i="161" s="1"/>
  <c r="L557" i="161"/>
  <c r="J635" i="162"/>
  <c r="J637" i="162" s="1"/>
  <c r="J645" i="162" s="1"/>
  <c r="J646" i="162" s="1"/>
  <c r="J647" i="162" s="1"/>
  <c r="J596" i="162"/>
  <c r="J600" i="162" s="1"/>
  <c r="J603" i="162" s="1"/>
  <c r="J22" i="162"/>
  <c r="I872" i="159"/>
  <c r="K875" i="162"/>
  <c r="K524" i="162"/>
  <c r="H608" i="161"/>
  <c r="H610" i="161" s="1"/>
  <c r="H605" i="161"/>
  <c r="H23" i="161" s="1"/>
  <c r="G762" i="9"/>
  <c r="J761" i="9"/>
  <c r="K761" i="9" s="1"/>
  <c r="H762" i="9"/>
  <c r="J647" i="159"/>
  <c r="F650" i="155"/>
  <c r="F867" i="155"/>
  <c r="H761" i="159"/>
  <c r="H40" i="159"/>
  <c r="H635" i="160"/>
  <c r="H637" i="160" s="1"/>
  <c r="H645" i="160" s="1"/>
  <c r="H646" i="160" s="1"/>
  <c r="H647" i="160" s="1"/>
  <c r="H22" i="160"/>
  <c r="H596" i="160"/>
  <c r="H600" i="160" s="1"/>
  <c r="H603" i="160" s="1"/>
  <c r="H557" i="162"/>
  <c r="H561" i="162"/>
  <c r="H563" i="162" s="1"/>
  <c r="J608" i="159"/>
  <c r="J610" i="159" s="1"/>
  <c r="J605" i="159"/>
  <c r="J23" i="159" s="1"/>
  <c r="K23" i="159" s="1"/>
  <c r="K603" i="159"/>
  <c r="K875" i="164"/>
  <c r="K524" i="164"/>
  <c r="F895" i="157"/>
  <c r="F877" i="157"/>
  <c r="F881" i="157" s="1"/>
  <c r="F882" i="157" s="1"/>
  <c r="F884" i="157" s="1"/>
  <c r="J763" i="9"/>
  <c r="K763" i="9" s="1"/>
  <c r="G764" i="9"/>
  <c r="J764" i="9" s="1"/>
  <c r="K764" i="9" s="1"/>
  <c r="H764" i="9"/>
  <c r="J555" i="165"/>
  <c r="G557" i="165"/>
  <c r="G561" i="165"/>
  <c r="G563" i="165" s="1"/>
  <c r="L597" i="160"/>
  <c r="L549" i="160"/>
  <c r="L552" i="160" s="1"/>
  <c r="L555" i="160" s="1"/>
  <c r="J24" i="159"/>
  <c r="K22" i="159"/>
  <c r="G844" i="161"/>
  <c r="K844" i="161" s="1"/>
  <c r="H867" i="161"/>
  <c r="H650" i="161"/>
  <c r="J40" i="9"/>
  <c r="K744" i="9"/>
  <c r="F897" i="159"/>
  <c r="F899" i="159" s="1"/>
  <c r="K22" i="157"/>
  <c r="F608" i="155"/>
  <c r="F610" i="155" s="1"/>
  <c r="F605" i="155"/>
  <c r="F23" i="155" s="1"/>
  <c r="F24" i="155" s="1"/>
  <c r="I650" i="167"/>
  <c r="I867" i="167"/>
  <c r="J867" i="161"/>
  <c r="J650" i="161"/>
  <c r="H22" i="165"/>
  <c r="H635" i="165"/>
  <c r="H637" i="165" s="1"/>
  <c r="H645" i="165" s="1"/>
  <c r="H646" i="165" s="1"/>
  <c r="H647" i="165" s="1"/>
  <c r="H596" i="165"/>
  <c r="H600" i="165" s="1"/>
  <c r="H603" i="165" s="1"/>
  <c r="J28" i="9"/>
  <c r="K24" i="9"/>
  <c r="F43" i="159"/>
  <c r="K549" i="155"/>
  <c r="K597" i="155"/>
  <c r="I608" i="161"/>
  <c r="I610" i="161" s="1"/>
  <c r="I605" i="161"/>
  <c r="I23" i="161" s="1"/>
  <c r="I24" i="161" s="1"/>
  <c r="F649" i="157"/>
  <c r="F651" i="157" s="1"/>
  <c r="F31" i="157"/>
  <c r="H745" i="157"/>
  <c r="F763" i="157"/>
  <c r="G43" i="9"/>
  <c r="G44" i="9" s="1"/>
  <c r="G650" i="157"/>
  <c r="G867" i="157"/>
  <c r="G844" i="157"/>
  <c r="G745" i="157" s="1"/>
  <c r="H596" i="167"/>
  <c r="H600" i="167" s="1"/>
  <c r="H603" i="167" s="1"/>
  <c r="H22" i="167"/>
  <c r="H635" i="167"/>
  <c r="H637" i="167" s="1"/>
  <c r="H645" i="167" s="1"/>
  <c r="H646" i="167" s="1"/>
  <c r="H647" i="167" s="1"/>
  <c r="F608" i="160"/>
  <c r="F610" i="160" s="1"/>
  <c r="F605" i="160"/>
  <c r="F23" i="160" s="1"/>
  <c r="G30" i="159"/>
  <c r="K650" i="159"/>
  <c r="K651" i="159" s="1"/>
  <c r="K867" i="159"/>
  <c r="K890" i="9"/>
  <c r="K892" i="9" s="1"/>
  <c r="K887" i="9"/>
  <c r="K896" i="9" s="1"/>
  <c r="K897" i="9" s="1"/>
  <c r="L875" i="162"/>
  <c r="L524" i="162"/>
  <c r="H24" i="161"/>
  <c r="F40" i="157"/>
  <c r="H744" i="157"/>
  <c r="F761" i="157"/>
  <c r="G650" i="159"/>
  <c r="G867" i="159"/>
  <c r="G844" i="159"/>
  <c r="K650" i="157"/>
  <c r="K651" i="157" s="1"/>
  <c r="K867" i="157"/>
  <c r="K597" i="165"/>
  <c r="K549" i="165"/>
  <c r="K552" i="165" s="1"/>
  <c r="K555" i="165" s="1"/>
  <c r="I650" i="165"/>
  <c r="I867" i="165"/>
  <c r="I608" i="167"/>
  <c r="I610" i="167" s="1"/>
  <c r="I605" i="167"/>
  <c r="I23" i="167" s="1"/>
  <c r="I24" i="167" s="1"/>
  <c r="I28" i="167" s="1"/>
  <c r="J608" i="157"/>
  <c r="J610" i="157" s="1"/>
  <c r="J605" i="157"/>
  <c r="J23" i="157" s="1"/>
  <c r="K23" i="157" s="1"/>
  <c r="K603" i="157"/>
  <c r="F875" i="164"/>
  <c r="F524" i="164"/>
  <c r="F653" i="159"/>
  <c r="F654" i="159" s="1"/>
  <c r="F34" i="159" s="1"/>
  <c r="H649" i="159"/>
  <c r="H651" i="159" s="1"/>
  <c r="H31" i="159"/>
  <c r="H763" i="159"/>
  <c r="J22" i="160"/>
  <c r="J635" i="160"/>
  <c r="J637" i="160" s="1"/>
  <c r="J645" i="160" s="1"/>
  <c r="J646" i="160" s="1"/>
  <c r="J647" i="160" s="1"/>
  <c r="J596" i="160"/>
  <c r="J600" i="160" s="1"/>
  <c r="J603" i="160" s="1"/>
  <c r="I650" i="161"/>
  <c r="I867" i="161"/>
  <c r="J31" i="9"/>
  <c r="J649" i="9"/>
  <c r="K649" i="9" s="1"/>
  <c r="K651" i="9" s="1"/>
  <c r="K745" i="9"/>
  <c r="J647" i="157"/>
  <c r="G744" i="157" l="1"/>
  <c r="H872" i="157"/>
  <c r="J762" i="9"/>
  <c r="K762" i="9" s="1"/>
  <c r="F872" i="161"/>
  <c r="F895" i="161" s="1"/>
  <c r="F28" i="155"/>
  <c r="I19" i="168"/>
  <c r="I23" i="168" s="1"/>
  <c r="I27" i="168" s="1"/>
  <c r="I31" i="168" s="1"/>
  <c r="I33" i="168" s="1"/>
  <c r="J28" i="161"/>
  <c r="I30" i="167"/>
  <c r="F35" i="159"/>
  <c r="F37" i="159" s="1"/>
  <c r="J867" i="157"/>
  <c r="J869" i="157" s="1"/>
  <c r="J650" i="157"/>
  <c r="H653" i="159"/>
  <c r="H654" i="159" s="1"/>
  <c r="H34" i="159" s="1"/>
  <c r="K653" i="157"/>
  <c r="K654" i="157"/>
  <c r="H608" i="165"/>
  <c r="H610" i="165" s="1"/>
  <c r="H605" i="165"/>
  <c r="H23" i="165" s="1"/>
  <c r="J871" i="161"/>
  <c r="J869" i="161"/>
  <c r="J872" i="161" s="1"/>
  <c r="J24" i="157"/>
  <c r="J557" i="165"/>
  <c r="J561" i="165"/>
  <c r="J563" i="165" s="1"/>
  <c r="H650" i="160"/>
  <c r="H867" i="160"/>
  <c r="H608" i="155"/>
  <c r="H610" i="155" s="1"/>
  <c r="H605" i="155"/>
  <c r="H23" i="155" s="1"/>
  <c r="H24" i="155" s="1"/>
  <c r="H28" i="155" s="1"/>
  <c r="F557" i="165"/>
  <c r="F561" i="165"/>
  <c r="F563" i="165" s="1"/>
  <c r="J650" i="155"/>
  <c r="J867" i="155"/>
  <c r="G646" i="161"/>
  <c r="K645" i="161"/>
  <c r="K22" i="161"/>
  <c r="K635" i="161"/>
  <c r="K637" i="161" s="1"/>
  <c r="L637" i="161" s="1"/>
  <c r="L645" i="161" s="1"/>
  <c r="L646" i="161" s="1"/>
  <c r="L647" i="161" s="1"/>
  <c r="K596" i="161"/>
  <c r="K600" i="161" s="1"/>
  <c r="K603" i="161" s="1"/>
  <c r="I844" i="159"/>
  <c r="J844" i="159"/>
  <c r="K844" i="159" s="1"/>
  <c r="G744" i="159"/>
  <c r="G745" i="159"/>
  <c r="K653" i="159"/>
  <c r="K654" i="159" s="1"/>
  <c r="H608" i="167"/>
  <c r="H610" i="167" s="1"/>
  <c r="H605" i="167"/>
  <c r="H23" i="167" s="1"/>
  <c r="H24" i="167" s="1"/>
  <c r="H28" i="167" s="1"/>
  <c r="H31" i="157"/>
  <c r="H649" i="157"/>
  <c r="H651" i="157" s="1"/>
  <c r="H763" i="157"/>
  <c r="F745" i="155"/>
  <c r="H650" i="165"/>
  <c r="H867" i="165"/>
  <c r="I869" i="167"/>
  <c r="I871" i="167"/>
  <c r="H869" i="161"/>
  <c r="H871" i="161"/>
  <c r="J28" i="159"/>
  <c r="K24" i="159"/>
  <c r="H22" i="162"/>
  <c r="H596" i="162"/>
  <c r="H600" i="162" s="1"/>
  <c r="H603" i="162" s="1"/>
  <c r="H635" i="162"/>
  <c r="H637" i="162" s="1"/>
  <c r="H645" i="162" s="1"/>
  <c r="H42" i="159"/>
  <c r="H44" i="159"/>
  <c r="H41" i="159"/>
  <c r="J867" i="159"/>
  <c r="J869" i="159" s="1"/>
  <c r="J650" i="159"/>
  <c r="I895" i="159"/>
  <c r="I877" i="159"/>
  <c r="I881" i="159" s="1"/>
  <c r="I882" i="159" s="1"/>
  <c r="I884" i="159" s="1"/>
  <c r="L596" i="161"/>
  <c r="L600" i="161" s="1"/>
  <c r="L603" i="161" s="1"/>
  <c r="L635" i="161"/>
  <c r="G654" i="9"/>
  <c r="H887" i="159"/>
  <c r="H896" i="159" s="1"/>
  <c r="H890" i="159"/>
  <c r="H892" i="159" s="1"/>
  <c r="I869" i="161"/>
  <c r="I871" i="161"/>
  <c r="L597" i="162"/>
  <c r="L549" i="162"/>
  <c r="G651" i="157"/>
  <c r="F890" i="157"/>
  <c r="F892" i="157" s="1"/>
  <c r="F887" i="157"/>
  <c r="F896" i="157" s="1"/>
  <c r="F897" i="157" s="1"/>
  <c r="F899" i="157" s="1"/>
  <c r="K608" i="159"/>
  <c r="K610" i="159" s="1"/>
  <c r="K605" i="159"/>
  <c r="F869" i="155"/>
  <c r="F872" i="155" s="1"/>
  <c r="F871" i="155"/>
  <c r="J867" i="162"/>
  <c r="J650" i="162"/>
  <c r="I650" i="160"/>
  <c r="I867" i="160"/>
  <c r="H895" i="157"/>
  <c r="H877" i="157"/>
  <c r="H881" i="157" s="1"/>
  <c r="H882" i="157" s="1"/>
  <c r="H884" i="157" s="1"/>
  <c r="G561" i="167"/>
  <c r="G563" i="167" s="1"/>
  <c r="J555" i="167"/>
  <c r="G557" i="167"/>
  <c r="K561" i="160"/>
  <c r="K563" i="160" s="1"/>
  <c r="K557" i="160"/>
  <c r="J877" i="9"/>
  <c r="J881" i="9" s="1"/>
  <c r="J882" i="9" s="1"/>
  <c r="G881" i="9"/>
  <c r="G882" i="9" s="1"/>
  <c r="G884" i="9" s="1"/>
  <c r="H32" i="157"/>
  <c r="K557" i="165"/>
  <c r="K596" i="165" s="1"/>
  <c r="K600" i="165" s="1"/>
  <c r="K561" i="165"/>
  <c r="K563" i="165" s="1"/>
  <c r="K608" i="157"/>
  <c r="K610" i="157" s="1"/>
  <c r="K605" i="157"/>
  <c r="G869" i="159"/>
  <c r="G872" i="159" s="1"/>
  <c r="G871" i="159"/>
  <c r="J871" i="159" s="1"/>
  <c r="H761" i="157"/>
  <c r="H40" i="157"/>
  <c r="F744" i="155"/>
  <c r="E19" i="168"/>
  <c r="E23" i="168" s="1"/>
  <c r="E27" i="168" s="1"/>
  <c r="E31" i="168" s="1"/>
  <c r="E33" i="168" s="1"/>
  <c r="H28" i="161"/>
  <c r="I844" i="157"/>
  <c r="J844" i="157" s="1"/>
  <c r="K844" i="157" s="1"/>
  <c r="F43" i="157"/>
  <c r="F44" i="157" s="1"/>
  <c r="H24" i="165"/>
  <c r="H28" i="165" s="1"/>
  <c r="L844" i="161"/>
  <c r="P844" i="161"/>
  <c r="K549" i="164"/>
  <c r="K597" i="164"/>
  <c r="H608" i="160"/>
  <c r="H610" i="160" s="1"/>
  <c r="H605" i="160"/>
  <c r="H23" i="160" s="1"/>
  <c r="J23" i="49"/>
  <c r="H650" i="155"/>
  <c r="H867" i="155"/>
  <c r="H897" i="159"/>
  <c r="J608" i="155"/>
  <c r="J610" i="155" s="1"/>
  <c r="J605" i="155"/>
  <c r="J23" i="155" s="1"/>
  <c r="J24" i="155" s="1"/>
  <c r="J28" i="155" s="1"/>
  <c r="F22" i="167"/>
  <c r="F635" i="167"/>
  <c r="F596" i="167"/>
  <c r="F600" i="167" s="1"/>
  <c r="F603" i="167" s="1"/>
  <c r="F24" i="160"/>
  <c r="G22" i="160"/>
  <c r="G596" i="160"/>
  <c r="G600" i="160" s="1"/>
  <c r="G603" i="160" s="1"/>
  <c r="G635" i="160"/>
  <c r="G637" i="160" s="1"/>
  <c r="G645" i="160"/>
  <c r="J867" i="160"/>
  <c r="J650" i="160"/>
  <c r="G761" i="157"/>
  <c r="G40" i="157"/>
  <c r="K871" i="159"/>
  <c r="K869" i="159"/>
  <c r="J43" i="9"/>
  <c r="J44" i="9" s="1"/>
  <c r="K31" i="9"/>
  <c r="J608" i="160"/>
  <c r="J610" i="160" s="1"/>
  <c r="J605" i="160"/>
  <c r="J23" i="160" s="1"/>
  <c r="J24" i="160" s="1"/>
  <c r="J28" i="160" s="1"/>
  <c r="H43" i="159"/>
  <c r="H32" i="159"/>
  <c r="F597" i="164"/>
  <c r="F549" i="164"/>
  <c r="I869" i="165"/>
  <c r="I871" i="165"/>
  <c r="K871" i="157"/>
  <c r="K869" i="157"/>
  <c r="H650" i="167"/>
  <c r="H867" i="167"/>
  <c r="G869" i="157"/>
  <c r="G871" i="157"/>
  <c r="J871" i="157" s="1"/>
  <c r="G763" i="157"/>
  <c r="G31" i="157"/>
  <c r="G32" i="157" s="1"/>
  <c r="G649" i="157"/>
  <c r="F653" i="157"/>
  <c r="F654" i="157" s="1"/>
  <c r="F34" i="157" s="1"/>
  <c r="J41" i="9"/>
  <c r="K28" i="9"/>
  <c r="K40" i="9"/>
  <c r="J42" i="9"/>
  <c r="L561" i="160"/>
  <c r="L563" i="160" s="1"/>
  <c r="L557" i="160"/>
  <c r="G22" i="165"/>
  <c r="G635" i="165"/>
  <c r="G637" i="165" s="1"/>
  <c r="G645" i="165" s="1"/>
  <c r="G596" i="165"/>
  <c r="G600" i="165" s="1"/>
  <c r="G603" i="165" s="1"/>
  <c r="H24" i="160"/>
  <c r="H28" i="160" s="1"/>
  <c r="J844" i="155"/>
  <c r="K549" i="162"/>
  <c r="K597" i="162"/>
  <c r="F41" i="157"/>
  <c r="F42" i="157" s="1"/>
  <c r="J608" i="162"/>
  <c r="J610" i="162" s="1"/>
  <c r="J605" i="162"/>
  <c r="J23" i="162" s="1"/>
  <c r="J24" i="49" s="1"/>
  <c r="G19" i="168"/>
  <c r="G23" i="168" s="1"/>
  <c r="G27" i="168" s="1"/>
  <c r="G31" i="168" s="1"/>
  <c r="G33" i="168" s="1"/>
  <c r="I28" i="161"/>
  <c r="I608" i="160"/>
  <c r="I610" i="160" s="1"/>
  <c r="I605" i="160"/>
  <c r="I23" i="160" s="1"/>
  <c r="I24" i="160" s="1"/>
  <c r="I28" i="160" s="1"/>
  <c r="G608" i="161"/>
  <c r="G610" i="161" s="1"/>
  <c r="G605" i="161"/>
  <c r="G23" i="161" s="1"/>
  <c r="G24" i="161" s="1"/>
  <c r="I887" i="157"/>
  <c r="I896" i="157" s="1"/>
  <c r="I897" i="157" s="1"/>
  <c r="I890" i="157"/>
  <c r="I892" i="157" s="1"/>
  <c r="H844" i="160"/>
  <c r="I844" i="160"/>
  <c r="F650" i="160"/>
  <c r="J844" i="160"/>
  <c r="F867" i="160"/>
  <c r="F30" i="161"/>
  <c r="G871" i="161" l="1"/>
  <c r="K871" i="161" s="1"/>
  <c r="J24" i="162"/>
  <c r="J28" i="162" s="1"/>
  <c r="F877" i="161"/>
  <c r="F881" i="161" s="1"/>
  <c r="F882" i="161" s="1"/>
  <c r="F884" i="161" s="1"/>
  <c r="I872" i="165"/>
  <c r="O844" i="157"/>
  <c r="H30" i="167"/>
  <c r="J30" i="160"/>
  <c r="C19" i="168"/>
  <c r="C23" i="168" s="1"/>
  <c r="C27" i="168" s="1"/>
  <c r="C31" i="168" s="1"/>
  <c r="C33" i="168" s="1"/>
  <c r="G28" i="161"/>
  <c r="I30" i="160"/>
  <c r="F35" i="157"/>
  <c r="F37" i="157" s="1"/>
  <c r="G608" i="165"/>
  <c r="G610" i="165" s="1"/>
  <c r="J603" i="165"/>
  <c r="G605" i="165"/>
  <c r="G23" i="165" s="1"/>
  <c r="H869" i="167"/>
  <c r="H871" i="167"/>
  <c r="J872" i="159"/>
  <c r="J895" i="159" s="1"/>
  <c r="G895" i="159"/>
  <c r="G877" i="159"/>
  <c r="J557" i="167"/>
  <c r="J561" i="167"/>
  <c r="J563" i="167" s="1"/>
  <c r="K555" i="167"/>
  <c r="I887" i="159"/>
  <c r="I896" i="159" s="1"/>
  <c r="I897" i="159" s="1"/>
  <c r="I899" i="159" s="1"/>
  <c r="I890" i="159"/>
  <c r="I892" i="159" s="1"/>
  <c r="J869" i="155"/>
  <c r="J871" i="155"/>
  <c r="G844" i="160"/>
  <c r="K844" i="160" s="1"/>
  <c r="I30" i="161"/>
  <c r="G646" i="165"/>
  <c r="G647" i="165" s="1"/>
  <c r="J645" i="165"/>
  <c r="J646" i="165" s="1"/>
  <c r="K43" i="9"/>
  <c r="G608" i="160"/>
  <c r="G610" i="160" s="1"/>
  <c r="G605" i="160"/>
  <c r="G23" i="160" s="1"/>
  <c r="F637" i="167"/>
  <c r="F645" i="167" s="1"/>
  <c r="F646" i="167" s="1"/>
  <c r="F647" i="167" s="1"/>
  <c r="J25" i="49"/>
  <c r="J29" i="49" s="1"/>
  <c r="J41" i="49" s="1"/>
  <c r="J42" i="49" s="1"/>
  <c r="H41" i="157"/>
  <c r="H42" i="157" s="1"/>
  <c r="K596" i="160"/>
  <c r="K600" i="160" s="1"/>
  <c r="K603" i="160" s="1"/>
  <c r="K22" i="160"/>
  <c r="K635" i="160"/>
  <c r="K637" i="160" s="1"/>
  <c r="L637" i="160" s="1"/>
  <c r="L645" i="160" s="1"/>
  <c r="L646" i="160" s="1"/>
  <c r="L647" i="160" s="1"/>
  <c r="I871" i="160"/>
  <c r="I869" i="160"/>
  <c r="I872" i="161"/>
  <c r="H608" i="162"/>
  <c r="H610" i="162" s="1"/>
  <c r="H605" i="162"/>
  <c r="H23" i="162" s="1"/>
  <c r="J30" i="159"/>
  <c r="K28" i="159"/>
  <c r="I872" i="167"/>
  <c r="I744" i="159"/>
  <c r="I745" i="159"/>
  <c r="K608" i="161"/>
  <c r="K610" i="161" s="1"/>
  <c r="K605" i="161"/>
  <c r="K23" i="161" s="1"/>
  <c r="L23" i="161" s="1"/>
  <c r="J22" i="165"/>
  <c r="J596" i="165"/>
  <c r="J600" i="165" s="1"/>
  <c r="J635" i="165"/>
  <c r="J637" i="165" s="1"/>
  <c r="K645" i="160"/>
  <c r="G646" i="160"/>
  <c r="J41" i="162"/>
  <c r="J42" i="162" s="1"/>
  <c r="J48" i="49"/>
  <c r="J49" i="49" s="1"/>
  <c r="J869" i="162"/>
  <c r="J871" i="162"/>
  <c r="G653" i="157"/>
  <c r="G654" i="157"/>
  <c r="H646" i="162"/>
  <c r="H647" i="162" s="1"/>
  <c r="F649" i="155"/>
  <c r="F651" i="155" s="1"/>
  <c r="H745" i="155"/>
  <c r="F31" i="155"/>
  <c r="I745" i="155"/>
  <c r="J745" i="155"/>
  <c r="J895" i="161"/>
  <c r="J877" i="161"/>
  <c r="J881" i="161" s="1"/>
  <c r="J882" i="161" s="1"/>
  <c r="J884" i="161" s="1"/>
  <c r="J30" i="161"/>
  <c r="H30" i="160"/>
  <c r="K44" i="9"/>
  <c r="K42" i="9"/>
  <c r="I895" i="165"/>
  <c r="I877" i="165"/>
  <c r="I881" i="165" s="1"/>
  <c r="I882" i="165" s="1"/>
  <c r="I884" i="165" s="1"/>
  <c r="H887" i="157"/>
  <c r="H896" i="157" s="1"/>
  <c r="H890" i="157"/>
  <c r="H892" i="157" s="1"/>
  <c r="F895" i="155"/>
  <c r="F877" i="155"/>
  <c r="F881" i="155" s="1"/>
  <c r="F882" i="155" s="1"/>
  <c r="F884" i="155" s="1"/>
  <c r="F890" i="161"/>
  <c r="F892" i="161" s="1"/>
  <c r="F887" i="161"/>
  <c r="F896" i="161" s="1"/>
  <c r="H23" i="49"/>
  <c r="H24" i="162"/>
  <c r="H871" i="165"/>
  <c r="H869" i="165"/>
  <c r="H653" i="157"/>
  <c r="H654" i="157" s="1"/>
  <c r="H34" i="157" s="1"/>
  <c r="H35" i="157" s="1"/>
  <c r="H37" i="157" s="1"/>
  <c r="G31" i="159"/>
  <c r="G763" i="159"/>
  <c r="F745" i="160"/>
  <c r="G649" i="159"/>
  <c r="G651" i="159" s="1"/>
  <c r="O844" i="159"/>
  <c r="L650" i="161"/>
  <c r="L867" i="161"/>
  <c r="H871" i="160"/>
  <c r="H869" i="160"/>
  <c r="F608" i="167"/>
  <c r="F610" i="167" s="1"/>
  <c r="F605" i="167"/>
  <c r="F23" i="167" s="1"/>
  <c r="F24" i="167" s="1"/>
  <c r="F40" i="155"/>
  <c r="F41" i="155" s="1"/>
  <c r="H744" i="155"/>
  <c r="H40" i="155" s="1"/>
  <c r="I744" i="155"/>
  <c r="I40" i="155" s="1"/>
  <c r="J744" i="155"/>
  <c r="J40" i="155" s="1"/>
  <c r="J41" i="155" s="1"/>
  <c r="G34" i="9"/>
  <c r="G35" i="9" s="1"/>
  <c r="G37" i="9" s="1"/>
  <c r="J654" i="9"/>
  <c r="F869" i="160"/>
  <c r="F871" i="160"/>
  <c r="G24" i="165"/>
  <c r="G28" i="165" s="1"/>
  <c r="K41" i="9"/>
  <c r="G42" i="157"/>
  <c r="G44" i="157"/>
  <c r="G41" i="157"/>
  <c r="G24" i="160"/>
  <c r="G28" i="160" s="1"/>
  <c r="H871" i="155"/>
  <c r="H869" i="155"/>
  <c r="H872" i="155" s="1"/>
  <c r="H30" i="161"/>
  <c r="L635" i="160"/>
  <c r="L596" i="160"/>
  <c r="L600" i="160" s="1"/>
  <c r="L603" i="160" s="1"/>
  <c r="G43" i="157"/>
  <c r="G872" i="157"/>
  <c r="K872" i="157"/>
  <c r="K872" i="159"/>
  <c r="J869" i="160"/>
  <c r="J871" i="160"/>
  <c r="F28" i="160"/>
  <c r="I744" i="157"/>
  <c r="I745" i="157"/>
  <c r="J884" i="9"/>
  <c r="G890" i="9"/>
  <c r="G892" i="9" s="1"/>
  <c r="G887" i="9"/>
  <c r="G896" i="9" s="1"/>
  <c r="G897" i="9" s="1"/>
  <c r="G899" i="9" s="1"/>
  <c r="G635" i="167"/>
  <c r="G637" i="167" s="1"/>
  <c r="G645" i="167" s="1"/>
  <c r="G596" i="167"/>
  <c r="G600" i="167" s="1"/>
  <c r="G603" i="167" s="1"/>
  <c r="G22" i="167"/>
  <c r="H897" i="157"/>
  <c r="H899" i="157" s="1"/>
  <c r="F897" i="161"/>
  <c r="F899" i="161" s="1"/>
  <c r="L608" i="161"/>
  <c r="L610" i="161" s="1"/>
  <c r="L605" i="161"/>
  <c r="H872" i="161"/>
  <c r="H43" i="157"/>
  <c r="H44" i="157" s="1"/>
  <c r="G761" i="159"/>
  <c r="G40" i="159"/>
  <c r="J744" i="159"/>
  <c r="F744" i="160"/>
  <c r="L22" i="161"/>
  <c r="G647" i="161"/>
  <c r="K646" i="161"/>
  <c r="K647" i="161" s="1"/>
  <c r="F22" i="165"/>
  <c r="F596" i="165"/>
  <c r="F600" i="165" s="1"/>
  <c r="F603" i="165" s="1"/>
  <c r="F635" i="165"/>
  <c r="J28" i="157"/>
  <c r="K24" i="157"/>
  <c r="J872" i="162" l="1"/>
  <c r="K24" i="161"/>
  <c r="I872" i="160"/>
  <c r="F28" i="167"/>
  <c r="K895" i="157"/>
  <c r="K877" i="157"/>
  <c r="K881" i="157" s="1"/>
  <c r="K882" i="157" s="1"/>
  <c r="K884" i="157" s="1"/>
  <c r="G43" i="159"/>
  <c r="G32" i="159"/>
  <c r="H31" i="155"/>
  <c r="H649" i="155"/>
  <c r="G34" i="157"/>
  <c r="G35" i="157" s="1"/>
  <c r="G37" i="157" s="1"/>
  <c r="J22" i="167"/>
  <c r="J635" i="167"/>
  <c r="J596" i="167"/>
  <c r="J600" i="167" s="1"/>
  <c r="G44" i="159"/>
  <c r="G41" i="159"/>
  <c r="G42" i="159" s="1"/>
  <c r="H40" i="165"/>
  <c r="L869" i="161"/>
  <c r="L871" i="161"/>
  <c r="F31" i="160"/>
  <c r="I745" i="160"/>
  <c r="J745" i="160"/>
  <c r="G745" i="160"/>
  <c r="H745" i="160"/>
  <c r="F649" i="160"/>
  <c r="F651" i="160" s="1"/>
  <c r="H28" i="162"/>
  <c r="I887" i="165"/>
  <c r="I896" i="165" s="1"/>
  <c r="I890" i="165"/>
  <c r="I892" i="165" s="1"/>
  <c r="J890" i="161"/>
  <c r="J892" i="161" s="1"/>
  <c r="J887" i="161"/>
  <c r="J896" i="161" s="1"/>
  <c r="J897" i="161" s="1"/>
  <c r="J899" i="161" s="1"/>
  <c r="G745" i="155"/>
  <c r="F653" i="155"/>
  <c r="F654" i="155" s="1"/>
  <c r="F34" i="155" s="1"/>
  <c r="J51" i="49"/>
  <c r="J52" i="49" s="1"/>
  <c r="J34" i="49" s="1"/>
  <c r="I40" i="159"/>
  <c r="F744" i="161"/>
  <c r="I761" i="159"/>
  <c r="G762" i="159" s="1"/>
  <c r="F867" i="167"/>
  <c r="F650" i="167"/>
  <c r="J647" i="165"/>
  <c r="L844" i="160"/>
  <c r="P844" i="160"/>
  <c r="G881" i="159"/>
  <c r="G882" i="159" s="1"/>
  <c r="G884" i="159" s="1"/>
  <c r="J877" i="159"/>
  <c r="J881" i="159" s="1"/>
  <c r="J882" i="159" s="1"/>
  <c r="H872" i="167"/>
  <c r="G30" i="161"/>
  <c r="I649" i="159"/>
  <c r="I651" i="159" s="1"/>
  <c r="J651" i="159" s="1"/>
  <c r="I31" i="159"/>
  <c r="I763" i="159"/>
  <c r="F745" i="161"/>
  <c r="K608" i="160"/>
  <c r="K610" i="160" s="1"/>
  <c r="K605" i="160"/>
  <c r="K23" i="160" s="1"/>
  <c r="L23" i="160" s="1"/>
  <c r="K603" i="165"/>
  <c r="F608" i="165"/>
  <c r="F610" i="165" s="1"/>
  <c r="F605" i="165"/>
  <c r="F23" i="165" s="1"/>
  <c r="K23" i="165" s="1"/>
  <c r="H895" i="161"/>
  <c r="H877" i="161"/>
  <c r="H881" i="161" s="1"/>
  <c r="H882" i="161" s="1"/>
  <c r="H884" i="161" s="1"/>
  <c r="G646" i="167"/>
  <c r="G647" i="167" s="1"/>
  <c r="J645" i="167"/>
  <c r="J646" i="167" s="1"/>
  <c r="F30" i="160"/>
  <c r="H895" i="155"/>
  <c r="H877" i="155"/>
  <c r="H881" i="155" s="1"/>
  <c r="H882" i="155" s="1"/>
  <c r="H884" i="155" s="1"/>
  <c r="K22" i="165"/>
  <c r="K28" i="161"/>
  <c r="L24" i="161"/>
  <c r="J761" i="159"/>
  <c r="K761" i="159" s="1"/>
  <c r="H762" i="159"/>
  <c r="F872" i="160"/>
  <c r="J745" i="159"/>
  <c r="I897" i="165"/>
  <c r="I899" i="165" s="1"/>
  <c r="I31" i="155"/>
  <c r="I649" i="155"/>
  <c r="H649" i="166" s="1"/>
  <c r="I895" i="161"/>
  <c r="I877" i="161"/>
  <c r="I881" i="161" s="1"/>
  <c r="I882" i="161" s="1"/>
  <c r="I884" i="161" s="1"/>
  <c r="L650" i="160"/>
  <c r="L867" i="160"/>
  <c r="G650" i="165"/>
  <c r="G867" i="165"/>
  <c r="K561" i="167"/>
  <c r="K563" i="167" s="1"/>
  <c r="K557" i="167"/>
  <c r="K596" i="167" s="1"/>
  <c r="K600" i="167" s="1"/>
  <c r="K635" i="165"/>
  <c r="F637" i="165"/>
  <c r="G867" i="161"/>
  <c r="G869" i="161" s="1"/>
  <c r="G872" i="161" s="1"/>
  <c r="G650" i="161"/>
  <c r="J40" i="159"/>
  <c r="K744" i="159"/>
  <c r="J603" i="167"/>
  <c r="G608" i="167"/>
  <c r="G610" i="167" s="1"/>
  <c r="G605" i="167"/>
  <c r="G23" i="167" s="1"/>
  <c r="G24" i="167" s="1"/>
  <c r="G28" i="167" s="1"/>
  <c r="J890" i="9"/>
  <c r="J892" i="9" s="1"/>
  <c r="J887" i="9"/>
  <c r="J896" i="9" s="1"/>
  <c r="J897" i="9" s="1"/>
  <c r="J899" i="9" s="1"/>
  <c r="G653" i="159"/>
  <c r="G654" i="159"/>
  <c r="J649" i="155"/>
  <c r="J31" i="155"/>
  <c r="J895" i="162"/>
  <c r="J877" i="162"/>
  <c r="J881" i="162" s="1"/>
  <c r="J882" i="162" s="1"/>
  <c r="J884" i="162" s="1"/>
  <c r="G647" i="160"/>
  <c r="K646" i="160"/>
  <c r="K647" i="160" s="1"/>
  <c r="J24" i="165"/>
  <c r="J28" i="165" s="1"/>
  <c r="I895" i="160"/>
  <c r="I877" i="160"/>
  <c r="I881" i="160" s="1"/>
  <c r="I882" i="160" s="1"/>
  <c r="I884" i="160" s="1"/>
  <c r="I31" i="157"/>
  <c r="I649" i="157"/>
  <c r="I651" i="157" s="1"/>
  <c r="I763" i="157"/>
  <c r="J745" i="157"/>
  <c r="J872" i="157"/>
  <c r="J895" i="157" s="1"/>
  <c r="G895" i="157"/>
  <c r="G877" i="157"/>
  <c r="J30" i="157"/>
  <c r="K28" i="157"/>
  <c r="I40" i="157"/>
  <c r="I761" i="157"/>
  <c r="J744" i="157"/>
  <c r="K895" i="159"/>
  <c r="K877" i="159"/>
  <c r="K881" i="159" s="1"/>
  <c r="K882" i="159" s="1"/>
  <c r="K884" i="159" s="1"/>
  <c r="H40" i="167"/>
  <c r="J42" i="155"/>
  <c r="G744" i="155"/>
  <c r="K867" i="161"/>
  <c r="K869" i="161" s="1"/>
  <c r="K650" i="161"/>
  <c r="F40" i="160"/>
  <c r="H744" i="160"/>
  <c r="H40" i="160" s="1"/>
  <c r="I744" i="160"/>
  <c r="I40" i="160" s="1"/>
  <c r="J744" i="160"/>
  <c r="J40" i="160" s="1"/>
  <c r="J872" i="160"/>
  <c r="L608" i="160"/>
  <c r="L610" i="160" s="1"/>
  <c r="L605" i="160"/>
  <c r="G30" i="160"/>
  <c r="J34" i="9"/>
  <c r="K654" i="9"/>
  <c r="H40" i="166"/>
  <c r="F44" i="155"/>
  <c r="F42" i="155"/>
  <c r="H872" i="160"/>
  <c r="G764" i="159"/>
  <c r="J763" i="159"/>
  <c r="K763" i="159" s="1"/>
  <c r="H764" i="159"/>
  <c r="H872" i="165"/>
  <c r="F887" i="155"/>
  <c r="F896" i="155" s="1"/>
  <c r="F897" i="155" s="1"/>
  <c r="F899" i="155" s="1"/>
  <c r="F890" i="155"/>
  <c r="F892" i="155" s="1"/>
  <c r="F43" i="155"/>
  <c r="H650" i="162"/>
  <c r="H867" i="162"/>
  <c r="I895" i="167"/>
  <c r="I877" i="167"/>
  <c r="I881" i="167" s="1"/>
  <c r="I882" i="167" s="1"/>
  <c r="I884" i="167" s="1"/>
  <c r="H24" i="49"/>
  <c r="H25" i="49" s="1"/>
  <c r="H29" i="49" s="1"/>
  <c r="H41" i="49" s="1"/>
  <c r="H42" i="49" s="1"/>
  <c r="K24" i="160"/>
  <c r="L22" i="160"/>
  <c r="J872" i="155"/>
  <c r="J608" i="165"/>
  <c r="J610" i="165" s="1"/>
  <c r="J605" i="165"/>
  <c r="J23" i="165" s="1"/>
  <c r="H41" i="155"/>
  <c r="H42" i="155" s="1"/>
  <c r="F35" i="155" l="1"/>
  <c r="F37" i="155" s="1"/>
  <c r="K40" i="159"/>
  <c r="J41" i="159"/>
  <c r="J42" i="159" s="1"/>
  <c r="I744" i="161"/>
  <c r="I40" i="161" s="1"/>
  <c r="J744" i="161"/>
  <c r="J40" i="161" s="1"/>
  <c r="F40" i="161"/>
  <c r="H744" i="161"/>
  <c r="H40" i="161" s="1"/>
  <c r="J895" i="155"/>
  <c r="J877" i="155"/>
  <c r="J881" i="155" s="1"/>
  <c r="J882" i="155" s="1"/>
  <c r="J884" i="155" s="1"/>
  <c r="I764" i="159"/>
  <c r="J764" i="159" s="1"/>
  <c r="K764" i="159" s="1"/>
  <c r="G744" i="160"/>
  <c r="H41" i="160"/>
  <c r="H42" i="160" s="1"/>
  <c r="H41" i="167"/>
  <c r="H42" i="167" s="1"/>
  <c r="G762" i="157"/>
  <c r="H762" i="157"/>
  <c r="J761" i="157"/>
  <c r="K761" i="157" s="1"/>
  <c r="I43" i="157"/>
  <c r="I32" i="157"/>
  <c r="K650" i="160"/>
  <c r="K867" i="160"/>
  <c r="K869" i="160" s="1"/>
  <c r="H31" i="167"/>
  <c r="J43" i="155"/>
  <c r="J44" i="155" s="1"/>
  <c r="H31" i="166"/>
  <c r="H43" i="166" s="1"/>
  <c r="H44" i="166" s="1"/>
  <c r="I43" i="155"/>
  <c r="I44" i="155" s="1"/>
  <c r="F24" i="165"/>
  <c r="F32" i="160"/>
  <c r="G650" i="167"/>
  <c r="G867" i="167"/>
  <c r="F31" i="161"/>
  <c r="J745" i="161"/>
  <c r="H745" i="161"/>
  <c r="I745" i="161"/>
  <c r="F649" i="161"/>
  <c r="F651" i="161" s="1"/>
  <c r="J884" i="159"/>
  <c r="G890" i="159"/>
  <c r="G892" i="159" s="1"/>
  <c r="G887" i="159"/>
  <c r="G896" i="159" s="1"/>
  <c r="G897" i="159" s="1"/>
  <c r="G899" i="159" s="1"/>
  <c r="I41" i="159"/>
  <c r="I42" i="159" s="1"/>
  <c r="J31" i="160"/>
  <c r="J649" i="160"/>
  <c r="L872" i="161"/>
  <c r="I653" i="157"/>
  <c r="J653" i="157" s="1"/>
  <c r="J651" i="157"/>
  <c r="G871" i="165"/>
  <c r="J871" i="165" s="1"/>
  <c r="G869" i="165"/>
  <c r="G872" i="165" s="1"/>
  <c r="I654" i="159"/>
  <c r="I34" i="159" s="1"/>
  <c r="I35" i="159" s="1"/>
  <c r="I37" i="159" s="1"/>
  <c r="I653" i="159"/>
  <c r="G649" i="160"/>
  <c r="G649" i="164" s="1"/>
  <c r="G31" i="160"/>
  <c r="G32" i="160" s="1"/>
  <c r="K745" i="160"/>
  <c r="H41" i="165"/>
  <c r="H42" i="165" s="1"/>
  <c r="G40" i="167"/>
  <c r="J42" i="160"/>
  <c r="J41" i="160"/>
  <c r="K744" i="155"/>
  <c r="G40" i="155"/>
  <c r="I890" i="160"/>
  <c r="I892" i="160" s="1"/>
  <c r="I887" i="160"/>
  <c r="I896" i="160" s="1"/>
  <c r="G650" i="160"/>
  <c r="G867" i="160"/>
  <c r="H649" i="167"/>
  <c r="H651" i="167" s="1"/>
  <c r="J651" i="155"/>
  <c r="J653" i="159"/>
  <c r="J608" i="167"/>
  <c r="J610" i="167" s="1"/>
  <c r="J605" i="167"/>
  <c r="J23" i="167" s="1"/>
  <c r="K23" i="167" s="1"/>
  <c r="K603" i="167"/>
  <c r="K872" i="161"/>
  <c r="K895" i="161" s="1"/>
  <c r="G895" i="161"/>
  <c r="G877" i="161"/>
  <c r="L871" i="160"/>
  <c r="L869" i="160"/>
  <c r="J31" i="159"/>
  <c r="K745" i="159"/>
  <c r="J649" i="159" s="1"/>
  <c r="I762" i="159"/>
  <c r="J762" i="159" s="1"/>
  <c r="K762" i="159" s="1"/>
  <c r="O762" i="159"/>
  <c r="H887" i="161"/>
  <c r="H896" i="161" s="1"/>
  <c r="H890" i="161"/>
  <c r="H892" i="161" s="1"/>
  <c r="K608" i="165"/>
  <c r="K610" i="165" s="1"/>
  <c r="K605" i="165"/>
  <c r="F871" i="167"/>
  <c r="F869" i="167"/>
  <c r="E18" i="6"/>
  <c r="J35" i="49"/>
  <c r="J37" i="49" s="1"/>
  <c r="G649" i="155"/>
  <c r="H649" i="164" s="1"/>
  <c r="G31" i="155"/>
  <c r="K745" i="155"/>
  <c r="F653" i="160"/>
  <c r="F654" i="160"/>
  <c r="F34" i="160" s="1"/>
  <c r="I31" i="160"/>
  <c r="I649" i="160"/>
  <c r="J637" i="167"/>
  <c r="K637" i="167" s="1"/>
  <c r="K645" i="167" s="1"/>
  <c r="K646" i="167" s="1"/>
  <c r="K647" i="167" s="1"/>
  <c r="K635" i="167"/>
  <c r="H649" i="165"/>
  <c r="H651" i="165" s="1"/>
  <c r="H651" i="155"/>
  <c r="F41" i="167"/>
  <c r="F42" i="167" s="1"/>
  <c r="F30" i="167"/>
  <c r="H871" i="162"/>
  <c r="H869" i="162"/>
  <c r="G30" i="167"/>
  <c r="J40" i="157"/>
  <c r="K744" i="157"/>
  <c r="G34" i="159"/>
  <c r="G35" i="159" s="1"/>
  <c r="G37" i="159" s="1"/>
  <c r="J654" i="159"/>
  <c r="J34" i="159" s="1"/>
  <c r="I890" i="161"/>
  <c r="I892" i="161" s="1"/>
  <c r="I887" i="161"/>
  <c r="I896" i="161" s="1"/>
  <c r="I897" i="161" s="1"/>
  <c r="I899" i="161" s="1"/>
  <c r="K30" i="161"/>
  <c r="L28" i="161"/>
  <c r="J650" i="165"/>
  <c r="J867" i="165"/>
  <c r="J869" i="165" s="1"/>
  <c r="I887" i="167"/>
  <c r="I896" i="167" s="1"/>
  <c r="I897" i="167" s="1"/>
  <c r="I899" i="167" s="1"/>
  <c r="I890" i="167"/>
  <c r="I892" i="167" s="1"/>
  <c r="H895" i="165"/>
  <c r="H877" i="165"/>
  <c r="H881" i="165" s="1"/>
  <c r="H882" i="165" s="1"/>
  <c r="H884" i="165" s="1"/>
  <c r="H895" i="160"/>
  <c r="H877" i="160"/>
  <c r="H881" i="160" s="1"/>
  <c r="H882" i="160" s="1"/>
  <c r="H884" i="160" s="1"/>
  <c r="K34" i="9"/>
  <c r="J35" i="9"/>
  <c r="J37" i="9" s="1"/>
  <c r="K890" i="159"/>
  <c r="K892" i="159" s="1"/>
  <c r="K887" i="159"/>
  <c r="K896" i="159" s="1"/>
  <c r="K897" i="159" s="1"/>
  <c r="I42" i="157"/>
  <c r="I44" i="157"/>
  <c r="I41" i="157"/>
  <c r="J31" i="157"/>
  <c r="K745" i="157"/>
  <c r="J649" i="157" s="1"/>
  <c r="K28" i="160"/>
  <c r="L24" i="160"/>
  <c r="J895" i="160"/>
  <c r="J877" i="160"/>
  <c r="J881" i="160" s="1"/>
  <c r="J882" i="160" s="1"/>
  <c r="J884" i="160" s="1"/>
  <c r="G40" i="166"/>
  <c r="I41" i="160"/>
  <c r="I42" i="160" s="1"/>
  <c r="G881" i="157"/>
  <c r="G882" i="157" s="1"/>
  <c r="G884" i="157" s="1"/>
  <c r="J877" i="157"/>
  <c r="J881" i="157" s="1"/>
  <c r="J882" i="157" s="1"/>
  <c r="J763" i="157"/>
  <c r="K763" i="157" s="1"/>
  <c r="H764" i="157"/>
  <c r="G764" i="157"/>
  <c r="I897" i="160"/>
  <c r="I899" i="160" s="1"/>
  <c r="J887" i="162"/>
  <c r="J896" i="162" s="1"/>
  <c r="J897" i="162" s="1"/>
  <c r="J899" i="162" s="1"/>
  <c r="J890" i="162"/>
  <c r="J892" i="162" s="1"/>
  <c r="K637" i="165"/>
  <c r="F645" i="165"/>
  <c r="F895" i="160"/>
  <c r="F877" i="160"/>
  <c r="F881" i="160" s="1"/>
  <c r="F882" i="160" s="1"/>
  <c r="F884" i="160" s="1"/>
  <c r="H890" i="155"/>
  <c r="H892" i="155" s="1"/>
  <c r="H887" i="155"/>
  <c r="H896" i="155" s="1"/>
  <c r="H897" i="155" s="1"/>
  <c r="H899" i="155" s="1"/>
  <c r="F41" i="160"/>
  <c r="F42" i="160" s="1"/>
  <c r="H897" i="161"/>
  <c r="H899" i="161" s="1"/>
  <c r="I43" i="159"/>
  <c r="I44" i="159" s="1"/>
  <c r="I32" i="159"/>
  <c r="H895" i="167"/>
  <c r="H877" i="167"/>
  <c r="H881" i="167" s="1"/>
  <c r="H882" i="167" s="1"/>
  <c r="H884" i="167" s="1"/>
  <c r="H41" i="162"/>
  <c r="H42" i="162" s="1"/>
  <c r="H48" i="49"/>
  <c r="H49" i="49" s="1"/>
  <c r="H31" i="160"/>
  <c r="H649" i="160"/>
  <c r="F43" i="160"/>
  <c r="F44" i="160" s="1"/>
  <c r="K22" i="167"/>
  <c r="H31" i="165"/>
  <c r="H43" i="165" s="1"/>
  <c r="H44" i="165" s="1"/>
  <c r="H43" i="155"/>
  <c r="H44" i="155" s="1"/>
  <c r="K890" i="157"/>
  <c r="K892" i="157" s="1"/>
  <c r="K887" i="157"/>
  <c r="K896" i="157" s="1"/>
  <c r="K897" i="157" s="1"/>
  <c r="I654" i="157" l="1"/>
  <c r="J24" i="167"/>
  <c r="F887" i="160"/>
  <c r="F896" i="160" s="1"/>
  <c r="F890" i="160"/>
  <c r="F892" i="160" s="1"/>
  <c r="I764" i="157"/>
  <c r="J764" i="157" s="1"/>
  <c r="K764" i="157" s="1"/>
  <c r="L30" i="161"/>
  <c r="K40" i="157"/>
  <c r="J41" i="157"/>
  <c r="J42" i="157" s="1"/>
  <c r="H653" i="155"/>
  <c r="H654" i="155" s="1"/>
  <c r="H34" i="155" s="1"/>
  <c r="H35" i="155" s="1"/>
  <c r="H37" i="155" s="1"/>
  <c r="K649" i="155"/>
  <c r="K31" i="155"/>
  <c r="L745" i="155"/>
  <c r="L649" i="155" s="1"/>
  <c r="H40" i="164"/>
  <c r="I34" i="157"/>
  <c r="J654" i="157"/>
  <c r="J34" i="157" s="1"/>
  <c r="J890" i="159"/>
  <c r="J892" i="159" s="1"/>
  <c r="J887" i="159"/>
  <c r="J896" i="159" s="1"/>
  <c r="J897" i="159" s="1"/>
  <c r="J899" i="159" s="1"/>
  <c r="H649" i="161"/>
  <c r="H31" i="161"/>
  <c r="G869" i="167"/>
  <c r="G871" i="167"/>
  <c r="J871" i="167" s="1"/>
  <c r="K24" i="165"/>
  <c r="F28" i="165"/>
  <c r="J762" i="157"/>
  <c r="K762" i="157" s="1"/>
  <c r="I762" i="157"/>
  <c r="O762" i="157" s="1"/>
  <c r="I40" i="167"/>
  <c r="J41" i="161"/>
  <c r="J42" i="161" s="1"/>
  <c r="K44" i="159"/>
  <c r="K42" i="159"/>
  <c r="K41" i="159"/>
  <c r="H51" i="49"/>
  <c r="H52" i="49" s="1"/>
  <c r="H34" i="49" s="1"/>
  <c r="F897" i="160"/>
  <c r="F899" i="160" s="1"/>
  <c r="J43" i="157"/>
  <c r="J44" i="157" s="1"/>
  <c r="K31" i="157"/>
  <c r="K43" i="157" s="1"/>
  <c r="H890" i="160"/>
  <c r="H892" i="160" s="1"/>
  <c r="H887" i="160"/>
  <c r="H896" i="160" s="1"/>
  <c r="H897" i="160" s="1"/>
  <c r="H899" i="160" s="1"/>
  <c r="H654" i="165"/>
  <c r="H34" i="165" s="1"/>
  <c r="H35" i="165" s="1"/>
  <c r="H37" i="165" s="1"/>
  <c r="H653" i="165"/>
  <c r="G31" i="166"/>
  <c r="I43" i="160"/>
  <c r="I44" i="160" s="1"/>
  <c r="I32" i="160"/>
  <c r="H31" i="164"/>
  <c r="H43" i="164" s="1"/>
  <c r="G43" i="155"/>
  <c r="G44" i="155" s="1"/>
  <c r="F872" i="167"/>
  <c r="L872" i="160"/>
  <c r="G651" i="160"/>
  <c r="K40" i="155"/>
  <c r="L744" i="155"/>
  <c r="L31" i="49" s="1"/>
  <c r="G31" i="167"/>
  <c r="G32" i="167" s="1"/>
  <c r="J43" i="160"/>
  <c r="J44" i="160" s="1"/>
  <c r="J32" i="160"/>
  <c r="G745" i="161"/>
  <c r="J32" i="157"/>
  <c r="I40" i="165"/>
  <c r="H41" i="161"/>
  <c r="H42" i="161" s="1"/>
  <c r="I40" i="166"/>
  <c r="I42" i="161"/>
  <c r="I41" i="161"/>
  <c r="H887" i="167"/>
  <c r="H896" i="167" s="1"/>
  <c r="H897" i="167" s="1"/>
  <c r="H899" i="167" s="1"/>
  <c r="H890" i="167"/>
  <c r="H892" i="167" s="1"/>
  <c r="G649" i="166"/>
  <c r="I651" i="160"/>
  <c r="J872" i="165"/>
  <c r="J895" i="165" s="1"/>
  <c r="G895" i="165"/>
  <c r="G877" i="165"/>
  <c r="G649" i="165"/>
  <c r="H651" i="160"/>
  <c r="J40" i="166"/>
  <c r="G41" i="167"/>
  <c r="G42" i="167" s="1"/>
  <c r="F35" i="160"/>
  <c r="F37" i="160" s="1"/>
  <c r="K608" i="167"/>
  <c r="K610" i="167" s="1"/>
  <c r="K605" i="167"/>
  <c r="J653" i="155"/>
  <c r="J654" i="155" s="1"/>
  <c r="J34" i="155" s="1"/>
  <c r="J35" i="155" s="1"/>
  <c r="J37" i="155" s="1"/>
  <c r="K649" i="160"/>
  <c r="K31" i="160"/>
  <c r="L745" i="160"/>
  <c r="L649" i="160" s="1"/>
  <c r="L651" i="160" s="1"/>
  <c r="F653" i="161"/>
  <c r="F654" i="161" s="1"/>
  <c r="F34" i="161" s="1"/>
  <c r="J31" i="161"/>
  <c r="J649" i="161"/>
  <c r="J887" i="155"/>
  <c r="J896" i="155" s="1"/>
  <c r="J897" i="155" s="1"/>
  <c r="J899" i="155" s="1"/>
  <c r="J890" i="155"/>
  <c r="J892" i="155" s="1"/>
  <c r="F41" i="161"/>
  <c r="F42" i="161" s="1"/>
  <c r="J884" i="157"/>
  <c r="G890" i="157"/>
  <c r="G892" i="157" s="1"/>
  <c r="G887" i="157"/>
  <c r="G896" i="157" s="1"/>
  <c r="G897" i="157" s="1"/>
  <c r="G899" i="157" s="1"/>
  <c r="E18" i="24"/>
  <c r="F18" i="24" s="1"/>
  <c r="E18" i="7"/>
  <c r="F18" i="7" s="1"/>
  <c r="E18" i="8"/>
  <c r="F18" i="8" s="1"/>
  <c r="F18" i="6"/>
  <c r="J43" i="159"/>
  <c r="J44" i="159" s="1"/>
  <c r="K31" i="159"/>
  <c r="K43" i="159" s="1"/>
  <c r="J32" i="159"/>
  <c r="G869" i="160"/>
  <c r="G871" i="160"/>
  <c r="K871" i="160" s="1"/>
  <c r="G649" i="167"/>
  <c r="J651" i="160"/>
  <c r="J28" i="167"/>
  <c r="K24" i="167"/>
  <c r="G31" i="165"/>
  <c r="H43" i="160"/>
  <c r="H44" i="160" s="1"/>
  <c r="H32" i="160"/>
  <c r="F646" i="165"/>
  <c r="K645" i="165"/>
  <c r="J887" i="160"/>
  <c r="J896" i="160" s="1"/>
  <c r="J897" i="160" s="1"/>
  <c r="J899" i="160" s="1"/>
  <c r="J890" i="160"/>
  <c r="J892" i="160" s="1"/>
  <c r="K30" i="160"/>
  <c r="L28" i="160"/>
  <c r="H890" i="165"/>
  <c r="H892" i="165" s="1"/>
  <c r="H887" i="165"/>
  <c r="H896" i="165" s="1"/>
  <c r="H897" i="165" s="1"/>
  <c r="H899" i="165" s="1"/>
  <c r="J35" i="159"/>
  <c r="J37" i="159" s="1"/>
  <c r="K34" i="159"/>
  <c r="H872" i="162"/>
  <c r="K650" i="167"/>
  <c r="K867" i="167"/>
  <c r="G881" i="161"/>
  <c r="G882" i="161" s="1"/>
  <c r="G884" i="161" s="1"/>
  <c r="K877" i="161"/>
  <c r="K881" i="161" s="1"/>
  <c r="K882" i="161" s="1"/>
  <c r="H653" i="167"/>
  <c r="H654" i="167"/>
  <c r="H34" i="167" s="1"/>
  <c r="H35" i="167" s="1"/>
  <c r="H37" i="167" s="1"/>
  <c r="G31" i="164"/>
  <c r="J647" i="167"/>
  <c r="L895" i="161"/>
  <c r="L877" i="161"/>
  <c r="L881" i="161" s="1"/>
  <c r="L882" i="161" s="1"/>
  <c r="L884" i="161" s="1"/>
  <c r="I649" i="161"/>
  <c r="I31" i="161"/>
  <c r="F43" i="161"/>
  <c r="F44" i="161" s="1"/>
  <c r="F32" i="161"/>
  <c r="H43" i="167"/>
  <c r="H44" i="167" s="1"/>
  <c r="H32" i="167"/>
  <c r="K744" i="160"/>
  <c r="G40" i="160"/>
  <c r="G43" i="160" s="1"/>
  <c r="G744" i="161"/>
  <c r="G872" i="167" l="1"/>
  <c r="G872" i="160"/>
  <c r="F35" i="161"/>
  <c r="F37" i="161" s="1"/>
  <c r="K40" i="160"/>
  <c r="K43" i="160" s="1"/>
  <c r="L744" i="160"/>
  <c r="J30" i="167"/>
  <c r="K28" i="167"/>
  <c r="G31" i="161"/>
  <c r="K745" i="161"/>
  <c r="G649" i="161"/>
  <c r="L895" i="160"/>
  <c r="L877" i="160"/>
  <c r="L881" i="160" s="1"/>
  <c r="L882" i="160" s="1"/>
  <c r="L884" i="160" s="1"/>
  <c r="J872" i="167"/>
  <c r="J895" i="167" s="1"/>
  <c r="G895" i="167"/>
  <c r="G877" i="167"/>
  <c r="J653" i="160"/>
  <c r="J654" i="160" s="1"/>
  <c r="J34" i="160" s="1"/>
  <c r="J35" i="160" s="1"/>
  <c r="J37" i="160" s="1"/>
  <c r="H653" i="160"/>
  <c r="H654" i="160" s="1"/>
  <c r="H34" i="160" s="1"/>
  <c r="H35" i="160" s="1"/>
  <c r="H37" i="160" s="1"/>
  <c r="I41" i="165"/>
  <c r="I42" i="165" s="1"/>
  <c r="G40" i="165"/>
  <c r="L40" i="155"/>
  <c r="F895" i="167"/>
  <c r="F877" i="167"/>
  <c r="F881" i="167" s="1"/>
  <c r="F882" i="167" s="1"/>
  <c r="F884" i="167" s="1"/>
  <c r="E16" i="6"/>
  <c r="H35" i="49"/>
  <c r="H37" i="49" s="1"/>
  <c r="I41" i="167"/>
  <c r="I42" i="167" s="1"/>
  <c r="K28" i="165"/>
  <c r="F41" i="165"/>
  <c r="F42" i="165" s="1"/>
  <c r="I31" i="165"/>
  <c r="I43" i="165" s="1"/>
  <c r="I44" i="165" s="1"/>
  <c r="H31" i="162"/>
  <c r="H43" i="161"/>
  <c r="H44" i="161" s="1"/>
  <c r="H32" i="161"/>
  <c r="J35" i="157"/>
  <c r="J37" i="157" s="1"/>
  <c r="K34" i="157"/>
  <c r="K42" i="157"/>
  <c r="K44" i="157"/>
  <c r="K41" i="157"/>
  <c r="K884" i="161"/>
  <c r="G890" i="161"/>
  <c r="G892" i="161" s="1"/>
  <c r="G887" i="161"/>
  <c r="G896" i="161" s="1"/>
  <c r="G897" i="161" s="1"/>
  <c r="G899" i="161" s="1"/>
  <c r="K43" i="155"/>
  <c r="K44" i="155" s="1"/>
  <c r="L31" i="155"/>
  <c r="L43" i="155" s="1"/>
  <c r="I31" i="166"/>
  <c r="I43" i="166" s="1"/>
  <c r="I44" i="166" s="1"/>
  <c r="I43" i="161"/>
  <c r="I44" i="161" s="1"/>
  <c r="I31" i="162"/>
  <c r="I32" i="161"/>
  <c r="J867" i="167"/>
  <c r="J869" i="167" s="1"/>
  <c r="J650" i="167"/>
  <c r="K871" i="167"/>
  <c r="K869" i="167"/>
  <c r="J31" i="165"/>
  <c r="I649" i="167"/>
  <c r="I651" i="167" s="1"/>
  <c r="J649" i="162"/>
  <c r="J651" i="161"/>
  <c r="L653" i="160"/>
  <c r="L654" i="160" s="1"/>
  <c r="J649" i="165"/>
  <c r="G651" i="165"/>
  <c r="I653" i="160"/>
  <c r="I654" i="160" s="1"/>
  <c r="I34" i="160" s="1"/>
  <c r="I35" i="160" s="1"/>
  <c r="I37" i="160" s="1"/>
  <c r="K651" i="160"/>
  <c r="G43" i="166"/>
  <c r="G44" i="166" s="1"/>
  <c r="I649" i="165"/>
  <c r="I651" i="165" s="1"/>
  <c r="H649" i="162"/>
  <c r="H651" i="161"/>
  <c r="J40" i="167"/>
  <c r="L887" i="161"/>
  <c r="L896" i="161" s="1"/>
  <c r="L897" i="161" s="1"/>
  <c r="L890" i="161"/>
  <c r="L892" i="161" s="1"/>
  <c r="H895" i="162"/>
  <c r="H877" i="162"/>
  <c r="H881" i="162" s="1"/>
  <c r="H882" i="162" s="1"/>
  <c r="H884" i="162" s="1"/>
  <c r="G895" i="160"/>
  <c r="K872" i="160"/>
  <c r="K895" i="160" s="1"/>
  <c r="G877" i="160"/>
  <c r="K40" i="166"/>
  <c r="L43" i="49"/>
  <c r="G40" i="161"/>
  <c r="K744" i="161"/>
  <c r="G44" i="160"/>
  <c r="G41" i="160"/>
  <c r="G42" i="160" s="1"/>
  <c r="I649" i="162"/>
  <c r="F649" i="166" s="1"/>
  <c r="I649" i="166"/>
  <c r="I651" i="161"/>
  <c r="K32" i="160"/>
  <c r="L30" i="160"/>
  <c r="K646" i="165"/>
  <c r="F647" i="165"/>
  <c r="J890" i="157"/>
  <c r="J892" i="157" s="1"/>
  <c r="J887" i="157"/>
  <c r="J896" i="157" s="1"/>
  <c r="J897" i="157" s="1"/>
  <c r="J899" i="157" s="1"/>
  <c r="I31" i="167"/>
  <c r="J31" i="167" s="1"/>
  <c r="J43" i="161"/>
  <c r="J44" i="161" s="1"/>
  <c r="J31" i="162"/>
  <c r="J32" i="161"/>
  <c r="L31" i="160"/>
  <c r="G881" i="165"/>
  <c r="G882" i="165" s="1"/>
  <c r="G884" i="165" s="1"/>
  <c r="J877" i="165"/>
  <c r="J881" i="165" s="1"/>
  <c r="J882" i="165" s="1"/>
  <c r="J649" i="166"/>
  <c r="G651" i="167"/>
  <c r="G43" i="167"/>
  <c r="G44" i="167" s="1"/>
  <c r="H44" i="164"/>
  <c r="J43" i="167" l="1"/>
  <c r="J649" i="167"/>
  <c r="K649" i="166"/>
  <c r="F649" i="167"/>
  <c r="J651" i="162"/>
  <c r="J40" i="165"/>
  <c r="J43" i="165" s="1"/>
  <c r="G42" i="165"/>
  <c r="G41" i="165"/>
  <c r="G881" i="167"/>
  <c r="G882" i="167" s="1"/>
  <c r="G884" i="167" s="1"/>
  <c r="J877" i="167"/>
  <c r="J881" i="167" s="1"/>
  <c r="J882" i="167" s="1"/>
  <c r="L32" i="160"/>
  <c r="K40" i="161"/>
  <c r="L744" i="161"/>
  <c r="G881" i="160"/>
  <c r="G882" i="160" s="1"/>
  <c r="G884" i="160" s="1"/>
  <c r="K877" i="160"/>
  <c r="K881" i="160" s="1"/>
  <c r="K882" i="160" s="1"/>
  <c r="H653" i="161"/>
  <c r="H654" i="161" s="1"/>
  <c r="H34" i="161" s="1"/>
  <c r="H35" i="161" s="1"/>
  <c r="H37" i="161" s="1"/>
  <c r="J31" i="166"/>
  <c r="J43" i="166" s="1"/>
  <c r="J44" i="166" s="1"/>
  <c r="I653" i="167"/>
  <c r="I654" i="167" s="1"/>
  <c r="I34" i="167" s="1"/>
  <c r="I35" i="167" s="1"/>
  <c r="I37" i="167" s="1"/>
  <c r="K872" i="167"/>
  <c r="K890" i="161"/>
  <c r="K892" i="161" s="1"/>
  <c r="K887" i="161"/>
  <c r="K896" i="161" s="1"/>
  <c r="K897" i="161" s="1"/>
  <c r="K899" i="161" s="1"/>
  <c r="F31" i="165"/>
  <c r="P31" i="162"/>
  <c r="H43" i="162"/>
  <c r="H44" i="162" s="1"/>
  <c r="H31" i="49"/>
  <c r="L42" i="155"/>
  <c r="L44" i="155"/>
  <c r="G649" i="162"/>
  <c r="I649" i="164"/>
  <c r="J649" i="164" s="1"/>
  <c r="G651" i="161"/>
  <c r="K30" i="167"/>
  <c r="K44" i="160"/>
  <c r="L40" i="160"/>
  <c r="K41" i="160"/>
  <c r="K42" i="160" s="1"/>
  <c r="J44" i="167"/>
  <c r="K40" i="167"/>
  <c r="K41" i="167" s="1"/>
  <c r="F31" i="167"/>
  <c r="J43" i="162"/>
  <c r="J44" i="162" s="1"/>
  <c r="J31" i="49"/>
  <c r="I40" i="164"/>
  <c r="G41" i="161"/>
  <c r="G42" i="161" s="1"/>
  <c r="F649" i="165"/>
  <c r="K649" i="165" s="1"/>
  <c r="H651" i="162"/>
  <c r="F31" i="166"/>
  <c r="I31" i="49"/>
  <c r="I43" i="162"/>
  <c r="I44" i="162" s="1"/>
  <c r="E16" i="24"/>
  <c r="F16" i="24" s="1"/>
  <c r="E16" i="7"/>
  <c r="F16" i="7" s="1"/>
  <c r="E16" i="8"/>
  <c r="F16" i="8" s="1"/>
  <c r="F16" i="6"/>
  <c r="K31" i="161"/>
  <c r="K649" i="161"/>
  <c r="L745" i="161"/>
  <c r="L649" i="161" s="1"/>
  <c r="L651" i="161" s="1"/>
  <c r="J32" i="167"/>
  <c r="I43" i="167"/>
  <c r="I44" i="167" s="1"/>
  <c r="I32" i="167"/>
  <c r="H890" i="162"/>
  <c r="H892" i="162" s="1"/>
  <c r="H887" i="162"/>
  <c r="H896" i="162" s="1"/>
  <c r="H897" i="162" s="1"/>
  <c r="H899" i="162" s="1"/>
  <c r="G890" i="165"/>
  <c r="G892" i="165" s="1"/>
  <c r="J884" i="165"/>
  <c r="G887" i="165"/>
  <c r="G896" i="165" s="1"/>
  <c r="G897" i="165" s="1"/>
  <c r="G899" i="165" s="1"/>
  <c r="I654" i="161"/>
  <c r="I34" i="161" s="1"/>
  <c r="I35" i="161" s="1"/>
  <c r="I37" i="161" s="1"/>
  <c r="I653" i="161"/>
  <c r="J651" i="167"/>
  <c r="L43" i="160"/>
  <c r="F650" i="165"/>
  <c r="F867" i="165"/>
  <c r="K647" i="165"/>
  <c r="K44" i="166"/>
  <c r="K42" i="166"/>
  <c r="I653" i="165"/>
  <c r="I654" i="165"/>
  <c r="I34" i="165" s="1"/>
  <c r="I35" i="165" s="1"/>
  <c r="I37" i="165" s="1"/>
  <c r="J651" i="165"/>
  <c r="J653" i="161"/>
  <c r="J654" i="161" s="1"/>
  <c r="J34" i="161" s="1"/>
  <c r="J35" i="161" s="1"/>
  <c r="J37" i="161" s="1"/>
  <c r="G43" i="165"/>
  <c r="G44" i="165" s="1"/>
  <c r="F890" i="167"/>
  <c r="F892" i="167" s="1"/>
  <c r="F887" i="167"/>
  <c r="F896" i="167" s="1"/>
  <c r="F897" i="167" s="1"/>
  <c r="F899" i="167" s="1"/>
  <c r="G653" i="160"/>
  <c r="L890" i="160"/>
  <c r="L892" i="160" s="1"/>
  <c r="L887" i="160"/>
  <c r="L896" i="160" s="1"/>
  <c r="L897" i="160" s="1"/>
  <c r="G31" i="162"/>
  <c r="G43" i="161"/>
  <c r="G44" i="161" s="1"/>
  <c r="I31" i="164"/>
  <c r="G32" i="161"/>
  <c r="J41" i="167"/>
  <c r="J42" i="167" s="1"/>
  <c r="F869" i="165" l="1"/>
  <c r="F871" i="165"/>
  <c r="L653" i="161"/>
  <c r="L654" i="161" s="1"/>
  <c r="G40" i="164"/>
  <c r="K31" i="167"/>
  <c r="K43" i="167" s="1"/>
  <c r="F43" i="167"/>
  <c r="F44" i="167" s="1"/>
  <c r="F32" i="167"/>
  <c r="F649" i="162"/>
  <c r="K649" i="162"/>
  <c r="F649" i="164"/>
  <c r="K649" i="164" s="1"/>
  <c r="K895" i="167"/>
  <c r="K877" i="167"/>
  <c r="K881" i="167" s="1"/>
  <c r="K882" i="167" s="1"/>
  <c r="K884" i="167" s="1"/>
  <c r="K884" i="160"/>
  <c r="G890" i="160"/>
  <c r="G892" i="160" s="1"/>
  <c r="G887" i="160"/>
  <c r="G896" i="160" s="1"/>
  <c r="G897" i="160" s="1"/>
  <c r="G899" i="160" s="1"/>
  <c r="I43" i="164"/>
  <c r="I44" i="164" s="1"/>
  <c r="J31" i="164"/>
  <c r="F651" i="165"/>
  <c r="I43" i="49"/>
  <c r="I44" i="49" s="1"/>
  <c r="L42" i="160"/>
  <c r="L44" i="160"/>
  <c r="L41" i="160"/>
  <c r="F43" i="165"/>
  <c r="F44" i="165" s="1"/>
  <c r="K31" i="165"/>
  <c r="J653" i="162"/>
  <c r="J654" i="162" s="1"/>
  <c r="J34" i="162" s="1"/>
  <c r="J35" i="162" s="1"/>
  <c r="J37" i="162" s="1"/>
  <c r="J887" i="165"/>
  <c r="J896" i="165" s="1"/>
  <c r="J897" i="165" s="1"/>
  <c r="J899" i="165" s="1"/>
  <c r="J890" i="165"/>
  <c r="J892" i="165" s="1"/>
  <c r="K653" i="160"/>
  <c r="G654" i="160"/>
  <c r="K43" i="161"/>
  <c r="K44" i="161" s="1"/>
  <c r="K32" i="161"/>
  <c r="L31" i="161"/>
  <c r="K31" i="166"/>
  <c r="K43" i="166" s="1"/>
  <c r="F43" i="166"/>
  <c r="F44" i="166" s="1"/>
  <c r="J32" i="49"/>
  <c r="J43" i="49"/>
  <c r="J44" i="49" s="1"/>
  <c r="K44" i="167"/>
  <c r="K42" i="167"/>
  <c r="G653" i="161"/>
  <c r="K653" i="161" s="1"/>
  <c r="K651" i="161"/>
  <c r="H32" i="49"/>
  <c r="H43" i="49"/>
  <c r="H44" i="49" s="1"/>
  <c r="K41" i="161"/>
  <c r="K42" i="161" s="1"/>
  <c r="L40" i="161"/>
  <c r="J884" i="167"/>
  <c r="G890" i="167"/>
  <c r="G892" i="167" s="1"/>
  <c r="G887" i="167"/>
  <c r="G896" i="167" s="1"/>
  <c r="G897" i="167" s="1"/>
  <c r="G899" i="167" s="1"/>
  <c r="J44" i="165"/>
  <c r="K40" i="165"/>
  <c r="J41" i="165"/>
  <c r="J42" i="165" s="1"/>
  <c r="K649" i="167"/>
  <c r="K651" i="167" s="1"/>
  <c r="F651" i="167"/>
  <c r="K31" i="162"/>
  <c r="K43" i="162" s="1"/>
  <c r="K44" i="162" s="1"/>
  <c r="G43" i="162"/>
  <c r="G44" i="162" s="1"/>
  <c r="F31" i="164"/>
  <c r="F31" i="162"/>
  <c r="G31" i="49"/>
  <c r="K867" i="165"/>
  <c r="K650" i="165"/>
  <c r="K651" i="165" s="1"/>
  <c r="H653" i="162"/>
  <c r="H654" i="162"/>
  <c r="H34" i="162" s="1"/>
  <c r="G654" i="161" l="1"/>
  <c r="K869" i="165"/>
  <c r="K871" i="165"/>
  <c r="H35" i="162"/>
  <c r="H37" i="162" s="1"/>
  <c r="G34" i="161"/>
  <c r="G35" i="161" s="1"/>
  <c r="G37" i="161" s="1"/>
  <c r="K654" i="161"/>
  <c r="K34" i="161" s="1"/>
  <c r="G34" i="160"/>
  <c r="G35" i="160" s="1"/>
  <c r="G37" i="160" s="1"/>
  <c r="K654" i="160"/>
  <c r="K34" i="160" s="1"/>
  <c r="K32" i="167"/>
  <c r="J40" i="164"/>
  <c r="G43" i="164"/>
  <c r="G44" i="164" s="1"/>
  <c r="L649" i="162"/>
  <c r="F651" i="162"/>
  <c r="G653" i="167"/>
  <c r="F653" i="167"/>
  <c r="J890" i="167"/>
  <c r="J892" i="167" s="1"/>
  <c r="J887" i="167"/>
  <c r="J896" i="167" s="1"/>
  <c r="J897" i="167" s="1"/>
  <c r="J899" i="167" s="1"/>
  <c r="L43" i="161"/>
  <c r="L32" i="161"/>
  <c r="F653" i="165"/>
  <c r="G653" i="165"/>
  <c r="K890" i="167"/>
  <c r="K892" i="167" s="1"/>
  <c r="K887" i="167"/>
  <c r="K896" i="167" s="1"/>
  <c r="K897" i="167" s="1"/>
  <c r="K899" i="167" s="1"/>
  <c r="K31" i="49"/>
  <c r="G43" i="49"/>
  <c r="G44" i="49" s="1"/>
  <c r="K42" i="165"/>
  <c r="K44" i="165"/>
  <c r="K41" i="165"/>
  <c r="F43" i="162"/>
  <c r="F44" i="162" s="1"/>
  <c r="L31" i="162"/>
  <c r="L43" i="162" s="1"/>
  <c r="F31" i="49"/>
  <c r="K31" i="164"/>
  <c r="F43" i="164"/>
  <c r="F44" i="164" s="1"/>
  <c r="L44" i="161"/>
  <c r="L42" i="161"/>
  <c r="L41" i="161"/>
  <c r="K43" i="165"/>
  <c r="J43" i="164"/>
  <c r="K890" i="160"/>
  <c r="K892" i="160" s="1"/>
  <c r="K887" i="160"/>
  <c r="K896" i="160" s="1"/>
  <c r="K897" i="160" s="1"/>
  <c r="K899" i="160" s="1"/>
  <c r="F872" i="165"/>
  <c r="J44" i="164" l="1"/>
  <c r="K40" i="164"/>
  <c r="F895" i="165"/>
  <c r="F877" i="165"/>
  <c r="F881" i="165" s="1"/>
  <c r="F882" i="165" s="1"/>
  <c r="F884" i="165" s="1"/>
  <c r="K43" i="164"/>
  <c r="J653" i="165"/>
  <c r="K653" i="165" s="1"/>
  <c r="G654" i="165"/>
  <c r="J653" i="167"/>
  <c r="K653" i="167" s="1"/>
  <c r="G654" i="167"/>
  <c r="K35" i="161"/>
  <c r="K37" i="161" s="1"/>
  <c r="L34" i="161"/>
  <c r="F653" i="162"/>
  <c r="K35" i="160"/>
  <c r="K37" i="160" s="1"/>
  <c r="L34" i="160"/>
  <c r="F32" i="49"/>
  <c r="F43" i="49"/>
  <c r="F44" i="49" s="1"/>
  <c r="K43" i="49"/>
  <c r="K44" i="49" s="1"/>
  <c r="F654" i="165"/>
  <c r="F654" i="167"/>
  <c r="K872" i="165"/>
  <c r="K895" i="165" l="1"/>
  <c r="K877" i="165"/>
  <c r="K881" i="165" s="1"/>
  <c r="K882" i="165" s="1"/>
  <c r="K884" i="165" s="1"/>
  <c r="F34" i="167"/>
  <c r="G34" i="167"/>
  <c r="G35" i="167" s="1"/>
  <c r="G37" i="167" s="1"/>
  <c r="J654" i="167"/>
  <c r="J34" i="167" s="1"/>
  <c r="J35" i="167" s="1"/>
  <c r="J37" i="167" s="1"/>
  <c r="F34" i="165"/>
  <c r="F654" i="162"/>
  <c r="F887" i="165"/>
  <c r="F896" i="165" s="1"/>
  <c r="F897" i="165" s="1"/>
  <c r="F899" i="165" s="1"/>
  <c r="F890" i="165"/>
  <c r="F892" i="165" s="1"/>
  <c r="J654" i="165"/>
  <c r="J34" i="165" s="1"/>
  <c r="J35" i="165" s="1"/>
  <c r="J37" i="165" s="1"/>
  <c r="G34" i="165"/>
  <c r="G35" i="165" s="1"/>
  <c r="G37" i="165" s="1"/>
  <c r="K42" i="164"/>
  <c r="K44" i="164"/>
  <c r="K34" i="167" l="1"/>
  <c r="K35" i="167" s="1"/>
  <c r="F35" i="167"/>
  <c r="F37" i="167" s="1"/>
  <c r="F34" i="162"/>
  <c r="K654" i="165"/>
  <c r="K890" i="165"/>
  <c r="K892" i="165" s="1"/>
  <c r="K887" i="165"/>
  <c r="K896" i="165" s="1"/>
  <c r="K897" i="165" s="1"/>
  <c r="K654" i="167"/>
  <c r="K34" i="165"/>
  <c r="F35" i="165"/>
  <c r="F37" i="165" s="1"/>
  <c r="F35" i="162" l="1"/>
  <c r="F37" i="162" s="1"/>
  <c r="K37" i="167"/>
  <c r="K36" i="167"/>
  <c r="K38" i="167" s="1"/>
  <c r="F29" i="9"/>
  <c r="G29" i="9"/>
  <c r="H29" i="9"/>
  <c r="I29" i="9"/>
  <c r="J29" i="9"/>
  <c r="K29" i="9"/>
  <c r="F30" i="9"/>
  <c r="G30" i="9"/>
  <c r="H30" i="9"/>
  <c r="I30" i="9"/>
  <c r="J30" i="9"/>
  <c r="K30" i="9"/>
  <c r="F32" i="9"/>
  <c r="G32" i="9"/>
  <c r="H32" i="9"/>
  <c r="I32" i="9"/>
  <c r="J32" i="9"/>
  <c r="K32" i="9"/>
  <c r="F29" i="165"/>
  <c r="G29" i="165"/>
  <c r="H29" i="165"/>
  <c r="I29" i="165"/>
  <c r="J29" i="165"/>
  <c r="K29" i="165"/>
  <c r="F30" i="165"/>
  <c r="G30" i="165"/>
  <c r="H30" i="165"/>
  <c r="I30" i="165"/>
  <c r="J30" i="165"/>
  <c r="K30" i="165"/>
  <c r="F32" i="165"/>
  <c r="G32" i="165"/>
  <c r="H32" i="165"/>
  <c r="I32" i="165"/>
  <c r="J32" i="165"/>
  <c r="K32" i="165"/>
  <c r="F22" i="166"/>
  <c r="G22" i="166"/>
  <c r="H22" i="166"/>
  <c r="I22" i="166"/>
  <c r="J22" i="166"/>
  <c r="K22" i="166"/>
  <c r="F23" i="166"/>
  <c r="G23" i="166"/>
  <c r="H23" i="166"/>
  <c r="I23" i="166"/>
  <c r="J23" i="166"/>
  <c r="K23" i="166"/>
  <c r="F24" i="166"/>
  <c r="G24" i="166"/>
  <c r="H24" i="166"/>
  <c r="I24" i="166"/>
  <c r="J24" i="166"/>
  <c r="K24" i="166"/>
  <c r="F28" i="166"/>
  <c r="G28" i="166"/>
  <c r="H28" i="166"/>
  <c r="I28" i="166"/>
  <c r="J28" i="166"/>
  <c r="K28" i="166"/>
  <c r="F30" i="166"/>
  <c r="G30" i="166"/>
  <c r="H30" i="166"/>
  <c r="I30" i="166"/>
  <c r="J30" i="166"/>
  <c r="K30" i="166"/>
  <c r="F32" i="166"/>
  <c r="G32" i="166"/>
  <c r="H32" i="166"/>
  <c r="I32" i="166"/>
  <c r="J32" i="166"/>
  <c r="K32" i="166"/>
  <c r="F34" i="166"/>
  <c r="G34" i="166"/>
  <c r="H34" i="166"/>
  <c r="I34" i="166"/>
  <c r="J34" i="166"/>
  <c r="K34" i="166"/>
  <c r="F35" i="166"/>
  <c r="G35" i="166"/>
  <c r="H35" i="166"/>
  <c r="I35" i="166"/>
  <c r="J35" i="166"/>
  <c r="F37" i="166"/>
  <c r="G37" i="166"/>
  <c r="H37" i="166"/>
  <c r="I37" i="166"/>
  <c r="J37" i="166"/>
  <c r="F41" i="166"/>
  <c r="G41" i="166"/>
  <c r="H41" i="166"/>
  <c r="I41" i="166"/>
  <c r="J41" i="166"/>
  <c r="K41" i="166"/>
  <c r="F42" i="166"/>
  <c r="G42" i="166"/>
  <c r="H42" i="166"/>
  <c r="I42" i="166"/>
  <c r="J42" i="166"/>
  <c r="F550" i="166"/>
  <c r="G550" i="166"/>
  <c r="H550" i="166"/>
  <c r="I550" i="166"/>
  <c r="J550" i="166"/>
  <c r="K550" i="166"/>
  <c r="F552" i="166"/>
  <c r="G552" i="166"/>
  <c r="H552" i="166"/>
  <c r="I552" i="166"/>
  <c r="J552" i="166"/>
  <c r="K552" i="166"/>
  <c r="F555" i="166"/>
  <c r="G555" i="166"/>
  <c r="H555" i="166"/>
  <c r="I555" i="166"/>
  <c r="J555" i="166"/>
  <c r="K555" i="166"/>
  <c r="F557" i="166"/>
  <c r="G557" i="166"/>
  <c r="H557" i="166"/>
  <c r="I557" i="166"/>
  <c r="J557" i="166"/>
  <c r="K557" i="166"/>
  <c r="F561" i="166"/>
  <c r="G561" i="166"/>
  <c r="H561" i="166"/>
  <c r="I561" i="166"/>
  <c r="J561" i="166"/>
  <c r="K561" i="166"/>
  <c r="F563" i="166"/>
  <c r="G563" i="166"/>
  <c r="H563" i="166"/>
  <c r="I563" i="166"/>
  <c r="J563" i="166"/>
  <c r="K563" i="166"/>
  <c r="F578" i="166"/>
  <c r="G578" i="166"/>
  <c r="H578" i="166"/>
  <c r="I578" i="166"/>
  <c r="J578" i="166"/>
  <c r="K578" i="166"/>
  <c r="F580" i="166"/>
  <c r="G580" i="166"/>
  <c r="H580" i="166"/>
  <c r="I580" i="166"/>
  <c r="J580" i="166"/>
  <c r="K580" i="166"/>
  <c r="F584" i="166"/>
  <c r="G584" i="166"/>
  <c r="H584" i="166"/>
  <c r="I584" i="166"/>
  <c r="J584" i="166"/>
  <c r="K584" i="166"/>
  <c r="F585" i="166"/>
  <c r="G585" i="166"/>
  <c r="H585" i="166"/>
  <c r="I585" i="166"/>
  <c r="J585" i="166"/>
  <c r="K585" i="166"/>
  <c r="F588" i="166"/>
  <c r="G588" i="166"/>
  <c r="H588" i="166"/>
  <c r="I588" i="166"/>
  <c r="J588" i="166"/>
  <c r="K588" i="166"/>
  <c r="F589" i="166"/>
  <c r="G589" i="166"/>
  <c r="H589" i="166"/>
  <c r="I589" i="166"/>
  <c r="J589" i="166"/>
  <c r="K589" i="166"/>
  <c r="F591" i="166"/>
  <c r="G591" i="166"/>
  <c r="H591" i="166"/>
  <c r="I591" i="166"/>
  <c r="J591" i="166"/>
  <c r="K591" i="166"/>
  <c r="F596" i="166"/>
  <c r="G596" i="166"/>
  <c r="H596" i="166"/>
  <c r="I596" i="166"/>
  <c r="J596" i="166"/>
  <c r="K596" i="166"/>
  <c r="F598" i="166"/>
  <c r="G598" i="166"/>
  <c r="H598" i="166"/>
  <c r="I598" i="166"/>
  <c r="J598" i="166"/>
  <c r="K598" i="166"/>
  <c r="F599" i="166"/>
  <c r="G599" i="166"/>
  <c r="H599" i="166"/>
  <c r="I599" i="166"/>
  <c r="J599" i="166"/>
  <c r="K599" i="166"/>
  <c r="F600" i="166"/>
  <c r="G600" i="166"/>
  <c r="H600" i="166"/>
  <c r="I600" i="166"/>
  <c r="J600" i="166"/>
  <c r="K600" i="166"/>
  <c r="F603" i="166"/>
  <c r="G603" i="166"/>
  <c r="H603" i="166"/>
  <c r="I603" i="166"/>
  <c r="J603" i="166"/>
  <c r="K603" i="166"/>
  <c r="F604" i="166"/>
  <c r="G604" i="166"/>
  <c r="H604" i="166"/>
  <c r="I604" i="166"/>
  <c r="J604" i="166"/>
  <c r="K604" i="166"/>
  <c r="F605" i="166"/>
  <c r="G605" i="166"/>
  <c r="H605" i="166"/>
  <c r="I605" i="166"/>
  <c r="J605" i="166"/>
  <c r="K605" i="166"/>
  <c r="F608" i="166"/>
  <c r="G608" i="166"/>
  <c r="H608" i="166"/>
  <c r="I608" i="166"/>
  <c r="J608" i="166"/>
  <c r="K608" i="166"/>
  <c r="F609" i="166"/>
  <c r="G609" i="166"/>
  <c r="H609" i="166"/>
  <c r="I609" i="166"/>
  <c r="J609" i="166"/>
  <c r="K609" i="166"/>
  <c r="F610" i="166"/>
  <c r="G610" i="166"/>
  <c r="H610" i="166"/>
  <c r="I610" i="166"/>
  <c r="J610" i="166"/>
  <c r="K610" i="166"/>
  <c r="F635" i="166"/>
  <c r="G635" i="166"/>
  <c r="H635" i="166"/>
  <c r="I635" i="166"/>
  <c r="J635" i="166"/>
  <c r="K635" i="166"/>
  <c r="F637" i="166"/>
  <c r="G637" i="166"/>
  <c r="H637" i="166"/>
  <c r="I637" i="166"/>
  <c r="J637" i="166"/>
  <c r="K637" i="166"/>
  <c r="F645" i="166"/>
  <c r="G645" i="166"/>
  <c r="H645" i="166"/>
  <c r="I645" i="166"/>
  <c r="J645" i="166"/>
  <c r="K645" i="166"/>
  <c r="F646" i="166"/>
  <c r="G646" i="166"/>
  <c r="H646" i="166"/>
  <c r="I646" i="166"/>
  <c r="J646" i="166"/>
  <c r="K646" i="166"/>
  <c r="F647" i="166"/>
  <c r="G647" i="166"/>
  <c r="H647" i="166"/>
  <c r="I647" i="166"/>
  <c r="J647" i="166"/>
  <c r="K647" i="166"/>
  <c r="F650" i="166"/>
  <c r="G650" i="166"/>
  <c r="H650" i="166"/>
  <c r="I650" i="166"/>
  <c r="J650" i="166"/>
  <c r="K650" i="166"/>
  <c r="F651" i="166"/>
  <c r="G651" i="166"/>
  <c r="H651" i="166"/>
  <c r="I651" i="166"/>
  <c r="J651" i="166"/>
  <c r="K651" i="166"/>
  <c r="F653" i="166"/>
  <c r="G653" i="166"/>
  <c r="H653" i="166"/>
  <c r="I653" i="166"/>
  <c r="J653" i="166"/>
  <c r="K653" i="166"/>
  <c r="F654" i="166"/>
  <c r="G654" i="166"/>
  <c r="H654" i="166"/>
  <c r="I654" i="166"/>
  <c r="J654" i="166"/>
  <c r="K654" i="166"/>
  <c r="F867" i="166"/>
  <c r="G867" i="166"/>
  <c r="H867" i="166"/>
  <c r="I867" i="166"/>
  <c r="J867" i="166"/>
  <c r="K867" i="166"/>
  <c r="F869" i="166"/>
  <c r="G869" i="166"/>
  <c r="H869" i="166"/>
  <c r="I869" i="166"/>
  <c r="J869" i="166"/>
  <c r="K869" i="166"/>
  <c r="F871" i="166"/>
  <c r="G871" i="166"/>
  <c r="H871" i="166"/>
  <c r="I871" i="166"/>
  <c r="J871" i="166"/>
  <c r="K871" i="166"/>
  <c r="F872" i="166"/>
  <c r="G872" i="166"/>
  <c r="H872" i="166"/>
  <c r="I872" i="166"/>
  <c r="J872" i="166"/>
  <c r="K872" i="166"/>
  <c r="F877" i="166"/>
  <c r="G877" i="166"/>
  <c r="H877" i="166"/>
  <c r="I877" i="166"/>
  <c r="J877" i="166"/>
  <c r="K877" i="166"/>
  <c r="F881" i="166"/>
  <c r="G881" i="166"/>
  <c r="H881" i="166"/>
  <c r="I881" i="166"/>
  <c r="J881" i="166"/>
  <c r="K881" i="166"/>
  <c r="F882" i="166"/>
  <c r="G882" i="166"/>
  <c r="H882" i="166"/>
  <c r="I882" i="166"/>
  <c r="J882" i="166"/>
  <c r="K882" i="166"/>
  <c r="F884" i="166"/>
  <c r="G884" i="166"/>
  <c r="H884" i="166"/>
  <c r="I884" i="166"/>
  <c r="J884" i="166"/>
  <c r="K884" i="166"/>
  <c r="F887" i="166"/>
  <c r="G887" i="166"/>
  <c r="H887" i="166"/>
  <c r="I887" i="166"/>
  <c r="J887" i="166"/>
  <c r="K887" i="166"/>
  <c r="F890" i="166"/>
  <c r="G890" i="166"/>
  <c r="H890" i="166"/>
  <c r="I890" i="166"/>
  <c r="J890" i="166"/>
  <c r="K890" i="166"/>
  <c r="F892" i="166"/>
  <c r="G892" i="166"/>
  <c r="H892" i="166"/>
  <c r="I892" i="166"/>
  <c r="J892" i="166"/>
  <c r="K892" i="166"/>
  <c r="F895" i="166"/>
  <c r="G895" i="166"/>
  <c r="H895" i="166"/>
  <c r="I895" i="166"/>
  <c r="J895" i="166"/>
  <c r="K895" i="166"/>
  <c r="F896" i="166"/>
  <c r="G896" i="166"/>
  <c r="H896" i="166"/>
  <c r="I896" i="166"/>
  <c r="J896" i="166"/>
  <c r="K896" i="166"/>
  <c r="F897" i="166"/>
  <c r="G897" i="166"/>
  <c r="H897" i="166"/>
  <c r="I897" i="166"/>
  <c r="J897" i="166"/>
  <c r="K897" i="166"/>
  <c r="F899" i="166"/>
  <c r="G899" i="166"/>
  <c r="H899" i="166"/>
  <c r="I899" i="166"/>
  <c r="J899" i="166"/>
  <c r="F29" i="157"/>
  <c r="K29" i="157"/>
  <c r="F30" i="157"/>
  <c r="K30" i="157"/>
  <c r="F32" i="157"/>
  <c r="K32" i="157"/>
  <c r="G22" i="155"/>
  <c r="I22" i="155"/>
  <c r="K22" i="155"/>
  <c r="L22" i="155"/>
  <c r="G23" i="155"/>
  <c r="I23" i="155"/>
  <c r="K23" i="155"/>
  <c r="L23" i="155"/>
  <c r="G24" i="155"/>
  <c r="I24" i="155"/>
  <c r="K24" i="155"/>
  <c r="L24" i="155"/>
  <c r="G28" i="155"/>
  <c r="I28" i="155"/>
  <c r="K28" i="155"/>
  <c r="L28" i="155"/>
  <c r="F29" i="155"/>
  <c r="G29" i="155"/>
  <c r="H29" i="155"/>
  <c r="I29" i="155"/>
  <c r="J29" i="155"/>
  <c r="K29" i="155"/>
  <c r="L29" i="155"/>
  <c r="F30" i="155"/>
  <c r="G30" i="155"/>
  <c r="H30" i="155"/>
  <c r="I30" i="155"/>
  <c r="J30" i="155"/>
  <c r="K30" i="155"/>
  <c r="L30" i="155"/>
  <c r="F32" i="155"/>
  <c r="G32" i="155"/>
  <c r="H32" i="155"/>
  <c r="I32" i="155"/>
  <c r="J32" i="155"/>
  <c r="K32" i="155"/>
  <c r="L32" i="155"/>
  <c r="G34" i="155"/>
  <c r="I34" i="155"/>
  <c r="K34" i="155"/>
  <c r="L34" i="155"/>
  <c r="G35" i="155"/>
  <c r="I35" i="155"/>
  <c r="K35" i="155"/>
  <c r="L35" i="155"/>
  <c r="G37" i="155"/>
  <c r="I37" i="155"/>
  <c r="K37" i="155"/>
  <c r="L37" i="155"/>
  <c r="G41" i="155"/>
  <c r="I41" i="155"/>
  <c r="K41" i="155"/>
  <c r="L41" i="155"/>
  <c r="G42" i="155"/>
  <c r="I42" i="155"/>
  <c r="K42" i="155"/>
  <c r="G550" i="155"/>
  <c r="I550" i="155"/>
  <c r="K550" i="155"/>
  <c r="L550" i="155"/>
  <c r="G552" i="155"/>
  <c r="I552" i="155"/>
  <c r="K552" i="155"/>
  <c r="L552" i="155"/>
  <c r="G555" i="155"/>
  <c r="I555" i="155"/>
  <c r="K555" i="155"/>
  <c r="L555" i="155"/>
  <c r="G557" i="155"/>
  <c r="I557" i="155"/>
  <c r="K557" i="155"/>
  <c r="L557" i="155"/>
  <c r="G561" i="155"/>
  <c r="I561" i="155"/>
  <c r="K561" i="155"/>
  <c r="L561" i="155"/>
  <c r="G563" i="155"/>
  <c r="I563" i="155"/>
  <c r="K563" i="155"/>
  <c r="L563" i="155"/>
  <c r="G578" i="155"/>
  <c r="I578" i="155"/>
  <c r="K578" i="155"/>
  <c r="L578" i="155"/>
  <c r="G580" i="155"/>
  <c r="I580" i="155"/>
  <c r="K580" i="155"/>
  <c r="L580" i="155"/>
  <c r="G584" i="155"/>
  <c r="I584" i="155"/>
  <c r="K584" i="155"/>
  <c r="L584" i="155"/>
  <c r="G585" i="155"/>
  <c r="I585" i="155"/>
  <c r="K585" i="155"/>
  <c r="L585" i="155"/>
  <c r="G588" i="155"/>
  <c r="I588" i="155"/>
  <c r="K588" i="155"/>
  <c r="L588" i="155"/>
  <c r="G589" i="155"/>
  <c r="I589" i="155"/>
  <c r="K589" i="155"/>
  <c r="L589" i="155"/>
  <c r="G591" i="155"/>
  <c r="I591" i="155"/>
  <c r="K591" i="155"/>
  <c r="L591" i="155"/>
  <c r="G596" i="155"/>
  <c r="I596" i="155"/>
  <c r="K596" i="155"/>
  <c r="L596" i="155"/>
  <c r="G598" i="155"/>
  <c r="I598" i="155"/>
  <c r="K598" i="155"/>
  <c r="L598" i="155"/>
  <c r="G599" i="155"/>
  <c r="I599" i="155"/>
  <c r="K599" i="155"/>
  <c r="L599" i="155"/>
  <c r="G600" i="155"/>
  <c r="I600" i="155"/>
  <c r="K600" i="155"/>
  <c r="L600" i="155"/>
  <c r="G603" i="155"/>
  <c r="I603" i="155"/>
  <c r="K603" i="155"/>
  <c r="L603" i="155"/>
  <c r="G604" i="155"/>
  <c r="I604" i="155"/>
  <c r="K604" i="155"/>
  <c r="L604" i="155"/>
  <c r="G605" i="155"/>
  <c r="I605" i="155"/>
  <c r="K605" i="155"/>
  <c r="L605" i="155"/>
  <c r="G608" i="155"/>
  <c r="I608" i="155"/>
  <c r="K608" i="155"/>
  <c r="L608" i="155"/>
  <c r="G609" i="155"/>
  <c r="I609" i="155"/>
  <c r="K609" i="155"/>
  <c r="L609" i="155"/>
  <c r="G610" i="155"/>
  <c r="I610" i="155"/>
  <c r="K610" i="155"/>
  <c r="L610" i="155"/>
  <c r="G635" i="155"/>
  <c r="I635" i="155"/>
  <c r="K635" i="155"/>
  <c r="L635" i="155"/>
  <c r="G637" i="155"/>
  <c r="I637" i="155"/>
  <c r="K637" i="155"/>
  <c r="L637" i="155"/>
  <c r="G645" i="155"/>
  <c r="I645" i="155"/>
  <c r="K645" i="155"/>
  <c r="L645" i="155"/>
  <c r="G646" i="155"/>
  <c r="I646" i="155"/>
  <c r="K646" i="155"/>
  <c r="L646" i="155"/>
  <c r="G647" i="155"/>
  <c r="I647" i="155"/>
  <c r="K647" i="155"/>
  <c r="L647" i="155"/>
  <c r="G650" i="155"/>
  <c r="I650" i="155"/>
  <c r="K650" i="155"/>
  <c r="L650" i="155"/>
  <c r="G651" i="155"/>
  <c r="I651" i="155"/>
  <c r="K651" i="155"/>
  <c r="L651" i="155"/>
  <c r="G653" i="155"/>
  <c r="I653" i="155"/>
  <c r="K653" i="155"/>
  <c r="L653" i="155"/>
  <c r="G654" i="155"/>
  <c r="I654" i="155"/>
  <c r="K654" i="155"/>
  <c r="L654" i="155"/>
  <c r="G844" i="155"/>
  <c r="I844" i="155"/>
  <c r="K844" i="155"/>
  <c r="L844" i="155"/>
  <c r="P844" i="155"/>
  <c r="G867" i="155"/>
  <c r="I867" i="155"/>
  <c r="K867" i="155"/>
  <c r="L867" i="155"/>
  <c r="G869" i="155"/>
  <c r="I869" i="155"/>
  <c r="K869" i="155"/>
  <c r="L869" i="155"/>
  <c r="G871" i="155"/>
  <c r="I871" i="155"/>
  <c r="K871" i="155"/>
  <c r="L871" i="155"/>
  <c r="G872" i="155"/>
  <c r="I872" i="155"/>
  <c r="K872" i="155"/>
  <c r="L872" i="155"/>
  <c r="G877" i="155"/>
  <c r="I877" i="155"/>
  <c r="K877" i="155"/>
  <c r="L877" i="155"/>
  <c r="G881" i="155"/>
  <c r="I881" i="155"/>
  <c r="K881" i="155"/>
  <c r="L881" i="155"/>
  <c r="G882" i="155"/>
  <c r="I882" i="155"/>
  <c r="K882" i="155"/>
  <c r="L882" i="155"/>
  <c r="G884" i="155"/>
  <c r="I884" i="155"/>
  <c r="K884" i="155"/>
  <c r="L884" i="155"/>
  <c r="G887" i="155"/>
  <c r="I887" i="155"/>
  <c r="K887" i="155"/>
  <c r="L887" i="155"/>
  <c r="G890" i="155"/>
  <c r="I890" i="155"/>
  <c r="K890" i="155"/>
  <c r="L890" i="155"/>
  <c r="G892" i="155"/>
  <c r="I892" i="155"/>
  <c r="K892" i="155"/>
  <c r="L892" i="155"/>
  <c r="G895" i="155"/>
  <c r="I895" i="155"/>
  <c r="K895" i="155"/>
  <c r="L895" i="155"/>
  <c r="G896" i="155"/>
  <c r="I896" i="155"/>
  <c r="K896" i="155"/>
  <c r="L896" i="155"/>
  <c r="G897" i="155"/>
  <c r="I897" i="155"/>
  <c r="K897" i="155"/>
  <c r="L897" i="155"/>
  <c r="G899" i="155"/>
  <c r="I899" i="155"/>
  <c r="K899" i="155"/>
  <c r="L899" i="155"/>
  <c r="F29" i="159"/>
  <c r="K29" i="159"/>
  <c r="F30" i="159"/>
  <c r="K30" i="159"/>
  <c r="F32" i="159"/>
  <c r="K32" i="159"/>
  <c r="F29" i="158"/>
  <c r="F30" i="158"/>
  <c r="G31" i="158"/>
  <c r="H31" i="158"/>
  <c r="I31" i="158"/>
  <c r="J31" i="158"/>
  <c r="F32" i="158"/>
  <c r="G32" i="158"/>
  <c r="H32" i="158"/>
  <c r="I32" i="158"/>
  <c r="J32" i="158"/>
  <c r="G34" i="158"/>
  <c r="H34" i="158"/>
  <c r="I34" i="158"/>
  <c r="J34" i="158"/>
  <c r="G40" i="158"/>
  <c r="H40" i="158"/>
  <c r="I40" i="158"/>
  <c r="J40" i="158"/>
  <c r="G41" i="158"/>
  <c r="H41" i="158"/>
  <c r="I41" i="158"/>
  <c r="J41" i="158"/>
  <c r="G42" i="158"/>
  <c r="H42" i="158"/>
  <c r="I42" i="158"/>
  <c r="J42" i="158"/>
  <c r="G43" i="158"/>
  <c r="H43" i="158"/>
  <c r="I43" i="158"/>
  <c r="J43" i="158"/>
  <c r="G44" i="158"/>
  <c r="H44" i="158"/>
  <c r="I44" i="158"/>
  <c r="J44" i="158"/>
  <c r="G640" i="158"/>
  <c r="H640" i="158"/>
  <c r="I640" i="158"/>
  <c r="J640" i="158"/>
  <c r="G641" i="158"/>
  <c r="H641" i="158"/>
  <c r="I641" i="158"/>
  <c r="J641" i="158"/>
  <c r="G644" i="158"/>
  <c r="H644" i="158"/>
  <c r="I644" i="158"/>
  <c r="J644" i="158"/>
  <c r="G646" i="158"/>
  <c r="H646" i="158"/>
  <c r="I646" i="158"/>
  <c r="J646" i="158"/>
  <c r="G647" i="158"/>
  <c r="H647" i="158"/>
  <c r="I647" i="158"/>
  <c r="J647" i="158"/>
  <c r="G649" i="158"/>
  <c r="H649" i="158"/>
  <c r="I649" i="158"/>
  <c r="J649" i="158"/>
  <c r="G650" i="158"/>
  <c r="H650" i="158"/>
  <c r="I650" i="158"/>
  <c r="J650" i="158"/>
  <c r="G651" i="158"/>
  <c r="H651" i="158"/>
  <c r="I651" i="158"/>
  <c r="J651" i="158"/>
  <c r="G653" i="158"/>
  <c r="H653" i="158"/>
  <c r="I653" i="158"/>
  <c r="J653" i="158"/>
  <c r="G654" i="158"/>
  <c r="H654" i="158"/>
  <c r="I654" i="158"/>
  <c r="J654" i="158"/>
  <c r="G744" i="158"/>
  <c r="H744" i="158"/>
  <c r="I744" i="158"/>
  <c r="J744" i="158"/>
  <c r="K744" i="158"/>
  <c r="G745" i="158"/>
  <c r="H745" i="158"/>
  <c r="I745" i="158"/>
  <c r="J745" i="158"/>
  <c r="K745" i="158"/>
  <c r="G761" i="158"/>
  <c r="H761" i="158"/>
  <c r="I761" i="158"/>
  <c r="J761" i="158"/>
  <c r="K761" i="158"/>
  <c r="G762" i="158"/>
  <c r="H762" i="158"/>
  <c r="I762" i="158"/>
  <c r="J762" i="158"/>
  <c r="K762" i="158"/>
  <c r="O762" i="158"/>
  <c r="G763" i="158"/>
  <c r="H763" i="158"/>
  <c r="I763" i="158"/>
  <c r="J763" i="158"/>
  <c r="K763" i="158"/>
  <c r="G764" i="158"/>
  <c r="H764" i="158"/>
  <c r="I764" i="158"/>
  <c r="J764" i="158"/>
  <c r="K764" i="158"/>
  <c r="G844" i="158"/>
  <c r="H844" i="158"/>
  <c r="I844" i="158"/>
  <c r="J844" i="158"/>
  <c r="K844" i="158"/>
  <c r="O844" i="158"/>
  <c r="G850" i="158"/>
  <c r="H850" i="158"/>
  <c r="I850" i="158"/>
  <c r="J850" i="158"/>
  <c r="K850" i="158"/>
  <c r="G851" i="158"/>
  <c r="H851" i="158"/>
  <c r="I851" i="158"/>
  <c r="J851" i="158"/>
  <c r="K851" i="158"/>
  <c r="G855" i="158"/>
  <c r="H855" i="158"/>
  <c r="I855" i="158"/>
  <c r="J855" i="158"/>
  <c r="K855" i="158"/>
  <c r="G867" i="158"/>
  <c r="H867" i="158"/>
  <c r="I867" i="158"/>
  <c r="J867" i="158"/>
  <c r="G869" i="158"/>
  <c r="H869" i="158"/>
  <c r="I869" i="158"/>
  <c r="J869" i="158"/>
  <c r="G871" i="158"/>
  <c r="H871" i="158"/>
  <c r="I871" i="158"/>
  <c r="J871" i="158"/>
  <c r="G872" i="158"/>
  <c r="H872" i="158"/>
  <c r="I872" i="158"/>
  <c r="J872" i="158"/>
  <c r="G877" i="158"/>
  <c r="H877" i="158"/>
  <c r="I877" i="158"/>
  <c r="J877" i="158"/>
  <c r="G881" i="158"/>
  <c r="H881" i="158"/>
  <c r="I881" i="158"/>
  <c r="J881" i="158"/>
  <c r="G882" i="158"/>
  <c r="H882" i="158"/>
  <c r="I882" i="158"/>
  <c r="J882" i="158"/>
  <c r="G884" i="158"/>
  <c r="H884" i="158"/>
  <c r="I884" i="158"/>
  <c r="J884" i="158"/>
  <c r="G887" i="158"/>
  <c r="H887" i="158"/>
  <c r="I887" i="158"/>
  <c r="J887" i="158"/>
  <c r="G890" i="158"/>
  <c r="H890" i="158"/>
  <c r="I890" i="158"/>
  <c r="J890" i="158"/>
  <c r="G892" i="158"/>
  <c r="H892" i="158"/>
  <c r="I892" i="158"/>
  <c r="J892" i="158"/>
  <c r="G895" i="158"/>
  <c r="H895" i="158"/>
  <c r="I895" i="158"/>
  <c r="J895" i="158"/>
  <c r="G896" i="158"/>
  <c r="H896" i="158"/>
  <c r="I896" i="158"/>
  <c r="J896" i="158"/>
  <c r="G897" i="158"/>
  <c r="H897" i="158"/>
  <c r="I897" i="158"/>
  <c r="J897" i="158"/>
  <c r="G22" i="162"/>
  <c r="I22" i="162"/>
  <c r="K22" i="162"/>
  <c r="L22" i="162"/>
  <c r="P22" i="162"/>
  <c r="G23" i="162"/>
  <c r="I23" i="162"/>
  <c r="K23" i="162"/>
  <c r="L23" i="162"/>
  <c r="P23" i="162"/>
  <c r="G24" i="162"/>
  <c r="I24" i="162"/>
  <c r="K24" i="162"/>
  <c r="L24" i="162"/>
  <c r="P24" i="162"/>
  <c r="G28" i="162"/>
  <c r="I28" i="162"/>
  <c r="K28" i="162"/>
  <c r="L28" i="162"/>
  <c r="P28" i="162"/>
  <c r="F29" i="162"/>
  <c r="G29" i="162"/>
  <c r="H29" i="162"/>
  <c r="I29" i="162"/>
  <c r="J29" i="162"/>
  <c r="K29" i="162"/>
  <c r="L29" i="162"/>
  <c r="F30" i="162"/>
  <c r="G30" i="162"/>
  <c r="H30" i="162"/>
  <c r="I30" i="162"/>
  <c r="J30" i="162"/>
  <c r="K30" i="162"/>
  <c r="L30" i="162"/>
  <c r="F32" i="162"/>
  <c r="G32" i="162"/>
  <c r="H32" i="162"/>
  <c r="I32" i="162"/>
  <c r="J32" i="162"/>
  <c r="K32" i="162"/>
  <c r="L32" i="162"/>
  <c r="P32" i="162"/>
  <c r="G34" i="162"/>
  <c r="I34" i="162"/>
  <c r="K34" i="162"/>
  <c r="L34" i="162"/>
  <c r="P34" i="162"/>
  <c r="G35" i="162"/>
  <c r="I35" i="162"/>
  <c r="K35" i="162"/>
  <c r="L35" i="162"/>
  <c r="L36" i="162"/>
  <c r="G37" i="162"/>
  <c r="I37" i="162"/>
  <c r="K37" i="162"/>
  <c r="L37" i="162"/>
  <c r="L38" i="162"/>
  <c r="G41" i="162"/>
  <c r="I41" i="162"/>
  <c r="K41" i="162"/>
  <c r="L41" i="162"/>
  <c r="G42" i="162"/>
  <c r="I42" i="162"/>
  <c r="K42" i="162"/>
  <c r="G550" i="162"/>
  <c r="I550" i="162"/>
  <c r="K550" i="162"/>
  <c r="L550" i="162"/>
  <c r="G552" i="162"/>
  <c r="I552" i="162"/>
  <c r="K552" i="162"/>
  <c r="L552" i="162"/>
  <c r="G555" i="162"/>
  <c r="I555" i="162"/>
  <c r="K555" i="162"/>
  <c r="L555" i="162"/>
  <c r="G557" i="162"/>
  <c r="I557" i="162"/>
  <c r="K557" i="162"/>
  <c r="L557" i="162"/>
  <c r="G561" i="162"/>
  <c r="I561" i="162"/>
  <c r="K561" i="162"/>
  <c r="L561" i="162"/>
  <c r="G563" i="162"/>
  <c r="I563" i="162"/>
  <c r="K563" i="162"/>
  <c r="L563" i="162"/>
  <c r="G578" i="162"/>
  <c r="I578" i="162"/>
  <c r="K578" i="162"/>
  <c r="L578" i="162"/>
  <c r="G580" i="162"/>
  <c r="I580" i="162"/>
  <c r="K580" i="162"/>
  <c r="L580" i="162"/>
  <c r="G584" i="162"/>
  <c r="I584" i="162"/>
  <c r="K584" i="162"/>
  <c r="L584" i="162"/>
  <c r="G585" i="162"/>
  <c r="I585" i="162"/>
  <c r="K585" i="162"/>
  <c r="L585" i="162"/>
  <c r="G588" i="162"/>
  <c r="I588" i="162"/>
  <c r="K588" i="162"/>
  <c r="L588" i="162"/>
  <c r="G591" i="162"/>
  <c r="I591" i="162"/>
  <c r="K591" i="162"/>
  <c r="L591" i="162"/>
  <c r="G596" i="162"/>
  <c r="I596" i="162"/>
  <c r="K596" i="162"/>
  <c r="L596" i="162"/>
  <c r="G598" i="162"/>
  <c r="I598" i="162"/>
  <c r="K598" i="162"/>
  <c r="L598" i="162"/>
  <c r="G599" i="162"/>
  <c r="I599" i="162"/>
  <c r="K599" i="162"/>
  <c r="L599" i="162"/>
  <c r="G600" i="162"/>
  <c r="I600" i="162"/>
  <c r="K600" i="162"/>
  <c r="L600" i="162"/>
  <c r="G603" i="162"/>
  <c r="I603" i="162"/>
  <c r="K603" i="162"/>
  <c r="L603" i="162"/>
  <c r="G604" i="162"/>
  <c r="I604" i="162"/>
  <c r="K604" i="162"/>
  <c r="L604" i="162"/>
  <c r="G605" i="162"/>
  <c r="I605" i="162"/>
  <c r="K605" i="162"/>
  <c r="L605" i="162"/>
  <c r="G608" i="162"/>
  <c r="I608" i="162"/>
  <c r="K608" i="162"/>
  <c r="L608" i="162"/>
  <c r="G610" i="162"/>
  <c r="I610" i="162"/>
  <c r="K610" i="162"/>
  <c r="L610" i="162"/>
  <c r="G635" i="162"/>
  <c r="I635" i="162"/>
  <c r="K635" i="162"/>
  <c r="L635" i="162"/>
  <c r="G637" i="162"/>
  <c r="I637" i="162"/>
  <c r="K637" i="162"/>
  <c r="L637" i="162"/>
  <c r="G645" i="162"/>
  <c r="I645" i="162"/>
  <c r="K645" i="162"/>
  <c r="L645" i="162"/>
  <c r="G646" i="162"/>
  <c r="I646" i="162"/>
  <c r="K646" i="162"/>
  <c r="L646" i="162"/>
  <c r="G647" i="162"/>
  <c r="I647" i="162"/>
  <c r="K647" i="162"/>
  <c r="L647" i="162"/>
  <c r="G650" i="162"/>
  <c r="I650" i="162"/>
  <c r="K650" i="162"/>
  <c r="L650" i="162"/>
  <c r="G651" i="162"/>
  <c r="I651" i="162"/>
  <c r="K651" i="162"/>
  <c r="L651" i="162"/>
  <c r="G653" i="162"/>
  <c r="I653" i="162"/>
  <c r="K653" i="162"/>
  <c r="L653" i="162"/>
  <c r="G654" i="162"/>
  <c r="I654" i="162"/>
  <c r="K654" i="162"/>
  <c r="L654" i="162"/>
  <c r="G867" i="162"/>
  <c r="I867" i="162"/>
  <c r="K867" i="162"/>
  <c r="L867" i="162"/>
  <c r="G869" i="162"/>
  <c r="I869" i="162"/>
  <c r="K869" i="162"/>
  <c r="L869" i="162"/>
  <c r="G871" i="162"/>
  <c r="I871" i="162"/>
  <c r="K871" i="162"/>
  <c r="L871" i="162"/>
  <c r="G872" i="162"/>
  <c r="I872" i="162"/>
  <c r="K872" i="162"/>
  <c r="L872" i="162"/>
  <c r="G877" i="162"/>
  <c r="I877" i="162"/>
  <c r="K877" i="162"/>
  <c r="L877" i="162"/>
  <c r="G881" i="162"/>
  <c r="I881" i="162"/>
  <c r="K881" i="162"/>
  <c r="L881" i="162"/>
  <c r="G882" i="162"/>
  <c r="I882" i="162"/>
  <c r="K882" i="162"/>
  <c r="L882" i="162"/>
  <c r="G884" i="162"/>
  <c r="I884" i="162"/>
  <c r="K884" i="162"/>
  <c r="L884" i="162"/>
  <c r="G887" i="162"/>
  <c r="I887" i="162"/>
  <c r="K887" i="162"/>
  <c r="L887" i="162"/>
  <c r="G890" i="162"/>
  <c r="I890" i="162"/>
  <c r="K890" i="162"/>
  <c r="L890" i="162"/>
  <c r="G892" i="162"/>
  <c r="I892" i="162"/>
  <c r="K892" i="162"/>
  <c r="L892" i="162"/>
  <c r="G895" i="162"/>
  <c r="I895" i="162"/>
  <c r="K895" i="162"/>
  <c r="L895" i="162"/>
  <c r="G896" i="162"/>
  <c r="I896" i="162"/>
  <c r="K896" i="162"/>
  <c r="L896" i="162"/>
  <c r="G897" i="162"/>
  <c r="I897" i="162"/>
  <c r="K897" i="162"/>
  <c r="L897" i="162"/>
  <c r="G899" i="162"/>
  <c r="I899" i="162"/>
  <c r="K899" i="162"/>
  <c r="L899" i="162"/>
  <c r="F22" i="164"/>
  <c r="G22" i="164"/>
  <c r="H22" i="164"/>
  <c r="I22" i="164"/>
  <c r="J22" i="164"/>
  <c r="K22" i="164"/>
  <c r="F23" i="164"/>
  <c r="G23" i="164"/>
  <c r="H23" i="164"/>
  <c r="I23" i="164"/>
  <c r="J23" i="164"/>
  <c r="K23" i="164"/>
  <c r="F24" i="164"/>
  <c r="G24" i="164"/>
  <c r="H24" i="164"/>
  <c r="I24" i="164"/>
  <c r="J24" i="164"/>
  <c r="K24" i="164"/>
  <c r="F28" i="164"/>
  <c r="G28" i="164"/>
  <c r="H28" i="164"/>
  <c r="I28" i="164"/>
  <c r="J28" i="164"/>
  <c r="K28" i="164"/>
  <c r="F29" i="164"/>
  <c r="G29" i="164"/>
  <c r="H29" i="164"/>
  <c r="I29" i="164"/>
  <c r="J29" i="164"/>
  <c r="K29" i="164"/>
  <c r="F30" i="164"/>
  <c r="G30" i="164"/>
  <c r="H30" i="164"/>
  <c r="I30" i="164"/>
  <c r="J30" i="164"/>
  <c r="K30" i="164"/>
  <c r="F32" i="164"/>
  <c r="G32" i="164"/>
  <c r="H32" i="164"/>
  <c r="I32" i="164"/>
  <c r="J32" i="164"/>
  <c r="K32" i="164"/>
  <c r="F34" i="164"/>
  <c r="G34" i="164"/>
  <c r="H34" i="164"/>
  <c r="I34" i="164"/>
  <c r="J34" i="164"/>
  <c r="K34" i="164"/>
  <c r="F35" i="164"/>
  <c r="G35" i="164"/>
  <c r="H35" i="164"/>
  <c r="I35" i="164"/>
  <c r="J35" i="164"/>
  <c r="F37" i="164"/>
  <c r="G37" i="164"/>
  <c r="H37" i="164"/>
  <c r="I37" i="164"/>
  <c r="J37" i="164"/>
  <c r="F41" i="164"/>
  <c r="G41" i="164"/>
  <c r="H41" i="164"/>
  <c r="I41" i="164"/>
  <c r="J41" i="164"/>
  <c r="K41" i="164"/>
  <c r="F42" i="164"/>
  <c r="G42" i="164"/>
  <c r="H42" i="164"/>
  <c r="I42" i="164"/>
  <c r="J42" i="164"/>
  <c r="F550" i="164"/>
  <c r="G550" i="164"/>
  <c r="H550" i="164"/>
  <c r="I550" i="164"/>
  <c r="J550" i="164"/>
  <c r="K550" i="164"/>
  <c r="F552" i="164"/>
  <c r="G552" i="164"/>
  <c r="H552" i="164"/>
  <c r="I552" i="164"/>
  <c r="J552" i="164"/>
  <c r="K552" i="164"/>
  <c r="F555" i="164"/>
  <c r="G555" i="164"/>
  <c r="H555" i="164"/>
  <c r="I555" i="164"/>
  <c r="J555" i="164"/>
  <c r="K555" i="164"/>
  <c r="F557" i="164"/>
  <c r="G557" i="164"/>
  <c r="H557" i="164"/>
  <c r="I557" i="164"/>
  <c r="J557" i="164"/>
  <c r="K557" i="164"/>
  <c r="F561" i="164"/>
  <c r="G561" i="164"/>
  <c r="H561" i="164"/>
  <c r="I561" i="164"/>
  <c r="J561" i="164"/>
  <c r="K561" i="164"/>
  <c r="F563" i="164"/>
  <c r="G563" i="164"/>
  <c r="H563" i="164"/>
  <c r="I563" i="164"/>
  <c r="J563" i="164"/>
  <c r="K563" i="164"/>
  <c r="F578" i="164"/>
  <c r="G578" i="164"/>
  <c r="H578" i="164"/>
  <c r="I578" i="164"/>
  <c r="J578" i="164"/>
  <c r="K578" i="164"/>
  <c r="F580" i="164"/>
  <c r="G580" i="164"/>
  <c r="H580" i="164"/>
  <c r="I580" i="164"/>
  <c r="J580" i="164"/>
  <c r="K580" i="164"/>
  <c r="F584" i="164"/>
  <c r="G584" i="164"/>
  <c r="H584" i="164"/>
  <c r="I584" i="164"/>
  <c r="J584" i="164"/>
  <c r="K584" i="164"/>
  <c r="F585" i="164"/>
  <c r="G585" i="164"/>
  <c r="H585" i="164"/>
  <c r="I585" i="164"/>
  <c r="J585" i="164"/>
  <c r="K585" i="164"/>
  <c r="F588" i="164"/>
  <c r="G588" i="164"/>
  <c r="H588" i="164"/>
  <c r="I588" i="164"/>
  <c r="J588" i="164"/>
  <c r="K588" i="164"/>
  <c r="F589" i="164"/>
  <c r="G589" i="164"/>
  <c r="H589" i="164"/>
  <c r="I589" i="164"/>
  <c r="J589" i="164"/>
  <c r="K589" i="164"/>
  <c r="F591" i="164"/>
  <c r="G591" i="164"/>
  <c r="H591" i="164"/>
  <c r="I591" i="164"/>
  <c r="J591" i="164"/>
  <c r="K591" i="164"/>
  <c r="F596" i="164"/>
  <c r="G596" i="164"/>
  <c r="H596" i="164"/>
  <c r="I596" i="164"/>
  <c r="J596" i="164"/>
  <c r="K596" i="164"/>
  <c r="F598" i="164"/>
  <c r="G598" i="164"/>
  <c r="H598" i="164"/>
  <c r="I598" i="164"/>
  <c r="J598" i="164"/>
  <c r="K598" i="164"/>
  <c r="F599" i="164"/>
  <c r="G599" i="164"/>
  <c r="H599" i="164"/>
  <c r="I599" i="164"/>
  <c r="J599" i="164"/>
  <c r="K599" i="164"/>
  <c r="F600" i="164"/>
  <c r="G600" i="164"/>
  <c r="H600" i="164"/>
  <c r="I600" i="164"/>
  <c r="J600" i="164"/>
  <c r="K600" i="164"/>
  <c r="F603" i="164"/>
  <c r="G603" i="164"/>
  <c r="H603" i="164"/>
  <c r="I603" i="164"/>
  <c r="J603" i="164"/>
  <c r="K603" i="164"/>
  <c r="F604" i="164"/>
  <c r="G604" i="164"/>
  <c r="H604" i="164"/>
  <c r="I604" i="164"/>
  <c r="J604" i="164"/>
  <c r="K604" i="164"/>
  <c r="F605" i="164"/>
  <c r="G605" i="164"/>
  <c r="H605" i="164"/>
  <c r="I605" i="164"/>
  <c r="J605" i="164"/>
  <c r="K605" i="164"/>
  <c r="F608" i="164"/>
  <c r="G608" i="164"/>
  <c r="H608" i="164"/>
  <c r="I608" i="164"/>
  <c r="J608" i="164"/>
  <c r="K608" i="164"/>
  <c r="F609" i="164"/>
  <c r="G609" i="164"/>
  <c r="H609" i="164"/>
  <c r="I609" i="164"/>
  <c r="J609" i="164"/>
  <c r="K609" i="164"/>
  <c r="F610" i="164"/>
  <c r="G610" i="164"/>
  <c r="H610" i="164"/>
  <c r="I610" i="164"/>
  <c r="J610" i="164"/>
  <c r="K610" i="164"/>
  <c r="F635" i="164"/>
  <c r="G635" i="164"/>
  <c r="H635" i="164"/>
  <c r="I635" i="164"/>
  <c r="J635" i="164"/>
  <c r="K635" i="164"/>
  <c r="F637" i="164"/>
  <c r="G637" i="164"/>
  <c r="H637" i="164"/>
  <c r="I637" i="164"/>
  <c r="J637" i="164"/>
  <c r="K637" i="164"/>
  <c r="F645" i="164"/>
  <c r="G645" i="164"/>
  <c r="H645" i="164"/>
  <c r="I645" i="164"/>
  <c r="J645" i="164"/>
  <c r="K645" i="164"/>
  <c r="F646" i="164"/>
  <c r="G646" i="164"/>
  <c r="H646" i="164"/>
  <c r="I646" i="164"/>
  <c r="J646" i="164"/>
  <c r="K646" i="164"/>
  <c r="F647" i="164"/>
  <c r="G647" i="164"/>
  <c r="H647" i="164"/>
  <c r="I647" i="164"/>
  <c r="J647" i="164"/>
  <c r="K647" i="164"/>
  <c r="F650" i="164"/>
  <c r="G650" i="164"/>
  <c r="H650" i="164"/>
  <c r="I650" i="164"/>
  <c r="J650" i="164"/>
  <c r="K650" i="164"/>
  <c r="F651" i="164"/>
  <c r="G651" i="164"/>
  <c r="H651" i="164"/>
  <c r="I651" i="164"/>
  <c r="J651" i="164"/>
  <c r="K651" i="164"/>
  <c r="F653" i="164"/>
  <c r="G653" i="164"/>
  <c r="H653" i="164"/>
  <c r="I653" i="164"/>
  <c r="J653" i="164"/>
  <c r="K653" i="164"/>
  <c r="F654" i="164"/>
  <c r="G654" i="164"/>
  <c r="H654" i="164"/>
  <c r="I654" i="164"/>
  <c r="J654" i="164"/>
  <c r="K654" i="164"/>
  <c r="F867" i="164"/>
  <c r="G867" i="164"/>
  <c r="H867" i="164"/>
  <c r="I867" i="164"/>
  <c r="J867" i="164"/>
  <c r="K867" i="164"/>
  <c r="F869" i="164"/>
  <c r="G869" i="164"/>
  <c r="H869" i="164"/>
  <c r="I869" i="164"/>
  <c r="J869" i="164"/>
  <c r="K869" i="164"/>
  <c r="F871" i="164"/>
  <c r="G871" i="164"/>
  <c r="H871" i="164"/>
  <c r="I871" i="164"/>
  <c r="J871" i="164"/>
  <c r="K871" i="164"/>
  <c r="F872" i="164"/>
  <c r="G872" i="164"/>
  <c r="H872" i="164"/>
  <c r="I872" i="164"/>
  <c r="J872" i="164"/>
  <c r="K872" i="164"/>
  <c r="F877" i="164"/>
  <c r="G877" i="164"/>
  <c r="H877" i="164"/>
  <c r="I877" i="164"/>
  <c r="J877" i="164"/>
  <c r="K877" i="164"/>
  <c r="F881" i="164"/>
  <c r="G881" i="164"/>
  <c r="H881" i="164"/>
  <c r="I881" i="164"/>
  <c r="J881" i="164"/>
  <c r="K881" i="164"/>
  <c r="F882" i="164"/>
  <c r="G882" i="164"/>
  <c r="H882" i="164"/>
  <c r="I882" i="164"/>
  <c r="J882" i="164"/>
  <c r="K882" i="164"/>
  <c r="F884" i="164"/>
  <c r="G884" i="164"/>
  <c r="H884" i="164"/>
  <c r="I884" i="164"/>
  <c r="J884" i="164"/>
  <c r="K884" i="164"/>
  <c r="F887" i="164"/>
  <c r="G887" i="164"/>
  <c r="H887" i="164"/>
  <c r="I887" i="164"/>
  <c r="J887" i="164"/>
  <c r="K887" i="164"/>
  <c r="F890" i="164"/>
  <c r="G890" i="164"/>
  <c r="H890" i="164"/>
  <c r="I890" i="164"/>
  <c r="J890" i="164"/>
  <c r="K890" i="164"/>
  <c r="F892" i="164"/>
  <c r="G892" i="164"/>
  <c r="H892" i="164"/>
  <c r="I892" i="164"/>
  <c r="J892" i="164"/>
  <c r="K892" i="164"/>
  <c r="F895" i="164"/>
  <c r="G895" i="164"/>
  <c r="H895" i="164"/>
  <c r="I895" i="164"/>
  <c r="J895" i="164"/>
  <c r="K895" i="164"/>
  <c r="F896" i="164"/>
  <c r="G896" i="164"/>
  <c r="H896" i="164"/>
  <c r="I896" i="164"/>
  <c r="J896" i="164"/>
  <c r="K896" i="164"/>
  <c r="F897" i="164"/>
  <c r="G897" i="164"/>
  <c r="H897" i="164"/>
  <c r="I897" i="164"/>
  <c r="J897" i="164"/>
  <c r="K897" i="164"/>
  <c r="F899" i="164"/>
  <c r="G899" i="164"/>
  <c r="H899" i="164"/>
  <c r="I899" i="164"/>
  <c r="J899" i="164"/>
  <c r="G23" i="49"/>
  <c r="I23" i="49"/>
  <c r="K23" i="49"/>
  <c r="L23" i="49"/>
  <c r="G24" i="49"/>
  <c r="I24" i="49"/>
  <c r="K24" i="49"/>
  <c r="L24" i="49"/>
  <c r="G25" i="49"/>
  <c r="I25" i="49"/>
  <c r="K25" i="49"/>
  <c r="L25" i="49"/>
  <c r="G29" i="49"/>
  <c r="I29" i="49"/>
  <c r="K29" i="49"/>
  <c r="L29" i="49"/>
  <c r="G32" i="49"/>
  <c r="I32" i="49"/>
  <c r="K32" i="49"/>
  <c r="L32" i="49"/>
  <c r="F34" i="49"/>
  <c r="G34" i="49"/>
  <c r="I34" i="49"/>
  <c r="K34" i="49"/>
  <c r="L34" i="49"/>
  <c r="F35" i="49"/>
  <c r="G35" i="49"/>
  <c r="I35" i="49"/>
  <c r="K35" i="49"/>
  <c r="L35" i="49"/>
  <c r="F37" i="49"/>
  <c r="G37" i="49"/>
  <c r="I37" i="49"/>
  <c r="K37" i="49"/>
  <c r="L37" i="49"/>
  <c r="G41" i="49"/>
  <c r="I41" i="49"/>
  <c r="K41" i="49"/>
  <c r="L41" i="49"/>
  <c r="G42" i="49"/>
  <c r="I42" i="49"/>
  <c r="K42" i="49"/>
  <c r="G48" i="49"/>
  <c r="I48" i="49"/>
  <c r="K48" i="49"/>
  <c r="L48" i="49"/>
  <c r="G49" i="49"/>
  <c r="I49" i="49"/>
  <c r="K49" i="49"/>
  <c r="L49" i="49"/>
  <c r="G51" i="49"/>
  <c r="I51" i="49"/>
  <c r="K51" i="49"/>
  <c r="L51" i="49"/>
  <c r="F52" i="49"/>
  <c r="G52" i="49"/>
  <c r="I52" i="49"/>
  <c r="K52" i="49"/>
  <c r="L52" i="49"/>
  <c r="E15" i="8"/>
  <c r="F15" i="8"/>
  <c r="G15" i="8"/>
  <c r="H15" i="8"/>
  <c r="I15" i="8"/>
  <c r="K15" i="8"/>
  <c r="L15" i="8"/>
  <c r="M15" i="8"/>
  <c r="N15" i="8"/>
  <c r="G16" i="8"/>
  <c r="H16" i="8"/>
  <c r="I16" i="8"/>
  <c r="K16" i="8"/>
  <c r="L16" i="8"/>
  <c r="M16" i="8"/>
  <c r="N16" i="8"/>
  <c r="E17" i="8"/>
  <c r="F17" i="8"/>
  <c r="G17" i="8"/>
  <c r="H17" i="8"/>
  <c r="I17" i="8"/>
  <c r="K17" i="8"/>
  <c r="L17" i="8"/>
  <c r="M17" i="8"/>
  <c r="N17" i="8"/>
  <c r="G18" i="8"/>
  <c r="H18" i="8"/>
  <c r="I18" i="8"/>
  <c r="K18" i="8"/>
  <c r="L18" i="8"/>
  <c r="M18" i="8"/>
  <c r="N18" i="8"/>
  <c r="E20" i="8"/>
  <c r="F20" i="8"/>
  <c r="H20" i="8"/>
  <c r="I20" i="8"/>
  <c r="K20" i="8"/>
  <c r="L20" i="8"/>
  <c r="M20" i="8"/>
  <c r="N20" i="8"/>
  <c r="K35" i="8"/>
  <c r="L35" i="8"/>
  <c r="E15" i="6"/>
  <c r="F15" i="6"/>
  <c r="G15" i="6"/>
  <c r="H15" i="6"/>
  <c r="I15" i="6"/>
  <c r="K15" i="6"/>
  <c r="L15" i="6"/>
  <c r="M15" i="6"/>
  <c r="N15" i="6"/>
  <c r="P15" i="6"/>
  <c r="Q15" i="6"/>
  <c r="R15" i="6"/>
  <c r="S15" i="6"/>
  <c r="T15" i="6"/>
  <c r="U15" i="6"/>
  <c r="V15" i="6"/>
  <c r="G16" i="6"/>
  <c r="H16" i="6"/>
  <c r="I16" i="6"/>
  <c r="K16" i="6"/>
  <c r="L16" i="6"/>
  <c r="M16" i="6"/>
  <c r="N16" i="6"/>
  <c r="P16" i="6"/>
  <c r="Q16" i="6"/>
  <c r="R16" i="6"/>
  <c r="S16" i="6"/>
  <c r="T16" i="6"/>
  <c r="U16" i="6"/>
  <c r="V16" i="6"/>
  <c r="E17" i="6"/>
  <c r="F17" i="6"/>
  <c r="G17" i="6"/>
  <c r="H17" i="6"/>
  <c r="I17" i="6"/>
  <c r="K17" i="6"/>
  <c r="L17" i="6"/>
  <c r="M17" i="6"/>
  <c r="N17" i="6"/>
  <c r="P17" i="6"/>
  <c r="Q17" i="6"/>
  <c r="R17" i="6"/>
  <c r="S17" i="6"/>
  <c r="T17" i="6"/>
  <c r="U17" i="6"/>
  <c r="V17" i="6"/>
  <c r="G18" i="6"/>
  <c r="H18" i="6"/>
  <c r="I18" i="6"/>
  <c r="K18" i="6"/>
  <c r="L18" i="6"/>
  <c r="M18" i="6"/>
  <c r="N18" i="6"/>
  <c r="P18" i="6"/>
  <c r="Q18" i="6"/>
  <c r="R18" i="6"/>
  <c r="S18" i="6"/>
  <c r="T18" i="6"/>
  <c r="U18" i="6"/>
  <c r="V18" i="6"/>
  <c r="E20" i="6"/>
  <c r="F20" i="6"/>
  <c r="H20" i="6"/>
  <c r="I20" i="6"/>
  <c r="K20" i="6"/>
  <c r="L20" i="6"/>
  <c r="M20" i="6"/>
  <c r="N20" i="6"/>
  <c r="P20" i="6"/>
  <c r="Q20" i="6"/>
  <c r="R20" i="6"/>
  <c r="S20" i="6"/>
  <c r="T20" i="6"/>
  <c r="U20" i="6"/>
  <c r="V20" i="6"/>
  <c r="K35" i="6"/>
  <c r="L35" i="6"/>
  <c r="E15" i="24"/>
  <c r="F15" i="24"/>
  <c r="G15" i="24"/>
  <c r="H15" i="24"/>
  <c r="I15" i="24"/>
  <c r="K15" i="24"/>
  <c r="L15" i="24"/>
  <c r="M15" i="24"/>
  <c r="N15" i="24"/>
  <c r="G16" i="24"/>
  <c r="H16" i="24"/>
  <c r="I16" i="24"/>
  <c r="K16" i="24"/>
  <c r="L16" i="24"/>
  <c r="M16" i="24"/>
  <c r="N16" i="24"/>
  <c r="E17" i="24"/>
  <c r="F17" i="24"/>
  <c r="G17" i="24"/>
  <c r="H17" i="24"/>
  <c r="I17" i="24"/>
  <c r="K17" i="24"/>
  <c r="L17" i="24"/>
  <c r="M17" i="24"/>
  <c r="N17" i="24"/>
  <c r="G18" i="24"/>
  <c r="H18" i="24"/>
  <c r="I18" i="24"/>
  <c r="K18" i="24"/>
  <c r="L18" i="24"/>
  <c r="M18" i="24"/>
  <c r="N18" i="24"/>
  <c r="E20" i="24"/>
  <c r="F20" i="24"/>
  <c r="H20" i="24"/>
  <c r="I20" i="24"/>
  <c r="K20" i="24"/>
  <c r="L20" i="24"/>
  <c r="M20" i="24"/>
  <c r="N20" i="24"/>
  <c r="K35" i="24"/>
  <c r="L35" i="24"/>
  <c r="E15" i="7"/>
  <c r="F15" i="7"/>
  <c r="G15" i="7"/>
  <c r="H15" i="7"/>
  <c r="I15" i="7"/>
  <c r="K15" i="7"/>
  <c r="L15" i="7"/>
  <c r="M15" i="7"/>
  <c r="N15" i="7"/>
  <c r="G16" i="7"/>
  <c r="H16" i="7"/>
  <c r="I16" i="7"/>
  <c r="K16" i="7"/>
  <c r="L16" i="7"/>
  <c r="M16" i="7"/>
  <c r="N16" i="7"/>
  <c r="E17" i="7"/>
  <c r="F17" i="7"/>
  <c r="G17" i="7"/>
  <c r="H17" i="7"/>
  <c r="I17" i="7"/>
  <c r="K17" i="7"/>
  <c r="L17" i="7"/>
  <c r="M17" i="7"/>
  <c r="N17" i="7"/>
  <c r="G18" i="7"/>
  <c r="H18" i="7"/>
  <c r="I18" i="7"/>
  <c r="K18" i="7"/>
  <c r="L18" i="7"/>
  <c r="M18" i="7"/>
  <c r="N18" i="7"/>
  <c r="E20" i="7"/>
  <c r="F20" i="7"/>
  <c r="H20" i="7"/>
  <c r="I20" i="7"/>
  <c r="K20" i="7"/>
  <c r="L20" i="7"/>
  <c r="M20" i="7"/>
  <c r="N20" i="7"/>
  <c r="K35" i="7"/>
  <c r="L35" i="7"/>
</calcChain>
</file>

<file path=xl/comments1.xml><?xml version="1.0" encoding="utf-8"?>
<comments xmlns="http://schemas.openxmlformats.org/spreadsheetml/2006/main">
  <authors>
    <author>Ted Czupik</author>
    <author>t61190</author>
  </authors>
  <commentList>
    <comment ref="F24" authorId="0">
      <text>
        <r>
          <rPr>
            <sz val="10"/>
            <color indexed="81"/>
            <rFont val="Tahoma"/>
            <family val="2"/>
          </rPr>
          <t xml:space="preserve">Needs to tie to Sch. C-1, Column (C), which reflects the requested rate increase.
</t>
        </r>
      </text>
    </comment>
    <comment ref="D225" authorId="0">
      <text>
        <r>
          <rPr>
            <sz val="10"/>
            <color indexed="81"/>
            <rFont val="Tahoma"/>
            <family val="2"/>
          </rPr>
          <t xml:space="preserve">Used AG39 because geneeral plant is allocated using functional labor from Form 1
</t>
        </r>
      </text>
    </comment>
    <comment ref="F368" authorId="0">
      <text>
        <r>
          <rPr>
            <sz val="10"/>
            <color indexed="81"/>
            <rFont val="Tahoma"/>
            <family val="2"/>
          </rPr>
          <t xml:space="preserve">Sch. C-3.24 - Additional camera work
</t>
        </r>
      </text>
    </comment>
    <comment ref="F377" authorId="0">
      <text>
        <r>
          <rPr>
            <sz val="10"/>
            <color indexed="81"/>
            <rFont val="Tahoma"/>
            <family val="2"/>
          </rPr>
          <t xml:space="preserve">$50 adj is on C-3.14
</t>
        </r>
      </text>
    </comment>
    <comment ref="F385" authorId="0">
      <text>
        <r>
          <rPr>
            <sz val="10"/>
            <color indexed="81"/>
            <rFont val="Tahoma"/>
            <family val="2"/>
          </rPr>
          <t xml:space="preserve">$578,533 - C-3.9, Synchronize PIPP Rev &amp; Exp
</t>
        </r>
      </text>
    </comment>
    <comment ref="F386" authorId="0">
      <text>
        <r>
          <rPr>
            <sz val="10"/>
            <color indexed="81"/>
            <rFont val="Tahoma"/>
            <family val="2"/>
          </rPr>
          <t xml:space="preserve">$438,162 - C-3.16, Annualized Uncollectible Exp
</t>
        </r>
      </text>
    </comment>
    <comment ref="F387" authorId="0">
      <text>
        <r>
          <rPr>
            <sz val="10"/>
            <color indexed="81"/>
            <rFont val="Tahoma"/>
            <family val="2"/>
          </rPr>
          <t xml:space="preserve">$255,457 - C-3.6, Cust Deposits
</t>
        </r>
      </text>
    </comment>
    <comment ref="F388" authorId="0">
      <text>
        <r>
          <rPr>
            <sz val="10"/>
            <color indexed="81"/>
            <rFont val="Tahoma"/>
            <family val="2"/>
          </rPr>
          <t xml:space="preserve">Sch. C-1
</t>
        </r>
      </text>
    </comment>
    <comment ref="F491" authorId="0">
      <text>
        <r>
          <rPr>
            <sz val="10"/>
            <color indexed="81"/>
            <rFont val="Tahoma"/>
            <family val="2"/>
          </rPr>
          <t xml:space="preserve">Sch. C-1
</t>
        </r>
      </text>
    </comment>
    <comment ref="F492" authorId="0">
      <text>
        <r>
          <rPr>
            <sz val="10"/>
            <color indexed="81"/>
            <rFont val="Tahoma"/>
            <family val="2"/>
          </rPr>
          <t xml:space="preserve">Sch. C-1
</t>
        </r>
      </text>
    </comment>
    <comment ref="F515" authorId="1">
      <text>
        <r>
          <rPr>
            <b/>
            <sz val="8"/>
            <color indexed="81"/>
            <rFont val="Tahoma"/>
            <family val="2"/>
          </rPr>
          <t>t61190:</t>
        </r>
        <r>
          <rPr>
            <sz val="8"/>
            <color indexed="81"/>
            <rFont val="Tahoma"/>
            <family val="2"/>
          </rPr>
          <t xml:space="preserve">
Source; SFR Schedule C-4 Reverse sign
 </t>
        </r>
      </text>
    </comment>
    <comment ref="F529" authorId="0">
      <text>
        <r>
          <rPr>
            <sz val="10"/>
            <color indexed="81"/>
            <rFont val="Tahoma"/>
            <family val="2"/>
          </rPr>
          <t xml:space="preserve">Excess of Tax over Book (Unadjusted - Cell H26) less Excess of Tax over Book (Deferred FIT) times FIT
</t>
        </r>
      </text>
    </comment>
    <comment ref="F625" authorId="0">
      <text>
        <r>
          <rPr>
            <sz val="10"/>
            <color indexed="81"/>
            <rFont val="Tahoma"/>
            <family val="2"/>
          </rPr>
          <t xml:space="preserve">Account 488000, Miscellaneous Service Revenue
</t>
        </r>
      </text>
    </comment>
    <comment ref="F626" authorId="0">
      <text>
        <r>
          <rPr>
            <sz val="10"/>
            <color indexed="81"/>
            <rFont val="Tahoma"/>
            <family val="2"/>
          </rPr>
          <t xml:space="preserve">Base Revenue portion
</t>
        </r>
      </text>
    </comment>
    <comment ref="F627" authorId="0">
      <text>
        <r>
          <rPr>
            <sz val="10"/>
            <color indexed="81"/>
            <rFont val="Tahoma"/>
            <family val="2"/>
          </rPr>
          <t xml:space="preserve">Accounts 489010, 489200 &amp; 495031
</t>
        </r>
      </text>
    </comment>
    <comment ref="F628" authorId="0">
      <text>
        <r>
          <rPr>
            <sz val="10"/>
            <color indexed="81"/>
            <rFont val="Tahoma"/>
            <family val="2"/>
          </rPr>
          <t xml:space="preserve">Accounts 493000 &amp; 493010
</t>
        </r>
      </text>
    </comment>
    <comment ref="F744" authorId="0">
      <text>
        <r>
          <rPr>
            <sz val="10"/>
            <color indexed="81"/>
            <rFont val="Tahoma"/>
            <family val="2"/>
          </rPr>
          <t xml:space="preserve">Present Revenue from Sch. E, less miscellaneous revenue
</t>
        </r>
      </text>
    </comment>
    <comment ref="F745" authorId="0">
      <text>
        <r>
          <rPr>
            <sz val="10"/>
            <color indexed="81"/>
            <rFont val="Tahoma"/>
            <family val="2"/>
          </rPr>
          <t xml:space="preserve">Proposed Revenue from Sch. E, less miscellaneous revenue
</t>
        </r>
      </text>
    </comment>
  </commentList>
</comments>
</file>

<file path=xl/comments10.xml><?xml version="1.0" encoding="utf-8"?>
<comments xmlns="http://schemas.openxmlformats.org/spreadsheetml/2006/main">
  <authors>
    <author>Ted Czupik</author>
  </authors>
  <commentList>
    <comment ref="E15" authorId="0">
      <text>
        <r>
          <rPr>
            <sz val="10"/>
            <color indexed="81"/>
            <rFont val="Tahoma"/>
            <family val="2"/>
          </rPr>
          <t xml:space="preserve">Source: WPE-3.2k Present NOI
</t>
        </r>
      </text>
    </comment>
  </commentList>
</comments>
</file>

<file path=xl/comments11.xml><?xml version="1.0" encoding="utf-8"?>
<comments xmlns="http://schemas.openxmlformats.org/spreadsheetml/2006/main">
  <authors>
    <author>Ted Czupik</author>
  </authors>
  <commentList>
    <comment ref="E15" authorId="0">
      <text>
        <r>
          <rPr>
            <sz val="10"/>
            <color indexed="81"/>
            <rFont val="Tahoma"/>
            <family val="2"/>
          </rPr>
          <t xml:space="preserve">Source: WPE-3.2k Present NOI
</t>
        </r>
      </text>
    </comment>
  </commentList>
</comments>
</file>

<file path=xl/comments12.xml><?xml version="1.0" encoding="utf-8"?>
<comments xmlns="http://schemas.openxmlformats.org/spreadsheetml/2006/main">
  <authors>
    <author>Ted Czupik</author>
  </authors>
  <commentList>
    <comment ref="E15" authorId="0">
      <text>
        <r>
          <rPr>
            <sz val="10"/>
            <color indexed="81"/>
            <rFont val="Tahoma"/>
            <family val="2"/>
          </rPr>
          <t xml:space="preserve">Source: WPE-3.2k Present NOI
</t>
        </r>
      </text>
    </comment>
  </commentList>
</comments>
</file>

<file path=xl/comments2.xml><?xml version="1.0" encoding="utf-8"?>
<comments xmlns="http://schemas.openxmlformats.org/spreadsheetml/2006/main">
  <authors>
    <author>Ted Czupik</author>
  </authors>
  <commentList>
    <comment ref="F761" authorId="0">
      <text>
        <r>
          <rPr>
            <sz val="10"/>
            <color indexed="81"/>
            <rFont val="Tahoma"/>
            <family val="2"/>
          </rPr>
          <t xml:space="preserve">Source: Sch M
</t>
        </r>
      </text>
    </comment>
    <comment ref="G761" authorId="0">
      <text>
        <r>
          <rPr>
            <sz val="10"/>
            <color indexed="81"/>
            <rFont val="Tahoma"/>
            <family val="2"/>
          </rPr>
          <t xml:space="preserve">Source: Sch M
</t>
        </r>
      </text>
    </comment>
    <comment ref="H761" authorId="0">
      <text>
        <r>
          <rPr>
            <sz val="10"/>
            <color indexed="81"/>
            <rFont val="Tahoma"/>
            <family val="2"/>
          </rPr>
          <t xml:space="preserve">Source: Sch M
</t>
        </r>
      </text>
    </comment>
    <comment ref="I761" authorId="0">
      <text>
        <r>
          <rPr>
            <sz val="10"/>
            <color indexed="81"/>
            <rFont val="Tahoma"/>
            <family val="2"/>
          </rPr>
          <t xml:space="preserve">Source: Sch M
</t>
        </r>
      </text>
    </comment>
    <comment ref="J761" authorId="0">
      <text>
        <r>
          <rPr>
            <sz val="10"/>
            <color indexed="81"/>
            <rFont val="Tahoma"/>
            <family val="2"/>
          </rPr>
          <t xml:space="preserve">Source: Sch M
</t>
        </r>
      </text>
    </comment>
    <comment ref="F763" authorId="0">
      <text>
        <r>
          <rPr>
            <sz val="10"/>
            <color indexed="81"/>
            <rFont val="Tahoma"/>
            <family val="2"/>
          </rPr>
          <t xml:space="preserve">Source: Sch M
</t>
        </r>
      </text>
    </comment>
    <comment ref="G763" authorId="0">
      <text>
        <r>
          <rPr>
            <sz val="10"/>
            <color indexed="81"/>
            <rFont val="Tahoma"/>
            <family val="2"/>
          </rPr>
          <t xml:space="preserve">Source: Sch M
</t>
        </r>
      </text>
    </comment>
    <comment ref="H763" authorId="0">
      <text>
        <r>
          <rPr>
            <sz val="10"/>
            <color indexed="81"/>
            <rFont val="Tahoma"/>
            <family val="2"/>
          </rPr>
          <t xml:space="preserve">Source: Sch M
</t>
        </r>
      </text>
    </comment>
    <comment ref="I763" authorId="0">
      <text>
        <r>
          <rPr>
            <sz val="10"/>
            <color indexed="81"/>
            <rFont val="Tahoma"/>
            <family val="2"/>
          </rPr>
          <t xml:space="preserve">Source: Sch M
</t>
        </r>
      </text>
    </comment>
    <comment ref="J763" authorId="0">
      <text>
        <r>
          <rPr>
            <sz val="10"/>
            <color indexed="81"/>
            <rFont val="Tahoma"/>
            <family val="2"/>
          </rPr>
          <t xml:space="preserve">Source: Sch M
</t>
        </r>
      </text>
    </comment>
  </commentList>
</comments>
</file>

<file path=xl/comments3.xml><?xml version="1.0" encoding="utf-8"?>
<comments xmlns="http://schemas.openxmlformats.org/spreadsheetml/2006/main">
  <authors>
    <author>Ted Czupik</author>
  </authors>
  <commentList>
    <comment ref="G35" authorId="0">
      <text>
        <r>
          <rPr>
            <sz val="10"/>
            <color indexed="81"/>
            <rFont val="Tahoma"/>
            <family val="2"/>
          </rPr>
          <t xml:space="preserve">Will calculate to the requested rate of return only if the proposed revenues requested were designed to eliminate 100% of the subsidy excess.  In other words, if the proposed revenues are designed to equal the cost of service.
</t>
        </r>
      </text>
    </comment>
    <comment ref="H35" authorId="0">
      <text>
        <r>
          <rPr>
            <sz val="10"/>
            <color indexed="81"/>
            <rFont val="Tahoma"/>
            <family val="2"/>
          </rPr>
          <t xml:space="preserve">Will calculate to the requested rate of return only if the proposed revenues requested were designed to eliminate 100% of the subsidy excess.  In other words, if the proposed revenues are designed to equal the cost of service.
</t>
        </r>
      </text>
    </comment>
    <comment ref="I35" authorId="0">
      <text>
        <r>
          <rPr>
            <sz val="10"/>
            <color indexed="81"/>
            <rFont val="Tahoma"/>
            <family val="2"/>
          </rPr>
          <t xml:space="preserve">Will calculate to the requested rate of return only if the proposed revenues requested were designed to eliminate 100% of the subsidy excess.  In other words, if the proposed revenues are designed to equal the cost of service.
</t>
        </r>
      </text>
    </comment>
    <comment ref="J35" authorId="0">
      <text>
        <r>
          <rPr>
            <sz val="10"/>
            <color indexed="81"/>
            <rFont val="Tahoma"/>
            <family val="2"/>
          </rPr>
          <t xml:space="preserve">Will calculate to the requested rate of return only if the proposed revenues requested were designed to eliminate 100% of the subsidy excess.  In other words, if the proposed revenues are designed to equal the cost of service.
</t>
        </r>
      </text>
    </comment>
    <comment ref="G37" authorId="0">
      <text>
        <r>
          <rPr>
            <sz val="10"/>
            <color indexed="81"/>
            <rFont val="Tahoma"/>
            <family val="2"/>
          </rPr>
          <t xml:space="preserve">Will calculate to the requested rate of return only if the proposed revenues requested were designed to eliminate 100% of the subsidy excess.  In other words, if the proposed revenues are designed to equal the cost of service.
</t>
        </r>
      </text>
    </comment>
    <comment ref="H37" authorId="0">
      <text>
        <r>
          <rPr>
            <sz val="10"/>
            <color indexed="81"/>
            <rFont val="Tahoma"/>
            <family val="2"/>
          </rPr>
          <t xml:space="preserve">Will calculate to the requested rate of return only if the proposed revenues requested were designed to eliminate 100% of the subsidy excess.  In other words, if the proposed revenues are designed to equal the cost of service.
</t>
        </r>
      </text>
    </comment>
    <comment ref="I37" authorId="0">
      <text>
        <r>
          <rPr>
            <sz val="10"/>
            <color indexed="81"/>
            <rFont val="Tahoma"/>
            <family val="2"/>
          </rPr>
          <t xml:space="preserve">Will calculate to the requested rate of return only if the proposed revenues requested were designed to eliminate 100% of the subsidy excess.  In other words, if the proposed revenues are designed to equal the cost of service.
</t>
        </r>
      </text>
    </comment>
    <comment ref="J37" authorId="0">
      <text>
        <r>
          <rPr>
            <sz val="10"/>
            <color indexed="81"/>
            <rFont val="Tahoma"/>
            <family val="2"/>
          </rPr>
          <t xml:space="preserve">Will calculate to the requested rate of return only if the proposed revenues requested were designed to eliminate 100% of the subsidy excess.  In other words, if the proposed revenues are designed to equal the cost of service.
</t>
        </r>
      </text>
    </comment>
  </commentList>
</comments>
</file>

<file path=xl/comments4.xml><?xml version="1.0" encoding="utf-8"?>
<comments xmlns="http://schemas.openxmlformats.org/spreadsheetml/2006/main">
  <authors>
    <author>Ted Czupik</author>
  </authors>
  <commentList>
    <comment ref="D12" authorId="0">
      <text>
        <r>
          <rPr>
            <sz val="10"/>
            <color indexed="81"/>
            <rFont val="Tahoma"/>
            <family val="2"/>
          </rPr>
          <t xml:space="preserve">Source: WPE-4b
</t>
        </r>
      </text>
    </comment>
    <comment ref="D13" authorId="0">
      <text>
        <r>
          <rPr>
            <sz val="10"/>
            <color indexed="81"/>
            <rFont val="Tahoma"/>
            <family val="2"/>
          </rPr>
          <t xml:space="preserve">Source: WPE-4b
</t>
        </r>
      </text>
    </comment>
    <comment ref="D14" authorId="0">
      <text>
        <r>
          <rPr>
            <sz val="10"/>
            <color indexed="81"/>
            <rFont val="Tahoma"/>
            <family val="2"/>
          </rPr>
          <t xml:space="preserve">Source: WPE-4b
</t>
        </r>
      </text>
    </comment>
    <comment ref="D33" authorId="0">
      <text>
        <r>
          <rPr>
            <sz val="10"/>
            <color indexed="81"/>
            <rFont val="Tahoma"/>
            <family val="2"/>
          </rPr>
          <t xml:space="preserve">Source: WPE-4b
</t>
        </r>
      </text>
    </comment>
    <comment ref="D39" authorId="0">
      <text>
        <r>
          <rPr>
            <sz val="10"/>
            <color indexed="81"/>
            <rFont val="Tahoma"/>
            <family val="2"/>
          </rPr>
          <t xml:space="preserve">Source: WPE-4b
</t>
        </r>
      </text>
    </comment>
    <comment ref="D40" authorId="0">
      <text>
        <r>
          <rPr>
            <sz val="10"/>
            <color indexed="81"/>
            <rFont val="Tahoma"/>
            <family val="2"/>
          </rPr>
          <t xml:space="preserve">Source: WPE-4b
</t>
        </r>
      </text>
    </comment>
    <comment ref="D41" authorId="0">
      <text>
        <r>
          <rPr>
            <sz val="10"/>
            <color indexed="81"/>
            <rFont val="Tahoma"/>
            <family val="2"/>
          </rPr>
          <t xml:space="preserve">Source: WPE-4b
</t>
        </r>
      </text>
    </comment>
  </commentList>
</comments>
</file>

<file path=xl/comments5.xml><?xml version="1.0" encoding="utf-8"?>
<comments xmlns="http://schemas.openxmlformats.org/spreadsheetml/2006/main">
  <authors>
    <author>Ted Czupik</author>
  </authors>
  <commentList>
    <comment ref="K22" authorId="0">
      <text>
        <r>
          <rPr>
            <sz val="10"/>
            <color indexed="81"/>
            <rFont val="Tahoma"/>
            <family val="2"/>
          </rPr>
          <t xml:space="preserve">Not assigned to IT because these customers are willing to be interrupted at times of extreme cold where system is short of capacity
</t>
        </r>
      </text>
    </comment>
  </commentList>
</comments>
</file>

<file path=xl/comments6.xml><?xml version="1.0" encoding="utf-8"?>
<comments xmlns="http://schemas.openxmlformats.org/spreadsheetml/2006/main">
  <authors>
    <author>Ted Czupik</author>
  </authors>
  <commentList>
    <comment ref="E10" authorId="0">
      <text>
        <r>
          <rPr>
            <sz val="10"/>
            <color indexed="81"/>
            <rFont val="Tahoma"/>
            <family val="2"/>
          </rPr>
          <t xml:space="preserve">Per Zinnia Hoying / Donna Hendrix the load factors are calculated using claendar month data.
</t>
        </r>
      </text>
    </comment>
    <comment ref="E12" authorId="0">
      <text>
        <r>
          <rPr>
            <sz val="10"/>
            <color indexed="81"/>
            <rFont val="Tahoma"/>
            <family val="2"/>
          </rPr>
          <t xml:space="preserve">Source: financial statements.
</t>
        </r>
      </text>
    </comment>
    <comment ref="E29" authorId="0">
      <text>
        <r>
          <rPr>
            <sz val="10"/>
            <color indexed="81"/>
            <rFont val="Tahoma"/>
            <family val="2"/>
          </rPr>
          <t xml:space="preserve">Per Zinnia Hoying / Donna Hendrix the load factors are calculated using claendar month data.
</t>
        </r>
      </text>
    </comment>
    <comment ref="E58" authorId="0">
      <text>
        <r>
          <rPr>
            <sz val="10"/>
            <color indexed="81"/>
            <rFont val="Tahoma"/>
            <family val="2"/>
          </rPr>
          <t xml:space="preserve">Per Zinnia Hoying / Donna Hendrix the load factors are calculated using claendar month data.
</t>
        </r>
      </text>
    </comment>
    <comment ref="E78" authorId="0">
      <text>
        <r>
          <rPr>
            <sz val="10"/>
            <color indexed="81"/>
            <rFont val="Tahoma"/>
            <family val="2"/>
          </rPr>
          <t xml:space="preserve">Per Zinnia Hoying / Donna Hendrix the load factors are calculated using claendar month data.
</t>
        </r>
      </text>
    </comment>
    <comment ref="E128" authorId="0">
      <text>
        <r>
          <rPr>
            <sz val="10"/>
            <color indexed="81"/>
            <rFont val="Tahoma"/>
            <family val="2"/>
          </rPr>
          <t xml:space="preserve">Per Zinnia Hoying / Donna Hendrix the load factors are calculated using claendar month data.
</t>
        </r>
      </text>
    </comment>
  </commentList>
</comments>
</file>

<file path=xl/comments7.xml><?xml version="1.0" encoding="utf-8"?>
<comments xmlns="http://schemas.openxmlformats.org/spreadsheetml/2006/main">
  <authors>
    <author>Ted Czupik</author>
  </authors>
  <commentList>
    <comment ref="K12" authorId="0">
      <text>
        <r>
          <rPr>
            <sz val="10"/>
            <color indexed="81"/>
            <rFont val="Tahoma"/>
            <family val="2"/>
          </rPr>
          <t xml:space="preserve">Allocated based on ratio of GS Small customers to the total GS class
</t>
        </r>
      </text>
    </comment>
  </commentList>
</comments>
</file>

<file path=xl/comments8.xml><?xml version="1.0" encoding="utf-8"?>
<comments xmlns="http://schemas.openxmlformats.org/spreadsheetml/2006/main">
  <authors>
    <author>t31505</author>
  </authors>
  <commentList>
    <comment ref="H9" authorId="0">
      <text>
        <r>
          <rPr>
            <b/>
            <sz val="8"/>
            <color indexed="81"/>
            <rFont val="Tahoma"/>
            <family val="2"/>
          </rPr>
          <t>t31505:</t>
        </r>
        <r>
          <rPr>
            <sz val="8"/>
            <color indexed="81"/>
            <rFont val="Tahoma"/>
            <family val="2"/>
          </rPr>
          <t xml:space="preserve">
GS AND FT SMALL HAVE IDENTICAL DELIVERY RATE PER JIM Z</t>
        </r>
      </text>
    </comment>
    <comment ref="I9" authorId="0">
      <text>
        <r>
          <rPr>
            <b/>
            <sz val="8"/>
            <color indexed="81"/>
            <rFont val="Tahoma"/>
            <family val="2"/>
          </rPr>
          <t>t31505:</t>
        </r>
        <r>
          <rPr>
            <sz val="8"/>
            <color indexed="81"/>
            <rFont val="Tahoma"/>
            <family val="2"/>
          </rPr>
          <t xml:space="preserve">
GS AND FT LARGE HAVE IDENTICAL DELIVERY RATES PER JIM Z</t>
        </r>
      </text>
    </comment>
  </commentList>
</comments>
</file>

<file path=xl/comments9.xml><?xml version="1.0" encoding="utf-8"?>
<comments xmlns="http://schemas.openxmlformats.org/spreadsheetml/2006/main">
  <authors>
    <author>Ted Czupik</author>
  </authors>
  <commentList>
    <comment ref="E15" authorId="0">
      <text>
        <r>
          <rPr>
            <sz val="10"/>
            <color indexed="81"/>
            <rFont val="Tahoma"/>
            <family val="2"/>
          </rPr>
          <t xml:space="preserve">Source: WPE-3.2k Present NOI
</t>
        </r>
      </text>
    </comment>
    <comment ref="J20" authorId="0">
      <text>
        <r>
          <rPr>
            <sz val="10"/>
            <color indexed="81"/>
            <rFont val="Tahoma"/>
            <family val="2"/>
          </rPr>
          <t xml:space="preserve">Per revenue requirement model.
</t>
        </r>
      </text>
    </comment>
  </commentList>
</comments>
</file>

<file path=xl/sharedStrings.xml><?xml version="1.0" encoding="utf-8"?>
<sst xmlns="http://schemas.openxmlformats.org/spreadsheetml/2006/main" count="9794" uniqueCount="1568">
  <si>
    <t>Deficiency @ROR</t>
  </si>
  <si>
    <t>Incr Uncollectible Exp/Ucoll</t>
  </si>
  <si>
    <t>Misc. Expenses</t>
  </si>
  <si>
    <t>Difference</t>
  </si>
  <si>
    <t>Schedule 13</t>
  </si>
  <si>
    <t>case_name</t>
  </si>
  <si>
    <t>time_period</t>
  </si>
  <si>
    <t>header_name</t>
  </si>
  <si>
    <t>company_name</t>
  </si>
  <si>
    <t>data_filing</t>
  </si>
  <si>
    <t>Range name</t>
  </si>
  <si>
    <t>Schedule 3 - Accum Deprec</t>
  </si>
  <si>
    <t>Schedule 2 - Gross Plant</t>
  </si>
  <si>
    <t>Schedule 4 - Net Plant</t>
  </si>
  <si>
    <t>PRODUCTION PLANT</t>
  </si>
  <si>
    <t>TRANSMISSION PLANT</t>
  </si>
  <si>
    <t>TOTAL PROD &amp; TRANS PLANT</t>
  </si>
  <si>
    <t>DISTRIBUTION PLANT</t>
  </si>
  <si>
    <t>TOTAL TRANS &amp; DIST PLANT</t>
  </si>
  <si>
    <t>TOTAL GROSS PTD PLANT</t>
  </si>
  <si>
    <t>GENERAL &amp; INTANGIBLE PLANT</t>
  </si>
  <si>
    <t>COMMON &amp; OTHER PLANT</t>
  </si>
  <si>
    <t>DEPRECIATION RESERVE</t>
  </si>
  <si>
    <t>TOTAL DEPRECIATION RESERVE</t>
  </si>
  <si>
    <t>NET TRANS &amp; DIST PLANT</t>
  </si>
  <si>
    <t>RATE BASE</t>
  </si>
  <si>
    <t>RATE BASE ADJUSTMENTS</t>
  </si>
  <si>
    <t xml:space="preserve"> ACCUM DEF INC TAXES (282)</t>
  </si>
  <si>
    <t xml:space="preserve"> ACCUM DEF INC TAXES (283)</t>
  </si>
  <si>
    <t xml:space="preserve"> ACCUM DEF INC TAXES (190)</t>
  </si>
  <si>
    <t xml:space="preserve"> OTHER</t>
  </si>
  <si>
    <t>NET ORIGINAL COST RATE BASE</t>
  </si>
  <si>
    <t>WORKING CAPITAL</t>
  </si>
  <si>
    <t>PLANT MATERIALS &amp; SUPPLIES</t>
  </si>
  <si>
    <t>TOTAL MATERIALS &amp; SUPPLIES</t>
  </si>
  <si>
    <t>PREPAYMENTS</t>
  </si>
  <si>
    <t>AUTO CALC (O&amp;M-GAS COST)/8</t>
  </si>
  <si>
    <t xml:space="preserve">  TOTAL WORKING CASH</t>
  </si>
  <si>
    <t>MISCELLANEOUS WORKING CAPITAL</t>
  </si>
  <si>
    <t>TOTAL WORKING CAPITAL</t>
  </si>
  <si>
    <t>PRELIMINARY SUMMARY</t>
  </si>
  <si>
    <t>RATE BASE CALCULATION</t>
  </si>
  <si>
    <t>TOTAL RATE OF RETURN ALLOWABLE</t>
  </si>
  <si>
    <t>RETURN ON RATE BASE</t>
  </si>
  <si>
    <t>O&amp;M EXPENSES</t>
  </si>
  <si>
    <t>PRODUCTION O&amp;M</t>
  </si>
  <si>
    <t>COMMODITY RELATED O&amp;M</t>
  </si>
  <si>
    <t>DEMAND RELATED PROD O&amp;M</t>
  </si>
  <si>
    <t>TOTAL PRODUCTION O&amp;M</t>
  </si>
  <si>
    <t>TRANSMISSION O &amp; M</t>
  </si>
  <si>
    <t>DISTRIBUTION O &amp; M</t>
  </si>
  <si>
    <t>CUSTOMER ACCOUNTING</t>
  </si>
  <si>
    <t>CUSTOMER SERVICE &amp; INFORMATION</t>
  </si>
  <si>
    <t>SALES</t>
  </si>
  <si>
    <t xml:space="preserve">ADMINISTRATIVE &amp; GENERAL </t>
  </si>
  <si>
    <t>DEPRECIATION EXPENSE</t>
  </si>
  <si>
    <t>PRODUCTION DEPRECIATION</t>
  </si>
  <si>
    <t>TRANSMISSION DEPRECIATION</t>
  </si>
  <si>
    <t>DISTRIBUTION DEPRECIATION</t>
  </si>
  <si>
    <t>GENERAL DEPRECIATION</t>
  </si>
  <si>
    <t>COMMON AND OTHER DEPRECIATION</t>
  </si>
  <si>
    <t>TOTAL DEPRECIATION EXPENSE</t>
  </si>
  <si>
    <t>OTHER TAXES &amp; MISC EXPENSES</t>
  </si>
  <si>
    <t>TAXES OTHER THAN INC &amp; REV</t>
  </si>
  <si>
    <t xml:space="preserve"> REAL ESTATE &amp; PROPERTY TAX</t>
  </si>
  <si>
    <t xml:space="preserve"> MISCELLANEOUS TAXES</t>
  </si>
  <si>
    <t xml:space="preserve"> MISCELLANEOUS EXPENSES</t>
  </si>
  <si>
    <t>TOTAL OTHER TAX &amp; MISC EXPENSE</t>
  </si>
  <si>
    <t>INCOME TAX BASED ON RETURN</t>
  </si>
  <si>
    <t>FEDERAL INCOME TAX DEDUCTIONS</t>
  </si>
  <si>
    <t xml:space="preserve"> AUTOMATIC INTEREST CALCULATION</t>
  </si>
  <si>
    <t xml:space="preserve"> OTHER DEDUCTIONS</t>
  </si>
  <si>
    <t>NET DEDUCTIONS AND ADDITIONS</t>
  </si>
  <si>
    <t xml:space="preserve"> TEST YEAR INV TAX CREDIT</t>
  </si>
  <si>
    <t>FEDERAL INCOME TAX COMPUTATION</t>
  </si>
  <si>
    <t>FEDERAL INCOME TAX PAYABLE</t>
  </si>
  <si>
    <t>COMPOSITE TAX RATE</t>
  </si>
  <si>
    <t>COST OF SERVICE COMPUTATION</t>
  </si>
  <si>
    <t>OTHER OPERATING REVENUES</t>
  </si>
  <si>
    <t>TOTAL GAS COST OF SERVICE</t>
  </si>
  <si>
    <t>EXCESS REVENUES</t>
  </si>
  <si>
    <t>EXCESS TAX</t>
  </si>
  <si>
    <t>EXCESS RETURN</t>
  </si>
  <si>
    <t>ROR, TAX RATES &amp; SPEC FACTORS</t>
  </si>
  <si>
    <t>RATE OF RETURN</t>
  </si>
  <si>
    <t xml:space="preserve"> CAPITALIZATION AMOUNTS</t>
  </si>
  <si>
    <t xml:space="preserve"> COST OF CAPITAL</t>
  </si>
  <si>
    <t xml:space="preserve"> WEIGHTED COST OF CAPITAL</t>
  </si>
  <si>
    <t>TAX RATES AND SPECIAL FACTORS</t>
  </si>
  <si>
    <t>ALLOCATORS</t>
  </si>
  <si>
    <t>DEMAND ENERGY &amp; SPEC. ASSIGN</t>
  </si>
  <si>
    <t>REVENUE NOT TO BE INCLUDED IN REVENUE TAX CALC</t>
  </si>
  <si>
    <t>SPECIAL ALLOCATOR INFO FOR K667</t>
  </si>
  <si>
    <t>SPECIAL ALLOCATOR INFO FOR K697</t>
  </si>
  <si>
    <t>WEIGHTED RATIOS</t>
  </si>
  <si>
    <t>GROSS GAS PLANT IN SERVICE</t>
  </si>
  <si>
    <t>NET GAS PLANT</t>
  </si>
  <si>
    <t>DEPRECIATION EXPENSES</t>
  </si>
  <si>
    <t>OPERATING EXPENSES</t>
  </si>
  <si>
    <t>INCOME TAX BASED ON REVENUES</t>
  </si>
  <si>
    <t>NET INCOME COMPUTATION</t>
  </si>
  <si>
    <t>ADJUSTMENTS TO NET INCOME</t>
  </si>
  <si>
    <t>SUMMARY OF RESULTS</t>
  </si>
  <si>
    <t>TOTAL OTHER OPERATING REVENUES</t>
  </si>
  <si>
    <t>TOTAL RETURN EARNED</t>
  </si>
  <si>
    <t>RATE OF RETURN EARNED</t>
  </si>
  <si>
    <t>RETURN EARNED ON COMMON EQUITY</t>
  </si>
  <si>
    <t>ALLOWED RETURN ON COMMON EQUITY</t>
  </si>
  <si>
    <t>PRESENT REVENUES</t>
  </si>
  <si>
    <t>REVENUE INCREASE JUSTIFIED</t>
  </si>
  <si>
    <t>REVENUE INCREASE REQUESTED</t>
  </si>
  <si>
    <t xml:space="preserve">  PRODUCTION PLANT IN SERVICE</t>
  </si>
  <si>
    <t xml:space="preserve">  TRANSMISSION PLANT IN SERVICE</t>
  </si>
  <si>
    <t xml:space="preserve">  DISTRIBUTION PLANT IN SERVICE</t>
  </si>
  <si>
    <t xml:space="preserve">  GEN &amp; INTANG PLANT IN SERVICE</t>
  </si>
  <si>
    <t>GAS PRODUCTION -CPMPL NOT CLASS</t>
  </si>
  <si>
    <t xml:space="preserve">  TOTAL PROD DEPREC RESERVE</t>
  </si>
  <si>
    <t>TOTAL TRANS DEPREC RESERVE</t>
  </si>
  <si>
    <t xml:space="preserve">  TOTAL DIST DEPREC RESERVE</t>
  </si>
  <si>
    <t xml:space="preserve">  TOTAL GEN DEPREC RESERVE</t>
  </si>
  <si>
    <t xml:space="preserve">  TOTAL COM &amp; OTHER PLT RESERVE</t>
  </si>
  <si>
    <t>PRODUCTION PLANT IN SERVICE</t>
  </si>
  <si>
    <t>TOTAL PROD DEPRC RESERVE</t>
  </si>
  <si>
    <t xml:space="preserve">  NET PRODUCTION PLANT</t>
  </si>
  <si>
    <t>TRANSMISSION PLANT IN SERVICE</t>
  </si>
  <si>
    <t xml:space="preserve">    NET TRANSMISSION PLANT</t>
  </si>
  <si>
    <t>DISTRIBUTION PLANT IN SERVICE</t>
  </si>
  <si>
    <t>TOTAL DIST DEPREC RESERVE</t>
  </si>
  <si>
    <t xml:space="preserve">  NET DISTRIBUTION PLANT</t>
  </si>
  <si>
    <t>GEN &amp; INTANG PLANT IN SERVICE</t>
  </si>
  <si>
    <t>TOTAL GEN &amp; INTG DEPREC RESERVE</t>
  </si>
  <si>
    <t xml:space="preserve">  NET GENERAL &amp; INTANG PLANT</t>
  </si>
  <si>
    <t>COMMON &amp; OTH PLT IN SERVICE</t>
  </si>
  <si>
    <t>TOTAL COM &amp; OTH DEPREC RESERVE</t>
  </si>
  <si>
    <t xml:space="preserve">  NET COMMON &amp; OTHER PLANT</t>
  </si>
  <si>
    <t>LIBERALIZED DEPRECIATION</t>
  </si>
  <si>
    <t>CONTRIB AID CONSTR</t>
  </si>
  <si>
    <t>CAPITALIZED INTEREST</t>
  </si>
  <si>
    <t xml:space="preserve">  TOTAL ACCOUNT 282</t>
  </si>
  <si>
    <t xml:space="preserve">  TOTAL ACCOUNT 283</t>
  </si>
  <si>
    <t xml:space="preserve">  TOTAL OTHER SUBTRACTIVE ADJS</t>
  </si>
  <si>
    <t>UNCOLLECTIBLE ACCTS</t>
  </si>
  <si>
    <t>POST RETIREMENT BENEFITS</t>
  </si>
  <si>
    <t xml:space="preserve">  TOTAL ACCOUNT 190</t>
  </si>
  <si>
    <t xml:space="preserve">  OTHER</t>
  </si>
  <si>
    <t>GAS ENRICHER LIQUID</t>
  </si>
  <si>
    <t>OTHER SUPPLIES</t>
  </si>
  <si>
    <t xml:space="preserve">  TOTAL PLANT MATS. &amp; SUPPLIES</t>
  </si>
  <si>
    <t xml:space="preserve">  TOTAL PREPAYMENTS</t>
  </si>
  <si>
    <t>GAS STORED UNDERGROUND</t>
  </si>
  <si>
    <t xml:space="preserve">  TOTAL MISC WORK CAPITAL</t>
  </si>
  <si>
    <t xml:space="preserve">  TOTAL RATE BASE ADJUSTMENTS</t>
  </si>
  <si>
    <t>TOTAL RATE BASE ADJUSTMENTS</t>
  </si>
  <si>
    <t xml:space="preserve">  TOTAL RATE BASE</t>
  </si>
  <si>
    <t>ANNUALIZED GAS COST - DEMAND</t>
  </si>
  <si>
    <t xml:space="preserve">  TOTAL DEMAND RELATED</t>
  </si>
  <si>
    <t>PRODUCTION EXPENSES</t>
  </si>
  <si>
    <t xml:space="preserve">  TOTAL TRANSMISSION O &amp; M</t>
  </si>
  <si>
    <t>MAINS &amp; SERVICES OPER</t>
  </si>
  <si>
    <t>CUSTOMER INST &amp; OTHER</t>
  </si>
  <si>
    <t>METERS &amp; HOUSE REG</t>
  </si>
  <si>
    <t>MAINS</t>
  </si>
  <si>
    <t>SERVICES</t>
  </si>
  <si>
    <t xml:space="preserve">  TOTAL DISTRIBUTION O &amp; M</t>
  </si>
  <si>
    <t xml:space="preserve">  TOTAL CUSTOMER ACCT EXPENSE</t>
  </si>
  <si>
    <t>TOTAL CUST SERVICE &amp; INFO</t>
  </si>
  <si>
    <t xml:space="preserve">  TOTAL CUSTOMER SERV. &amp; INFO.</t>
  </si>
  <si>
    <t>SALES EXPENSE</t>
  </si>
  <si>
    <t xml:space="preserve">  TOTAL SALES EXPENSE</t>
  </si>
  <si>
    <t xml:space="preserve">  TOTAL ADMIN. &amp; GENERAL</t>
  </si>
  <si>
    <t>TOTAL O &amp; M EXPENSE</t>
  </si>
  <si>
    <t xml:space="preserve">  TOTAL PRODUCTION DEPREC EXP.</t>
  </si>
  <si>
    <t xml:space="preserve">  TOTAL TRANSMISSION DEP. EXP.</t>
  </si>
  <si>
    <t xml:space="preserve">  TOTAL DIST. DEPREC EXP.</t>
  </si>
  <si>
    <t xml:space="preserve">  TOTAL GENERAL DEPREC EXP.</t>
  </si>
  <si>
    <t>COMMON DEPRECIATION</t>
  </si>
  <si>
    <t xml:space="preserve">  TOTAL COM &amp; OTHER DEPREC EXP.</t>
  </si>
  <si>
    <t>REAL ESTATE &amp; PROPERTY TAX</t>
  </si>
  <si>
    <t>ANNUALIZE PROPERTY TAX</t>
  </si>
  <si>
    <t>PAYROLL &amp; HIGHWAY</t>
  </si>
  <si>
    <t xml:space="preserve">  TOTAL MISCELLANEOUS TAXES</t>
  </si>
  <si>
    <t xml:space="preserve">  TOTAL MISCELLANEOUS EXPENSES</t>
  </si>
  <si>
    <t>TOTAL O&amp;M EXPENSE</t>
  </si>
  <si>
    <t>AUTO PROC INTEREST DED</t>
  </si>
  <si>
    <t xml:space="preserve">  TOTAL INTEREST EXPENSE</t>
  </si>
  <si>
    <t>DEPREC EXCESS TAX-BOOK</t>
  </si>
  <si>
    <t xml:space="preserve">  TOTAL OTHER DEDUCTIONS</t>
  </si>
  <si>
    <t>AMORTIZE ITC</t>
  </si>
  <si>
    <t>PROV INVEST TAX CREDIT</t>
  </si>
  <si>
    <t xml:space="preserve">  TEST YEAR INV TAX CREDIT</t>
  </si>
  <si>
    <t xml:space="preserve">  TOTAL FEDERAL TAX ADJUSTMENTS</t>
  </si>
  <si>
    <t xml:space="preserve">  BASE FOR FIT COMPUATION</t>
  </si>
  <si>
    <t>FIT FACTOR K190/(1-K190)</t>
  </si>
  <si>
    <t>PRELIM FED INCOME TAX</t>
  </si>
  <si>
    <t>TOTAL FEDERAL TAX ADJUSTMENTS</t>
  </si>
  <si>
    <t xml:space="preserve">  NET FED INCOME TAX ALLOWABLE</t>
  </si>
  <si>
    <t>PRELIM FEDERAL INCOME TAX</t>
  </si>
  <si>
    <t>TEST YEAR INV TAX CREDIT</t>
  </si>
  <si>
    <t xml:space="preserve">  NET FED INCOME TAX PAYABLE</t>
  </si>
  <si>
    <t>NET FED INCOME TAX ALLOWABLE</t>
  </si>
  <si>
    <t>MISC SERVICE REVENUE</t>
  </si>
  <si>
    <t xml:space="preserve">  TOTAL OTHER OPERATING REVS</t>
  </si>
  <si>
    <t>TOTAL OP EXP EXC INC &amp; REV TAX</t>
  </si>
  <si>
    <t xml:space="preserve">  SUBTOTAL B</t>
  </si>
  <si>
    <t>LESS: REVS EXCL FROM REV TAX CALC</t>
  </si>
  <si>
    <t>OTHER OPERATING REVS TO BE TAXED</t>
  </si>
  <si>
    <t>REVENUE TAX FACTOR</t>
  </si>
  <si>
    <t>REVENUE TAX ON OTHER OPER. REVS</t>
  </si>
  <si>
    <t>REVENUE TAX ON COST OF SERVICE</t>
  </si>
  <si>
    <t>TOTAL REVENUE TAX</t>
  </si>
  <si>
    <t>LONG TERM DEBT</t>
  </si>
  <si>
    <t>PREFERRED STOCK</t>
  </si>
  <si>
    <t>COMMON STOCK</t>
  </si>
  <si>
    <t>SHORT TERM DEBT</t>
  </si>
  <si>
    <t>UNAMORTIZED DISCOUNT</t>
  </si>
  <si>
    <t xml:space="preserve">  TOTAL</t>
  </si>
  <si>
    <t xml:space="preserve">  TOT RATE OF RETURN ALLOWABLE</t>
  </si>
  <si>
    <t>SHORT TERM DEBT COST</t>
  </si>
  <si>
    <t>FEDERAL INCOME TAX RATE</t>
  </si>
  <si>
    <t>STATE INCOME TAX RATE</t>
  </si>
  <si>
    <t>REVENUE TAX RATE</t>
  </si>
  <si>
    <t>FIRM MCF SALES</t>
  </si>
  <si>
    <t>TOTAL CUSTOMERS</t>
  </si>
  <si>
    <t>W'TD CUSTOMERS - SERVICES</t>
  </si>
  <si>
    <t>METER COSTS</t>
  </si>
  <si>
    <t>ASSIGN 100% TO GS OTHER</t>
  </si>
  <si>
    <t>LARGE CUSTOMERS</t>
  </si>
  <si>
    <t>GOVERNMENTAL</t>
  </si>
  <si>
    <t>INTERDEPARTMENTAL</t>
  </si>
  <si>
    <t>TOTAL</t>
  </si>
  <si>
    <t>WTD GROSS PROD PLANT RATIOS</t>
  </si>
  <si>
    <t>WTD GROSS DIST PLANT RATIOS</t>
  </si>
  <si>
    <t>WTD GROSS PTD PLT RATIOS</t>
  </si>
  <si>
    <t>WTD GROSS G &amp; I PLT RATIOS</t>
  </si>
  <si>
    <t>WTD GROSS C &amp; O PLANT RATIOS</t>
  </si>
  <si>
    <t>WTD GROSS PLANT RATIOS</t>
  </si>
  <si>
    <t>WTD DISTR ACCUM RESERVE</t>
  </si>
  <si>
    <t>WTD TOTAL DEPRC RES RATIOS</t>
  </si>
  <si>
    <t>WTD NET PROD PLANT RATIOS</t>
  </si>
  <si>
    <t>WTD NET DIST PLANT RATIOS</t>
  </si>
  <si>
    <t>WTD NET G &amp; I PLT RATIOS</t>
  </si>
  <si>
    <t>WTD NET C &amp; O PLANT RATIOS</t>
  </si>
  <si>
    <t>WTD NET PLANT RATIOS</t>
  </si>
  <si>
    <t>WTD MATERIAL &amp; SUPPLY RATIOS</t>
  </si>
  <si>
    <t>WTD PREPAYMENTS RATIOS</t>
  </si>
  <si>
    <t>WTD TOTAL WORKING CASH RATIOS</t>
  </si>
  <si>
    <t>WTD TOTAL MISC WRKNG CAP RATIO</t>
  </si>
  <si>
    <t>WTD TOTAL WRKNG CAP RATIOS</t>
  </si>
  <si>
    <t>WTD NET OCRB RATIOS</t>
  </si>
  <si>
    <t>WTD TOTAL RATE BASE RATIOS</t>
  </si>
  <si>
    <t>WTD DIST O&amp;M EXP RATIOS</t>
  </si>
  <si>
    <t>WTD CUST ACCT EXP RATIOS</t>
  </si>
  <si>
    <t>WTD SALES EXP RATIOS</t>
  </si>
  <si>
    <t>WTD A&amp;G EXP RATIOS</t>
  </si>
  <si>
    <t>WTD O&amp;M EXP RATIOS</t>
  </si>
  <si>
    <t>WTD PRODUCTION DEPREC RATIOS</t>
  </si>
  <si>
    <t>WTD DIST DEPREC RATIOS</t>
  </si>
  <si>
    <t>WTD GENERAL DEPREC EXP RATIOS</t>
  </si>
  <si>
    <t>WTD COM &amp; OTHER DEP EXP RATIOS</t>
  </si>
  <si>
    <t>WTD TOT DEPREC EXP RATIOS</t>
  </si>
  <si>
    <t>WTD R. E. &amp; PROP TAX RATIOS</t>
  </si>
  <si>
    <t>WTD MISC TAX RATIOS</t>
  </si>
  <si>
    <t>WTD OTHER TAX RATIOS</t>
  </si>
  <si>
    <t>WTD OP EXP EX IT &amp; REV RATIOS</t>
  </si>
  <si>
    <t>WTD PROD O&amp;M EXP RATIOS</t>
  </si>
  <si>
    <t xml:space="preserve">  TOTAL GAS REVENUE</t>
  </si>
  <si>
    <t>TOTAL OP EXP EX INC &amp; REV TAX</t>
  </si>
  <si>
    <t>FIRM SERVICE REVENUE TAX</t>
  </si>
  <si>
    <t xml:space="preserve">  NET INCOME</t>
  </si>
  <si>
    <t>TOTAL INTEREST EXPENSE</t>
  </si>
  <si>
    <t>TOTAL OTHER DEDUCTIONS</t>
  </si>
  <si>
    <t xml:space="preserve">  PRELIMINARY TAXABLE INCOME</t>
  </si>
  <si>
    <t>PRELIMINARY TAXABLE INCOME</t>
  </si>
  <si>
    <t xml:space="preserve">  NET FEDERAL TAXABLE INCOME</t>
  </si>
  <si>
    <t xml:space="preserve">  FEDERAL INCOME TAX RATE</t>
  </si>
  <si>
    <t>PRELIMINARY FIT = FI01 * K190</t>
  </si>
  <si>
    <t xml:space="preserve">  NET FED INC TAX ALLOWABLE</t>
  </si>
  <si>
    <t>PRELIM FIT</t>
  </si>
  <si>
    <t xml:space="preserve">  FED INC TAX PAYABLE</t>
  </si>
  <si>
    <t>NET INCOME</t>
  </si>
  <si>
    <t>NET FED INC TAX ALLOWABLE</t>
  </si>
  <si>
    <t>REVENUE TAX</t>
  </si>
  <si>
    <t xml:space="preserve">  TOTAL OPERATING EXPENSE</t>
  </si>
  <si>
    <t>PER UNIT PRES REV</t>
  </si>
  <si>
    <t>GAS</t>
  </si>
  <si>
    <t>REXC</t>
  </si>
  <si>
    <t>R602</t>
  </si>
  <si>
    <t>K201</t>
  </si>
  <si>
    <t>K203</t>
  </si>
  <si>
    <t>K205</t>
  </si>
  <si>
    <t>K301</t>
  </si>
  <si>
    <t>K401</t>
  </si>
  <si>
    <t>K403</t>
  </si>
  <si>
    <t>K405</t>
  </si>
  <si>
    <t>K413</t>
  </si>
  <si>
    <t>K415</t>
  </si>
  <si>
    <t>K595</t>
  </si>
  <si>
    <t>K597</t>
  </si>
  <si>
    <t>K667</t>
  </si>
  <si>
    <t>K697</t>
  </si>
  <si>
    <t>K901</t>
  </si>
  <si>
    <t>K417</t>
  </si>
  <si>
    <t>R600</t>
  </si>
  <si>
    <t>P129</t>
  </si>
  <si>
    <t>D149</t>
  </si>
  <si>
    <t>PD29</t>
  </si>
  <si>
    <t>G129</t>
  </si>
  <si>
    <t>C129</t>
  </si>
  <si>
    <t>GP19</t>
  </si>
  <si>
    <t>D199</t>
  </si>
  <si>
    <t>DR19</t>
  </si>
  <si>
    <t>P229</t>
  </si>
  <si>
    <t>D249</t>
  </si>
  <si>
    <t>G229</t>
  </si>
  <si>
    <t>C229</t>
  </si>
  <si>
    <t>NP29</t>
  </si>
  <si>
    <t>W669</t>
  </si>
  <si>
    <t>W689</t>
  </si>
  <si>
    <t>W729</t>
  </si>
  <si>
    <t>W749</t>
  </si>
  <si>
    <t>WC79</t>
  </si>
  <si>
    <t>RB29</t>
  </si>
  <si>
    <t>RB99</t>
  </si>
  <si>
    <t>P349</t>
  </si>
  <si>
    <t>D349</t>
  </si>
  <si>
    <t>OM39</t>
  </si>
  <si>
    <t>P489</t>
  </si>
  <si>
    <t>D489</t>
  </si>
  <si>
    <t>G489</t>
  </si>
  <si>
    <t>C489</t>
  </si>
  <si>
    <t>DE49</t>
  </si>
  <si>
    <t>L529</t>
  </si>
  <si>
    <t>L589</t>
  </si>
  <si>
    <t>L599</t>
  </si>
  <si>
    <t>OP69</t>
  </si>
  <si>
    <t>CS09</t>
  </si>
  <si>
    <t>P459</t>
  </si>
  <si>
    <t>ALLO</t>
  </si>
  <si>
    <t>RESIDENTIAL</t>
  </si>
  <si>
    <t>RATIO</t>
  </si>
  <si>
    <t>OTHER</t>
  </si>
  <si>
    <t>AT ISSUE</t>
  </si>
  <si>
    <t>ALL</t>
  </si>
  <si>
    <t xml:space="preserve"> </t>
  </si>
  <si>
    <t>Schedule 2</t>
  </si>
  <si>
    <t>Schedule 3</t>
  </si>
  <si>
    <t>Schedule 4</t>
  </si>
  <si>
    <t>Schedule 5</t>
  </si>
  <si>
    <t>Schedule 6</t>
  </si>
  <si>
    <t>Schedule 7</t>
  </si>
  <si>
    <t>Schedule 8</t>
  </si>
  <si>
    <t>Schedule 9</t>
  </si>
  <si>
    <t>Schedule 10</t>
  </si>
  <si>
    <t>Schedule 11</t>
  </si>
  <si>
    <t>Schedule 1</t>
  </si>
  <si>
    <t>RATIO TO TOTAL GAS</t>
  </si>
  <si>
    <t>A&amp;G</t>
  </si>
  <si>
    <t>Prod Plant</t>
  </si>
  <si>
    <t>Trans Plant</t>
  </si>
  <si>
    <t>Dist Plant</t>
  </si>
  <si>
    <t>Customer Acctg</t>
  </si>
  <si>
    <t>Cust Service &amp; Info</t>
  </si>
  <si>
    <t>Sales</t>
  </si>
  <si>
    <t>Total O&amp;M excl A&amp;G</t>
  </si>
  <si>
    <t>Total O&amp;M</t>
  </si>
  <si>
    <t>Prod Plant Com Related</t>
  </si>
  <si>
    <t>PRODUCTION PLANT COMMODITY</t>
  </si>
  <si>
    <t>Function</t>
  </si>
  <si>
    <t xml:space="preserve"> TOT ADMIN &amp; GEN LESS REG EXP</t>
  </si>
  <si>
    <t>NET GAS PLANT IN SERVICE</t>
  </si>
  <si>
    <t>IT</t>
  </si>
  <si>
    <t>LOSS ON REACQUIRED DEBT</t>
  </si>
  <si>
    <t>METERS &amp; TRANSFORMERS</t>
  </si>
  <si>
    <t>UNCOLLECTIBLE EXP</t>
  </si>
  <si>
    <t>PROPERTY TAX</t>
  </si>
  <si>
    <t>PURCHASED MCF SALES</t>
  </si>
  <si>
    <t>WEIGHTED CUST - REGULATORS</t>
  </si>
  <si>
    <t>Functional Labor Ratio</t>
  </si>
  <si>
    <t>RENTS</t>
  </si>
  <si>
    <t>K300</t>
  </si>
  <si>
    <t>NET FED INCOME TAX EXP ALLOWABLE</t>
  </si>
  <si>
    <t>K431</t>
  </si>
  <si>
    <t>K406</t>
  </si>
  <si>
    <t>WTD CWIP RATIO</t>
  </si>
  <si>
    <t>CW29</t>
  </si>
  <si>
    <t>CUST ACCTG EXPENSE</t>
  </si>
  <si>
    <t>LOAD DISPATCHING</t>
  </si>
  <si>
    <t>M &amp; R STATION GENERAL</t>
  </si>
  <si>
    <t>SUPV &amp; ENG</t>
  </si>
  <si>
    <t>SUPERVISION &amp; ENGINEERING</t>
  </si>
  <si>
    <t>METER READING</t>
  </si>
  <si>
    <t>UNEMPLOYMENT COMPENSATION</t>
  </si>
  <si>
    <t>AMORT OF DEFERRED MERGER COST</t>
  </si>
  <si>
    <t>SYSTEM M&amp;R - (2780, 2781)</t>
  </si>
  <si>
    <t>LARGE IND M&amp;R - (2850, 2851)</t>
  </si>
  <si>
    <t>MAINS - (2761, 2762, 2763, 2765)</t>
  </si>
  <si>
    <t>SERVICES - (2801, 2802, 2803)</t>
  </si>
  <si>
    <t>MTRS &amp; MTR INST (2810, 2811, 2820, 2821)</t>
  </si>
  <si>
    <t>HOUSE REG &amp; INSTALL (2830, 2840)</t>
  </si>
  <si>
    <t>CUSTOMER ADVANCES FOR CONSTRUCTION</t>
  </si>
  <si>
    <t>INSURANCE GENERAL</t>
  </si>
  <si>
    <t>EXCISE TAX</t>
  </si>
  <si>
    <t>PIPP UNCOLLECTIBLES</t>
  </si>
  <si>
    <t>CUSTOMER SERVICE DEPOSITS</t>
  </si>
  <si>
    <t>GAS PURCHASE</t>
  </si>
  <si>
    <t>GEN SERV</t>
  </si>
  <si>
    <t>TOTAL ANNUAL MCF THROUGHPUT</t>
  </si>
  <si>
    <t>GS INDUST, FT  &amp; IT TRANSP</t>
  </si>
  <si>
    <t>IT TRANSPORT SPECIAL CONTRACTS</t>
  </si>
  <si>
    <t>MISC. REV. - SALE OF MATERIAL</t>
  </si>
  <si>
    <t xml:space="preserve">DIST REG EQUIP &amp; CITY GATE M&amp;R- (2782, 2790) </t>
  </si>
  <si>
    <t>LAND, R OF W, STRUCT &amp; IMPROV &amp; OTH</t>
  </si>
  <si>
    <t>TOTAL AMORTIZED ITC</t>
  </si>
  <si>
    <t xml:space="preserve">  TOTAL AMORTIZED ITC</t>
  </si>
  <si>
    <t>OTH MISC REVENUE</t>
  </si>
  <si>
    <t>CUSTOMER BILLING &amp; COLLECTIONS</t>
  </si>
  <si>
    <t>STREET LIGHTING EQUIPMENT &amp; OTH</t>
  </si>
  <si>
    <t>LAND, R OF W, STRUCT &amp; IMPROV</t>
  </si>
  <si>
    <t>RS/RFT</t>
  </si>
  <si>
    <t xml:space="preserve"> AMORT INV TAX CREDIT</t>
  </si>
  <si>
    <t>STATE REG COMMISSION EXPENSES</t>
  </si>
  <si>
    <t>STATE REG COM EXP ANN ADJ.</t>
  </si>
  <si>
    <t>AMORTIZATION RATE CASE EXPENSE</t>
  </si>
  <si>
    <t>OTHER PROD GAS ASSC COS  489050</t>
  </si>
  <si>
    <t>RENT ASSOC. COS  49302,04,05,06,07,08,11 &amp; 50</t>
  </si>
  <si>
    <t>PRODUCTION PLANT DEMAND</t>
  </si>
  <si>
    <t>ANNUALIZED GAS COST</t>
  </si>
  <si>
    <t xml:space="preserve">  TOTAL DEM REL &amp; OTH PROD O&amp;M </t>
  </si>
  <si>
    <t>UNCOLLECTIBLE EXPENSE</t>
  </si>
  <si>
    <t>ANNUALIZED UNCOLL EXP ON INCR</t>
  </si>
  <si>
    <t>NET PTD PLANT</t>
  </si>
  <si>
    <t>OTHER ASSOCIATED COST</t>
  </si>
  <si>
    <t xml:space="preserve">  TOTAL COMMODITY RELATED</t>
  </si>
  <si>
    <t>ASSIGN 100% TO RS/RFT</t>
  </si>
  <si>
    <t>K903</t>
  </si>
  <si>
    <t xml:space="preserve">  TOTAL GAS COST OF SERVICE</t>
  </si>
  <si>
    <t>Page 1 of 3</t>
  </si>
  <si>
    <t>WITNESS RESPONSIBLE:</t>
  </si>
  <si>
    <t>Net Plant</t>
  </si>
  <si>
    <t>COSS</t>
  </si>
  <si>
    <t>Rev Req Mod</t>
  </si>
  <si>
    <t>Tot WC</t>
  </si>
  <si>
    <t>Cash WC</t>
  </si>
  <si>
    <t>Mat &amp; Supp</t>
  </si>
  <si>
    <t>Acct 252</t>
  </si>
  <si>
    <t>Acct 271</t>
  </si>
  <si>
    <t>Acct 190</t>
  </si>
  <si>
    <t>Acct 282</t>
  </si>
  <si>
    <t>Acct 283</t>
  </si>
  <si>
    <t>Jurisdictional Rate Base</t>
  </si>
  <si>
    <t>O&amp;M Expenses</t>
  </si>
  <si>
    <t>Trans</t>
  </si>
  <si>
    <t>Dist</t>
  </si>
  <si>
    <t>Cust Acct</t>
  </si>
  <si>
    <t>Cust serv</t>
  </si>
  <si>
    <t>Total Deprec Exp</t>
  </si>
  <si>
    <t>Property Tax</t>
  </si>
  <si>
    <t>Misc taxes</t>
  </si>
  <si>
    <t>total prop &amp; misc taxes</t>
  </si>
  <si>
    <t>Total O&amp;M, Depr &amp; MISC TAX</t>
  </si>
  <si>
    <t>Depreciation</t>
  </si>
  <si>
    <t>Total FIT Adj</t>
  </si>
  <si>
    <t>CALCULATION PROPOSED REVENUE DISTRIBUTION</t>
  </si>
  <si>
    <t>REFLECTING A PROPOSED REVENUE SUBSIDY/EXCESS ELIMINATION COMPONENT</t>
  </si>
  <si>
    <t>Revenues</t>
  </si>
  <si>
    <t>Proposed</t>
  </si>
  <si>
    <t>ROR</t>
  </si>
  <si>
    <t>Proposed Increase</t>
  </si>
  <si>
    <t>Present</t>
  </si>
  <si>
    <t>Net Operating</t>
  </si>
  <si>
    <t>At Average</t>
  </si>
  <si>
    <t>Rate</t>
  </si>
  <si>
    <t>Percent</t>
  </si>
  <si>
    <t>At Proposed</t>
  </si>
  <si>
    <t>Line</t>
  </si>
  <si>
    <t>Income</t>
  </si>
  <si>
    <t>Increase</t>
  </si>
  <si>
    <t>Rates</t>
  </si>
  <si>
    <t>No.</t>
  </si>
  <si>
    <t>Rate Class</t>
  </si>
  <si>
    <t>(A)</t>
  </si>
  <si>
    <t>(B)</t>
  </si>
  <si>
    <t>(C)</t>
  </si>
  <si>
    <t>(D)</t>
  </si>
  <si>
    <t>(E)</t>
  </si>
  <si>
    <t>(F)</t>
  </si>
  <si>
    <t>(G)</t>
  </si>
  <si>
    <t>(H)</t>
  </si>
  <si>
    <t>(I)</t>
  </si>
  <si>
    <t>(J)</t>
  </si>
  <si>
    <t>(K)</t>
  </si>
  <si>
    <t>(L)</t>
  </si>
  <si>
    <t>(C) / (A)</t>
  </si>
  <si>
    <t>Rate IT</t>
  </si>
  <si>
    <t xml:space="preserve">     Total</t>
  </si>
  <si>
    <t>Rate Base</t>
  </si>
  <si>
    <t>Schedule 6 - O &amp; M Expenses</t>
  </si>
  <si>
    <t>Schedule 7 - Depreciation Exp</t>
  </si>
  <si>
    <t>Schedule 9 - Income Tax - Fed</t>
  </si>
  <si>
    <t>Schedule 8 - Oth Tax &amp; Misc Exp</t>
  </si>
  <si>
    <t xml:space="preserve">Schedule 10 - Oth Revenues COS Calc </t>
  </si>
  <si>
    <t xml:space="preserve">Schedule 11 - Rate of Return &amp; Tax Rates </t>
  </si>
  <si>
    <t>Schedule 1 - Summary</t>
  </si>
  <si>
    <t>Gas stock</t>
  </si>
  <si>
    <t>Customer Advances</t>
  </si>
  <si>
    <t>Total Rate Base Reductions</t>
  </si>
  <si>
    <t xml:space="preserve">Rate Base Additions </t>
  </si>
  <si>
    <t>Misc Taxes</t>
  </si>
  <si>
    <t>Total Prop &amp; Misc Taxes</t>
  </si>
  <si>
    <t>Total FIT</t>
  </si>
  <si>
    <t>Revenue Tax</t>
  </si>
  <si>
    <t>Customer Service Deposits</t>
  </si>
  <si>
    <t>Rate Base Deductions</t>
  </si>
  <si>
    <t>Total Rate Base Additions</t>
  </si>
  <si>
    <t>ITC</t>
  </si>
  <si>
    <t>Post Retirement Benefits</t>
  </si>
  <si>
    <t>Duke Energy Ohio</t>
  </si>
  <si>
    <t>GAS METERS</t>
  </si>
  <si>
    <t>NON-CASH OVERHEADS</t>
  </si>
  <si>
    <t>PLANT FAS 109</t>
  </si>
  <si>
    <t>POST IN-SERVICE CARRYING COSTS</t>
  </si>
  <si>
    <t>ARO CUMULATIVE EFFECT</t>
  </si>
  <si>
    <t>GAS SUPPLIER REFUND</t>
  </si>
  <si>
    <t>OFFSITE GAS STORAGE</t>
  </si>
  <si>
    <t>UNAMORTIZED DEBT PREMIUM</t>
  </si>
  <si>
    <t>PENSION EXPENSE</t>
  </si>
  <si>
    <t>POST RETIREMENT BENEFITS - LIFE INS</t>
  </si>
  <si>
    <t>POST RETIREMENT BENEFITS - HEALTH CARE</t>
  </si>
  <si>
    <t>POST EMPLOYMENT BENEFITS - SFAS 112</t>
  </si>
  <si>
    <t>PROPERTY TAX ON PROPANE</t>
  </si>
  <si>
    <t>401K INCENTIVE PLAN</t>
  </si>
  <si>
    <t>INCENTIVE PLAN</t>
  </si>
  <si>
    <t>VACATION PAY ACCRUALS</t>
  </si>
  <si>
    <t>ELIMINATE NON-JURISDICTIONAL EXPENSES</t>
  </si>
  <si>
    <t>Other Rate Base Adj.</t>
  </si>
  <si>
    <t>OHIO EXCISE TAX</t>
  </si>
  <si>
    <t>STATE TAX RIDER</t>
  </si>
  <si>
    <t>TEMPORARY DIFFERENCES</t>
  </si>
  <si>
    <t>PERMANENT DIFFERENCES</t>
  </si>
  <si>
    <t>DEFERRED INCOME TAXES - NET</t>
  </si>
  <si>
    <t>Increase on Uncollectible Exp</t>
  </si>
  <si>
    <t>FIT prov Acct 410.1 &amp; 411.1 - Net</t>
  </si>
  <si>
    <t>DIT ADJUSTMENT - ARAM</t>
  </si>
  <si>
    <t>DIT ADJUSTMENT - S/L DEPRECIATION</t>
  </si>
  <si>
    <t xml:space="preserve"> FED DEFERRED INCOME TAX (410 &amp; 411)</t>
  </si>
  <si>
    <t>TOTAL FED DEF IT (410 &amp; 411)</t>
  </si>
  <si>
    <t xml:space="preserve">  TOTAL FED DEF IT (410 &amp; 411)</t>
  </si>
  <si>
    <t>CASE NO: 07-0589-GA-AIR</t>
  </si>
  <si>
    <t xml:space="preserve">MISCELLANEOUS REVENUES: </t>
  </si>
  <si>
    <t>INTERUPT</t>
  </si>
  <si>
    <t>TRANS</t>
  </si>
  <si>
    <t>Schedule 5 - Subtractive Adjustments</t>
  </si>
  <si>
    <t>Schedule 5.1 - Additive Adjustments</t>
  </si>
  <si>
    <t>Schedule 5.2 - Total Rate Base</t>
  </si>
  <si>
    <t>Schedule 6.1 - O &amp; M Expenses</t>
  </si>
  <si>
    <t>Schedule 12 - Allocation Factors</t>
  </si>
  <si>
    <t>Schedule 13 - Income Tax Calculation</t>
  </si>
  <si>
    <t>Schedule Name</t>
  </si>
  <si>
    <t>Schedule 5.1</t>
  </si>
  <si>
    <t>Schedule 5.2</t>
  </si>
  <si>
    <t>Schedule 6.1</t>
  </si>
  <si>
    <t>Schedule 12</t>
  </si>
  <si>
    <t>Schedule 12.1</t>
  </si>
  <si>
    <t>Allocation Factors For Cost of Sevice Study (E-3.2, Schedule12)</t>
  </si>
  <si>
    <t>MCF</t>
  </si>
  <si>
    <t>Ratio</t>
  </si>
  <si>
    <t>IT - Inter. Transportation</t>
  </si>
  <si>
    <t xml:space="preserve">Total </t>
  </si>
  <si>
    <t>(K203)</t>
  </si>
  <si>
    <t>(K205)</t>
  </si>
  <si>
    <t>Total Annual MCF Throughput (a)</t>
  </si>
  <si>
    <t>(K300)</t>
  </si>
  <si>
    <t>(K301)</t>
  </si>
  <si>
    <t>Source: (a) WPE-4a</t>
  </si>
  <si>
    <t>Page 2 of 3</t>
  </si>
  <si>
    <t>Customers</t>
  </si>
  <si>
    <t>(K401)</t>
  </si>
  <si>
    <t>Weighted Customers - Services (b)</t>
  </si>
  <si>
    <t>Weighted</t>
  </si>
  <si>
    <t>(K403)</t>
  </si>
  <si>
    <t>Acct 902</t>
  </si>
  <si>
    <t>Acct 903</t>
  </si>
  <si>
    <t>Total</t>
  </si>
  <si>
    <t>Acct 904</t>
  </si>
  <si>
    <t>Acct 908</t>
  </si>
  <si>
    <t>Acct 909</t>
  </si>
  <si>
    <t>Acct 913</t>
  </si>
  <si>
    <t>Page 3 of 3</t>
  </si>
  <si>
    <t>Meter Cost Allocator (a)</t>
  </si>
  <si>
    <t>Meter Cost</t>
  </si>
  <si>
    <t>Per Study</t>
  </si>
  <si>
    <t>(K413)</t>
  </si>
  <si>
    <t>House Regulators &amp; Installations (b)</t>
  </si>
  <si>
    <t>Wgt. Cust</t>
  </si>
  <si>
    <t>(K417)</t>
  </si>
  <si>
    <t>Large Industrial Measuring &amp; Regulating Stations (c)</t>
  </si>
  <si>
    <t>(K595)</t>
  </si>
  <si>
    <t>Combination of Weighted Customer &amp; Demand Allocation Factor (d)</t>
  </si>
  <si>
    <t>Peak &amp; Avg.</t>
  </si>
  <si>
    <t>Customer</t>
  </si>
  <si>
    <t>(Peak Day)</t>
  </si>
  <si>
    <t>Customer /</t>
  </si>
  <si>
    <t>Demand Ratio</t>
  </si>
  <si>
    <t>(K415)</t>
  </si>
  <si>
    <t>Page 1 of 1</t>
  </si>
  <si>
    <t>(1)</t>
  </si>
  <si>
    <t>(2)</t>
  </si>
  <si>
    <t>(3)</t>
  </si>
  <si>
    <t>(4)</t>
  </si>
  <si>
    <t>(6)</t>
  </si>
  <si>
    <t>Annual Usage</t>
  </si>
  <si>
    <t>Class of Service</t>
  </si>
  <si>
    <t>(Mcf)</t>
  </si>
  <si>
    <t>(Mcf / Day)</t>
  </si>
  <si>
    <t>(Ratio)</t>
  </si>
  <si>
    <t>Interruptible Transportation</t>
  </si>
  <si>
    <t>(7)</t>
  </si>
  <si>
    <t>(8)</t>
  </si>
  <si>
    <t>(9)</t>
  </si>
  <si>
    <t>(10)</t>
  </si>
  <si>
    <t xml:space="preserve">Peak &amp; Avg. Demand </t>
  </si>
  <si>
    <t>Non-weather normal</t>
  </si>
  <si>
    <t>Calendar Month</t>
  </si>
  <si>
    <t>Class Max.</t>
  </si>
  <si>
    <t>Monthly</t>
  </si>
  <si>
    <t>Diversified Class</t>
  </si>
  <si>
    <t>Non-Coin</t>
  </si>
  <si>
    <t>Non-Coin Class</t>
  </si>
  <si>
    <t>Month</t>
  </si>
  <si>
    <t>Days</t>
  </si>
  <si>
    <t>Peak Day</t>
  </si>
  <si>
    <t>Peak Day L. F.</t>
  </si>
  <si>
    <t>Day Demand</t>
  </si>
  <si>
    <t>Peak Day  L. F.</t>
  </si>
  <si>
    <t>Peak Day Dem</t>
  </si>
  <si>
    <t>Feb</t>
  </si>
  <si>
    <t>Mar</t>
  </si>
  <si>
    <t>May</t>
  </si>
  <si>
    <t>Jun</t>
  </si>
  <si>
    <t>Jul</t>
  </si>
  <si>
    <t>Aug</t>
  </si>
  <si>
    <t>Sept</t>
  </si>
  <si>
    <t xml:space="preserve">Oct </t>
  </si>
  <si>
    <t>Nov</t>
  </si>
  <si>
    <t>NCD</t>
  </si>
  <si>
    <t>Factor</t>
  </si>
  <si>
    <t>Total Mcf</t>
  </si>
  <si>
    <t>Work Paper WPE-3.2e</t>
  </si>
  <si>
    <t>Witness Responsible: Don Storck</t>
  </si>
  <si>
    <t>Determination of Customer / Demand of Component using Plastic Mains</t>
  </si>
  <si>
    <t>Page __ of __</t>
  </si>
  <si>
    <t>As of March 31, 2007</t>
  </si>
  <si>
    <t>AVG</t>
  </si>
  <si>
    <t>SIZE</t>
  </si>
  <si>
    <t>FEET</t>
  </si>
  <si>
    <t>COST</t>
  </si>
  <si>
    <t>COST/FT</t>
  </si>
  <si>
    <t>SUMMARY OUTPUT</t>
  </si>
  <si>
    <t>Regression Statistics</t>
  </si>
  <si>
    <t>3/4"</t>
  </si>
  <si>
    <t>Multiple R</t>
  </si>
  <si>
    <t>R Square</t>
  </si>
  <si>
    <t>Adjusted R Square</t>
  </si>
  <si>
    <t>Standard Error</t>
  </si>
  <si>
    <t>Observations</t>
  </si>
  <si>
    <t>ANOVA</t>
  </si>
  <si>
    <t>df</t>
  </si>
  <si>
    <t>SS</t>
  </si>
  <si>
    <t>MS</t>
  </si>
  <si>
    <t>F</t>
  </si>
  <si>
    <t>Significance F</t>
  </si>
  <si>
    <t>Regression</t>
  </si>
  <si>
    <t>Residual</t>
  </si>
  <si>
    <t>Coefficients</t>
  </si>
  <si>
    <t>t Stat</t>
  </si>
  <si>
    <t>P-value</t>
  </si>
  <si>
    <t>Lower 95%</t>
  </si>
  <si>
    <t>Upper 95%</t>
  </si>
  <si>
    <t>Lower 95.0%</t>
  </si>
  <si>
    <t>Upper 95.0%</t>
  </si>
  <si>
    <t>Intercept</t>
  </si>
  <si>
    <t>X Variable 1</t>
  </si>
  <si>
    <t xml:space="preserve">CUSTOMER COMPONENT FROM CURVE= </t>
  </si>
  <si>
    <t>/FEET</t>
  </si>
  <si>
    <t xml:space="preserve">TOTAL CUSTOMER COMPONENT= </t>
  </si>
  <si>
    <t>x</t>
  </si>
  <si>
    <t>=</t>
  </si>
  <si>
    <t xml:space="preserve">TOTAL COST OF PLASTIC PIPE = </t>
  </si>
  <si>
    <t>CUSTOMER COMPONENT RATIO=</t>
  </si>
  <si>
    <t>/</t>
  </si>
  <si>
    <t>DEMAND COMPONENT =</t>
  </si>
  <si>
    <t>-</t>
  </si>
  <si>
    <t>ESTIMATED</t>
  </si>
  <si>
    <t>Regression Output:</t>
  </si>
  <si>
    <t>Constant</t>
  </si>
  <si>
    <t>Std Err of Y Est</t>
  </si>
  <si>
    <t>R Squared</t>
  </si>
  <si>
    <t>No. of Observations</t>
  </si>
  <si>
    <t>Degrees of Freedom</t>
  </si>
  <si>
    <t>X Coefficient(s)</t>
  </si>
  <si>
    <t>Std Err of Coef.</t>
  </si>
  <si>
    <t>RESIDUAL OUTPUT</t>
  </si>
  <si>
    <t>Observation</t>
  </si>
  <si>
    <t>Residuals</t>
  </si>
  <si>
    <t>size</t>
  </si>
  <si>
    <t>accum_quantity</t>
  </si>
  <si>
    <t>accum_cost</t>
  </si>
  <si>
    <t>cost / foot</t>
  </si>
  <si>
    <t>1 1/4"</t>
  </si>
  <si>
    <t>1"</t>
  </si>
  <si>
    <t>12"</t>
  </si>
  <si>
    <t>2"</t>
  </si>
  <si>
    <t>3"</t>
  </si>
  <si>
    <t>4"</t>
  </si>
  <si>
    <t>6"</t>
  </si>
  <si>
    <t>8"</t>
  </si>
  <si>
    <t>Grand Total</t>
  </si>
  <si>
    <t>Minimum System Cost per Foot</t>
  </si>
  <si>
    <t>Total Feet</t>
  </si>
  <si>
    <t>X</t>
  </si>
  <si>
    <t>Total Minimum System Cost</t>
  </si>
  <si>
    <t>Total Cost</t>
  </si>
  <si>
    <t>÷</t>
  </si>
  <si>
    <t>Customer Component Percentage</t>
  </si>
  <si>
    <t>Page 1 of 4</t>
  </si>
  <si>
    <t>NUMBER</t>
  </si>
  <si>
    <t xml:space="preserve">     INDUSTRIAL</t>
  </si>
  <si>
    <t xml:space="preserve">OF </t>
  </si>
  <si>
    <t xml:space="preserve">    RESIDENTIAL</t>
  </si>
  <si>
    <t xml:space="preserve">  TRANSP / OFF PEAK</t>
  </si>
  <si>
    <t>KIND</t>
  </si>
  <si>
    <t>100% RESIDENTIAL</t>
  </si>
  <si>
    <t>CU</t>
  </si>
  <si>
    <t>3/8"</t>
  </si>
  <si>
    <t>1/2"</t>
  </si>
  <si>
    <t>P</t>
  </si>
  <si>
    <t>5/8"</t>
  </si>
  <si>
    <t>1/4"</t>
  </si>
  <si>
    <t>S</t>
  </si>
  <si>
    <t>1 1/2"</t>
  </si>
  <si>
    <t>2 1/2"</t>
  </si>
  <si>
    <t>Page 2 of 4</t>
  </si>
  <si>
    <t>C</t>
  </si>
  <si>
    <t>10"</t>
  </si>
  <si>
    <t>16"</t>
  </si>
  <si>
    <t>AVG COST / SERV.</t>
  </si>
  <si>
    <t>WEIGHTING FACTOR</t>
  </si>
  <si>
    <t>Page 3 of 4</t>
  </si>
  <si>
    <t>Weighted Customers</t>
  </si>
  <si>
    <t>Residential</t>
  </si>
  <si>
    <t>Page 4 of 4</t>
  </si>
  <si>
    <t>kind</t>
  </si>
  <si>
    <t>C Total</t>
  </si>
  <si>
    <t>CU Total</t>
  </si>
  <si>
    <t>P Total</t>
  </si>
  <si>
    <t>S Total</t>
  </si>
  <si>
    <t>Work Paper WPE-3.2g</t>
  </si>
  <si>
    <t>Page 1 of 2</t>
  </si>
  <si>
    <t>Account 2830</t>
  </si>
  <si>
    <t>1" or less (100% Res)</t>
  </si>
  <si>
    <t>All Other</t>
  </si>
  <si>
    <t>Units</t>
  </si>
  <si>
    <t>Cost per Unit</t>
  </si>
  <si>
    <t>Weighting</t>
  </si>
  <si>
    <t>Account 2840</t>
  </si>
  <si>
    <t>Regulator Stations</t>
  </si>
  <si>
    <t>Count</t>
  </si>
  <si>
    <t>Total Unit</t>
  </si>
  <si>
    <t>Cost Per Unit</t>
  </si>
  <si>
    <t>Weight Factor</t>
  </si>
  <si>
    <t>Customers(a)</t>
  </si>
  <si>
    <t>Weighted Factor</t>
  </si>
  <si>
    <t>Ratio Alloc (K417)</t>
  </si>
  <si>
    <t>RS</t>
  </si>
  <si>
    <t>Total Customers</t>
  </si>
  <si>
    <t>Class</t>
  </si>
  <si>
    <t>Page 2 of 2</t>
  </si>
  <si>
    <t>long_description</t>
  </si>
  <si>
    <t>Adjustment ru for gas regulator from old system</t>
  </si>
  <si>
    <t>Gas regulator:  Regulator, #1</t>
  </si>
  <si>
    <t>Gas regulator:  Regulator, 1 1/2"</t>
  </si>
  <si>
    <t>Gas regulator:  Regulator, 1 1/4"</t>
  </si>
  <si>
    <t>Gas regulator:  Regulator, 1" x 2"</t>
  </si>
  <si>
    <t>Gas regulator:  Regulator, 10"</t>
  </si>
  <si>
    <t>Gas regulator:  Regulator, 16"</t>
  </si>
  <si>
    <t>Gas regulator:  Regulator, 2"</t>
  </si>
  <si>
    <t>Gas regulator:  Regulator, 2" x 4"</t>
  </si>
  <si>
    <t>Gas regulator:  Regulator, 3"</t>
  </si>
  <si>
    <t>Gas regulator:  Regulator, 3/4"</t>
  </si>
  <si>
    <t>Gas regulator:  Regulator, 3/4" x 1"</t>
  </si>
  <si>
    <t>Gas regulator:  Regulator, 4"</t>
  </si>
  <si>
    <t>Gas regulator:  Regulator, 6"</t>
  </si>
  <si>
    <t>Gas regulator:  Regulator, 8"</t>
  </si>
  <si>
    <t>Gas regulator:  Regulator, Dummy code</t>
  </si>
  <si>
    <t>Gas regulator:  Regulator, Pilot loading</t>
  </si>
  <si>
    <t>Gas regulator:  Relief Valve, 1/4"</t>
  </si>
  <si>
    <t>Gas regulator:  Relief Valve, 2"</t>
  </si>
  <si>
    <t>Gas regulator:  Relief Valve, 3"</t>
  </si>
  <si>
    <t>Gas regulator:  Relief Valve, 3" x 2"</t>
  </si>
  <si>
    <t>Gas regulator:  Relief Valve, 3" x 4"</t>
  </si>
  <si>
    <t>Gas regulator:  Relief Valve, 3/4"</t>
  </si>
  <si>
    <t>Gas regulator:  Relief Valve, 3/4" x 1"</t>
  </si>
  <si>
    <t>Gas regulator:  Relief Valve, 4"</t>
  </si>
  <si>
    <t>Gas regulator:  Relief Valve, 6"</t>
  </si>
  <si>
    <t>Gas regulator:  Relief Valve, 6" x 8"</t>
  </si>
  <si>
    <t>Gas regulator:  Relief Valve, 8"</t>
  </si>
  <si>
    <t>Non-unitized</t>
  </si>
  <si>
    <t>Regulators</t>
  </si>
  <si>
    <t>Quantity</t>
  </si>
  <si>
    <t>Account</t>
  </si>
  <si>
    <t xml:space="preserve">Allocation </t>
  </si>
  <si>
    <t>Title</t>
  </si>
  <si>
    <t>Factors</t>
  </si>
  <si>
    <t>Purpose</t>
  </si>
  <si>
    <t>Data to be Requested</t>
  </si>
  <si>
    <t>To be requested from</t>
  </si>
  <si>
    <t>Date Requested; Needed</t>
  </si>
  <si>
    <t>None - pulls from other WPs</t>
  </si>
  <si>
    <t>NA</t>
  </si>
  <si>
    <t>K203, K205</t>
  </si>
  <si>
    <t>none</t>
  </si>
  <si>
    <t>Load Research data</t>
  </si>
  <si>
    <t>Kelly Berg</t>
  </si>
  <si>
    <t>ACCUMULATED DEFERRED INCOME TAXES</t>
  </si>
  <si>
    <t xml:space="preserve"> OTHER ACCUMULATED DEFERRED INCOME TAXES</t>
  </si>
  <si>
    <t>TOTAL OTHER ACCUMULATED DEFERRED INCOME TAXES</t>
  </si>
  <si>
    <t>OTHER ACCUMULATED DEFERRED INCOME TAXES</t>
  </si>
  <si>
    <t>TOTAL ACCUMULATED DEFERRED INCOME TAXES</t>
  </si>
  <si>
    <t>SUBTOTAL ACCUMULATED DEFERRED INC TAXES</t>
  </si>
  <si>
    <t>Load Research Data RS, GS and IT</t>
  </si>
  <si>
    <t>ALLOCATION FACTORS FOR COST OF SERVICE STUDY</t>
  </si>
  <si>
    <t>alloc_factors</t>
  </si>
  <si>
    <t xml:space="preserve">GAS COST OF SERVICE STUDY </t>
  </si>
  <si>
    <t>DAILY DEMAND ANALYSIS</t>
  </si>
  <si>
    <t>MONTHLY GAS STATISTICS</t>
  </si>
  <si>
    <t>ALLOCATION OF LARGE INDUSTRIAL MEASURING AND REGULATING STATIONS (ACCTS 2580 &amp; 2581)</t>
  </si>
  <si>
    <t>MINIMUM SYSTEM STUDY - PLASTIC MAINS</t>
  </si>
  <si>
    <t>MINIMUM INTERCEPT STUDY - PLASTIC MAINS</t>
  </si>
  <si>
    <t>MINIMUM SYSTEM STUDY - BACKUP DATA PLASTIC MAINS</t>
  </si>
  <si>
    <t xml:space="preserve">DERIVATION OF GAS SERVICES ALLOCATION FACTOR </t>
  </si>
  <si>
    <t>HOUSE REGULATORS AND INSTALLATIONS ( ACCOUNT 2830, 2840)</t>
  </si>
  <si>
    <t>METERS BACKUP</t>
  </si>
  <si>
    <t>GAS CUSTOMER ACCOUNTING EXPENSES BY ACCOUNT</t>
  </si>
  <si>
    <t>GENERAL &amp; COMMON PLANT, ACCUMULATED DEPRECIATION, A &amp; G EXPENSES</t>
  </si>
  <si>
    <t>ALLOCATION FACTORS SUMMARY</t>
  </si>
  <si>
    <t>PRODUCTION</t>
  </si>
  <si>
    <t>DISTRIBUTION</t>
  </si>
  <si>
    <t>DEMAND</t>
  </si>
  <si>
    <t>COMMODITY</t>
  </si>
  <si>
    <t>CUSTOMER</t>
  </si>
  <si>
    <t>PROPOSED REVENUES</t>
  </si>
  <si>
    <t xml:space="preserve">Coin Peak </t>
  </si>
  <si>
    <t>(a)</t>
  </si>
  <si>
    <t>(b)</t>
  </si>
  <si>
    <t>(c)</t>
  </si>
  <si>
    <t>Coincident Peak is the peak at the time of the system peak.</t>
  </si>
  <si>
    <t>Non-coincident peak is the sum of the individual customer maximum demands regardless of when it occurs during the month.</t>
  </si>
  <si>
    <t>Diversified Class Peak is the sum of the individual customer demands at the time of the rate class peak.</t>
  </si>
  <si>
    <t>Note:  Interruptible customers excluded from the system peak since theoretically they are off the system at the time of the peak.</t>
  </si>
  <si>
    <t>AVERAGE &amp; EXCESS</t>
  </si>
  <si>
    <t>Average &amp; Excess (K203)</t>
  </si>
  <si>
    <t>Average &amp; Excess (b)</t>
  </si>
  <si>
    <t>AVERAGE &amp; EXCESS INCL IT (PK &amp; AVG)</t>
  </si>
  <si>
    <t>AVERAGE &amp; EXCESS EXCL IT (PK &amp; AVG)</t>
  </si>
  <si>
    <t>GS/FT SMALL</t>
  </si>
  <si>
    <t>GS/FT LARGE</t>
  </si>
  <si>
    <t>RS/RFT/RSLI</t>
  </si>
  <si>
    <t>Energy and demand allocators, average customer allocator</t>
  </si>
  <si>
    <t>WPE 3.2a</t>
  </si>
  <si>
    <t>Shows how Peak and Average - Peak Day was calculated (K203 and K205)</t>
  </si>
  <si>
    <t xml:space="preserve">Peak &amp; Average - Peak Day </t>
  </si>
  <si>
    <t>WPE 3.2b</t>
  </si>
  <si>
    <t>WPE 3.2c</t>
  </si>
  <si>
    <t>Calculation of Diversified Class and Non-coincident peaks</t>
  </si>
  <si>
    <t>Pg 1 of 1</t>
  </si>
  <si>
    <t>Pg 1, 2, 3 of 3</t>
  </si>
  <si>
    <t>Monthly Gas Daily Statistics</t>
  </si>
  <si>
    <t>Load Research (William Baker's group)</t>
  </si>
  <si>
    <t>WPE 3.2d</t>
  </si>
  <si>
    <t>Allocate sales (MCF) among customer classes</t>
  </si>
  <si>
    <t>WPE 3.2e</t>
  </si>
  <si>
    <t>Results of minimum intercept study</t>
  </si>
  <si>
    <t>Results of minimum system study</t>
  </si>
  <si>
    <t>Backup data plastic mains</t>
  </si>
  <si>
    <t>To allocate services by size to customer class</t>
  </si>
  <si>
    <t>WPE 3.2f</t>
  </si>
  <si>
    <t>WPE 3.2g</t>
  </si>
  <si>
    <t>Pg 1 -4 of 4</t>
  </si>
  <si>
    <t>Pg 1 -2 of 2</t>
  </si>
  <si>
    <t>To develop a weighted allocator (based on cost and customers)</t>
  </si>
  <si>
    <t>WPE 3.2h</t>
  </si>
  <si>
    <t>Number of meters by GM code</t>
  </si>
  <si>
    <t>Allocate meter cost to rate class based on number of meters per GM code.</t>
  </si>
  <si>
    <t>WPE 3.2i</t>
  </si>
  <si>
    <t>Allocate accounts 901-913 by rate class based on avg customers by class</t>
  </si>
  <si>
    <t>Pg 1 of 2</t>
  </si>
  <si>
    <t>To allocate common and general plant and reserve to function</t>
  </si>
  <si>
    <t>Labor dollars from FERC Form 2 page 354</t>
  </si>
  <si>
    <t>Detail cost and quantity by size for plastic mains</t>
  </si>
  <si>
    <t>Detail cost and quantity by size for services</t>
  </si>
  <si>
    <t>Detail cost and quantity by size for house regulators</t>
  </si>
  <si>
    <t>FERC Form 2</t>
  </si>
  <si>
    <t>Cost</t>
  </si>
  <si>
    <t>18"</t>
  </si>
  <si>
    <t>20"</t>
  </si>
  <si>
    <t>24"</t>
  </si>
  <si>
    <t>30"</t>
  </si>
  <si>
    <t>JAMES E. ZIOLKOWSKI</t>
  </si>
  <si>
    <t>(K201)</t>
  </si>
  <si>
    <t>Average</t>
  </si>
  <si>
    <t xml:space="preserve">Daily Usage </t>
  </si>
  <si>
    <t xml:space="preserve">Customer </t>
  </si>
  <si>
    <t xml:space="preserve">Demand </t>
  </si>
  <si>
    <t>PROPOSED REVENUES = CURRENT REVENUES</t>
  </si>
  <si>
    <t>LINE</t>
  </si>
  <si>
    <t>NO.</t>
  </si>
  <si>
    <t xml:space="preserve">TYPE OF FILING: "X" ORIGINAL   UPDATED    REVISED  </t>
  </si>
  <si>
    <t>type</t>
  </si>
  <si>
    <t>Interdepartmental</t>
  </si>
  <si>
    <t>Bad Check Charges</t>
  </si>
  <si>
    <t>Reconnection Charges</t>
  </si>
  <si>
    <t>Rents</t>
  </si>
  <si>
    <t>Other Misc</t>
  </si>
  <si>
    <t xml:space="preserve">  Total Misc</t>
  </si>
  <si>
    <t/>
  </si>
  <si>
    <t xml:space="preserve">    Total Company</t>
  </si>
  <si>
    <t>Witness Responsible:</t>
  </si>
  <si>
    <t>SCH_E3.2_Alloc1</t>
  </si>
  <si>
    <t>SCH_E3.2_COS_Compute_10</t>
  </si>
  <si>
    <t>SCH_E3.2_Depreciation_Expense_7</t>
  </si>
  <si>
    <t>SCH_E3.2_Depreciation_Reserve_3</t>
  </si>
  <si>
    <t>SCH_E3.2_FIT_Return_9</t>
  </si>
  <si>
    <t>SCH_E3.2_FIT_Revenue_13</t>
  </si>
  <si>
    <t>SCH_E3.2_Gross_Plant_2</t>
  </si>
  <si>
    <t>SCH_E3.2_Net_Plant_4</t>
  </si>
  <si>
    <t>SCH_E3.2_OMEXP_6</t>
  </si>
  <si>
    <t>SCH_E3.2_OMEXP_6.1</t>
  </si>
  <si>
    <t>SCH_E3.2_RB_Additive_Adj_5.1</t>
  </si>
  <si>
    <t>SCH_E3.2_RB_Subtractive_Adj_5</t>
  </si>
  <si>
    <t>SCH_E3.2_RB_Total_5.2</t>
  </si>
  <si>
    <t>SCH_E3.2_RofR_11</t>
  </si>
  <si>
    <t>SCH_E3.2_Summary_1</t>
  </si>
  <si>
    <t>SCH_E3.2_Taxes_Other_Than_Income_8</t>
  </si>
  <si>
    <t>Average Demand</t>
  </si>
  <si>
    <t>(1) / 365</t>
  </si>
  <si>
    <t>(4) - (2)</t>
  </si>
  <si>
    <t>Excess Demand</t>
  </si>
  <si>
    <t>Weighted Avg. Demand</t>
  </si>
  <si>
    <t>Weighted Excess Demand</t>
  </si>
  <si>
    <t>Total Annual Usage (Mcf)</t>
  </si>
  <si>
    <t>Load Factor (Annual Usage Mcf / Peak Day Mcf)</t>
  </si>
  <si>
    <t xml:space="preserve">  OVERALL RETURN EARNED</t>
  </si>
  <si>
    <t xml:space="preserve">  RATE OF RETURN EARNED</t>
  </si>
  <si>
    <t>SUBTRACTIVE RATE BASE ADJUSTMENTS</t>
  </si>
  <si>
    <t>ADDITIVE RATE BASE ADJUSTMENTS</t>
  </si>
  <si>
    <t>WorkingCap</t>
  </si>
  <si>
    <t>Labor Dollars (a)</t>
  </si>
  <si>
    <t>utility account id</t>
  </si>
  <si>
    <t>accum quantity</t>
  </si>
  <si>
    <t>accum cost</t>
  </si>
  <si>
    <t>HOUSE REGULATORS AND INSTALLATIONS (ACCOUNT 2830, 2840)</t>
  </si>
  <si>
    <t>Size</t>
  </si>
  <si>
    <t>Dummy code</t>
  </si>
  <si>
    <t>Manual</t>
  </si>
  <si>
    <t>(a) Source: FERC Form 2 - p. 324-325.</t>
  </si>
  <si>
    <t>Total (a)</t>
  </si>
  <si>
    <t>Avg Customers (b)</t>
  </si>
  <si>
    <t>Source: Fixed Asset Accounting - Plant Account 2763.</t>
  </si>
  <si>
    <t>(b) Source: Schedule B-3.2</t>
  </si>
  <si>
    <t>Original Cost General Plant (b)</t>
  </si>
  <si>
    <t>Accumulated Depreciation General Plant (b)</t>
  </si>
  <si>
    <t>Original Cost Common Plant (b)</t>
  </si>
  <si>
    <t>Accumulated Depreciation Common Plant (b)</t>
  </si>
  <si>
    <t>Functional A &amp; G Expenses Less Reg Commission Exp. (c)</t>
  </si>
  <si>
    <t>(c) Source: Schedule C-2.1</t>
  </si>
  <si>
    <t>How were these percentages determined?</t>
  </si>
  <si>
    <t>Do we need to break out between GS-Small, GS-Large and IT?</t>
  </si>
  <si>
    <t>Kathy Auer 287-2731</t>
  </si>
  <si>
    <t>Total Rate Base</t>
  </si>
  <si>
    <t>(a) Source: FERC Form 2 - p. 354-355.</t>
  </si>
  <si>
    <t>STORAGE</t>
  </si>
  <si>
    <t>FUNCTIONAL</t>
  </si>
  <si>
    <t>Group</t>
  </si>
  <si>
    <t>RSLI</t>
  </si>
  <si>
    <t>FT-L</t>
  </si>
  <si>
    <t>FS10</t>
  </si>
  <si>
    <t>GS_Large</t>
  </si>
  <si>
    <t>GS_Large_Trans</t>
  </si>
  <si>
    <t>GS_Small</t>
  </si>
  <si>
    <t>GS_Small_Trans</t>
  </si>
  <si>
    <t>Interupt_Trans</t>
  </si>
  <si>
    <t>IS16</t>
  </si>
  <si>
    <t>IT09</t>
  </si>
  <si>
    <t>IT10</t>
  </si>
  <si>
    <t>RS_Trans</t>
  </si>
  <si>
    <t>RSLI_Trans</t>
  </si>
  <si>
    <t>RSPP</t>
  </si>
  <si>
    <t>Inter-Dept</t>
  </si>
  <si>
    <t>Other/ Rounding</t>
  </si>
  <si>
    <t>F/S</t>
  </si>
  <si>
    <t>RSFT</t>
  </si>
  <si>
    <t>Total Sales (Billed + Unbilled)</t>
  </si>
  <si>
    <t>Source: DE OH KY Revenue Stats 2007-2011.xlsx</t>
  </si>
  <si>
    <t>GSFT, Small</t>
  </si>
  <si>
    <t>GSFT, Large</t>
  </si>
  <si>
    <t>CLASSIFIED</t>
  </si>
  <si>
    <r>
      <t xml:space="preserve">PRESENT REVENUES - </t>
    </r>
    <r>
      <rPr>
        <b/>
        <sz val="10"/>
        <color rgb="FFFF0000"/>
        <rFont val="Arial"/>
        <family val="2"/>
      </rPr>
      <t>hard coded</t>
    </r>
  </si>
  <si>
    <r>
      <t xml:space="preserve">PROPOSED REVENUES - </t>
    </r>
    <r>
      <rPr>
        <b/>
        <sz val="10"/>
        <color rgb="FFFF0000"/>
        <rFont val="Arial"/>
        <family val="2"/>
      </rPr>
      <t>hard coded</t>
    </r>
  </si>
  <si>
    <t>CHECK</t>
  </si>
  <si>
    <t>RATE GRP</t>
  </si>
  <si>
    <t>DEMAND RELATED &amp; OTHER PROD O&amp;M</t>
  </si>
  <si>
    <t>SOURCE</t>
  </si>
  <si>
    <t>External</t>
  </si>
  <si>
    <t>Internal</t>
  </si>
  <si>
    <t>CUSTOMER / DEMAND</t>
  </si>
  <si>
    <t>AG39</t>
  </si>
  <si>
    <t>WTD PROD COMMODITY EXP RATIOS</t>
  </si>
  <si>
    <t>CA19</t>
  </si>
  <si>
    <t>SE19</t>
  </si>
  <si>
    <t>WTD CUST SERV &amp; INFO EXP RATIOS</t>
  </si>
  <si>
    <t>CS19</t>
  </si>
  <si>
    <t>WEIGHTED O &amp; M EXPENSE RATIOS</t>
  </si>
  <si>
    <t>COMBINATION MAINS &amp; SERVICES</t>
  </si>
  <si>
    <t>MAINS - (2761, 2762, 2763, 2765) - Accum Reserve</t>
  </si>
  <si>
    <t>SERVICES - (2801, 2802, 2803) - Accum Reserve</t>
  </si>
  <si>
    <t>MAINS - (2761, 2762, 2763, 2765) - Gross Plant</t>
  </si>
  <si>
    <t>SERVICES - (2801, 2802, 2803) - Gross Plant</t>
  </si>
  <si>
    <t>MTRS &amp; MTR INST (2810, 2811, 2820, 2821) - Gross Plant</t>
  </si>
  <si>
    <t>HOUSE REG &amp; INSTALL (2830, 2840) - Gross Plant</t>
  </si>
  <si>
    <t>MTRS &amp; MTR INST (2810, 2811, 2820, 2821) - Accum Reserve</t>
  </si>
  <si>
    <t>HOUSE REG &amp; INSTALL (2830, 2840) - Accum Reserve</t>
  </si>
  <si>
    <t>COMBINATION METERS &amp; HOUSE REGULATORS</t>
  </si>
  <si>
    <t xml:space="preserve">  TOTAL OPER EXP EXCL INCOME &amp; REV TAX</t>
  </si>
  <si>
    <t>TOTAL K667</t>
  </si>
  <si>
    <t>TOTAL K697</t>
  </si>
  <si>
    <t>CUST SERVICE &amp; INFORMATION  EXP</t>
  </si>
  <si>
    <t>CUSTOMER SALES EXPENSE</t>
  </si>
  <si>
    <t>K407</t>
  </si>
  <si>
    <t>K408</t>
  </si>
  <si>
    <t>CLASS</t>
  </si>
  <si>
    <t>ALLOCATED</t>
  </si>
  <si>
    <t>WTD TOTAL COST OF SERVICE</t>
  </si>
  <si>
    <t>PRESENT REVENUES (SCHEDULE E-4)</t>
  </si>
  <si>
    <t>Type</t>
  </si>
  <si>
    <t>100% Residential</t>
  </si>
  <si>
    <t>Predicted Y</t>
  </si>
  <si>
    <t>E-3.2f, P. 2</t>
  </si>
  <si>
    <t>E-3.2f, P. 3</t>
  </si>
  <si>
    <t>E-3.2f, P. 7</t>
  </si>
  <si>
    <t>E-3.2f, P. 9</t>
  </si>
  <si>
    <t>E-3.2f, P. 10</t>
  </si>
  <si>
    <t>E-3.2f, P. 11</t>
  </si>
  <si>
    <t>E-3.2f, P. 12</t>
  </si>
  <si>
    <t>E-3.2f, P. 13</t>
  </si>
  <si>
    <t>USE REGRESSION OR MINIMUM COST?</t>
  </si>
  <si>
    <t>Schedule 12.2</t>
  </si>
  <si>
    <t>Schedule E - Reference</t>
  </si>
  <si>
    <t>Functional</t>
  </si>
  <si>
    <t>Production</t>
  </si>
  <si>
    <t>Classified</t>
  </si>
  <si>
    <t>Allocated</t>
  </si>
  <si>
    <t>Distribution</t>
  </si>
  <si>
    <t>Commodity</t>
  </si>
  <si>
    <t>Demand</t>
  </si>
  <si>
    <t>Storage</t>
  </si>
  <si>
    <t>NOT USED</t>
  </si>
  <si>
    <t>Page 4 of 7</t>
  </si>
  <si>
    <t>Page 5 of 7</t>
  </si>
  <si>
    <t>Page 6 of 7</t>
  </si>
  <si>
    <t>Page 7 of 7</t>
  </si>
  <si>
    <t>Page 1 of 7</t>
  </si>
  <si>
    <t>Page 2 of 7</t>
  </si>
  <si>
    <t>Page 3 of 7</t>
  </si>
  <si>
    <t>Gas Statistics:  DAILY</t>
  </si>
  <si>
    <t>Rate Group:  RESIDENTIAL</t>
  </si>
  <si>
    <t>STAT 1</t>
  </si>
  <si>
    <t>STAT 2</t>
  </si>
  <si>
    <t>STAT 3</t>
  </si>
  <si>
    <t>STAT 4</t>
  </si>
  <si>
    <t>STAT 5</t>
  </si>
  <si>
    <t>STAT 6</t>
  </si>
  <si>
    <t>STAT 7</t>
  </si>
  <si>
    <t>STAT 8</t>
  </si>
  <si>
    <t>STAT 9</t>
  </si>
  <si>
    <t>STAT 10</t>
  </si>
  <si>
    <t>STAT 11</t>
  </si>
  <si>
    <t>STAT 12</t>
  </si>
  <si>
    <t>STAT 13</t>
  </si>
  <si>
    <t>STAT 14</t>
  </si>
  <si>
    <t>STAT 15</t>
  </si>
  <si>
    <t>STAT 16</t>
  </si>
  <si>
    <t>STAT 17</t>
  </si>
  <si>
    <t>Sample</t>
  </si>
  <si>
    <t>Population</t>
  </si>
  <si>
    <t>Noncoincident</t>
  </si>
  <si>
    <t>Coincident</t>
  </si>
  <si>
    <t>System</t>
  </si>
  <si>
    <t>Load Factor</t>
  </si>
  <si>
    <t>Coincidence</t>
  </si>
  <si>
    <t>Diversity</t>
  </si>
  <si>
    <t># of customers</t>
  </si>
  <si>
    <t>Average Usage</t>
  </si>
  <si>
    <t>Peak Date</t>
  </si>
  <si>
    <t>CD</t>
  </si>
  <si>
    <t>(sample)</t>
  </si>
  <si>
    <t>(per customer)</t>
  </si>
  <si>
    <t>@ Rate Class Peak</t>
  </si>
  <si>
    <t>@ System Peak</t>
  </si>
  <si>
    <t>Month/Year</t>
  </si>
  <si>
    <t>MCF / month</t>
  </si>
  <si>
    <t>MCF / day</t>
  </si>
  <si>
    <t>System Peak = State Peak</t>
  </si>
  <si>
    <t>Rate Group:  INTERRUPTIBLE TRANSPORTATION SERVICE</t>
  </si>
  <si>
    <t>N / A</t>
  </si>
  <si>
    <t>Apr</t>
  </si>
  <si>
    <t>Mcf</t>
  </si>
  <si>
    <t>Inter Class</t>
  </si>
  <si>
    <t>Subsidization</t>
  </si>
  <si>
    <t>Overcollected</t>
  </si>
  <si>
    <t>(Undercollected)</t>
  </si>
  <si>
    <t>Rate Increase</t>
  </si>
  <si>
    <t>(allocated to class</t>
  </si>
  <si>
    <t>based on Rate Base)</t>
  </si>
  <si>
    <t>times</t>
  </si>
  <si>
    <t>Proposed Revenues</t>
  </si>
  <si>
    <t>Less</t>
  </si>
  <si>
    <t>(Subsidy) Excess</t>
  </si>
  <si>
    <t>(H) - (G)</t>
  </si>
  <si>
    <t>(H) Line 27 * ((A) / (A) Line 9)</t>
  </si>
  <si>
    <t>(B) - (G) + (H)</t>
  </si>
  <si>
    <t>((H) - (G)) / (B)</t>
  </si>
  <si>
    <t>((((H) - (G))*(A) Line 14)+ (C)) / (A)</t>
  </si>
  <si>
    <t>((((A) * (D) Line 9) - (C)) / (A) Line 14) + (B)</t>
  </si>
  <si>
    <t>(B) - (E)</t>
  </si>
  <si>
    <t>WORK PAPER REFERENCE:</t>
  </si>
  <si>
    <t>PAGE 2 OF 4</t>
  </si>
  <si>
    <t>PAGE 3 OF 4</t>
  </si>
  <si>
    <t>PAGE 4 OF 4</t>
  </si>
  <si>
    <t>CUSTOMER CHARGE ANALYSIS / MINIMUM BILL RATIONALE</t>
  </si>
  <si>
    <t>DESCRIPTION</t>
  </si>
  <si>
    <t>Operating Expense</t>
  </si>
  <si>
    <t>Operating Expense Plus Return</t>
  </si>
  <si>
    <t>Less: Revenue Credits</t>
  </si>
  <si>
    <t>Customer Cost Component (Revenue Requirement)</t>
  </si>
  <si>
    <t>Annual Revenue / Customer</t>
  </si>
  <si>
    <t>Monthly Revenue / Customer</t>
  </si>
  <si>
    <t>WORK PAPER REFERENCE NO(S).: SCHEDULE E-3.2e, WPE-4d</t>
  </si>
  <si>
    <t>PAGE 1 of 1</t>
  </si>
  <si>
    <t>Original</t>
  </si>
  <si>
    <t xml:space="preserve">Cost </t>
  </si>
  <si>
    <t>GS INDUST, FT  &amp; IT TRANSP (MCF)</t>
  </si>
  <si>
    <t>Prod O&amp;M</t>
  </si>
  <si>
    <t>Average &amp; Excess (Excluding Interruptible) (K205)</t>
  </si>
  <si>
    <t>Gross Plant (Sch. B-1)</t>
  </si>
  <si>
    <t>Depreciation (Sch B-1)</t>
  </si>
  <si>
    <t>A&amp;G &amp; AMORT OF DEF EXP</t>
  </si>
  <si>
    <t>AMORTIZE CAMERA WORK</t>
  </si>
  <si>
    <t>ELIMINATE MERGER EXPENSE</t>
  </si>
  <si>
    <t xml:space="preserve">AMORTIZATION OF DEFERRED EXP </t>
  </si>
  <si>
    <t>AMORTIZATION OF MGP DEFERRED EXP</t>
  </si>
  <si>
    <t>CWIP DIFFERENCES</t>
  </si>
  <si>
    <t>MISCELLANEOUS</t>
  </si>
  <si>
    <t>VACATION PAY ACCRUAL</t>
  </si>
  <si>
    <t>ENVIRONMENTAL RESERVE</t>
  </si>
  <si>
    <t>SMART GRID</t>
  </si>
  <si>
    <t>PENSION</t>
  </si>
  <si>
    <t>SMART GRID AMORTIZATION ADJUSTMENT</t>
  </si>
  <si>
    <t>AMORTIZE 2011 SMART GRID DEFERRED O&amp;M</t>
  </si>
  <si>
    <t>INCREASED MEDICAL COSTS</t>
  </si>
  <si>
    <t>AMORTIZE GAS FURNACE PROGRAM</t>
  </si>
  <si>
    <t>AFUDC IN DEBT</t>
  </si>
  <si>
    <t>RESERVED FOR FUTURE USE</t>
  </si>
  <si>
    <t>Other Operating Revenues</t>
  </si>
  <si>
    <t>Present Revenue vs Sch-C2 Rev</t>
  </si>
  <si>
    <t>Total Jurisdictional MCF Sales (a)</t>
  </si>
  <si>
    <t>Total Fed Inc Tax Payable</t>
  </si>
  <si>
    <t>TOTAL COST OF SERVICE</t>
  </si>
  <si>
    <t xml:space="preserve">RENT ASSOC. CO. </t>
  </si>
  <si>
    <t>(K408)</t>
  </si>
  <si>
    <t>(K407)</t>
  </si>
  <si>
    <t>(K406)</t>
  </si>
  <si>
    <t>OTHER DISTRIBUTION EXPENSES</t>
  </si>
  <si>
    <t>INTEREST ON CUSTOMER SERVICE DEPOSITS</t>
  </si>
  <si>
    <t>Interdepartmental Revenue and Special Contract Revenue</t>
  </si>
  <si>
    <t>SCHEDULE</t>
  </si>
  <si>
    <t>REFERENCE</t>
  </si>
  <si>
    <t>Line 16 + Line 41</t>
  </si>
  <si>
    <t>RATE CASE EXPENSE AMORT</t>
  </si>
  <si>
    <t>FEDERAL DEFERRED TAX RECEIVEABLE</t>
  </si>
  <si>
    <t>LEASED METERS</t>
  </si>
  <si>
    <t>(H) Line 5 * ((A) / (A) Line 5)</t>
  </si>
  <si>
    <t>((((H) - (G))*(1-FIT)+ (C)) / (A)</t>
  </si>
  <si>
    <t>(B) + (((D) Line 5 * (C))/(1-FIT))</t>
  </si>
  <si>
    <t>(K405)</t>
  </si>
  <si>
    <t xml:space="preserve">PROPOSED REVENUES </t>
  </si>
  <si>
    <t>Juris</t>
  </si>
  <si>
    <t>Average Customers</t>
  </si>
  <si>
    <t>Non-Coin System Peak Day</t>
  </si>
  <si>
    <t>INTERRUPTIBLE</t>
  </si>
  <si>
    <t>Schedule C-1</t>
  </si>
  <si>
    <t>PAGE 1</t>
  </si>
  <si>
    <t>K902</t>
  </si>
  <si>
    <t>Inter Class Subsidization</t>
  </si>
  <si>
    <t>Allocation Factor</t>
  </si>
  <si>
    <t>Use allocator K901 in allocated studies</t>
  </si>
  <si>
    <t>Use allocator K902 in allocated studies</t>
  </si>
  <si>
    <t>ADJUSTMENT FOR INTERCLASS SUBSIDIZATION</t>
  </si>
  <si>
    <t>REQUESTED REVENUES</t>
  </si>
  <si>
    <t>DIFFERENCE (REQUESTED LESS PROPOSED)</t>
  </si>
  <si>
    <t>Functionalized</t>
  </si>
  <si>
    <t>Not Part of print range</t>
  </si>
  <si>
    <t>Not Filed</t>
  </si>
  <si>
    <t>100% Commodity</t>
  </si>
  <si>
    <t xml:space="preserve">  COMMON &amp; OTHER PLANT IN SERVICE</t>
  </si>
  <si>
    <t xml:space="preserve">  TOTAL OP EXP EXCLUDING INC &amp; REV TAX</t>
  </si>
  <si>
    <t>DO NOT FILE THIS PAGE</t>
  </si>
  <si>
    <t>witness</t>
  </si>
  <si>
    <t>FUNCTIONAL GAS COST OF SERVICE</t>
  </si>
  <si>
    <t>Pages</t>
  </si>
  <si>
    <t>Pages2</t>
  </si>
  <si>
    <t>PRODUCTION CLASSIFIED - GAS COST OF SERVICE</t>
  </si>
  <si>
    <t>PRODUCTION COMMODITY ALLOCATED - GAS COST OF SERVICE</t>
  </si>
  <si>
    <t>DISTRIBUTION CLASSIFIED - GAS COST OF SERVICE</t>
  </si>
  <si>
    <t>DISTRIBUTION DEMAND ALLOCATED - GAS COST OF SERVICE</t>
  </si>
  <si>
    <t>DISTRIBUTION CUSTOMER ALLOCATED - GAS COST OF SERVICE</t>
  </si>
  <si>
    <t>STORAGE CLASSIFIED -  GAS COST OF SERVICE</t>
  </si>
  <si>
    <t>TOTAL CLASS ALLOCATED - GAS COST OF SERVICE</t>
  </si>
  <si>
    <t>RESIDENTIAL CLASSIFIED - GAS COST OF SERVICE</t>
  </si>
  <si>
    <t>INTERRUPTIBLE TRANSPORTATION CLASSIFIED - GAS COST OF SERVICE</t>
  </si>
  <si>
    <t xml:space="preserve">ALLOCATION OF LARGE INDUSTRIAL MEASURING </t>
  </si>
  <si>
    <t>AND REGULATING STATIONS (ACCTS 2580 &amp; 2581)</t>
  </si>
  <si>
    <t>COMPUTATION OF PRESENT RETURN EARNED (PRESENT NOI)</t>
  </si>
  <si>
    <t>TOTAL RETURN EARNED (TO WPE-3.2k)</t>
  </si>
  <si>
    <t xml:space="preserve">  TOTAL OP EXP EXCL INC &amp; REV TAX</t>
  </si>
  <si>
    <t>Notes:</t>
  </si>
  <si>
    <t>Acct 911</t>
  </si>
  <si>
    <t>Acct 907</t>
  </si>
  <si>
    <t>Acct 901</t>
  </si>
  <si>
    <t>FIRM</t>
  </si>
  <si>
    <t>Total Annual</t>
  </si>
  <si>
    <t>Jurisdictional</t>
  </si>
  <si>
    <t>Total Annual Firm MCF Sales (a)</t>
  </si>
  <si>
    <t>Total Customers (a)</t>
  </si>
  <si>
    <t>Customer Accounting Expense Allocation Factor (c)</t>
  </si>
  <si>
    <t>Customer Service and Information Factor (c)</t>
  </si>
  <si>
    <t>Sales Expense Allocation Factor (c)</t>
  </si>
  <si>
    <t>Uncollectible Expense Allocation Factor (c)</t>
  </si>
  <si>
    <t>Rate RS - Residential</t>
  </si>
  <si>
    <t>Rate IT - Interruptibile Transportation</t>
  </si>
  <si>
    <t>D</t>
  </si>
  <si>
    <t>Data is in Column E hidden by using white font color</t>
  </si>
  <si>
    <t>It is used in lookup tables</t>
  </si>
  <si>
    <t xml:space="preserve">  TOTAL REAL ESTATE &amp; PROPERTY TAX</t>
  </si>
  <si>
    <t>witness1</t>
  </si>
  <si>
    <t>K201, K203, K205, K300, K301, K401, K403, K405, K406, K407, K408, K413, K417, K595, K415</t>
  </si>
  <si>
    <t>Pg 1, 2, 3 of 7</t>
  </si>
  <si>
    <t>Pg 4-7 of 7</t>
  </si>
  <si>
    <t>Pg 1 of 3</t>
  </si>
  <si>
    <t>Pg 2 of 3</t>
  </si>
  <si>
    <t>Pg 3 of 3</t>
  </si>
  <si>
    <t>WPE 3.2j</t>
  </si>
  <si>
    <t>WPE 3.2k</t>
  </si>
  <si>
    <t>WPE 3.2l</t>
  </si>
  <si>
    <t>Computation Of The Rate Increase Amount By Rate Class</t>
  </si>
  <si>
    <t>Hard code total rate increase</t>
  </si>
  <si>
    <t>Lisa Steinkuhl</t>
  </si>
  <si>
    <t>Cost of Service Study - Computation of Present Total Return Earned (Present NOI)</t>
  </si>
  <si>
    <t>None - copy of COSS study used to determine present rev</t>
  </si>
  <si>
    <t>Work Paper Reference</t>
  </si>
  <si>
    <t>Number</t>
  </si>
  <si>
    <t>Page</t>
  </si>
  <si>
    <t>Sales comes from WPE-4a</t>
  </si>
  <si>
    <t>James A. Riddle</t>
  </si>
  <si>
    <t>None - source is WPE-3.2e, page 3</t>
  </si>
  <si>
    <t>Asset Accounting - Allison Coombs</t>
  </si>
  <si>
    <t>Cost by acct from FERC Form 2 page 324-325; avg customer from WPE-4a</t>
  </si>
  <si>
    <t>FERC Form 2, James A. Riddle</t>
  </si>
  <si>
    <t>Special Contracts</t>
  </si>
  <si>
    <t>DUKE ENERGY KENTUCKY, INC.</t>
  </si>
  <si>
    <t>TWELVE MONTHS ENDING MARCH 31, 2020</t>
  </si>
  <si>
    <t>TWELVE MONTHS ENDING DECEMBER 31, 2017</t>
  </si>
  <si>
    <t>BRUCE L. SAILERS</t>
  </si>
  <si>
    <t>GS</t>
  </si>
  <si>
    <t>FIRM TRANS</t>
  </si>
  <si>
    <t>GS CLASSIFIED - GAS COST OF SERVICE</t>
  </si>
  <si>
    <t>FT-L CLASSIFIED - GAS COST OF SERVICE</t>
  </si>
  <si>
    <t>Res -  RS</t>
  </si>
  <si>
    <t>Rate GS</t>
  </si>
  <si>
    <t>Rate FT-L</t>
  </si>
  <si>
    <t>Rate Group:  GENERAL SERVICE</t>
  </si>
  <si>
    <t>Rate RS</t>
  </si>
  <si>
    <t>Wes Needman (?)</t>
  </si>
  <si>
    <t>Linked To Sch. B-1</t>
  </si>
  <si>
    <t>Linked To Sch. B-6</t>
  </si>
  <si>
    <t>Linked To Sch. C-2</t>
  </si>
  <si>
    <t>ASSET RETIREMENT COST FOR DISTRIBUTION PLANT</t>
  </si>
  <si>
    <t>Linked To Sch. C2.1</t>
  </si>
  <si>
    <t>is base period + forecast period?</t>
  </si>
  <si>
    <t>Year:  2017</t>
  </si>
  <si>
    <t>KYRS -- Sampled group</t>
  </si>
  <si>
    <t>JAN_17</t>
  </si>
  <si>
    <t>KYRS</t>
  </si>
  <si>
    <t>01/06/17</t>
  </si>
  <si>
    <t>FEB_17</t>
  </si>
  <si>
    <t>02/09/17</t>
  </si>
  <si>
    <t>MAR_17</t>
  </si>
  <si>
    <t>03/15/17</t>
  </si>
  <si>
    <t>03/14/17</t>
  </si>
  <si>
    <t>APR_17</t>
  </si>
  <si>
    <t>04/06/17</t>
  </si>
  <si>
    <t>MAY_17</t>
  </si>
  <si>
    <t>05/05/17</t>
  </si>
  <si>
    <t>JUN_17</t>
  </si>
  <si>
    <t>06/07/17</t>
  </si>
  <si>
    <t>JUL_17</t>
  </si>
  <si>
    <t>07/25/17</t>
  </si>
  <si>
    <t>AUG_17</t>
  </si>
  <si>
    <t>08/02/17</t>
  </si>
  <si>
    <t>SEP_17</t>
  </si>
  <si>
    <t>09/13/17</t>
  </si>
  <si>
    <t>09/06/17</t>
  </si>
  <si>
    <t>OCT_17</t>
  </si>
  <si>
    <t>10/30/17</t>
  </si>
  <si>
    <t>NOV_17</t>
  </si>
  <si>
    <t>11/10/17</t>
  </si>
  <si>
    <t>DEC_17</t>
  </si>
  <si>
    <t>12/31/17</t>
  </si>
  <si>
    <t>12/27/17</t>
  </si>
  <si>
    <t>Definition:  Gas Day = 10:01 to 10:00  (HourEnding11am to HourEnding10am)</t>
  </si>
  <si>
    <t>Census groups  (100% analysis used;  Entire population)</t>
  </si>
  <si>
    <t>Sampled groups  (Ratio analysis used;  Stratified sample of population)</t>
  </si>
  <si>
    <t>Report date:  7-1-18</t>
  </si>
  <si>
    <t>KYGS -- Sampled group</t>
  </si>
  <si>
    <t>KYGS</t>
  </si>
  <si>
    <t>11/22/17</t>
  </si>
  <si>
    <t>Rate Group:  FIRM TRANSPORTATION SERVICE</t>
  </si>
  <si>
    <t>KYFT -- Census group</t>
  </si>
  <si>
    <t>KYFT</t>
  </si>
  <si>
    <t>07/11/17</t>
  </si>
  <si>
    <t>KYIT -- Census group</t>
  </si>
  <si>
    <t>KYIT</t>
  </si>
  <si>
    <t>04/12/17</t>
  </si>
  <si>
    <t>11/16/17</t>
  </si>
  <si>
    <t>12/06/17</t>
  </si>
  <si>
    <t>Jan 2017</t>
  </si>
  <si>
    <t>Dec 2017</t>
  </si>
  <si>
    <t>28300 - House Regulators</t>
  </si>
  <si>
    <t>Conductor UG:  AL, 2 Wire, = 477 MCM &lt; 795</t>
  </si>
  <si>
    <t>Gas regulator:  Regulator, 1"</t>
  </si>
  <si>
    <t>Gas regulator:  Regulator, 1/4"</t>
  </si>
  <si>
    <t>Gas regulator:  Regulator, Motor read</t>
  </si>
  <si>
    <t>Gas regulator:  Regulator, Valve cage unit</t>
  </si>
  <si>
    <t>Gas regulator:  Relief Valve, 1"</t>
  </si>
  <si>
    <t>Gas regulator:  Relief Valve, 1/2"</t>
  </si>
  <si>
    <t>Gas regulator: Regulator, 1 1/2"</t>
  </si>
  <si>
    <t>Gas regulator: Regulator, 1 1/4"</t>
  </si>
  <si>
    <t>Gas regulator: Regulator, 1"</t>
  </si>
  <si>
    <t>Gas regulator: Regulator, 2"</t>
  </si>
  <si>
    <t>Gas regulator: Regulator, 2" x 1"</t>
  </si>
  <si>
    <t>Gas regulator: Regulator, 3"</t>
  </si>
  <si>
    <t>Gas regulator: Regulator, 3/4" x 1"</t>
  </si>
  <si>
    <t>Gas regulator: Relief Valve, 2"</t>
  </si>
  <si>
    <t>PURCHASE NEW GAS     REGULATORS</t>
  </si>
  <si>
    <t>ULH&amp;P 2000 GAS REGULATORS  To Close Blanket Work Orders For Project G7PUINMR  WO 28063</t>
  </si>
  <si>
    <t>ULH&amp;P 2001 GAS REGULATORS  To Close Blanket Work Orders For Project G7PUINMR  WO 28063</t>
  </si>
  <si>
    <t>28301 - House Regulators Leased</t>
  </si>
  <si>
    <t>Gas regulator: Regulator, #1</t>
  </si>
  <si>
    <t>Gas regulator: Regulator, 2" x 4"</t>
  </si>
  <si>
    <t>Gas regulator: Regulator, 4"</t>
  </si>
  <si>
    <t>Gas regulator: Regulator, 6"</t>
  </si>
  <si>
    <t>Gas regulator: Regulator, 8"</t>
  </si>
  <si>
    <t>Gas regulator: Relief Valve, 1"</t>
  </si>
  <si>
    <t>Gas regulator: Relief Valve, 3"</t>
  </si>
  <si>
    <t>Gas regulator: Relief Valve, 4"</t>
  </si>
  <si>
    <t>ULH&amp;P 2002 GAS REGULATORS  To Close Blanket Work Orders For Project G7PUINMR  WO 28063</t>
  </si>
  <si>
    <t>ULH&amp;P 2003 GAS REGULATORS  To Close Blanket Work Orders For Project G7PUINMR  WO 28063</t>
  </si>
  <si>
    <t>28400 - House Regulator Installatio</t>
  </si>
  <si>
    <t>TO INCLUDE ALL LABOR MATERIALS AND OTHER COSTS FORTHE INSTALLATION OF GAS METERS</t>
  </si>
  <si>
    <t>Voltage regulators</t>
  </si>
  <si>
    <t>28401 - House Regulator Install Lsd</t>
  </si>
  <si>
    <t>28300 - House Regulators Total</t>
  </si>
  <si>
    <t>28301 - House Regulators Leased Total</t>
  </si>
  <si>
    <t>28400 - House Regulator Installatio Total</t>
  </si>
  <si>
    <t>28401 - House Regulator Install Lsd Total</t>
  </si>
  <si>
    <t>Old system</t>
  </si>
  <si>
    <t>Motor read</t>
  </si>
  <si>
    <t>Pilot loading</t>
  </si>
  <si>
    <t>Valve cage unit</t>
  </si>
  <si>
    <t>New gas regs</t>
  </si>
  <si>
    <t>To close work order</t>
  </si>
  <si>
    <t>Other</t>
  </si>
  <si>
    <t>Voltage regulator</t>
  </si>
  <si>
    <t>Grand total</t>
  </si>
  <si>
    <t>1 1/4" &amp; 1 1/2" (100% GS)</t>
  </si>
  <si>
    <t>GAS METERS AT DECEMBER 31, 2017</t>
  </si>
  <si>
    <t>06/11/17</t>
  </si>
  <si>
    <t>07/04/17</t>
  </si>
  <si>
    <t>08/07/17</t>
  </si>
  <si>
    <t>09/30/17</t>
  </si>
  <si>
    <t>10/29/17</t>
  </si>
  <si>
    <t>11/19/17</t>
  </si>
  <si>
    <t>07/24/17</t>
  </si>
  <si>
    <t>08/29/17</t>
  </si>
  <si>
    <t>09/14/17</t>
  </si>
  <si>
    <t>05/03/17</t>
  </si>
  <si>
    <t>08/28/17</t>
  </si>
  <si>
    <t>01/05/17</t>
  </si>
  <si>
    <t>05/02/17</t>
  </si>
  <si>
    <t>09/05/17</t>
  </si>
  <si>
    <t>Functionalized based on Functional Payroll Costs for the Twelve Months ended December 2017</t>
  </si>
  <si>
    <t>2" &amp; 2" Relief Valves (98.7% GS &amp; 1.3% FT-L)</t>
  </si>
  <si>
    <t>Greater than 4"</t>
  </si>
  <si>
    <t>3" Relief Valves</t>
  </si>
  <si>
    <t>FT-L / IT</t>
  </si>
  <si>
    <t>75% RESIDENTIAL &amp; 12.5% GS &amp; 12.5% FT-L</t>
  </si>
  <si>
    <t>80% RESIDENTIAL &amp; 10% GS &amp; 10% FT-L</t>
  </si>
  <si>
    <t>50% GS &amp; 50% FT-L</t>
  </si>
  <si>
    <t>10% GS &amp; 90% FT-L</t>
  </si>
  <si>
    <t>Row Labels</t>
  </si>
  <si>
    <t>Sum of Quantity</t>
  </si>
  <si>
    <t>Sum of Net Book Value</t>
  </si>
  <si>
    <t>Mains:  Plastic, 1 1/4"</t>
  </si>
  <si>
    <t>Mains:  Plastic, 1"</t>
  </si>
  <si>
    <t>Mains:  Plastic, 12"</t>
  </si>
  <si>
    <t>Mains:  Plastic, 2"</t>
  </si>
  <si>
    <t>Mains:  Plastic, 3"</t>
  </si>
  <si>
    <t>Mains:  Plastic, 3/4"</t>
  </si>
  <si>
    <t>Mains:  Plastic, 4"</t>
  </si>
  <si>
    <t>Mains:  Plastic, 6"</t>
  </si>
  <si>
    <t>Mains:  Plastic, 8"</t>
  </si>
  <si>
    <t>Mains: Plastic, 1"</t>
  </si>
  <si>
    <t>Mains: Plastic, 12"</t>
  </si>
  <si>
    <t>Mains: Plastic, 2"</t>
  </si>
  <si>
    <t>Mains: Plastic, 3"</t>
  </si>
  <si>
    <t>Mains: Plastic, 4"</t>
  </si>
  <si>
    <t>Mains: Plastic, 6"</t>
  </si>
  <si>
    <t>Mains: Plastic, 8"</t>
  </si>
  <si>
    <t>UNRECOVERED PURCHASED GAS COST</t>
  </si>
  <si>
    <t>BLANK</t>
  </si>
  <si>
    <t>DSM DEFERRAL</t>
  </si>
  <si>
    <t>OPEB EXPENSE ACCRUAL</t>
  </si>
  <si>
    <t>UNBILLED REVENUE - FUEL &amp; RATE REFUNDS</t>
  </si>
  <si>
    <t>SALE OF A/R</t>
  </si>
  <si>
    <t>ELIMINATE MISCELLANEOUS EXPENSES</t>
  </si>
  <si>
    <t>EDIT</t>
  </si>
  <si>
    <t>ANNUALIZE DEPRECIATION</t>
  </si>
  <si>
    <t>ELIMINATE UNBILLED REVENUE AND GAS COSTS</t>
  </si>
  <si>
    <t>Ties to Sch. B-1</t>
  </si>
  <si>
    <t>INTEGRITY MANAGEMENT EXPENSES</t>
  </si>
  <si>
    <t>ELIMINATE NON-KY CUSTOMER</t>
  </si>
  <si>
    <t>ELIMINATE MISC EXPENSES</t>
  </si>
  <si>
    <t>INCENTIVE COMPENSATION</t>
  </si>
  <si>
    <t>FEDERAL INCOME TAX BASED ON RETURN</t>
  </si>
  <si>
    <t>STATE INCOME TAX BASED ON RETURN</t>
  </si>
  <si>
    <t>Allo</t>
  </si>
  <si>
    <t>Schedule 9.1</t>
  </si>
  <si>
    <t>DEDUCTIONS IN ADDITION TO Y871</t>
  </si>
  <si>
    <t>KY TAXABLE INCOME ADJUSTMENT</t>
  </si>
  <si>
    <t xml:space="preserve">  DEDUCTIONS IN ADD TO Y871</t>
  </si>
  <si>
    <t>STATE INCOME TAX ADJUSTMENTS</t>
  </si>
  <si>
    <t>STATE PROV DEF INC TAX (410 &amp; 411)</t>
  </si>
  <si>
    <t>OTHER DEFERRED INCOME TAXES - NET</t>
  </si>
  <si>
    <t>A357</t>
  </si>
  <si>
    <t xml:space="preserve">  TOT STATE PROV DEF IT (410 &amp; 411)</t>
  </si>
  <si>
    <t>OTHER SIT ADJUSTMENTS</t>
  </si>
  <si>
    <t>CURRENT YEAR PAYABLE ADJUSTMENT</t>
  </si>
  <si>
    <t xml:space="preserve">  OTHER SIT ADJUSMENTS</t>
  </si>
  <si>
    <t>TOTAL STATE INC TAX ADJUSTMENT</t>
  </si>
  <si>
    <t>SUMMARY OF SIT CALCULATION</t>
  </si>
  <si>
    <t>NET FED. DED. AND ADDITIONS</t>
  </si>
  <si>
    <t>DEDUCTIONS IN ADD TO Y871</t>
  </si>
  <si>
    <t>TOTAL STATE INC TAX ADJ</t>
  </si>
  <si>
    <t xml:space="preserve">  BASE FOR SIT COMPUTATION</t>
  </si>
  <si>
    <t>SIT FACTOR K192/(1-K192)</t>
  </si>
  <si>
    <t>PRELIMINARY STATE INCOME TAX</t>
  </si>
  <si>
    <t>Rounding added</t>
  </si>
  <si>
    <t>TOTAL STATE INCOME TAX ADJ.</t>
  </si>
  <si>
    <t xml:space="preserve">  NET STATE INC TAX ALLOWABLE</t>
  </si>
  <si>
    <t>STATE INCOME TAX PAYABLE</t>
  </si>
  <si>
    <t xml:space="preserve">  NET STATE INCOME TAX PAYABLE</t>
  </si>
  <si>
    <t>NET STATE INCOME TAX EXP ALLOWABLE</t>
  </si>
  <si>
    <t>Other Deductions</t>
  </si>
  <si>
    <t>Schedule E-1</t>
  </si>
  <si>
    <t>Schedule B-6</t>
  </si>
  <si>
    <t>Schedule B-5</t>
  </si>
  <si>
    <t>Schedule C-2</t>
  </si>
  <si>
    <t>Tax Calculation</t>
  </si>
  <si>
    <t>Interest Deduction</t>
  </si>
  <si>
    <t>State Tax Calc</t>
  </si>
  <si>
    <t>Total State Inc Tax Payable</t>
  </si>
  <si>
    <t>State prov Acct 410.1 &amp; 411.1 - Net</t>
  </si>
  <si>
    <t>Total SIT Adj</t>
  </si>
  <si>
    <t>Federal Tax Calc</t>
  </si>
  <si>
    <t>ITC Amort &amp; Other Credits</t>
  </si>
  <si>
    <t>PSC MAINT. EXP ON INCREASE</t>
  </si>
  <si>
    <t>DIT ADJUSTMENT - AMORT OF EXCESS DEF TAXES</t>
  </si>
  <si>
    <t>TOTAL STATE PROV DEF IT (410 &amp; 411)</t>
  </si>
  <si>
    <t>DEK System</t>
  </si>
  <si>
    <t>DEK Coin</t>
  </si>
  <si>
    <t>DEK</t>
  </si>
  <si>
    <t>Yes</t>
  </si>
  <si>
    <t>Sum of COST</t>
  </si>
  <si>
    <t>Count of I_ACCT_CA</t>
  </si>
  <si>
    <t>ORIGINAL COST</t>
  </si>
  <si>
    <t xml:space="preserve">GS  </t>
  </si>
  <si>
    <t>1000 2.4 AMI</t>
  </si>
  <si>
    <t>1000 40G/100G AMR</t>
  </si>
  <si>
    <t>1000 Badger AMI</t>
  </si>
  <si>
    <t>1000 P&amp;T 2#</t>
  </si>
  <si>
    <t>1000 TC</t>
  </si>
  <si>
    <t>11M</t>
  </si>
  <si>
    <t>15C</t>
  </si>
  <si>
    <t>16M</t>
  </si>
  <si>
    <t>23M</t>
  </si>
  <si>
    <t>250 2.4 AMI</t>
  </si>
  <si>
    <t>250 40G/100G AMR</t>
  </si>
  <si>
    <t>250 Badger AMI</t>
  </si>
  <si>
    <t>250 P &amp; T 2#</t>
  </si>
  <si>
    <t>250 TC</t>
  </si>
  <si>
    <t>38M</t>
  </si>
  <si>
    <t>3M</t>
  </si>
  <si>
    <t>4" 23M</t>
  </si>
  <si>
    <t>400/425 2.4 AMI</t>
  </si>
  <si>
    <t>400/425 40G/100G AMR</t>
  </si>
  <si>
    <t>400/425 Badger AMI</t>
  </si>
  <si>
    <t>400/425 P&amp;T 2#</t>
  </si>
  <si>
    <t>400/425 TC</t>
  </si>
  <si>
    <t>56M</t>
  </si>
  <si>
    <t>5M</t>
  </si>
  <si>
    <t>7M</t>
  </si>
  <si>
    <t>8C</t>
  </si>
  <si>
    <t>FM2-2IN</t>
  </si>
  <si>
    <t xml:space="preserve">IFT </t>
  </si>
  <si>
    <t>IFT3</t>
  </si>
  <si>
    <t>IT01</t>
  </si>
  <si>
    <t xml:space="preserve">RS  </t>
  </si>
  <si>
    <t>(blank)</t>
  </si>
  <si>
    <t>CUSTOMER CHARGE ANALYSIS</t>
  </si>
  <si>
    <t>FR-16(7)(v)-3</t>
  </si>
  <si>
    <t>FR-16(7)(v)-1</t>
  </si>
  <si>
    <t>FR-16(7)(v)-2</t>
  </si>
  <si>
    <t>FR-16(7)(v)-4</t>
  </si>
  <si>
    <t>FR-16(7)(v)-5</t>
  </si>
  <si>
    <t>FR-16(7)(v)-6</t>
  </si>
  <si>
    <t>FR-16(7)(v)-7</t>
  </si>
  <si>
    <t>FR-16(7)(v)-8</t>
  </si>
  <si>
    <t>FR-16(7)(v)-9</t>
  </si>
  <si>
    <t>FR-16(7)(v)-10</t>
  </si>
  <si>
    <t>FR-16(7)(v)-11</t>
  </si>
  <si>
    <t>FR-16(7)(v)-12</t>
  </si>
  <si>
    <t>Allocation Factors Summary</t>
  </si>
  <si>
    <t>WP FR-16(7)(v)</t>
  </si>
  <si>
    <t>WP FR-16(7)(v)-8</t>
  </si>
  <si>
    <t>Revenue Transp of Gas - Interco</t>
  </si>
  <si>
    <t>DATA: 12 MONTH FORECASTED PERIOD</t>
  </si>
  <si>
    <t>WP - Pres NOI</t>
  </si>
  <si>
    <t>CASE NO: 2018-00261</t>
  </si>
  <si>
    <t>(a) Company revenue reports</t>
  </si>
  <si>
    <t>(b) WP FR-16(7)(v)-Peak &amp; Avg</t>
  </si>
  <si>
    <t xml:space="preserve">             (c) WP FR-16(7)(v)-CustAcctg</t>
  </si>
  <si>
    <t xml:space="preserve">             (b) WP FR-16(7)(v)-Services </t>
  </si>
  <si>
    <t>Source: (a) Company revenue reports</t>
  </si>
  <si>
    <t>Source: (a) WP FR-16(7)(v)-METERS 2018</t>
  </si>
  <si>
    <t xml:space="preserve">             (b) WP FR-16(7)(v)-House Reg DEK</t>
  </si>
  <si>
    <t xml:space="preserve">             (c) WP FR-16(7)(v)-IndustrialM&amp;R</t>
  </si>
  <si>
    <t xml:space="preserve">             (d) Allocation Factors Summary page</t>
  </si>
  <si>
    <t>Source: Allocation Factors Summary</t>
  </si>
  <si>
    <t>(b) Source:  Allocation Factors Summary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</si>
</sst>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4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000_);\(#,##0.00000\)"/>
    <numFmt numFmtId="165" formatCode="#,##0.0000_);\(#,##0.0000\)"/>
    <numFmt numFmtId="166" formatCode="_(* #,##0_);_(* \(#,##0\);_(* &quot;-&quot;??_);_(@_)"/>
    <numFmt numFmtId="167" formatCode="_(* #,##0.0_);_(* \(#,##0.0\);_(* &quot;-&quot;??_);_(@_)"/>
    <numFmt numFmtId="168" formatCode="#,##0.0_);\(#,##0.0\)"/>
    <numFmt numFmtId="169" formatCode="#,##0.000_);\(#,##0.000\)"/>
    <numFmt numFmtId="170" formatCode="#,##0.000000_);\(#,##0.000000\)"/>
    <numFmt numFmtId="171" formatCode="0.000%"/>
    <numFmt numFmtId="172" formatCode="#,##0.00000"/>
    <numFmt numFmtId="173" formatCode="0.00000"/>
    <numFmt numFmtId="174" formatCode="_(* #,##0.0000_);_(* \(#,##0.0000\);_(* &quot;-&quot;??_);_(@_)"/>
    <numFmt numFmtId="175" formatCode="_(* #,##0.00000_);_(* \(#,##0.00000\);_(* &quot;-&quot;??_);_(@_)"/>
    <numFmt numFmtId="176" formatCode="0.0000%"/>
    <numFmt numFmtId="177" formatCode="0.000"/>
    <numFmt numFmtId="178" formatCode="_(* #,##0.0000_);_(* \(#,##0.0000\);_(* &quot;-&quot;????_);_(@_)"/>
    <numFmt numFmtId="179" formatCode="#,##0.0"/>
    <numFmt numFmtId="180" formatCode="m/d/yyyy;@"/>
    <numFmt numFmtId="181" formatCode="mm/dd/yy"/>
    <numFmt numFmtId="182" formatCode="#\ ?/?&quot;''&quot;"/>
    <numFmt numFmtId="183" formatCode="&quot;$&quot;#,##0.000_);\(&quot;$&quot;#,##0.000\)"/>
    <numFmt numFmtId="184" formatCode="&quot;$&quot;#,##0.00"/>
    <numFmt numFmtId="185" formatCode="&quot;$&quot;#,##0"/>
    <numFmt numFmtId="186" formatCode="_(* #,##0.000000_);_(* \(#,##0.000000\);_(* &quot;-&quot;??_);_(@_)"/>
    <numFmt numFmtId="187" formatCode="mm/dd/yy;@"/>
    <numFmt numFmtId="188" formatCode="0.000_);\(0.000\)"/>
    <numFmt numFmtId="189" formatCode="0.00_);\(0.00\)"/>
    <numFmt numFmtId="190" formatCode="_(&quot;$&quot;* #,##0_);_(&quot;$&quot;* \(#,##0\);_(&quot;$&quot;* &quot;-&quot;??_);_(@_)"/>
    <numFmt numFmtId="191" formatCode="0.000000%"/>
    <numFmt numFmtId="192" formatCode="0_)"/>
    <numFmt numFmtId="193" formatCode="#,##0;[Red]\(#,##0\)"/>
    <numFmt numFmtId="194" formatCode="0.00000_);\(0.00000\)"/>
    <numFmt numFmtId="195" formatCode="General_)"/>
    <numFmt numFmtId="196" formatCode="0.00000000%"/>
    <numFmt numFmtId="197" formatCode="m/d/yyyy\ h:mm\ AM/PM"/>
    <numFmt numFmtId="198" formatCode="#,##0.00\ ;[Red]\(#,##0.00\)"/>
    <numFmt numFmtId="199" formatCode="&quot;$&quot;#,##0\ ;\(&quot;$&quot;#,##0\)"/>
    <numFmt numFmtId="200" formatCode="0.000000000%"/>
    <numFmt numFmtId="201" formatCode="#,##0.00&quot; $&quot;;\-#,##0.00&quot; $&quot;"/>
    <numFmt numFmtId="202" formatCode="0.000000_)"/>
    <numFmt numFmtId="203" formatCode="mm/dd/yy_)"/>
    <numFmt numFmtId="204" formatCode="0.00_)"/>
    <numFmt numFmtId="205" formatCode="[$-409]mmmm\ d\,\ yyyy;@"/>
    <numFmt numFmtId="206" formatCode="#,##0_ ;[Red]\(#,##0\)\ "/>
    <numFmt numFmtId="207" formatCode="_-* #,##0_-;\-* #,##0_-;_-* &quot;-&quot;_-;_-@_-"/>
    <numFmt numFmtId="208" formatCode="_-* #,##0.00_-;\-* #,##0.00_-;_-* &quot;-&quot;??_-;_-@_-"/>
    <numFmt numFmtId="209" formatCode="#,##0.00000000_);\(#,##0.00000000\)"/>
    <numFmt numFmtId="210" formatCode="0.0000000"/>
    <numFmt numFmtId="211" formatCode="#,##0.0000000_);\(#,##0.0000000\)"/>
  </numFmts>
  <fonts count="157">
    <font>
      <sz val="12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0"/>
      <name val="Arial"/>
      <family val="2"/>
    </font>
    <font>
      <sz val="12"/>
      <name val="Arial MT"/>
    </font>
    <font>
      <b/>
      <sz val="10"/>
      <color indexed="8"/>
      <name val="Arial"/>
      <family val="2"/>
    </font>
    <font>
      <sz val="8"/>
      <name val="Arial"/>
      <family val="2"/>
    </font>
    <font>
      <sz val="10"/>
      <color indexed="9"/>
      <name val="Arial"/>
      <family val="2"/>
    </font>
    <font>
      <b/>
      <sz val="10"/>
      <color indexed="9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b/>
      <u/>
      <sz val="10"/>
      <name val="Arial"/>
      <family val="2"/>
    </font>
    <font>
      <sz val="10"/>
      <color indexed="12"/>
      <name val="Arial"/>
      <family val="2"/>
    </font>
    <font>
      <sz val="10"/>
      <color indexed="8"/>
      <name val="Arial"/>
      <family val="2"/>
    </font>
    <font>
      <sz val="10"/>
      <color indexed="56"/>
      <name val="Arial"/>
      <family val="2"/>
    </font>
    <font>
      <b/>
      <sz val="10"/>
      <color indexed="12"/>
      <name val="Arial"/>
      <family val="2"/>
    </font>
    <font>
      <b/>
      <sz val="8"/>
      <name val="Arial"/>
      <family val="2"/>
    </font>
    <font>
      <sz val="10"/>
      <name val="System"/>
      <family val="2"/>
    </font>
    <font>
      <sz val="8"/>
      <color indexed="10"/>
      <name val="Arial"/>
      <family val="2"/>
    </font>
    <font>
      <b/>
      <sz val="11"/>
      <color indexed="9"/>
      <name val="Arial"/>
      <family val="2"/>
    </font>
    <font>
      <b/>
      <sz val="10"/>
      <color indexed="54"/>
      <name val="Arial"/>
      <family val="2"/>
    </font>
    <font>
      <u/>
      <sz val="10"/>
      <name val="Arial"/>
      <family val="2"/>
    </font>
    <font>
      <sz val="12"/>
      <name val="Courier"/>
      <family val="3"/>
    </font>
    <font>
      <b/>
      <sz val="10"/>
      <color rgb="FF0000FF"/>
      <name val="Arial"/>
      <family val="2"/>
    </font>
    <font>
      <sz val="10"/>
      <color indexed="20"/>
      <name val="Arial"/>
      <family val="2"/>
    </font>
    <font>
      <b/>
      <sz val="10"/>
      <color indexed="52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b/>
      <sz val="18"/>
      <color indexed="56"/>
      <name val="Cambria"/>
      <family val="2"/>
    </font>
    <font>
      <sz val="10"/>
      <color rgb="FF0000FF"/>
      <name val="Arial"/>
      <family val="2"/>
    </font>
    <font>
      <i/>
      <sz val="10"/>
      <name val="Arial"/>
      <family val="2"/>
    </font>
    <font>
      <u/>
      <sz val="10"/>
      <color indexed="12"/>
      <name val="Arial"/>
      <family val="2"/>
    </font>
    <font>
      <sz val="10"/>
      <color indexed="81"/>
      <name val="Tahoma"/>
      <family val="2"/>
    </font>
    <font>
      <b/>
      <sz val="10"/>
      <color rgb="FFFF0000"/>
      <name val="Arial"/>
      <family val="2"/>
    </font>
    <font>
      <i/>
      <sz val="12"/>
      <name val="Arial"/>
      <family val="2"/>
    </font>
    <font>
      <sz val="10"/>
      <color indexed="53"/>
      <name val="Arial"/>
      <family val="2"/>
    </font>
    <font>
      <sz val="10"/>
      <color rgb="FF00B0F0"/>
      <name val="Arial"/>
      <family val="2"/>
    </font>
    <font>
      <b/>
      <sz val="10"/>
      <color indexed="53"/>
      <name val="Arial"/>
      <family val="2"/>
    </font>
    <font>
      <b/>
      <u/>
      <sz val="10"/>
      <color rgb="FFFF0000"/>
      <name val="Arial"/>
      <family val="2"/>
    </font>
    <font>
      <b/>
      <u/>
      <sz val="10"/>
      <color indexed="10"/>
      <name val="Arial"/>
      <family val="2"/>
    </font>
    <font>
      <b/>
      <u/>
      <sz val="10"/>
      <color rgb="FF0000FF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4"/>
      <color theme="1"/>
      <name val="Arial"/>
      <family val="2"/>
    </font>
    <font>
      <sz val="12"/>
      <color rgb="FF0000FF"/>
      <name val="Arial"/>
      <family val="2"/>
    </font>
    <font>
      <u/>
      <sz val="10"/>
      <color indexed="8"/>
      <name val="Arial"/>
      <family val="2"/>
    </font>
    <font>
      <u val="double"/>
      <sz val="10"/>
      <color indexed="8"/>
      <name val="Arial"/>
      <family val="2"/>
    </font>
    <font>
      <u val="double"/>
      <sz val="10"/>
      <name val="Arial"/>
      <family val="2"/>
    </font>
    <font>
      <b/>
      <sz val="16"/>
      <color rgb="FFFF0000"/>
      <name val="Arial"/>
      <family val="2"/>
    </font>
    <font>
      <b/>
      <sz val="12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name val="Times New Roman"/>
      <family val="1"/>
    </font>
    <font>
      <sz val="8"/>
      <name val="MS Sans Serif"/>
      <family val="2"/>
    </font>
    <font>
      <u/>
      <sz val="12"/>
      <color indexed="12"/>
      <name val="Times New Roman"/>
      <family val="1"/>
    </font>
    <font>
      <u/>
      <sz val="12"/>
      <color indexed="12"/>
      <name val="Arial MT"/>
    </font>
    <font>
      <sz val="11"/>
      <color theme="1"/>
      <name val="Calibri"/>
      <family val="2"/>
    </font>
    <font>
      <sz val="11"/>
      <color theme="0"/>
      <name val="Calibri"/>
      <family val="2"/>
    </font>
    <font>
      <sz val="11"/>
      <color rgb="FF9C0006"/>
      <name val="Calibri"/>
      <family val="2"/>
    </font>
    <font>
      <b/>
      <sz val="11"/>
      <color rgb="FFFA7D00"/>
      <name val="Calibri"/>
      <family val="2"/>
    </font>
    <font>
      <b/>
      <sz val="11"/>
      <color theme="0"/>
      <name val="Calibri"/>
      <family val="2"/>
    </font>
    <font>
      <i/>
      <sz val="11"/>
      <color rgb="FF7F7F7F"/>
      <name val="Calibri"/>
      <family val="2"/>
    </font>
    <font>
      <sz val="11"/>
      <color rgb="FF006100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1"/>
      <color rgb="FF3F3F76"/>
      <name val="Calibri"/>
      <family val="2"/>
    </font>
    <font>
      <sz val="11"/>
      <color rgb="FFFA7D00"/>
      <name val="Calibri"/>
      <family val="2"/>
    </font>
    <font>
      <sz val="11"/>
      <color rgb="FF9C6500"/>
      <name val="Calibri"/>
      <family val="2"/>
    </font>
    <font>
      <b/>
      <sz val="11"/>
      <color rgb="FF3F3F3F"/>
      <name val="Calibri"/>
      <family val="2"/>
    </font>
    <font>
      <b/>
      <sz val="11"/>
      <color theme="1"/>
      <name val="Calibri"/>
      <family val="2"/>
    </font>
    <font>
      <sz val="11"/>
      <color rgb="FFFF0000"/>
      <name val="Calibri"/>
      <family val="2"/>
    </font>
    <font>
      <sz val="12"/>
      <color indexed="8"/>
      <name val="Arial"/>
      <family val="2"/>
    </font>
    <font>
      <b/>
      <sz val="18"/>
      <name val="Arial"/>
      <family val="2"/>
    </font>
    <font>
      <sz val="10"/>
      <color theme="1"/>
      <name val="Goudy Old Style"/>
      <family val="2"/>
    </font>
    <font>
      <sz val="11"/>
      <color theme="1"/>
      <name val="Cambria"/>
      <family val="2"/>
    </font>
    <font>
      <sz val="11"/>
      <color theme="0"/>
      <name val="Cambria"/>
      <family val="2"/>
    </font>
    <font>
      <sz val="10"/>
      <color indexed="8"/>
      <name val="Book Antiqua"/>
      <family val="1"/>
    </font>
    <font>
      <sz val="11"/>
      <color indexed="8"/>
      <name val="Arial"/>
      <family val="2"/>
    </font>
    <font>
      <sz val="11"/>
      <color rgb="FF9C0006"/>
      <name val="Cambria"/>
      <family val="2"/>
    </font>
    <font>
      <b/>
      <sz val="12"/>
      <color indexed="9"/>
      <name val="Times New Roman"/>
      <family val="1"/>
    </font>
    <font>
      <b/>
      <sz val="11"/>
      <color rgb="FFFA7D00"/>
      <name val="Cambria"/>
      <family val="2"/>
    </font>
    <font>
      <sz val="10"/>
      <name val="Courier"/>
      <family val="3"/>
    </font>
    <font>
      <b/>
      <sz val="11"/>
      <color theme="0"/>
      <name val="Cambria"/>
      <family val="2"/>
    </font>
    <font>
      <sz val="11"/>
      <name val="Tms Rmn"/>
      <family val="1"/>
    </font>
    <font>
      <sz val="11"/>
      <color theme="1"/>
      <name val="Arial"/>
      <family val="2"/>
    </font>
    <font>
      <sz val="11"/>
      <name val="Times New Roman"/>
      <family val="1"/>
    </font>
    <font>
      <sz val="10"/>
      <color indexed="24"/>
      <name val="Times New Roman"/>
      <family val="1"/>
    </font>
    <font>
      <i/>
      <sz val="11"/>
      <color rgb="FF7F7F7F"/>
      <name val="Cambria"/>
      <family val="2"/>
    </font>
    <font>
      <sz val="12"/>
      <color indexed="12"/>
      <name val="SWISS"/>
      <family val="2"/>
    </font>
    <font>
      <sz val="11"/>
      <color rgb="FF006100"/>
      <name val="Cambria"/>
      <family val="2"/>
    </font>
    <font>
      <b/>
      <u/>
      <sz val="11"/>
      <color indexed="37"/>
      <name val="Arial"/>
      <family val="2"/>
    </font>
    <font>
      <b/>
      <sz val="15"/>
      <color theme="3"/>
      <name val="Cambria"/>
      <family val="2"/>
    </font>
    <font>
      <b/>
      <sz val="13"/>
      <color theme="3"/>
      <name val="Cambria"/>
      <family val="2"/>
    </font>
    <font>
      <b/>
      <sz val="11"/>
      <color theme="3"/>
      <name val="Cambria"/>
      <family val="2"/>
    </font>
    <font>
      <b/>
      <i/>
      <sz val="12"/>
      <color indexed="57"/>
      <name val="Swiss"/>
      <family val="2"/>
    </font>
    <font>
      <sz val="11"/>
      <color rgb="FF3F3F76"/>
      <name val="Cambria"/>
      <family val="2"/>
    </font>
    <font>
      <sz val="11"/>
      <color indexed="32"/>
      <name val="Arial"/>
      <family val="2"/>
    </font>
    <font>
      <b/>
      <sz val="12"/>
      <name val="Swiss"/>
      <family val="2"/>
    </font>
    <font>
      <sz val="11"/>
      <color rgb="FFFA7D00"/>
      <name val="Cambria"/>
      <family val="2"/>
    </font>
    <font>
      <b/>
      <sz val="11"/>
      <color indexed="18"/>
      <name val="Arial"/>
      <family val="2"/>
    </font>
    <font>
      <sz val="10"/>
      <color indexed="56"/>
      <name val="Courier"/>
      <family val="3"/>
    </font>
    <font>
      <sz val="11"/>
      <color indexed="16"/>
      <name val="Arial"/>
      <family val="2"/>
    </font>
    <font>
      <i/>
      <sz val="12"/>
      <color indexed="38"/>
      <name val="Swiss"/>
      <family val="2"/>
    </font>
    <font>
      <sz val="11"/>
      <color rgb="FF9C6500"/>
      <name val="Cambria"/>
      <family val="2"/>
    </font>
    <font>
      <sz val="7"/>
      <name val="Small Fonts"/>
      <family val="2"/>
    </font>
    <font>
      <b/>
      <i/>
      <sz val="16"/>
      <name val="Helv"/>
    </font>
    <font>
      <b/>
      <sz val="11"/>
      <color rgb="FF3F3F3F"/>
      <name val="Cambria"/>
      <family val="2"/>
    </font>
    <font>
      <b/>
      <sz val="11"/>
      <color indexed="16"/>
      <name val="Times New Roman"/>
      <family val="1"/>
    </font>
    <font>
      <b/>
      <sz val="10"/>
      <name val="Book Antiqua"/>
      <family val="1"/>
    </font>
    <font>
      <sz val="10"/>
      <color indexed="18"/>
      <name val="Times New Roman"/>
      <family val="1"/>
    </font>
    <font>
      <b/>
      <i/>
      <sz val="10"/>
      <color indexed="38"/>
      <name val="Arial"/>
      <family val="2"/>
    </font>
    <font>
      <b/>
      <sz val="12"/>
      <color indexed="38"/>
      <name val="Swiss"/>
      <family val="2"/>
    </font>
    <font>
      <i/>
      <sz val="10"/>
      <name val="MS Sans Serif"/>
      <family val="2"/>
    </font>
    <font>
      <b/>
      <sz val="14"/>
      <color indexed="8"/>
      <name val="Helv"/>
    </font>
    <font>
      <b/>
      <sz val="12"/>
      <color indexed="18"/>
      <name val="Arial"/>
      <family val="2"/>
    </font>
    <font>
      <sz val="11"/>
      <name val="Book Antiqua"/>
      <family val="1"/>
    </font>
    <font>
      <b/>
      <sz val="11"/>
      <color theme="1"/>
      <name val="Cambria"/>
      <family val="2"/>
    </font>
    <font>
      <i/>
      <sz val="12"/>
      <color indexed="50"/>
      <name val="Arial"/>
      <family val="2"/>
    </font>
    <font>
      <sz val="12"/>
      <color indexed="8"/>
      <name val="Arial MT"/>
    </font>
    <font>
      <sz val="8"/>
      <color indexed="12"/>
      <name val="Arial"/>
      <family val="2"/>
    </font>
    <font>
      <sz val="11"/>
      <color rgb="FFFF0000"/>
      <name val="Cambria"/>
      <family val="2"/>
    </font>
    <font>
      <u/>
      <sz val="8.4"/>
      <color indexed="12"/>
      <name val="Arial"/>
      <family val="2"/>
    </font>
    <font>
      <b/>
      <sz val="10"/>
      <color rgb="FF000000"/>
      <name val="Courier"/>
      <family val="3"/>
    </font>
  </fonts>
  <fills count="95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  <bgColor indexed="9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00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55"/>
      </patternFill>
    </fill>
    <fill>
      <patternFill patternType="solid">
        <fgColor indexed="5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13"/>
      </patternFill>
    </fill>
    <fill>
      <patternFill patternType="solid">
        <fgColor indexed="14"/>
        <bgColor indexed="14"/>
      </patternFill>
    </fill>
    <fill>
      <patternFill patternType="solid">
        <fgColor indexed="10"/>
        <bgColor indexed="10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indexed="26"/>
        <bgColor indexed="64"/>
      </patternFill>
    </fill>
    <fill>
      <patternFill patternType="mediumGray">
        <fgColor indexed="22"/>
      </patternFill>
    </fill>
    <fill>
      <patternFill patternType="solid">
        <fgColor indexed="15"/>
      </patternFill>
    </fill>
    <fill>
      <patternFill patternType="solid">
        <fgColor indexed="43"/>
        <bgColor indexed="64"/>
      </patternFill>
    </fill>
    <fill>
      <patternFill patternType="solid">
        <fgColor indexed="15"/>
        <bgColor indexed="1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C000"/>
        <bgColor indexed="64"/>
      </patternFill>
    </fill>
  </fills>
  <borders count="15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tted">
        <color indexed="23"/>
      </left>
      <right style="dotted">
        <color indexed="23"/>
      </right>
      <top style="dotted">
        <color indexed="23"/>
      </top>
      <bottom style="dotted">
        <color indexed="23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10"/>
      </left>
      <right style="hair">
        <color indexed="10"/>
      </right>
      <top style="hair">
        <color indexed="10"/>
      </top>
      <bottom style="hair">
        <color indexed="10"/>
      </bottom>
      <diagonal/>
    </border>
    <border>
      <left style="thin">
        <color indexed="32"/>
      </left>
      <right style="thin">
        <color indexed="32"/>
      </right>
      <top style="thin">
        <color indexed="32"/>
      </top>
      <bottom style="thin">
        <color indexed="32"/>
      </bottom>
      <diagonal/>
    </border>
    <border>
      <left style="dotted">
        <color indexed="50"/>
      </left>
      <right/>
      <top style="dotted">
        <color indexed="50"/>
      </top>
      <bottom/>
      <diagonal/>
    </border>
    <border>
      <left style="thin">
        <color indexed="56"/>
      </left>
      <right style="thin">
        <color indexed="56"/>
      </right>
      <top style="thin">
        <color indexed="56"/>
      </top>
      <bottom style="thin">
        <color indexed="56"/>
      </bottom>
      <diagonal/>
    </border>
    <border>
      <left style="dotted">
        <color indexed="16"/>
      </left>
      <right style="dotted">
        <color indexed="16"/>
      </right>
      <top style="dotted">
        <color indexed="16"/>
      </top>
      <bottom style="dotted">
        <color indexed="1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32"/>
      </left>
      <right style="thin">
        <color indexed="32"/>
      </right>
      <top style="thin">
        <color indexed="32"/>
      </top>
      <bottom style="thin">
        <color indexed="32"/>
      </bottom>
      <diagonal/>
    </border>
    <border>
      <left style="thin">
        <color indexed="56"/>
      </left>
      <right style="thin">
        <color indexed="56"/>
      </right>
      <top style="thin">
        <color indexed="56"/>
      </top>
      <bottom style="thin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32"/>
      </left>
      <right style="thin">
        <color indexed="32"/>
      </right>
      <top style="thin">
        <color indexed="32"/>
      </top>
      <bottom style="thin">
        <color indexed="32"/>
      </bottom>
      <diagonal/>
    </border>
    <border>
      <left style="thin">
        <color indexed="56"/>
      </left>
      <right style="thin">
        <color indexed="56"/>
      </right>
      <top style="thin">
        <color indexed="56"/>
      </top>
      <bottom style="thin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32"/>
      </left>
      <right style="thin">
        <color indexed="32"/>
      </right>
      <top style="thin">
        <color indexed="32"/>
      </top>
      <bottom style="thin">
        <color indexed="32"/>
      </bottom>
      <diagonal/>
    </border>
    <border>
      <left style="thin">
        <color indexed="56"/>
      </left>
      <right style="thin">
        <color indexed="56"/>
      </right>
      <top style="thin">
        <color indexed="56"/>
      </top>
      <bottom style="thin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32"/>
      </left>
      <right style="thin">
        <color indexed="32"/>
      </right>
      <top style="thin">
        <color indexed="32"/>
      </top>
      <bottom style="thin">
        <color indexed="32"/>
      </bottom>
      <diagonal/>
    </border>
    <border>
      <left style="thin">
        <color indexed="56"/>
      </left>
      <right style="thin">
        <color indexed="56"/>
      </right>
      <top style="thin">
        <color indexed="56"/>
      </top>
      <bottom style="thin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32"/>
      </left>
      <right style="thin">
        <color indexed="32"/>
      </right>
      <top style="thin">
        <color indexed="32"/>
      </top>
      <bottom style="thin">
        <color indexed="32"/>
      </bottom>
      <diagonal/>
    </border>
    <border>
      <left style="thin">
        <color indexed="56"/>
      </left>
      <right style="thin">
        <color indexed="56"/>
      </right>
      <top style="thin">
        <color indexed="56"/>
      </top>
      <bottom style="thin">
        <color indexed="56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/>
      <top style="thin">
        <color auto="1"/>
      </top>
      <bottom/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/>
      <right/>
      <top/>
      <bottom style="thin">
        <color auto="1"/>
      </bottom>
      <diagonal/>
    </border>
  </borders>
  <cellStyleXfs count="20271">
    <xf numFmtId="0" fontId="0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2" fillId="0" borderId="0"/>
    <xf numFmtId="0" fontId="4" fillId="0" borderId="0"/>
    <xf numFmtId="0" fontId="6" fillId="0" borderId="0"/>
    <xf numFmtId="0" fontId="4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23" fillId="0" borderId="0"/>
    <xf numFmtId="9" fontId="4" fillId="0" borderId="0" applyFont="0" applyFill="0" applyBorder="0" applyAlignment="0" applyProtection="0"/>
    <xf numFmtId="0" fontId="28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9" borderId="0" applyNumberFormat="0" applyBorder="0" applyAlignment="0" applyProtection="0"/>
    <xf numFmtId="0" fontId="19" fillId="12" borderId="0" applyNumberFormat="0" applyBorder="0" applyAlignment="0" applyProtection="0"/>
    <xf numFmtId="0" fontId="19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3" borderId="0" applyNumberFormat="0" applyBorder="0" applyAlignment="0" applyProtection="0"/>
    <xf numFmtId="0" fontId="30" fillId="7" borderId="0" applyNumberFormat="0" applyBorder="0" applyAlignment="0" applyProtection="0"/>
    <xf numFmtId="0" fontId="31" fillId="24" borderId="10" applyNumberFormat="0" applyAlignment="0" applyProtection="0"/>
    <xf numFmtId="0" fontId="14" fillId="25" borderId="11" applyNumberFormat="0" applyAlignment="0" applyProtection="0"/>
    <xf numFmtId="3" fontId="4" fillId="26" borderId="0" applyFont="0" applyFill="0" applyBorder="0" applyAlignment="0" applyProtection="0"/>
    <xf numFmtId="5" fontId="4" fillId="26" borderId="0" applyFont="0" applyFill="0" applyBorder="0" applyAlignment="0" applyProtection="0"/>
    <xf numFmtId="0" fontId="4" fillId="26" borderId="0" applyFont="0" applyFill="0" applyBorder="0" applyAlignment="0" applyProtection="0"/>
    <xf numFmtId="0" fontId="32" fillId="0" borderId="0" applyNumberFormat="0" applyFill="0" applyBorder="0" applyAlignment="0" applyProtection="0"/>
    <xf numFmtId="2" fontId="4" fillId="26" borderId="0" applyFont="0" applyFill="0" applyBorder="0" applyAlignment="0" applyProtection="0"/>
    <xf numFmtId="0" fontId="33" fillId="8" borderId="0" applyNumberFormat="0" applyBorder="0" applyAlignment="0" applyProtection="0"/>
    <xf numFmtId="0" fontId="34" fillId="0" borderId="12" applyNumberFormat="0" applyFill="0" applyAlignment="0" applyProtection="0"/>
    <xf numFmtId="0" fontId="35" fillId="0" borderId="13" applyNumberFormat="0" applyFill="0" applyAlignment="0" applyProtection="0"/>
    <xf numFmtId="0" fontId="36" fillId="0" borderId="14" applyNumberFormat="0" applyFill="0" applyAlignment="0" applyProtection="0"/>
    <xf numFmtId="0" fontId="36" fillId="0" borderId="0" applyNumberFormat="0" applyFill="0" applyBorder="0" applyAlignment="0" applyProtection="0"/>
    <xf numFmtId="0" fontId="37" fillId="11" borderId="10" applyNumberFormat="0" applyAlignment="0" applyProtection="0"/>
    <xf numFmtId="0" fontId="38" fillId="0" borderId="15" applyNumberFormat="0" applyFill="0" applyAlignment="0" applyProtection="0"/>
    <xf numFmtId="0" fontId="39" fillId="27" borderId="0" applyNumberFormat="0" applyBorder="0" applyAlignment="0" applyProtection="0"/>
    <xf numFmtId="0" fontId="4" fillId="28" borderId="16" applyNumberFormat="0" applyFont="0" applyAlignment="0" applyProtection="0"/>
    <xf numFmtId="0" fontId="40" fillId="24" borderId="17" applyNumberFormat="0" applyAlignment="0" applyProtection="0"/>
    <xf numFmtId="0" fontId="41" fillId="0" borderId="0" applyNumberFormat="0" applyFont="0" applyFill="0" applyBorder="0" applyAlignment="0" applyProtection="0">
      <alignment horizontal="left"/>
    </xf>
    <xf numFmtId="4" fontId="41" fillId="0" borderId="0" applyFont="0" applyFill="0" applyBorder="0" applyAlignment="0" applyProtection="0"/>
    <xf numFmtId="0" fontId="42" fillId="0" borderId="7">
      <alignment horizontal="center"/>
    </xf>
    <xf numFmtId="0" fontId="43" fillId="0" borderId="0" applyNumberFormat="0" applyFill="0" applyBorder="0" applyAlignment="0" applyProtection="0"/>
    <xf numFmtId="0" fontId="11" fillId="0" borderId="18" applyNumberFormat="0" applyFill="0" applyAlignment="0" applyProtection="0"/>
    <xf numFmtId="0" fontId="15" fillId="0" borderId="0" applyNumberFormat="0" applyFill="0" applyBorder="0" applyAlignment="0" applyProtection="0"/>
    <xf numFmtId="0" fontId="10" fillId="0" borderId="0"/>
    <xf numFmtId="0" fontId="41" fillId="0" borderId="0" applyNumberFormat="0" applyFont="0" applyFill="0" applyBorder="0" applyAlignment="0" applyProtection="0">
      <alignment horizontal="left"/>
    </xf>
    <xf numFmtId="4" fontId="41" fillId="0" borderId="0" applyFont="0" applyFill="0" applyBorder="0" applyAlignment="0" applyProtection="0"/>
    <xf numFmtId="0" fontId="42" fillId="0" borderId="7">
      <alignment horizont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28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0" fillId="0" borderId="0"/>
    <xf numFmtId="0" fontId="28" fillId="0" borderId="0"/>
    <xf numFmtId="0" fontId="41" fillId="0" borderId="0" applyNumberFormat="0" applyFont="0" applyFill="0" applyBorder="0" applyAlignment="0" applyProtection="0">
      <alignment horizontal="left"/>
    </xf>
    <xf numFmtId="4" fontId="41" fillId="0" borderId="0" applyFont="0" applyFill="0" applyBorder="0" applyAlignment="0" applyProtection="0"/>
    <xf numFmtId="0" fontId="42" fillId="0" borderId="7">
      <alignment horizontal="center"/>
    </xf>
    <xf numFmtId="0" fontId="4" fillId="0" borderId="0"/>
    <xf numFmtId="0" fontId="4" fillId="0" borderId="0"/>
    <xf numFmtId="0" fontId="4" fillId="0" borderId="0"/>
    <xf numFmtId="0" fontId="58" fillId="0" borderId="0"/>
    <xf numFmtId="44" fontId="4" fillId="0" borderId="0" applyFont="0" applyFill="0" applyBorder="0" applyAlignment="0" applyProtection="0"/>
    <xf numFmtId="0" fontId="6" fillId="0" borderId="0"/>
    <xf numFmtId="0" fontId="69" fillId="0" borderId="0" applyNumberFormat="0" applyFill="0" applyBorder="0" applyAlignment="0" applyProtection="0"/>
    <xf numFmtId="0" fontId="70" fillId="0" borderId="64" applyNumberFormat="0" applyFill="0" applyAlignment="0" applyProtection="0"/>
    <xf numFmtId="0" fontId="71" fillId="0" borderId="65" applyNumberFormat="0" applyFill="0" applyAlignment="0" applyProtection="0"/>
    <xf numFmtId="0" fontId="72" fillId="0" borderId="66" applyNumberFormat="0" applyFill="0" applyAlignment="0" applyProtection="0"/>
    <xf numFmtId="0" fontId="72" fillId="0" borderId="0" applyNumberFormat="0" applyFill="0" applyBorder="0" applyAlignment="0" applyProtection="0"/>
    <xf numFmtId="0" fontId="73" fillId="48" borderId="0" applyNumberFormat="0" applyBorder="0" applyAlignment="0" applyProtection="0"/>
    <xf numFmtId="0" fontId="74" fillId="49" borderId="0" applyNumberFormat="0" applyBorder="0" applyAlignment="0" applyProtection="0"/>
    <xf numFmtId="0" fontId="75" fillId="50" borderId="0" applyNumberFormat="0" applyBorder="0" applyAlignment="0" applyProtection="0"/>
    <xf numFmtId="0" fontId="76" fillId="51" borderId="67" applyNumberFormat="0" applyAlignment="0" applyProtection="0"/>
    <xf numFmtId="0" fontId="77" fillId="52" borderId="68" applyNumberFormat="0" applyAlignment="0" applyProtection="0"/>
    <xf numFmtId="0" fontId="78" fillId="52" borderId="67" applyNumberFormat="0" applyAlignment="0" applyProtection="0"/>
    <xf numFmtId="0" fontId="79" fillId="0" borderId="69" applyNumberFormat="0" applyFill="0" applyAlignment="0" applyProtection="0"/>
    <xf numFmtId="0" fontId="80" fillId="53" borderId="70" applyNumberFormat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72" applyNumberFormat="0" applyFill="0" applyAlignment="0" applyProtection="0"/>
    <xf numFmtId="0" fontId="84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84" fillId="58" borderId="0" applyNumberFormat="0" applyBorder="0" applyAlignment="0" applyProtection="0"/>
    <xf numFmtId="0" fontId="84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84" fillId="62" borderId="0" applyNumberFormat="0" applyBorder="0" applyAlignment="0" applyProtection="0"/>
    <xf numFmtId="0" fontId="84" fillId="63" borderId="0" applyNumberFormat="0" applyBorder="0" applyAlignment="0" applyProtection="0"/>
    <xf numFmtId="0" fontId="2" fillId="64" borderId="0" applyNumberFormat="0" applyBorder="0" applyAlignment="0" applyProtection="0"/>
    <xf numFmtId="0" fontId="2" fillId="65" borderId="0" applyNumberFormat="0" applyBorder="0" applyAlignment="0" applyProtection="0"/>
    <xf numFmtId="0" fontId="84" fillId="66" borderId="0" applyNumberFormat="0" applyBorder="0" applyAlignment="0" applyProtection="0"/>
    <xf numFmtId="0" fontId="84" fillId="67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84" fillId="70" borderId="0" applyNumberFormat="0" applyBorder="0" applyAlignment="0" applyProtection="0"/>
    <xf numFmtId="0" fontId="84" fillId="71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84" fillId="74" borderId="0" applyNumberFormat="0" applyBorder="0" applyAlignment="0" applyProtection="0"/>
    <xf numFmtId="0" fontId="84" fillId="75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84" fillId="78" borderId="0" applyNumberFormat="0" applyBorder="0" applyAlignment="0" applyProtection="0"/>
    <xf numFmtId="0" fontId="115" fillId="0" borderId="137"/>
    <xf numFmtId="0" fontId="40" fillId="24" borderId="143" applyNumberFormat="0" applyAlignment="0" applyProtection="0"/>
    <xf numFmtId="0" fontId="4" fillId="28" borderId="142" applyNumberFormat="0" applyFont="0" applyAlignment="0" applyProtection="0"/>
    <xf numFmtId="0" fontId="4" fillId="28" borderId="112" applyNumberFormat="0" applyFont="0" applyAlignment="0" applyProtection="0"/>
    <xf numFmtId="0" fontId="11" fillId="0" borderId="124" applyNumberFormat="0" applyFill="0" applyAlignment="0" applyProtection="0"/>
    <xf numFmtId="0" fontId="37" fillId="11" borderId="121" applyNumberFormat="0" applyAlignment="0" applyProtection="0"/>
    <xf numFmtId="0" fontId="11" fillId="0" borderId="124" applyNumberFormat="0" applyFill="0" applyAlignment="0" applyProtection="0"/>
    <xf numFmtId="0" fontId="31" fillId="24" borderId="131" applyNumberFormat="0" applyAlignment="0" applyProtection="0"/>
    <xf numFmtId="0" fontId="40" fillId="24" borderId="123" applyNumberFormat="0" applyAlignment="0" applyProtection="0"/>
    <xf numFmtId="0" fontId="31" fillId="24" borderId="73" applyNumberFormat="0" applyAlignment="0" applyProtection="0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4" fillId="28" borderId="112" applyNumberFormat="0" applyFont="0" applyAlignment="0" applyProtection="0"/>
    <xf numFmtId="0" fontId="37" fillId="11" borderId="73" applyNumberFormat="0" applyAlignment="0" applyProtection="0"/>
    <xf numFmtId="0" fontId="4" fillId="28" borderId="74" applyNumberFormat="0" applyFont="0" applyAlignment="0" applyProtection="0"/>
    <xf numFmtId="0" fontId="40" fillId="24" borderId="75" applyNumberFormat="0" applyAlignment="0" applyProtection="0"/>
    <xf numFmtId="0" fontId="115" fillId="85" borderId="117"/>
    <xf numFmtId="0" fontId="11" fillId="0" borderId="76" applyNumberFormat="0" applyFill="0" applyAlignment="0" applyProtection="0"/>
    <xf numFmtId="0" fontId="40" fillId="24" borderId="133" applyNumberFormat="0" applyAlignment="0" applyProtection="0"/>
    <xf numFmtId="0" fontId="115" fillId="85" borderId="127"/>
    <xf numFmtId="0" fontId="40" fillId="24" borderId="143" applyNumberFormat="0" applyAlignment="0" applyProtection="0"/>
    <xf numFmtId="0" fontId="4" fillId="28" borderId="112" applyNumberFormat="0" applyFont="0" applyAlignment="0" applyProtection="0"/>
    <xf numFmtId="0" fontId="37" fillId="11" borderId="131" applyNumberFormat="0" applyAlignment="0" applyProtection="0"/>
    <xf numFmtId="0" fontId="37" fillId="11" borderId="121" applyNumberFormat="0" applyAlignment="0" applyProtection="0"/>
    <xf numFmtId="0" fontId="11" fillId="0" borderId="134" applyNumberFormat="0" applyFill="0" applyAlignment="0" applyProtection="0"/>
    <xf numFmtId="0" fontId="4" fillId="28" borderId="142" applyNumberFormat="0" applyFont="0" applyAlignment="0" applyProtection="0"/>
    <xf numFmtId="0" fontId="2" fillId="0" borderId="0"/>
    <xf numFmtId="0" fontId="6" fillId="0" borderId="0"/>
    <xf numFmtId="195" fontId="85" fillId="0" borderId="0"/>
    <xf numFmtId="0" fontId="86" fillId="0" borderId="0"/>
    <xf numFmtId="0" fontId="87" fillId="0" borderId="0" applyNumberFormat="0" applyFill="0" applyBorder="0" applyAlignment="0" applyProtection="0">
      <alignment vertical="top"/>
      <protection locked="0"/>
    </xf>
    <xf numFmtId="9" fontId="10" fillId="0" borderId="0" applyFont="0" applyFill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1" fillId="24" borderId="77" applyNumberFormat="0" applyAlignment="0" applyProtection="0"/>
    <xf numFmtId="0" fontId="31" fillId="24" borderId="77" applyNumberFormat="0" applyAlignment="0" applyProtection="0"/>
    <xf numFmtId="0" fontId="31" fillId="24" borderId="77" applyNumberFormat="0" applyAlignment="0" applyProtection="0"/>
    <xf numFmtId="0" fontId="31" fillId="24" borderId="77" applyNumberFormat="0" applyAlignment="0" applyProtection="0"/>
    <xf numFmtId="0" fontId="31" fillId="24" borderId="77" applyNumberFormat="0" applyAlignment="0" applyProtection="0"/>
    <xf numFmtId="0" fontId="31" fillId="24" borderId="77" applyNumberFormat="0" applyAlignment="0" applyProtection="0"/>
    <xf numFmtId="0" fontId="14" fillId="25" borderId="11" applyNumberFormat="0" applyAlignment="0" applyProtection="0"/>
    <xf numFmtId="0" fontId="14" fillId="25" borderId="11" applyNumberFormat="0" applyAlignment="0" applyProtection="0"/>
    <xf numFmtId="0" fontId="14" fillId="25" borderId="11" applyNumberFormat="0" applyAlignment="0" applyProtection="0"/>
    <xf numFmtId="0" fontId="14" fillId="25" borderId="11" applyNumberFormat="0" applyAlignment="0" applyProtection="0"/>
    <xf numFmtId="0" fontId="14" fillId="25" borderId="11" applyNumberFormat="0" applyAlignment="0" applyProtection="0"/>
    <xf numFmtId="0" fontId="14" fillId="25" borderId="11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4" fillId="0" borderId="12" applyNumberFormat="0" applyFill="0" applyAlignment="0" applyProtection="0"/>
    <xf numFmtId="0" fontId="34" fillId="0" borderId="12" applyNumberFormat="0" applyFill="0" applyAlignment="0" applyProtection="0"/>
    <xf numFmtId="0" fontId="34" fillId="0" borderId="12" applyNumberFormat="0" applyFill="0" applyAlignment="0" applyProtection="0"/>
    <xf numFmtId="0" fontId="34" fillId="0" borderId="12" applyNumberFormat="0" applyFill="0" applyAlignment="0" applyProtection="0"/>
    <xf numFmtId="0" fontId="34" fillId="0" borderId="12" applyNumberFormat="0" applyFill="0" applyAlignment="0" applyProtection="0"/>
    <xf numFmtId="0" fontId="34" fillId="0" borderId="12" applyNumberFormat="0" applyFill="0" applyAlignment="0" applyProtection="0"/>
    <xf numFmtId="0" fontId="35" fillId="0" borderId="13" applyNumberFormat="0" applyFill="0" applyAlignment="0" applyProtection="0"/>
    <xf numFmtId="0" fontId="35" fillId="0" borderId="13" applyNumberFormat="0" applyFill="0" applyAlignment="0" applyProtection="0"/>
    <xf numFmtId="0" fontId="35" fillId="0" borderId="13" applyNumberFormat="0" applyFill="0" applyAlignment="0" applyProtection="0"/>
    <xf numFmtId="0" fontId="35" fillId="0" borderId="13" applyNumberFormat="0" applyFill="0" applyAlignment="0" applyProtection="0"/>
    <xf numFmtId="0" fontId="35" fillId="0" borderId="13" applyNumberFormat="0" applyFill="0" applyAlignment="0" applyProtection="0"/>
    <xf numFmtId="0" fontId="35" fillId="0" borderId="13" applyNumberFormat="0" applyFill="0" applyAlignment="0" applyProtection="0"/>
    <xf numFmtId="0" fontId="36" fillId="0" borderId="14" applyNumberFormat="0" applyFill="0" applyAlignment="0" applyProtection="0"/>
    <xf numFmtId="0" fontId="36" fillId="0" borderId="14" applyNumberFormat="0" applyFill="0" applyAlignment="0" applyProtection="0"/>
    <xf numFmtId="0" fontId="36" fillId="0" borderId="14" applyNumberFormat="0" applyFill="0" applyAlignment="0" applyProtection="0"/>
    <xf numFmtId="0" fontId="36" fillId="0" borderId="14" applyNumberFormat="0" applyFill="0" applyAlignment="0" applyProtection="0"/>
    <xf numFmtId="0" fontId="36" fillId="0" borderId="14" applyNumberFormat="0" applyFill="0" applyAlignment="0" applyProtection="0"/>
    <xf numFmtId="0" fontId="36" fillId="0" borderId="14" applyNumberFormat="0" applyFill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88" fillId="0" borderId="0" applyNumberFormat="0" applyFill="0" applyBorder="0" applyAlignment="0" applyProtection="0">
      <alignment vertical="top"/>
      <protection locked="0"/>
    </xf>
    <xf numFmtId="0" fontId="37" fillId="11" borderId="77" applyNumberFormat="0" applyAlignment="0" applyProtection="0"/>
    <xf numFmtId="0" fontId="37" fillId="11" borderId="77" applyNumberFormat="0" applyAlignment="0" applyProtection="0"/>
    <xf numFmtId="0" fontId="37" fillId="11" borderId="77" applyNumberFormat="0" applyAlignment="0" applyProtection="0"/>
    <xf numFmtId="0" fontId="37" fillId="11" borderId="77" applyNumberFormat="0" applyAlignment="0" applyProtection="0"/>
    <xf numFmtId="0" fontId="37" fillId="11" borderId="77" applyNumberFormat="0" applyAlignment="0" applyProtection="0"/>
    <xf numFmtId="0" fontId="37" fillId="11" borderId="77" applyNumberFormat="0" applyAlignment="0" applyProtection="0"/>
    <xf numFmtId="0" fontId="38" fillId="0" borderId="15" applyNumberFormat="0" applyFill="0" applyAlignment="0" applyProtection="0"/>
    <xf numFmtId="0" fontId="38" fillId="0" borderId="15" applyNumberFormat="0" applyFill="0" applyAlignment="0" applyProtection="0"/>
    <xf numFmtId="0" fontId="38" fillId="0" borderId="15" applyNumberFormat="0" applyFill="0" applyAlignment="0" applyProtection="0"/>
    <xf numFmtId="0" fontId="38" fillId="0" borderId="15" applyNumberFormat="0" applyFill="0" applyAlignment="0" applyProtection="0"/>
    <xf numFmtId="0" fontId="38" fillId="0" borderId="15" applyNumberFormat="0" applyFill="0" applyAlignment="0" applyProtection="0"/>
    <xf numFmtId="0" fontId="38" fillId="0" borderId="15" applyNumberFormat="0" applyFill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78" applyNumberFormat="0" applyFont="0" applyAlignment="0" applyProtection="0"/>
    <xf numFmtId="0" fontId="4" fillId="28" borderId="78" applyNumberFormat="0" applyFont="0" applyAlignment="0" applyProtection="0"/>
    <xf numFmtId="0" fontId="4" fillId="28" borderId="78" applyNumberFormat="0" applyFont="0" applyAlignment="0" applyProtection="0"/>
    <xf numFmtId="0" fontId="4" fillId="28" borderId="78" applyNumberFormat="0" applyFont="0" applyAlignment="0" applyProtection="0"/>
    <xf numFmtId="0" fontId="4" fillId="28" borderId="78" applyNumberFormat="0" applyFont="0" applyAlignment="0" applyProtection="0"/>
    <xf numFmtId="0" fontId="4" fillId="28" borderId="78" applyNumberFormat="0" applyFont="0" applyAlignment="0" applyProtection="0"/>
    <xf numFmtId="0" fontId="40" fillId="24" borderId="79" applyNumberFormat="0" applyAlignment="0" applyProtection="0"/>
    <xf numFmtId="0" fontId="40" fillId="24" borderId="79" applyNumberFormat="0" applyAlignment="0" applyProtection="0"/>
    <xf numFmtId="0" fontId="40" fillId="24" borderId="79" applyNumberFormat="0" applyAlignment="0" applyProtection="0"/>
    <xf numFmtId="0" fontId="40" fillId="24" borderId="79" applyNumberFormat="0" applyAlignment="0" applyProtection="0"/>
    <xf numFmtId="0" fontId="40" fillId="24" borderId="79" applyNumberFormat="0" applyAlignment="0" applyProtection="0"/>
    <xf numFmtId="0" fontId="40" fillId="24" borderId="79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1" fillId="0" borderId="80" applyNumberFormat="0" applyFill="0" applyAlignment="0" applyProtection="0"/>
    <xf numFmtId="0" fontId="11" fillId="0" borderId="80" applyNumberFormat="0" applyFill="0" applyAlignment="0" applyProtection="0"/>
    <xf numFmtId="0" fontId="11" fillId="0" borderId="80" applyNumberFormat="0" applyFill="0" applyAlignment="0" applyProtection="0"/>
    <xf numFmtId="0" fontId="11" fillId="0" borderId="80" applyNumberFormat="0" applyFill="0" applyAlignment="0" applyProtection="0"/>
    <xf numFmtId="0" fontId="11" fillId="0" borderId="80" applyNumberFormat="0" applyFill="0" applyAlignment="0" applyProtection="0"/>
    <xf numFmtId="0" fontId="11" fillId="0" borderId="80" applyNumberFormat="0" applyFill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197" fontId="4" fillId="0" borderId="0">
      <alignment vertical="center"/>
    </xf>
    <xf numFmtId="197" fontId="4" fillId="0" borderId="0">
      <alignment vertical="center"/>
    </xf>
    <xf numFmtId="197" fontId="4" fillId="0" borderId="0">
      <alignment vertical="center"/>
    </xf>
    <xf numFmtId="197" fontId="4" fillId="0" borderId="0">
      <alignment vertical="center"/>
    </xf>
    <xf numFmtId="197" fontId="4" fillId="0" borderId="0">
      <alignment vertical="center"/>
    </xf>
    <xf numFmtId="197" fontId="4" fillId="0" borderId="0">
      <alignment vertical="center"/>
    </xf>
    <xf numFmtId="197" fontId="4" fillId="0" borderId="0">
      <alignment vertical="center"/>
    </xf>
    <xf numFmtId="197" fontId="4" fillId="0" borderId="0">
      <alignment vertical="center"/>
    </xf>
    <xf numFmtId="197" fontId="4" fillId="0" borderId="0">
      <alignment vertical="center"/>
    </xf>
    <xf numFmtId="197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8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" fillId="0" borderId="0"/>
    <xf numFmtId="0" fontId="89" fillId="54" borderId="71" applyNumberFormat="0" applyFont="0" applyAlignment="0" applyProtection="0"/>
    <xf numFmtId="195" fontId="85" fillId="0" borderId="0"/>
    <xf numFmtId="195" fontId="85" fillId="0" borderId="0"/>
    <xf numFmtId="0" fontId="86" fillId="0" borderId="0"/>
    <xf numFmtId="0" fontId="28" fillId="0" borderId="0"/>
    <xf numFmtId="0" fontId="31" fillId="24" borderId="77" applyNumberFormat="0" applyAlignment="0" applyProtection="0"/>
    <xf numFmtId="0" fontId="37" fillId="11" borderId="77" applyNumberFormat="0" applyAlignment="0" applyProtection="0"/>
    <xf numFmtId="0" fontId="4" fillId="28" borderId="78" applyNumberFormat="0" applyFont="0" applyAlignment="0" applyProtection="0"/>
    <xf numFmtId="0" fontId="40" fillId="24" borderId="79" applyNumberFormat="0" applyAlignment="0" applyProtection="0"/>
    <xf numFmtId="0" fontId="28" fillId="0" borderId="0"/>
    <xf numFmtId="0" fontId="11" fillId="0" borderId="80" applyNumberFormat="0" applyFill="0" applyAlignment="0" applyProtection="0"/>
    <xf numFmtId="0" fontId="10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2" fillId="73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64" borderId="0" applyNumberFormat="0" applyBorder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72" borderId="0" applyNumberFormat="0" applyBorder="0" applyAlignment="0" applyProtection="0"/>
    <xf numFmtId="0" fontId="2" fillId="64" borderId="0" applyNumberFormat="0" applyBorder="0" applyAlignment="0" applyProtection="0"/>
    <xf numFmtId="0" fontId="84" fillId="55" borderId="0" applyNumberFormat="0" applyBorder="0" applyAlignment="0" applyProtection="0"/>
    <xf numFmtId="0" fontId="82" fillId="0" borderId="0" applyNumberFormat="0" applyFill="0" applyBorder="0" applyAlignment="0" applyProtection="0"/>
    <xf numFmtId="0" fontId="75" fillId="50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4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54" borderId="71" applyNumberFormat="0" applyFont="0" applyAlignment="0" applyProtection="0"/>
    <xf numFmtId="0" fontId="2" fillId="57" borderId="0" applyNumberFormat="0" applyBorder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7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12" fillId="0" borderId="0"/>
    <xf numFmtId="0" fontId="2" fillId="0" borderId="0"/>
    <xf numFmtId="0" fontId="2" fillId="72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12" fillId="0" borderId="0"/>
    <xf numFmtId="0" fontId="2" fillId="77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65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1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12" fillId="0" borderId="0"/>
    <xf numFmtId="0" fontId="2" fillId="54" borderId="71" applyNumberFormat="0" applyFont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1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84" fillId="78" borderId="0" applyNumberFormat="0" applyBorder="0" applyAlignment="0" applyProtection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84" fillId="75" borderId="0" applyNumberFormat="0" applyBorder="0" applyAlignment="0" applyProtection="0"/>
    <xf numFmtId="0" fontId="2" fillId="73" borderId="0" applyNumberFormat="0" applyBorder="0" applyAlignment="0" applyProtection="0"/>
    <xf numFmtId="0" fontId="84" fillId="71" borderId="0" applyNumberFormat="0" applyBorder="0" applyAlignment="0" applyProtection="0"/>
    <xf numFmtId="0" fontId="84" fillId="70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84" fillId="67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84" fillId="59" borderId="0" applyNumberFormat="0" applyBorder="0" applyAlignment="0" applyProtection="0"/>
    <xf numFmtId="0" fontId="84" fillId="58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83" fillId="0" borderId="72" applyNumberFormat="0" applyFill="0" applyAlignment="0" applyProtection="0"/>
    <xf numFmtId="0" fontId="81" fillId="0" borderId="0" applyNumberFormat="0" applyFill="0" applyBorder="0" applyAlignment="0" applyProtection="0"/>
    <xf numFmtId="0" fontId="79" fillId="0" borderId="69" applyNumberFormat="0" applyFill="0" applyAlignment="0" applyProtection="0"/>
    <xf numFmtId="0" fontId="77" fillId="52" borderId="68" applyNumberFormat="0" applyAlignment="0" applyProtection="0"/>
    <xf numFmtId="0" fontId="76" fillId="51" borderId="67" applyNumberFormat="0" applyAlignment="0" applyProtection="0"/>
    <xf numFmtId="0" fontId="74" fillId="49" borderId="0" applyNumberFormat="0" applyBorder="0" applyAlignment="0" applyProtection="0"/>
    <xf numFmtId="0" fontId="72" fillId="0" borderId="0" applyNumberFormat="0" applyFill="0" applyBorder="0" applyAlignment="0" applyProtection="0"/>
    <xf numFmtId="0" fontId="72" fillId="0" borderId="66" applyNumberFormat="0" applyFill="0" applyAlignment="0" applyProtection="0"/>
    <xf numFmtId="0" fontId="71" fillId="0" borderId="65" applyNumberFormat="0" applyFill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73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12" fillId="0" borderId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60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84" fillId="66" borderId="0" applyNumberFormat="0" applyBorder="0" applyAlignment="0" applyProtection="0"/>
    <xf numFmtId="0" fontId="2" fillId="56" borderId="0" applyNumberFormat="0" applyBorder="0" applyAlignment="0" applyProtection="0"/>
    <xf numFmtId="0" fontId="2" fillId="68" borderId="0" applyNumberFormat="0" applyBorder="0" applyAlignment="0" applyProtection="0"/>
    <xf numFmtId="0" fontId="73" fillId="48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0" borderId="0"/>
    <xf numFmtId="0" fontId="12" fillId="0" borderId="0"/>
    <xf numFmtId="0" fontId="84" fillId="74" borderId="0" applyNumberFormat="0" applyBorder="0" applyAlignment="0" applyProtection="0"/>
    <xf numFmtId="0" fontId="2" fillId="64" borderId="0" applyNumberFormat="0" applyBorder="0" applyAlignment="0" applyProtection="0"/>
    <xf numFmtId="0" fontId="2" fillId="56" borderId="0" applyNumberFormat="0" applyBorder="0" applyAlignment="0" applyProtection="0"/>
    <xf numFmtId="0" fontId="2" fillId="61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6" borderId="0" applyNumberFormat="0" applyBorder="0" applyAlignment="0" applyProtection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73" borderId="0" applyNumberFormat="0" applyBorder="0" applyAlignment="0" applyProtection="0"/>
    <xf numFmtId="0" fontId="2" fillId="0" borderId="0"/>
    <xf numFmtId="0" fontId="2" fillId="7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61" borderId="0" applyNumberFormat="0" applyBorder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8" borderId="0" applyNumberFormat="0" applyBorder="0" applyAlignment="0" applyProtection="0"/>
    <xf numFmtId="0" fontId="2" fillId="76" borderId="0" applyNumberFormat="0" applyBorder="0" applyAlignment="0" applyProtection="0"/>
    <xf numFmtId="0" fontId="2" fillId="69" borderId="0" applyNumberFormat="0" applyBorder="0" applyAlignment="0" applyProtection="0"/>
    <xf numFmtId="0" fontId="2" fillId="76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57" borderId="0" applyNumberFormat="0" applyBorder="0" applyAlignment="0" applyProtection="0"/>
    <xf numFmtId="9" fontId="3" fillId="0" borderId="0" applyFont="0" applyFill="0" applyBorder="0" applyAlignment="0" applyProtection="0"/>
    <xf numFmtId="0" fontId="89" fillId="76" borderId="0" applyNumberFormat="0" applyBorder="0" applyAlignment="0" applyProtection="0"/>
    <xf numFmtId="0" fontId="89" fillId="56" borderId="0" applyNumberFormat="0" applyBorder="0" applyAlignment="0" applyProtection="0"/>
    <xf numFmtId="0" fontId="89" fillId="56" borderId="0" applyNumberFormat="0" applyBorder="0" applyAlignment="0" applyProtection="0"/>
    <xf numFmtId="0" fontId="89" fillId="60" borderId="0" applyNumberFormat="0" applyBorder="0" applyAlignment="0" applyProtection="0"/>
    <xf numFmtId="0" fontId="89" fillId="60" borderId="0" applyNumberFormat="0" applyBorder="0" applyAlignment="0" applyProtection="0"/>
    <xf numFmtId="0" fontId="89" fillId="64" borderId="0" applyNumberFormat="0" applyBorder="0" applyAlignment="0" applyProtection="0"/>
    <xf numFmtId="0" fontId="89" fillId="64" borderId="0" applyNumberFormat="0" applyBorder="0" applyAlignment="0" applyProtection="0"/>
    <xf numFmtId="0" fontId="89" fillId="68" borderId="0" applyNumberFormat="0" applyBorder="0" applyAlignment="0" applyProtection="0"/>
    <xf numFmtId="0" fontId="89" fillId="72" borderId="0" applyNumberFormat="0" applyBorder="0" applyAlignment="0" applyProtection="0"/>
    <xf numFmtId="0" fontId="89" fillId="72" borderId="0" applyNumberFormat="0" applyBorder="0" applyAlignment="0" applyProtection="0"/>
    <xf numFmtId="0" fontId="89" fillId="76" borderId="0" applyNumberFormat="0" applyBorder="0" applyAlignment="0" applyProtection="0"/>
    <xf numFmtId="0" fontId="89" fillId="57" borderId="0" applyNumberFormat="0" applyBorder="0" applyAlignment="0" applyProtection="0"/>
    <xf numFmtId="0" fontId="89" fillId="57" borderId="0" applyNumberFormat="0" applyBorder="0" applyAlignment="0" applyProtection="0"/>
    <xf numFmtId="0" fontId="89" fillId="61" borderId="0" applyNumberFormat="0" applyBorder="0" applyAlignment="0" applyProtection="0"/>
    <xf numFmtId="0" fontId="89" fillId="61" borderId="0" applyNumberFormat="0" applyBorder="0" applyAlignment="0" applyProtection="0"/>
    <xf numFmtId="0" fontId="89" fillId="65" borderId="0" applyNumberFormat="0" applyBorder="0" applyAlignment="0" applyProtection="0"/>
    <xf numFmtId="0" fontId="89" fillId="65" borderId="0" applyNumberFormat="0" applyBorder="0" applyAlignment="0" applyProtection="0"/>
    <xf numFmtId="0" fontId="89" fillId="69" borderId="0" applyNumberFormat="0" applyBorder="0" applyAlignment="0" applyProtection="0"/>
    <xf numFmtId="0" fontId="89" fillId="69" borderId="0" applyNumberFormat="0" applyBorder="0" applyAlignment="0" applyProtection="0"/>
    <xf numFmtId="0" fontId="89" fillId="73" borderId="0" applyNumberFormat="0" applyBorder="0" applyAlignment="0" applyProtection="0"/>
    <xf numFmtId="0" fontId="89" fillId="73" borderId="0" applyNumberFormat="0" applyBorder="0" applyAlignment="0" applyProtection="0"/>
    <xf numFmtId="0" fontId="89" fillId="77" borderId="0" applyNumberFormat="0" applyBorder="0" applyAlignment="0" applyProtection="0"/>
    <xf numFmtId="0" fontId="89" fillId="77" borderId="0" applyNumberFormat="0" applyBorder="0" applyAlignment="0" applyProtection="0"/>
    <xf numFmtId="0" fontId="90" fillId="58" borderId="0" applyNumberFormat="0" applyBorder="0" applyAlignment="0" applyProtection="0"/>
    <xf numFmtId="0" fontId="90" fillId="58" borderId="0" applyNumberFormat="0" applyBorder="0" applyAlignment="0" applyProtection="0"/>
    <xf numFmtId="0" fontId="90" fillId="62" borderId="0" applyNumberFormat="0" applyBorder="0" applyAlignment="0" applyProtection="0"/>
    <xf numFmtId="0" fontId="90" fillId="62" borderId="0" applyNumberFormat="0" applyBorder="0" applyAlignment="0" applyProtection="0"/>
    <xf numFmtId="0" fontId="90" fillId="66" borderId="0" applyNumberFormat="0" applyBorder="0" applyAlignment="0" applyProtection="0"/>
    <xf numFmtId="0" fontId="90" fillId="66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4" borderId="0" applyNumberFormat="0" applyBorder="0" applyAlignment="0" applyProtection="0"/>
    <xf numFmtId="0" fontId="90" fillId="74" borderId="0" applyNumberFormat="0" applyBorder="0" applyAlignment="0" applyProtection="0"/>
    <xf numFmtId="0" fontId="90" fillId="78" borderId="0" applyNumberFormat="0" applyBorder="0" applyAlignment="0" applyProtection="0"/>
    <xf numFmtId="0" fontId="90" fillId="78" borderId="0" applyNumberFormat="0" applyBorder="0" applyAlignment="0" applyProtection="0"/>
    <xf numFmtId="0" fontId="90" fillId="55" borderId="0" applyNumberFormat="0" applyBorder="0" applyAlignment="0" applyProtection="0"/>
    <xf numFmtId="0" fontId="90" fillId="55" borderId="0" applyNumberFormat="0" applyBorder="0" applyAlignment="0" applyProtection="0"/>
    <xf numFmtId="0" fontId="90" fillId="59" borderId="0" applyNumberFormat="0" applyBorder="0" applyAlignment="0" applyProtection="0"/>
    <xf numFmtId="0" fontId="90" fillId="59" borderId="0" applyNumberFormat="0" applyBorder="0" applyAlignment="0" applyProtection="0"/>
    <xf numFmtId="0" fontId="90" fillId="63" borderId="0" applyNumberFormat="0" applyBorder="0" applyAlignment="0" applyProtection="0"/>
    <xf numFmtId="0" fontId="90" fillId="63" borderId="0" applyNumberFormat="0" applyBorder="0" applyAlignment="0" applyProtection="0"/>
    <xf numFmtId="0" fontId="90" fillId="67" borderId="0" applyNumberFormat="0" applyBorder="0" applyAlignment="0" applyProtection="0"/>
    <xf numFmtId="0" fontId="90" fillId="67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5" borderId="0" applyNumberFormat="0" applyBorder="0" applyAlignment="0" applyProtection="0"/>
    <xf numFmtId="0" fontId="90" fillId="75" borderId="0" applyNumberFormat="0" applyBorder="0" applyAlignment="0" applyProtection="0"/>
    <xf numFmtId="0" fontId="91" fillId="49" borderId="0" applyNumberFormat="0" applyBorder="0" applyAlignment="0" applyProtection="0"/>
    <xf numFmtId="0" fontId="91" fillId="49" borderId="0" applyNumberFormat="0" applyBorder="0" applyAlignment="0" applyProtection="0"/>
    <xf numFmtId="0" fontId="92" fillId="52" borderId="67" applyNumberFormat="0" applyAlignment="0" applyProtection="0"/>
    <xf numFmtId="0" fontId="92" fillId="52" borderId="67" applyNumberFormat="0" applyAlignment="0" applyProtection="0"/>
    <xf numFmtId="0" fontId="93" fillId="53" borderId="70" applyNumberFormat="0" applyAlignment="0" applyProtection="0"/>
    <xf numFmtId="0" fontId="93" fillId="53" borderId="70" applyNumberFormat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5" fillId="48" borderId="0" applyNumberFormat="0" applyBorder="0" applyAlignment="0" applyProtection="0"/>
    <xf numFmtId="0" fontId="95" fillId="48" borderId="0" applyNumberFormat="0" applyBorder="0" applyAlignment="0" applyProtection="0"/>
    <xf numFmtId="0" fontId="96" fillId="0" borderId="64" applyNumberFormat="0" applyFill="0" applyAlignment="0" applyProtection="0"/>
    <xf numFmtId="0" fontId="96" fillId="0" borderId="64" applyNumberFormat="0" applyFill="0" applyAlignment="0" applyProtection="0"/>
    <xf numFmtId="0" fontId="97" fillId="0" borderId="65" applyNumberFormat="0" applyFill="0" applyAlignment="0" applyProtection="0"/>
    <xf numFmtId="0" fontId="97" fillId="0" borderId="65" applyNumberFormat="0" applyFill="0" applyAlignment="0" applyProtection="0"/>
    <xf numFmtId="0" fontId="98" fillId="0" borderId="66" applyNumberFormat="0" applyFill="0" applyAlignment="0" applyProtection="0"/>
    <xf numFmtId="0" fontId="98" fillId="0" borderId="66" applyNumberFormat="0" applyFill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9" fillId="51" borderId="67" applyNumberFormat="0" applyAlignment="0" applyProtection="0"/>
    <xf numFmtId="0" fontId="99" fillId="51" borderId="67" applyNumberFormat="0" applyAlignment="0" applyProtection="0"/>
    <xf numFmtId="0" fontId="100" fillId="0" borderId="69" applyNumberFormat="0" applyFill="0" applyAlignment="0" applyProtection="0"/>
    <xf numFmtId="0" fontId="100" fillId="0" borderId="69" applyNumberFormat="0" applyFill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2" fillId="52" borderId="68" applyNumberFormat="0" applyAlignment="0" applyProtection="0"/>
    <xf numFmtId="0" fontId="102" fillId="52" borderId="68" applyNumberFormat="0" applyAlignment="0" applyProtection="0"/>
    <xf numFmtId="0" fontId="103" fillId="0" borderId="72" applyNumberFormat="0" applyFill="0" applyAlignment="0" applyProtection="0"/>
    <xf numFmtId="0" fontId="103" fillId="0" borderId="72" applyNumberFormat="0" applyFill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89" fillId="68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64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0" borderId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57" borderId="0" applyNumberFormat="0" applyBorder="0" applyAlignment="0" applyProtection="0"/>
    <xf numFmtId="0" fontId="2" fillId="73" borderId="0" applyNumberFormat="0" applyBorder="0" applyAlignment="0" applyProtection="0"/>
    <xf numFmtId="0" fontId="2" fillId="60" borderId="0" applyNumberFormat="0" applyBorder="0" applyAlignment="0" applyProtection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73" borderId="0" applyNumberFormat="0" applyBorder="0" applyAlignment="0" applyProtection="0"/>
    <xf numFmtId="0" fontId="2" fillId="57" borderId="0" applyNumberFormat="0" applyBorder="0" applyAlignment="0" applyProtection="0"/>
    <xf numFmtId="0" fontId="2" fillId="68" borderId="0" applyNumberFormat="0" applyBorder="0" applyAlignment="0" applyProtection="0"/>
    <xf numFmtId="0" fontId="2" fillId="72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57" borderId="0" applyNumberFormat="0" applyBorder="0" applyAlignment="0" applyProtection="0"/>
    <xf numFmtId="0" fontId="2" fillId="61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70" fillId="0" borderId="64" applyNumberFormat="0" applyFill="0" applyAlignment="0" applyProtection="0"/>
    <xf numFmtId="0" fontId="78" fillId="52" borderId="67" applyNumberFormat="0" applyAlignment="0" applyProtection="0"/>
    <xf numFmtId="0" fontId="80" fillId="53" borderId="70" applyNumberFormat="0" applyAlignment="0" applyProtection="0"/>
    <xf numFmtId="0" fontId="2" fillId="60" borderId="0" applyNumberFormat="0" applyBorder="0" applyAlignment="0" applyProtection="0"/>
    <xf numFmtId="0" fontId="84" fillId="63" borderId="0" applyNumberFormat="0" applyBorder="0" applyAlignment="0" applyProtection="0"/>
    <xf numFmtId="0" fontId="2" fillId="56" borderId="0" applyNumberFormat="0" applyBorder="0" applyAlignment="0" applyProtection="0"/>
    <xf numFmtId="0" fontId="2" fillId="72" borderId="0" applyNumberFormat="0" applyBorder="0" applyAlignment="0" applyProtection="0"/>
    <xf numFmtId="0" fontId="2" fillId="76" borderId="0" applyNumberFormat="0" applyBorder="0" applyAlignment="0" applyProtection="0"/>
    <xf numFmtId="0" fontId="2" fillId="56" borderId="0" applyNumberFormat="0" applyBorder="0" applyAlignment="0" applyProtection="0"/>
    <xf numFmtId="0" fontId="2" fillId="61" borderId="0" applyNumberFormat="0" applyBorder="0" applyAlignment="0" applyProtection="0"/>
    <xf numFmtId="0" fontId="2" fillId="57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0" borderId="0"/>
    <xf numFmtId="0" fontId="2" fillId="68" borderId="0" applyNumberFormat="0" applyBorder="0" applyAlignment="0" applyProtection="0"/>
    <xf numFmtId="0" fontId="2" fillId="76" borderId="0" applyNumberFormat="0" applyBorder="0" applyAlignment="0" applyProtection="0"/>
    <xf numFmtId="0" fontId="2" fillId="72" borderId="0" applyNumberFormat="0" applyBorder="0" applyAlignment="0" applyProtection="0"/>
    <xf numFmtId="0" fontId="2" fillId="77" borderId="0" applyNumberFormat="0" applyBorder="0" applyAlignment="0" applyProtection="0"/>
    <xf numFmtId="0" fontId="2" fillId="72" borderId="0" applyNumberFormat="0" applyBorder="0" applyAlignment="0" applyProtection="0"/>
    <xf numFmtId="0" fontId="2" fillId="0" borderId="0"/>
    <xf numFmtId="0" fontId="2" fillId="0" borderId="0"/>
    <xf numFmtId="0" fontId="2" fillId="57" borderId="0" applyNumberFormat="0" applyBorder="0" applyAlignment="0" applyProtection="0"/>
    <xf numFmtId="0" fontId="2" fillId="54" borderId="71" applyNumberFormat="0" applyFont="0" applyAlignment="0" applyProtection="0"/>
    <xf numFmtId="0" fontId="12" fillId="0" borderId="0"/>
    <xf numFmtId="0" fontId="2" fillId="65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12" fillId="0" borderId="0"/>
    <xf numFmtId="0" fontId="2" fillId="54" borderId="71" applyNumberFormat="0" applyFont="0" applyAlignment="0" applyProtection="0"/>
    <xf numFmtId="0" fontId="84" fillId="62" borderId="0" applyNumberFormat="0" applyBorder="0" applyAlignment="0" applyProtection="0"/>
    <xf numFmtId="0" fontId="4" fillId="0" borderId="0">
      <alignment vertical="top"/>
    </xf>
    <xf numFmtId="0" fontId="3" fillId="0" borderId="0"/>
    <xf numFmtId="4" fontId="4" fillId="26" borderId="0" applyFont="0" applyFill="0" applyBorder="0" applyAlignment="0" applyProtection="0"/>
    <xf numFmtId="0" fontId="10" fillId="0" borderId="0"/>
    <xf numFmtId="0" fontId="4" fillId="0" borderId="0"/>
    <xf numFmtId="195" fontId="85" fillId="0" borderId="0"/>
    <xf numFmtId="0" fontId="86" fillId="0" borderId="0"/>
    <xf numFmtId="0" fontId="4" fillId="0" borderId="0"/>
    <xf numFmtId="0" fontId="3" fillId="0" borderId="0"/>
    <xf numFmtId="0" fontId="12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4" fillId="0" borderId="0"/>
    <xf numFmtId="0" fontId="3" fillId="0" borderId="0"/>
    <xf numFmtId="0" fontId="4" fillId="0" borderId="0"/>
    <xf numFmtId="195" fontId="8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106" fillId="26" borderId="0" applyNumberFormat="0" applyFill="0" applyBorder="0" applyAlignment="0" applyProtection="0"/>
    <xf numFmtId="0" fontId="5" fillId="26" borderId="0" applyNumberFormat="0" applyFill="0" applyBorder="0" applyAlignment="0" applyProtection="0"/>
    <xf numFmtId="0" fontId="4" fillId="26" borderId="81" applyNumberFormat="0" applyFon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86" fillId="0" borderId="0"/>
    <xf numFmtId="195" fontId="85" fillId="0" borderId="0"/>
    <xf numFmtId="0" fontId="28" fillId="0" borderId="0"/>
    <xf numFmtId="0" fontId="4" fillId="0" borderId="0"/>
    <xf numFmtId="0" fontId="70" fillId="0" borderId="64" applyNumberFormat="0" applyFill="0" applyAlignment="0" applyProtection="0"/>
    <xf numFmtId="0" fontId="71" fillId="0" borderId="65" applyNumberFormat="0" applyFill="0" applyAlignment="0" applyProtection="0"/>
    <xf numFmtId="0" fontId="2" fillId="54" borderId="71" applyNumberFormat="0" applyFont="0" applyAlignment="0" applyProtection="0"/>
    <xf numFmtId="0" fontId="83" fillId="0" borderId="72" applyNumberFormat="0" applyFill="0" applyAlignment="0" applyProtection="0"/>
    <xf numFmtId="0" fontId="3" fillId="0" borderId="0"/>
    <xf numFmtId="9" fontId="3" fillId="0" borderId="0" applyFont="0" applyFill="0" applyBorder="0" applyAlignment="0" applyProtection="0"/>
    <xf numFmtId="0" fontId="107" fillId="0" borderId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54" borderId="71" applyNumberFormat="0" applyFont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4" borderId="0" applyNumberFormat="0" applyBorder="0" applyAlignment="0" applyProtection="0"/>
    <xf numFmtId="0" fontId="2" fillId="65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12" fillId="0" borderId="0"/>
    <xf numFmtId="0" fontId="4" fillId="0" borderId="0"/>
    <xf numFmtId="0" fontId="3" fillId="0" borderId="0"/>
    <xf numFmtId="0" fontId="3" fillId="0" borderId="0"/>
    <xf numFmtId="0" fontId="10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24" borderId="77" applyNumberFormat="0" applyAlignment="0" applyProtection="0"/>
    <xf numFmtId="0" fontId="31" fillId="24" borderId="77" applyNumberFormat="0" applyAlignment="0" applyProtection="0"/>
    <xf numFmtId="0" fontId="31" fillId="24" borderId="77" applyNumberFormat="0" applyAlignment="0" applyProtection="0"/>
    <xf numFmtId="0" fontId="31" fillId="24" borderId="77" applyNumberFormat="0" applyAlignment="0" applyProtection="0"/>
    <xf numFmtId="0" fontId="31" fillId="24" borderId="77" applyNumberFormat="0" applyAlignment="0" applyProtection="0"/>
    <xf numFmtId="0" fontId="31" fillId="24" borderId="77" applyNumberFormat="0" applyAlignment="0" applyProtection="0"/>
    <xf numFmtId="0" fontId="31" fillId="24" borderId="77" applyNumberFormat="0" applyAlignment="0" applyProtection="0"/>
    <xf numFmtId="0" fontId="37" fillId="11" borderId="77" applyNumberFormat="0" applyAlignment="0" applyProtection="0"/>
    <xf numFmtId="0" fontId="37" fillId="11" borderId="77" applyNumberFormat="0" applyAlignment="0" applyProtection="0"/>
    <xf numFmtId="0" fontId="37" fillId="11" borderId="77" applyNumberFormat="0" applyAlignment="0" applyProtection="0"/>
    <xf numFmtId="0" fontId="37" fillId="11" borderId="77" applyNumberFormat="0" applyAlignment="0" applyProtection="0"/>
    <xf numFmtId="0" fontId="37" fillId="11" borderId="77" applyNumberFormat="0" applyAlignment="0" applyProtection="0"/>
    <xf numFmtId="0" fontId="37" fillId="11" borderId="77" applyNumberFormat="0" applyAlignment="0" applyProtection="0"/>
    <xf numFmtId="0" fontId="37" fillId="11" borderId="77" applyNumberFormat="0" applyAlignment="0" applyProtection="0"/>
    <xf numFmtId="0" fontId="4" fillId="28" borderId="78" applyNumberFormat="0" applyFont="0" applyAlignment="0" applyProtection="0"/>
    <xf numFmtId="0" fontId="4" fillId="28" borderId="78" applyNumberFormat="0" applyFont="0" applyAlignment="0" applyProtection="0"/>
    <xf numFmtId="0" fontId="4" fillId="28" borderId="78" applyNumberFormat="0" applyFont="0" applyAlignment="0" applyProtection="0"/>
    <xf numFmtId="0" fontId="4" fillId="28" borderId="78" applyNumberFormat="0" applyFont="0" applyAlignment="0" applyProtection="0"/>
    <xf numFmtId="0" fontId="4" fillId="28" borderId="78" applyNumberFormat="0" applyFont="0" applyAlignment="0" applyProtection="0"/>
    <xf numFmtId="0" fontId="4" fillId="28" borderId="78" applyNumberFormat="0" applyFont="0" applyAlignment="0" applyProtection="0"/>
    <xf numFmtId="0" fontId="40" fillId="24" borderId="79" applyNumberFormat="0" applyAlignment="0" applyProtection="0"/>
    <xf numFmtId="0" fontId="40" fillId="24" borderId="79" applyNumberFormat="0" applyAlignment="0" applyProtection="0"/>
    <xf numFmtId="0" fontId="40" fillId="24" borderId="79" applyNumberFormat="0" applyAlignment="0" applyProtection="0"/>
    <xf numFmtId="0" fontId="40" fillId="24" borderId="79" applyNumberFormat="0" applyAlignment="0" applyProtection="0"/>
    <xf numFmtId="0" fontId="40" fillId="24" borderId="79" applyNumberFormat="0" applyAlignment="0" applyProtection="0"/>
    <xf numFmtId="0" fontId="40" fillId="24" borderId="79" applyNumberFormat="0" applyAlignment="0" applyProtection="0"/>
    <xf numFmtId="0" fontId="40" fillId="24" borderId="79" applyNumberFormat="0" applyAlignment="0" applyProtection="0"/>
    <xf numFmtId="0" fontId="11" fillId="0" borderId="80" applyNumberFormat="0" applyFill="0" applyAlignment="0" applyProtection="0"/>
    <xf numFmtId="0" fontId="11" fillId="0" borderId="80" applyNumberFormat="0" applyFill="0" applyAlignment="0" applyProtection="0"/>
    <xf numFmtId="0" fontId="11" fillId="0" borderId="80" applyNumberFormat="0" applyFill="0" applyAlignment="0" applyProtection="0"/>
    <xf numFmtId="0" fontId="11" fillId="0" borderId="80" applyNumberFormat="0" applyFill="0" applyAlignment="0" applyProtection="0"/>
    <xf numFmtId="0" fontId="11" fillId="0" borderId="80" applyNumberFormat="0" applyFill="0" applyAlignment="0" applyProtection="0"/>
    <xf numFmtId="0" fontId="11" fillId="0" borderId="80" applyNumberFormat="0" applyFill="0" applyAlignment="0" applyProtection="0"/>
    <xf numFmtId="0" fontId="11" fillId="0" borderId="80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43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0" fontId="37" fillId="11" borderId="131" applyNumberFormat="0" applyAlignment="0" applyProtection="0"/>
    <xf numFmtId="2" fontId="4" fillId="0" borderId="136" applyNumberFormat="0" applyFont="0" applyFill="0" applyAlignment="0"/>
    <xf numFmtId="0" fontId="40" fillId="24" borderId="143" applyNumberFormat="0" applyAlignment="0" applyProtection="0"/>
    <xf numFmtId="0" fontId="122" fillId="83" borderId="147"/>
    <xf numFmtId="0" fontId="115" fillId="85" borderId="127"/>
    <xf numFmtId="0" fontId="31" fillId="24" borderId="141" applyNumberFormat="0" applyAlignment="0" applyProtection="0"/>
    <xf numFmtId="0" fontId="11" fillId="0" borderId="144" applyNumberFormat="0" applyFill="0" applyAlignment="0" applyProtection="0"/>
    <xf numFmtId="10" fontId="130" fillId="0" borderId="139" applyFont="0" applyAlignment="0">
      <protection locked="0"/>
    </xf>
    <xf numFmtId="0" fontId="4" fillId="28" borderId="122" applyNumberFormat="0" applyFont="0" applyAlignment="0" applyProtection="0"/>
    <xf numFmtId="0" fontId="40" fillId="24" borderId="113" applyNumberFormat="0" applyAlignment="0" applyProtection="0"/>
    <xf numFmtId="0" fontId="115" fillId="92" borderId="117"/>
    <xf numFmtId="0" fontId="31" fillId="24" borderId="131" applyNumberForma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54" borderId="71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4" fillId="0" borderId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108" fillId="56" borderId="0" applyNumberFormat="0" applyBorder="0" applyAlignment="0" applyProtection="0"/>
    <xf numFmtId="0" fontId="2" fillId="56" borderId="0" applyNumberFormat="0" applyBorder="0" applyAlignment="0" applyProtection="0"/>
    <xf numFmtId="0" fontId="108" fillId="56" borderId="0" applyNumberFormat="0" applyBorder="0" applyAlignment="0" applyProtection="0"/>
    <xf numFmtId="0" fontId="108" fillId="56" borderId="0" applyNumberFormat="0" applyBorder="0" applyAlignment="0" applyProtection="0"/>
    <xf numFmtId="0" fontId="108" fillId="56" borderId="0" applyNumberFormat="0" applyBorder="0" applyAlignment="0" applyProtection="0"/>
    <xf numFmtId="0" fontId="108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108" fillId="60" borderId="0" applyNumberFormat="0" applyBorder="0" applyAlignment="0" applyProtection="0"/>
    <xf numFmtId="0" fontId="2" fillId="60" borderId="0" applyNumberFormat="0" applyBorder="0" applyAlignment="0" applyProtection="0"/>
    <xf numFmtId="0" fontId="108" fillId="60" borderId="0" applyNumberFormat="0" applyBorder="0" applyAlignment="0" applyProtection="0"/>
    <xf numFmtId="0" fontId="108" fillId="60" borderId="0" applyNumberFormat="0" applyBorder="0" applyAlignment="0" applyProtection="0"/>
    <xf numFmtId="0" fontId="108" fillId="60" borderId="0" applyNumberFormat="0" applyBorder="0" applyAlignment="0" applyProtection="0"/>
    <xf numFmtId="0" fontId="108" fillId="60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108" fillId="64" borderId="0" applyNumberFormat="0" applyBorder="0" applyAlignment="0" applyProtection="0"/>
    <xf numFmtId="0" fontId="2" fillId="64" borderId="0" applyNumberFormat="0" applyBorder="0" applyAlignment="0" applyProtection="0"/>
    <xf numFmtId="0" fontId="108" fillId="64" borderId="0" applyNumberFormat="0" applyBorder="0" applyAlignment="0" applyProtection="0"/>
    <xf numFmtId="0" fontId="108" fillId="64" borderId="0" applyNumberFormat="0" applyBorder="0" applyAlignment="0" applyProtection="0"/>
    <xf numFmtId="0" fontId="108" fillId="64" borderId="0" applyNumberFormat="0" applyBorder="0" applyAlignment="0" applyProtection="0"/>
    <xf numFmtId="0" fontId="108" fillId="64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108" fillId="68" borderId="0" applyNumberFormat="0" applyBorder="0" applyAlignment="0" applyProtection="0"/>
    <xf numFmtId="0" fontId="2" fillId="68" borderId="0" applyNumberFormat="0" applyBorder="0" applyAlignment="0" applyProtection="0"/>
    <xf numFmtId="0" fontId="108" fillId="68" borderId="0" applyNumberFormat="0" applyBorder="0" applyAlignment="0" applyProtection="0"/>
    <xf numFmtId="0" fontId="108" fillId="68" borderId="0" applyNumberFormat="0" applyBorder="0" applyAlignment="0" applyProtection="0"/>
    <xf numFmtId="0" fontId="108" fillId="68" borderId="0" applyNumberFormat="0" applyBorder="0" applyAlignment="0" applyProtection="0"/>
    <xf numFmtId="0" fontId="108" fillId="68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108" fillId="72" borderId="0" applyNumberFormat="0" applyBorder="0" applyAlignment="0" applyProtection="0"/>
    <xf numFmtId="0" fontId="2" fillId="72" borderId="0" applyNumberFormat="0" applyBorder="0" applyAlignment="0" applyProtection="0"/>
    <xf numFmtId="0" fontId="108" fillId="72" borderId="0" applyNumberFormat="0" applyBorder="0" applyAlignment="0" applyProtection="0"/>
    <xf numFmtId="0" fontId="108" fillId="72" borderId="0" applyNumberFormat="0" applyBorder="0" applyAlignment="0" applyProtection="0"/>
    <xf numFmtId="0" fontId="108" fillId="72" borderId="0" applyNumberFormat="0" applyBorder="0" applyAlignment="0" applyProtection="0"/>
    <xf numFmtId="0" fontId="108" fillId="72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108" fillId="76" borderId="0" applyNumberFormat="0" applyBorder="0" applyAlignment="0" applyProtection="0"/>
    <xf numFmtId="0" fontId="2" fillId="76" borderId="0" applyNumberFormat="0" applyBorder="0" applyAlignment="0" applyProtection="0"/>
    <xf numFmtId="0" fontId="108" fillId="76" borderId="0" applyNumberFormat="0" applyBorder="0" applyAlignment="0" applyProtection="0"/>
    <xf numFmtId="0" fontId="108" fillId="76" borderId="0" applyNumberFormat="0" applyBorder="0" applyAlignment="0" applyProtection="0"/>
    <xf numFmtId="0" fontId="108" fillId="76" borderId="0" applyNumberFormat="0" applyBorder="0" applyAlignment="0" applyProtection="0"/>
    <xf numFmtId="0" fontId="108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108" fillId="57" borderId="0" applyNumberFormat="0" applyBorder="0" applyAlignment="0" applyProtection="0"/>
    <xf numFmtId="0" fontId="2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108" fillId="61" borderId="0" applyNumberFormat="0" applyBorder="0" applyAlignment="0" applyProtection="0"/>
    <xf numFmtId="0" fontId="2" fillId="61" borderId="0" applyNumberFormat="0" applyBorder="0" applyAlignment="0" applyProtection="0"/>
    <xf numFmtId="0" fontId="108" fillId="61" borderId="0" applyNumberFormat="0" applyBorder="0" applyAlignment="0" applyProtection="0"/>
    <xf numFmtId="0" fontId="108" fillId="61" borderId="0" applyNumberFormat="0" applyBorder="0" applyAlignment="0" applyProtection="0"/>
    <xf numFmtId="0" fontId="108" fillId="61" borderId="0" applyNumberFormat="0" applyBorder="0" applyAlignment="0" applyProtection="0"/>
    <xf numFmtId="0" fontId="108" fillId="61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108" fillId="65" borderId="0" applyNumberFormat="0" applyBorder="0" applyAlignment="0" applyProtection="0"/>
    <xf numFmtId="0" fontId="2" fillId="65" borderId="0" applyNumberFormat="0" applyBorder="0" applyAlignment="0" applyProtection="0"/>
    <xf numFmtId="0" fontId="108" fillId="65" borderId="0" applyNumberFormat="0" applyBorder="0" applyAlignment="0" applyProtection="0"/>
    <xf numFmtId="0" fontId="108" fillId="65" borderId="0" applyNumberFormat="0" applyBorder="0" applyAlignment="0" applyProtection="0"/>
    <xf numFmtId="0" fontId="108" fillId="65" borderId="0" applyNumberFormat="0" applyBorder="0" applyAlignment="0" applyProtection="0"/>
    <xf numFmtId="0" fontId="108" fillId="65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108" fillId="69" borderId="0" applyNumberFormat="0" applyBorder="0" applyAlignment="0" applyProtection="0"/>
    <xf numFmtId="0" fontId="2" fillId="69" borderId="0" applyNumberFormat="0" applyBorder="0" applyAlignment="0" applyProtection="0"/>
    <xf numFmtId="0" fontId="108" fillId="69" borderId="0" applyNumberFormat="0" applyBorder="0" applyAlignment="0" applyProtection="0"/>
    <xf numFmtId="0" fontId="108" fillId="69" borderId="0" applyNumberFormat="0" applyBorder="0" applyAlignment="0" applyProtection="0"/>
    <xf numFmtId="0" fontId="108" fillId="69" borderId="0" applyNumberFormat="0" applyBorder="0" applyAlignment="0" applyProtection="0"/>
    <xf numFmtId="0" fontId="108" fillId="69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108" fillId="73" borderId="0" applyNumberFormat="0" applyBorder="0" applyAlignment="0" applyProtection="0"/>
    <xf numFmtId="0" fontId="2" fillId="73" borderId="0" applyNumberFormat="0" applyBorder="0" applyAlignment="0" applyProtection="0"/>
    <xf numFmtId="0" fontId="108" fillId="73" borderId="0" applyNumberFormat="0" applyBorder="0" applyAlignment="0" applyProtection="0"/>
    <xf numFmtId="0" fontId="108" fillId="73" borderId="0" applyNumberFormat="0" applyBorder="0" applyAlignment="0" applyProtection="0"/>
    <xf numFmtId="0" fontId="108" fillId="73" borderId="0" applyNumberFormat="0" applyBorder="0" applyAlignment="0" applyProtection="0"/>
    <xf numFmtId="0" fontId="108" fillId="73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108" fillId="77" borderId="0" applyNumberFormat="0" applyBorder="0" applyAlignment="0" applyProtection="0"/>
    <xf numFmtId="0" fontId="2" fillId="77" borderId="0" applyNumberFormat="0" applyBorder="0" applyAlignment="0" applyProtection="0"/>
    <xf numFmtId="0" fontId="108" fillId="77" borderId="0" applyNumberFormat="0" applyBorder="0" applyAlignment="0" applyProtection="0"/>
    <xf numFmtId="0" fontId="108" fillId="77" borderId="0" applyNumberFormat="0" applyBorder="0" applyAlignment="0" applyProtection="0"/>
    <xf numFmtId="0" fontId="108" fillId="77" borderId="0" applyNumberFormat="0" applyBorder="0" applyAlignment="0" applyProtection="0"/>
    <xf numFmtId="0" fontId="108" fillId="77" borderId="0" applyNumberFormat="0" applyBorder="0" applyAlignment="0" applyProtection="0"/>
    <xf numFmtId="0" fontId="109" fillId="58" borderId="0" applyNumberFormat="0" applyBorder="0" applyAlignment="0" applyProtection="0"/>
    <xf numFmtId="0" fontId="109" fillId="62" borderId="0" applyNumberFormat="0" applyBorder="0" applyAlignment="0" applyProtection="0"/>
    <xf numFmtId="0" fontId="109" fillId="66" borderId="0" applyNumberFormat="0" applyBorder="0" applyAlignment="0" applyProtection="0"/>
    <xf numFmtId="0" fontId="109" fillId="70" borderId="0" applyNumberFormat="0" applyBorder="0" applyAlignment="0" applyProtection="0"/>
    <xf numFmtId="0" fontId="109" fillId="74" borderId="0" applyNumberFormat="0" applyBorder="0" applyAlignment="0" applyProtection="0"/>
    <xf numFmtId="0" fontId="109" fillId="78" borderId="0" applyNumberFormat="0" applyBorder="0" applyAlignment="0" applyProtection="0"/>
    <xf numFmtId="2" fontId="4" fillId="0" borderId="87" applyNumberFormat="0" applyFont="0" applyFill="0" applyAlignment="0"/>
    <xf numFmtId="0" fontId="109" fillId="55" borderId="0" applyNumberFormat="0" applyBorder="0" applyAlignment="0" applyProtection="0"/>
    <xf numFmtId="0" fontId="109" fillId="59" borderId="0" applyNumberFormat="0" applyBorder="0" applyAlignment="0" applyProtection="0"/>
    <xf numFmtId="0" fontId="109" fillId="63" borderId="0" applyNumberFormat="0" applyBorder="0" applyAlignment="0" applyProtection="0"/>
    <xf numFmtId="0" fontId="109" fillId="67" borderId="0" applyNumberFormat="0" applyBorder="0" applyAlignment="0" applyProtection="0"/>
    <xf numFmtId="0" fontId="109" fillId="71" borderId="0" applyNumberFormat="0" applyBorder="0" applyAlignment="0" applyProtection="0"/>
    <xf numFmtId="0" fontId="109" fillId="75" borderId="0" applyNumberFormat="0" applyBorder="0" applyAlignment="0" applyProtection="0"/>
    <xf numFmtId="0" fontId="110" fillId="0" borderId="87"/>
    <xf numFmtId="198" fontId="4" fillId="79" borderId="88">
      <alignment horizontal="center" vertical="center"/>
    </xf>
    <xf numFmtId="171" fontId="111" fillId="80" borderId="89" applyNumberFormat="0"/>
    <xf numFmtId="0" fontId="112" fillId="49" borderId="0" applyNumberFormat="0" applyBorder="0" applyAlignment="0" applyProtection="0"/>
    <xf numFmtId="37" fontId="111" fillId="0" borderId="90">
      <protection locked="0"/>
    </xf>
    <xf numFmtId="0" fontId="113" fillId="81" borderId="91" applyNumberFormat="0" applyFont="0" applyFill="0" applyAlignment="0"/>
    <xf numFmtId="0" fontId="114" fillId="52" borderId="67" applyNumberFormat="0" applyAlignment="0" applyProtection="0"/>
    <xf numFmtId="0" fontId="115" fillId="0" borderId="92"/>
    <xf numFmtId="0" fontId="116" fillId="53" borderId="70" applyNumberFormat="0" applyAlignment="0" applyProtection="0"/>
    <xf numFmtId="0" fontId="42" fillId="0" borderId="0" applyNumberFormat="0" applyFill="0" applyBorder="0" applyAlignment="0" applyProtection="0"/>
    <xf numFmtId="0" fontId="12" fillId="0" borderId="0" applyBorder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4" fillId="0" borderId="0" applyFont="0" applyFill="0" applyBorder="0" applyAlignment="0" applyProtection="0"/>
    <xf numFmtId="3" fontId="120" fillId="0" borderId="0" applyFont="0" applyFill="0" applyBorder="0" applyAlignment="0" applyProtection="0"/>
    <xf numFmtId="37" fontId="111" fillId="24" borderId="93"/>
    <xf numFmtId="44" fontId="3" fillId="0" borderId="0" applyFont="0" applyFill="0" applyBorder="0" applyAlignment="0" applyProtection="0"/>
    <xf numFmtId="199" fontId="120" fillId="0" borderId="0" applyFont="0" applyFill="0" applyBorder="0" applyAlignment="0" applyProtection="0"/>
    <xf numFmtId="43" fontId="4" fillId="0" borderId="0" applyBorder="0"/>
    <xf numFmtId="0" fontId="120" fillId="0" borderId="0" applyFont="0" applyFill="0" applyBorder="0" applyAlignment="0" applyProtection="0"/>
    <xf numFmtId="200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0" fontId="16" fillId="82" borderId="0">
      <alignment horizontal="left"/>
    </xf>
    <xf numFmtId="37" fontId="111" fillId="0" borderId="0"/>
    <xf numFmtId="0" fontId="121" fillId="0" borderId="0" applyNumberFormat="0" applyFill="0" applyBorder="0" applyAlignment="0" applyProtection="0"/>
    <xf numFmtId="190" fontId="4" fillId="0" borderId="0"/>
    <xf numFmtId="190" fontId="4" fillId="0" borderId="0"/>
    <xf numFmtId="3" fontId="115" fillId="82" borderId="94">
      <protection locked="0"/>
    </xf>
    <xf numFmtId="2" fontId="120" fillId="0" borderId="0" applyFont="0" applyFill="0" applyBorder="0" applyAlignment="0" applyProtection="0"/>
    <xf numFmtId="0" fontId="122" fillId="83" borderId="92"/>
    <xf numFmtId="0" fontId="123" fillId="48" borderId="0" applyNumberFormat="0" applyBorder="0" applyAlignment="0" applyProtection="0"/>
    <xf numFmtId="38" fontId="12" fillId="82" borderId="0" applyNumberFormat="0" applyBorder="0" applyAlignment="0" applyProtection="0"/>
    <xf numFmtId="0" fontId="124" fillId="0" borderId="0" applyNumberFormat="0" applyFill="0" applyBorder="0" applyAlignment="0" applyProtection="0"/>
    <xf numFmtId="0" fontId="5" fillId="0" borderId="62" applyNumberFormat="0" applyAlignment="0" applyProtection="0">
      <alignment horizontal="left" vertical="center"/>
    </xf>
    <xf numFmtId="0" fontId="5" fillId="0" borderId="87">
      <alignment horizontal="left" vertical="center"/>
    </xf>
    <xf numFmtId="0" fontId="125" fillId="0" borderId="64" applyNumberFormat="0" applyFill="0" applyAlignment="0" applyProtection="0"/>
    <xf numFmtId="0" fontId="126" fillId="0" borderId="65" applyNumberFormat="0" applyFill="0" applyAlignment="0" applyProtection="0"/>
    <xf numFmtId="0" fontId="127" fillId="0" borderId="66" applyNumberFormat="0" applyFill="0" applyAlignment="0" applyProtection="0"/>
    <xf numFmtId="0" fontId="127" fillId="0" borderId="0" applyNumberFormat="0" applyFill="0" applyBorder="0" applyAlignment="0" applyProtection="0"/>
    <xf numFmtId="201" fontId="4" fillId="0" borderId="0">
      <protection locked="0"/>
    </xf>
    <xf numFmtId="201" fontId="4" fillId="0" borderId="0">
      <protection locked="0"/>
    </xf>
    <xf numFmtId="0" fontId="18" fillId="0" borderId="95" applyNumberFormat="0" applyFill="0" applyAlignment="0" applyProtection="0"/>
    <xf numFmtId="0" fontId="115" fillId="84" borderId="90"/>
    <xf numFmtId="0" fontId="115" fillId="85" borderId="92"/>
    <xf numFmtId="0" fontId="115" fillId="83" borderId="92"/>
    <xf numFmtId="0" fontId="105" fillId="86" borderId="0"/>
    <xf numFmtId="202" fontId="128" fillId="87" borderId="96" applyAlignment="0"/>
    <xf numFmtId="10" fontId="12" fillId="88" borderId="86" applyNumberFormat="0" applyBorder="0" applyAlignment="0" applyProtection="0"/>
    <xf numFmtId="0" fontId="129" fillId="51" borderId="67" applyNumberFormat="0" applyAlignment="0" applyProtection="0"/>
    <xf numFmtId="0" fontId="129" fillId="51" borderId="67" applyNumberFormat="0" applyAlignment="0" applyProtection="0"/>
    <xf numFmtId="0" fontId="129" fillId="51" borderId="67" applyNumberFormat="0" applyAlignment="0" applyProtection="0"/>
    <xf numFmtId="0" fontId="129" fillId="51" borderId="67" applyNumberFormat="0" applyAlignment="0" applyProtection="0"/>
    <xf numFmtId="0" fontId="129" fillId="51" borderId="67" applyNumberFormat="0" applyAlignment="0" applyProtection="0"/>
    <xf numFmtId="10" fontId="130" fillId="0" borderId="97" applyFont="0" applyAlignment="0">
      <protection locked="0"/>
    </xf>
    <xf numFmtId="38" fontId="131" fillId="87" borderId="98" applyNumberFormat="0" applyFont="0" applyBorder="0" applyAlignment="0" applyProtection="0"/>
    <xf numFmtId="0" fontId="12" fillId="82" borderId="0"/>
    <xf numFmtId="0" fontId="132" fillId="0" borderId="69" applyNumberFormat="0" applyFill="0" applyAlignment="0" applyProtection="0"/>
    <xf numFmtId="203" fontId="133" fillId="82" borderId="90" applyNumberFormat="0"/>
    <xf numFmtId="0" fontId="134" fillId="79" borderId="99"/>
    <xf numFmtId="0" fontId="131" fillId="0" borderId="92"/>
    <xf numFmtId="0" fontId="115" fillId="87" borderId="96"/>
    <xf numFmtId="37" fontId="135" fillId="0" borderId="100"/>
    <xf numFmtId="38" fontId="136" fillId="0" borderId="0"/>
    <xf numFmtId="0" fontId="137" fillId="50" borderId="0" applyNumberFormat="0" applyBorder="0" applyAlignment="0" applyProtection="0"/>
    <xf numFmtId="37" fontId="138" fillId="0" borderId="0"/>
    <xf numFmtId="204" fontId="1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4" fillId="0" borderId="0"/>
    <xf numFmtId="0" fontId="6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120" fillId="0" borderId="0"/>
    <xf numFmtId="0" fontId="4" fillId="0" borderId="0"/>
    <xf numFmtId="0" fontId="12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120" fillId="0" borderId="0"/>
    <xf numFmtId="0" fontId="120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5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108" fillId="0" borderId="0"/>
    <xf numFmtId="0" fontId="4" fillId="0" borderId="0"/>
    <xf numFmtId="0" fontId="108" fillId="0" borderId="0"/>
    <xf numFmtId="0" fontId="4" fillId="0" borderId="0"/>
    <xf numFmtId="0" fontId="108" fillId="0" borderId="0"/>
    <xf numFmtId="0" fontId="4" fillId="0" borderId="0"/>
    <xf numFmtId="0" fontId="108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108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108" fillId="54" borderId="71" applyNumberFormat="0" applyFont="0" applyAlignment="0" applyProtection="0"/>
    <xf numFmtId="0" fontId="2" fillId="54" borderId="71" applyNumberFormat="0" applyFont="0" applyAlignment="0" applyProtection="0"/>
    <xf numFmtId="0" fontId="108" fillId="54" borderId="71" applyNumberFormat="0" applyFont="0" applyAlignment="0" applyProtection="0"/>
    <xf numFmtId="0" fontId="108" fillId="54" borderId="71" applyNumberFormat="0" applyFont="0" applyAlignment="0" applyProtection="0"/>
    <xf numFmtId="0" fontId="108" fillId="54" borderId="71" applyNumberFormat="0" applyFont="0" applyAlignment="0" applyProtection="0"/>
    <xf numFmtId="0" fontId="140" fillId="52" borderId="68" applyNumberFormat="0" applyAlignment="0" applyProtection="0"/>
    <xf numFmtId="0" fontId="141" fillId="0" borderId="0" applyBorder="0">
      <alignment horizontal="centerContinuous"/>
    </xf>
    <xf numFmtId="1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42" fillId="88" borderId="0" applyNumberFormat="0" applyBorder="0" applyAlignment="0" applyProtection="0"/>
    <xf numFmtId="15" fontId="41" fillId="0" borderId="0" applyFont="0" applyFill="0" applyBorder="0" applyAlignment="0" applyProtection="0"/>
    <xf numFmtId="206" fontId="143" fillId="0" borderId="44"/>
    <xf numFmtId="3" fontId="41" fillId="0" borderId="0" applyFont="0" applyFill="0" applyBorder="0" applyAlignment="0" applyProtection="0"/>
    <xf numFmtId="0" fontId="41" fillId="89" borderId="0" applyNumberFormat="0" applyFont="0" applyBorder="0" applyAlignment="0" applyProtection="0"/>
    <xf numFmtId="3" fontId="144" fillId="0" borderId="0" applyNumberFormat="0"/>
    <xf numFmtId="3" fontId="145" fillId="0" borderId="0" applyNumberFormat="0" applyFill="0" applyBorder="0" applyAlignment="0"/>
    <xf numFmtId="0" fontId="122" fillId="0" borderId="0"/>
    <xf numFmtId="0" fontId="146" fillId="0" borderId="0" applyNumberFormat="0" applyFill="0" applyBorder="0" applyAlignment="0" applyProtection="0"/>
    <xf numFmtId="37" fontId="147" fillId="0" borderId="0"/>
    <xf numFmtId="37" fontId="147" fillId="90" borderId="90"/>
    <xf numFmtId="0" fontId="148" fillId="82" borderId="90">
      <alignment horizontal="center"/>
    </xf>
    <xf numFmtId="0" fontId="149" fillId="0" borderId="0"/>
    <xf numFmtId="9" fontId="4" fillId="0" borderId="0" applyFont="0" applyFill="0" applyBorder="0" applyAlignment="0" applyProtection="0"/>
    <xf numFmtId="0" fontId="122" fillId="0" borderId="0"/>
    <xf numFmtId="0" fontId="150" fillId="0" borderId="72" applyNumberFormat="0" applyFill="0" applyAlignment="0" applyProtection="0"/>
    <xf numFmtId="37" fontId="151" fillId="0" borderId="0" applyNumberFormat="0"/>
    <xf numFmtId="195" fontId="152" fillId="0" borderId="0"/>
    <xf numFmtId="37" fontId="12" fillId="91" borderId="0" applyNumberFormat="0" applyBorder="0" applyAlignment="0" applyProtection="0"/>
    <xf numFmtId="37" fontId="12" fillId="0" borderId="0"/>
    <xf numFmtId="3" fontId="153" fillId="0" borderId="95" applyProtection="0"/>
    <xf numFmtId="0" fontId="115" fillId="92" borderId="92"/>
    <xf numFmtId="196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0" fontId="154" fillId="0" borderId="0" applyNumberFormat="0" applyFill="0" applyBorder="0" applyAlignment="0" applyProtection="0"/>
    <xf numFmtId="207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0" fontId="155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15" fillId="92" borderId="92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" fontId="4" fillId="0" borderId="4" applyNumberFormat="0" applyFont="0" applyFill="0" applyAlignment="0"/>
    <xf numFmtId="0" fontId="110" fillId="0" borderId="4"/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31" fillId="0" borderId="92"/>
    <xf numFmtId="0" fontId="134" fillId="79" borderId="99"/>
    <xf numFmtId="10" fontId="130" fillId="0" borderId="97" applyFont="0" applyAlignment="0">
      <protection locked="0"/>
    </xf>
    <xf numFmtId="9" fontId="2" fillId="0" borderId="0" applyFont="0" applyFill="0" applyBorder="0" applyAlignment="0" applyProtection="0"/>
    <xf numFmtId="0" fontId="115" fillId="83" borderId="92"/>
    <xf numFmtId="0" fontId="115" fillId="85" borderId="92"/>
    <xf numFmtId="0" fontId="122" fillId="83" borderId="92"/>
    <xf numFmtId="37" fontId="111" fillId="24" borderId="58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15" fillId="0" borderId="92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22" fillId="83" borderId="92"/>
    <xf numFmtId="10" fontId="130" fillId="0" borderId="97" applyFont="0" applyAlignment="0">
      <protection locked="0"/>
    </xf>
    <xf numFmtId="0" fontId="131" fillId="0" borderId="92"/>
    <xf numFmtId="0" fontId="2" fillId="0" borderId="0"/>
    <xf numFmtId="0" fontId="115" fillId="83" borderId="92"/>
    <xf numFmtId="0" fontId="131" fillId="0" borderId="92"/>
    <xf numFmtId="0" fontId="134" fillId="79" borderId="99"/>
    <xf numFmtId="0" fontId="122" fillId="83" borderId="92"/>
    <xf numFmtId="0" fontId="31" fillId="24" borderId="82" applyNumberFormat="0" applyAlignment="0" applyProtection="0"/>
    <xf numFmtId="0" fontId="37" fillId="11" borderId="82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" fillId="73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64" borderId="0" applyNumberFormat="0" applyBorder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72" borderId="0" applyNumberFormat="0" applyBorder="0" applyAlignment="0" applyProtection="0"/>
    <xf numFmtId="0" fontId="2" fillId="64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4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54" borderId="71" applyNumberFormat="0" applyFont="0" applyAlignment="0" applyProtection="0"/>
    <xf numFmtId="0" fontId="2" fillId="57" borderId="0" applyNumberFormat="0" applyBorder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7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65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1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73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60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56" borderId="0" applyNumberFormat="0" applyBorder="0" applyAlignment="0" applyProtection="0"/>
    <xf numFmtId="0" fontId="2" fillId="68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0" borderId="0"/>
    <xf numFmtId="0" fontId="2" fillId="64" borderId="0" applyNumberFormat="0" applyBorder="0" applyAlignment="0" applyProtection="0"/>
    <xf numFmtId="0" fontId="2" fillId="56" borderId="0" applyNumberFormat="0" applyBorder="0" applyAlignment="0" applyProtection="0"/>
    <xf numFmtId="0" fontId="2" fillId="61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6" borderId="0" applyNumberFormat="0" applyBorder="0" applyAlignment="0" applyProtection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73" borderId="0" applyNumberFormat="0" applyBorder="0" applyAlignment="0" applyProtection="0"/>
    <xf numFmtId="0" fontId="2" fillId="0" borderId="0"/>
    <xf numFmtId="0" fontId="2" fillId="7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61" borderId="0" applyNumberFormat="0" applyBorder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8" borderId="0" applyNumberFormat="0" applyBorder="0" applyAlignment="0" applyProtection="0"/>
    <xf numFmtId="0" fontId="2" fillId="76" borderId="0" applyNumberFormat="0" applyBorder="0" applyAlignment="0" applyProtection="0"/>
    <xf numFmtId="0" fontId="2" fillId="69" borderId="0" applyNumberFormat="0" applyBorder="0" applyAlignment="0" applyProtection="0"/>
    <xf numFmtId="0" fontId="2" fillId="76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57" borderId="0" applyNumberFormat="0" applyBorder="0" applyAlignment="0" applyProtection="0"/>
    <xf numFmtId="9" fontId="3" fillId="0" borderId="0" applyFont="0" applyFill="0" applyBorder="0" applyAlignment="0" applyProtection="0"/>
    <xf numFmtId="37" fontId="111" fillId="24" borderId="93"/>
    <xf numFmtId="0" fontId="115" fillId="0" borderId="92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64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0" borderId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57" borderId="0" applyNumberFormat="0" applyBorder="0" applyAlignment="0" applyProtection="0"/>
    <xf numFmtId="0" fontId="2" fillId="73" borderId="0" applyNumberFormat="0" applyBorder="0" applyAlignment="0" applyProtection="0"/>
    <xf numFmtId="0" fontId="2" fillId="60" borderId="0" applyNumberFormat="0" applyBorder="0" applyAlignment="0" applyProtection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73" borderId="0" applyNumberFormat="0" applyBorder="0" applyAlignment="0" applyProtection="0"/>
    <xf numFmtId="0" fontId="2" fillId="57" borderId="0" applyNumberFormat="0" applyBorder="0" applyAlignment="0" applyProtection="0"/>
    <xf numFmtId="0" fontId="2" fillId="68" borderId="0" applyNumberFormat="0" applyBorder="0" applyAlignment="0" applyProtection="0"/>
    <xf numFmtId="0" fontId="2" fillId="72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57" borderId="0" applyNumberFormat="0" applyBorder="0" applyAlignment="0" applyProtection="0"/>
    <xf numFmtId="0" fontId="2" fillId="61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2" borderId="0" applyNumberFormat="0" applyBorder="0" applyAlignment="0" applyProtection="0"/>
    <xf numFmtId="0" fontId="2" fillId="76" borderId="0" applyNumberFormat="0" applyBorder="0" applyAlignment="0" applyProtection="0"/>
    <xf numFmtId="0" fontId="2" fillId="56" borderId="0" applyNumberFormat="0" applyBorder="0" applyAlignment="0" applyProtection="0"/>
    <xf numFmtId="0" fontId="2" fillId="61" borderId="0" applyNumberFormat="0" applyBorder="0" applyAlignment="0" applyProtection="0"/>
    <xf numFmtId="0" fontId="2" fillId="57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0" borderId="0"/>
    <xf numFmtId="0" fontId="2" fillId="68" borderId="0" applyNumberFormat="0" applyBorder="0" applyAlignment="0" applyProtection="0"/>
    <xf numFmtId="0" fontId="2" fillId="76" borderId="0" applyNumberFormat="0" applyBorder="0" applyAlignment="0" applyProtection="0"/>
    <xf numFmtId="0" fontId="2" fillId="72" borderId="0" applyNumberFormat="0" applyBorder="0" applyAlignment="0" applyProtection="0"/>
    <xf numFmtId="0" fontId="2" fillId="77" borderId="0" applyNumberFormat="0" applyBorder="0" applyAlignment="0" applyProtection="0"/>
    <xf numFmtId="0" fontId="2" fillId="72" borderId="0" applyNumberFormat="0" applyBorder="0" applyAlignment="0" applyProtection="0"/>
    <xf numFmtId="0" fontId="2" fillId="0" borderId="0"/>
    <xf numFmtId="0" fontId="2" fillId="0" borderId="0"/>
    <xf numFmtId="0" fontId="2" fillId="57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54" borderId="71" applyNumberFormat="0" applyFont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4" borderId="0" applyNumberFormat="0" applyBorder="0" applyAlignment="0" applyProtection="0"/>
    <xf numFmtId="0" fontId="2" fillId="65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115" fillId="83" borderId="92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4" borderId="0" applyNumberFormat="0" applyBorder="0" applyAlignment="0" applyProtection="0"/>
    <xf numFmtId="0" fontId="2" fillId="65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54" borderId="71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115" fillId="85" borderId="92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2" fontId="4" fillId="0" borderId="4" applyNumberFormat="0" applyFont="0" applyFill="0" applyAlignment="0"/>
    <xf numFmtId="0" fontId="110" fillId="0" borderId="4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34" fillId="79" borderId="99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5" fillId="92" borderId="92"/>
    <xf numFmtId="0" fontId="2" fillId="0" borderId="0"/>
    <xf numFmtId="0" fontId="2" fillId="0" borderId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" fontId="4" fillId="0" borderId="87" applyNumberFormat="0" applyFont="0" applyFill="0" applyAlignment="0"/>
    <xf numFmtId="0" fontId="110" fillId="0" borderId="87"/>
    <xf numFmtId="0" fontId="5" fillId="0" borderId="87">
      <alignment horizontal="left" vertical="center"/>
    </xf>
    <xf numFmtId="10" fontId="12" fillId="88" borderId="86" applyNumberFormat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37" fontId="111" fillId="24" borderId="93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5" fillId="85" borderId="92"/>
    <xf numFmtId="10" fontId="130" fillId="0" borderId="97" applyFont="0" applyAlignment="0">
      <protection locked="0"/>
    </xf>
    <xf numFmtId="0" fontId="115" fillId="92" borderId="92"/>
    <xf numFmtId="0" fontId="115" fillId="0" borderId="92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4" borderId="0" applyNumberFormat="0" applyBorder="0" applyAlignment="0" applyProtection="0"/>
    <xf numFmtId="0" fontId="2" fillId="65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6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" fillId="0" borderId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2" fillId="73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64" borderId="0" applyNumberFormat="0" applyBorder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72" borderId="0" applyNumberFormat="0" applyBorder="0" applyAlignment="0" applyProtection="0"/>
    <xf numFmtId="0" fontId="2" fillId="64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4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54" borderId="71" applyNumberFormat="0" applyFont="0" applyAlignment="0" applyProtection="0"/>
    <xf numFmtId="0" fontId="2" fillId="57" borderId="0" applyNumberFormat="0" applyBorder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7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65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1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73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60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56" borderId="0" applyNumberFormat="0" applyBorder="0" applyAlignment="0" applyProtection="0"/>
    <xf numFmtId="0" fontId="2" fillId="68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0" borderId="0"/>
    <xf numFmtId="0" fontId="2" fillId="64" borderId="0" applyNumberFormat="0" applyBorder="0" applyAlignment="0" applyProtection="0"/>
    <xf numFmtId="0" fontId="2" fillId="56" borderId="0" applyNumberFormat="0" applyBorder="0" applyAlignment="0" applyProtection="0"/>
    <xf numFmtId="0" fontId="2" fillId="61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6" borderId="0" applyNumberFormat="0" applyBorder="0" applyAlignment="0" applyProtection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73" borderId="0" applyNumberFormat="0" applyBorder="0" applyAlignment="0" applyProtection="0"/>
    <xf numFmtId="0" fontId="2" fillId="0" borderId="0"/>
    <xf numFmtId="0" fontId="2" fillId="7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61" borderId="0" applyNumberFormat="0" applyBorder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8" borderId="0" applyNumberFormat="0" applyBorder="0" applyAlignment="0" applyProtection="0"/>
    <xf numFmtId="0" fontId="2" fillId="76" borderId="0" applyNumberFormat="0" applyBorder="0" applyAlignment="0" applyProtection="0"/>
    <xf numFmtId="0" fontId="2" fillId="69" borderId="0" applyNumberFormat="0" applyBorder="0" applyAlignment="0" applyProtection="0"/>
    <xf numFmtId="0" fontId="2" fillId="76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57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64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0" borderId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57" borderId="0" applyNumberFormat="0" applyBorder="0" applyAlignment="0" applyProtection="0"/>
    <xf numFmtId="0" fontId="2" fillId="73" borderId="0" applyNumberFormat="0" applyBorder="0" applyAlignment="0" applyProtection="0"/>
    <xf numFmtId="0" fontId="2" fillId="60" borderId="0" applyNumberFormat="0" applyBorder="0" applyAlignment="0" applyProtection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73" borderId="0" applyNumberFormat="0" applyBorder="0" applyAlignment="0" applyProtection="0"/>
    <xf numFmtId="0" fontId="2" fillId="57" borderId="0" applyNumberFormat="0" applyBorder="0" applyAlignment="0" applyProtection="0"/>
    <xf numFmtId="0" fontId="2" fillId="68" borderId="0" applyNumberFormat="0" applyBorder="0" applyAlignment="0" applyProtection="0"/>
    <xf numFmtId="0" fontId="2" fillId="72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57" borderId="0" applyNumberFormat="0" applyBorder="0" applyAlignment="0" applyProtection="0"/>
    <xf numFmtId="0" fontId="2" fillId="61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2" borderId="0" applyNumberFormat="0" applyBorder="0" applyAlignment="0" applyProtection="0"/>
    <xf numFmtId="0" fontId="2" fillId="76" borderId="0" applyNumberFormat="0" applyBorder="0" applyAlignment="0" applyProtection="0"/>
    <xf numFmtId="0" fontId="2" fillId="56" borderId="0" applyNumberFormat="0" applyBorder="0" applyAlignment="0" applyProtection="0"/>
    <xf numFmtId="0" fontId="2" fillId="61" borderId="0" applyNumberFormat="0" applyBorder="0" applyAlignment="0" applyProtection="0"/>
    <xf numFmtId="0" fontId="2" fillId="57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0" borderId="0"/>
    <xf numFmtId="0" fontId="2" fillId="68" borderId="0" applyNumberFormat="0" applyBorder="0" applyAlignment="0" applyProtection="0"/>
    <xf numFmtId="0" fontId="2" fillId="76" borderId="0" applyNumberFormat="0" applyBorder="0" applyAlignment="0" applyProtection="0"/>
    <xf numFmtId="0" fontId="2" fillId="72" borderId="0" applyNumberFormat="0" applyBorder="0" applyAlignment="0" applyProtection="0"/>
    <xf numFmtId="0" fontId="2" fillId="77" borderId="0" applyNumberFormat="0" applyBorder="0" applyAlignment="0" applyProtection="0"/>
    <xf numFmtId="0" fontId="2" fillId="72" borderId="0" applyNumberFormat="0" applyBorder="0" applyAlignment="0" applyProtection="0"/>
    <xf numFmtId="0" fontId="2" fillId="0" borderId="0"/>
    <xf numFmtId="0" fontId="2" fillId="0" borderId="0"/>
    <xf numFmtId="0" fontId="2" fillId="57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54" borderId="71" applyNumberFormat="0" applyFont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4" borderId="0" applyNumberFormat="0" applyBorder="0" applyAlignment="0" applyProtection="0"/>
    <xf numFmtId="0" fontId="2" fillId="65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9" fontId="4" fillId="0" borderId="0" applyFont="0" applyFill="0" applyBorder="0" applyAlignment="0" applyProtection="0"/>
    <xf numFmtId="0" fontId="6" fillId="0" borderId="0"/>
    <xf numFmtId="43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54" borderId="71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" fontId="4" fillId="0" borderId="4" applyNumberFormat="0" applyFont="0" applyFill="0" applyAlignment="0"/>
    <xf numFmtId="0" fontId="110" fillId="0" borderId="4"/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37" fontId="111" fillId="24" borderId="93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2" fillId="73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64" borderId="0" applyNumberFormat="0" applyBorder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72" borderId="0" applyNumberFormat="0" applyBorder="0" applyAlignment="0" applyProtection="0"/>
    <xf numFmtId="0" fontId="2" fillId="64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4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54" borderId="71" applyNumberFormat="0" applyFont="0" applyAlignment="0" applyProtection="0"/>
    <xf numFmtId="0" fontId="2" fillId="57" borderId="0" applyNumberFormat="0" applyBorder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7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65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1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73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60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56" borderId="0" applyNumberFormat="0" applyBorder="0" applyAlignment="0" applyProtection="0"/>
    <xf numFmtId="0" fontId="2" fillId="68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0" borderId="0"/>
    <xf numFmtId="0" fontId="2" fillId="64" borderId="0" applyNumberFormat="0" applyBorder="0" applyAlignment="0" applyProtection="0"/>
    <xf numFmtId="0" fontId="2" fillId="56" borderId="0" applyNumberFormat="0" applyBorder="0" applyAlignment="0" applyProtection="0"/>
    <xf numFmtId="0" fontId="2" fillId="61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6" borderId="0" applyNumberFormat="0" applyBorder="0" applyAlignment="0" applyProtection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73" borderId="0" applyNumberFormat="0" applyBorder="0" applyAlignment="0" applyProtection="0"/>
    <xf numFmtId="0" fontId="2" fillId="0" borderId="0"/>
    <xf numFmtId="0" fontId="2" fillId="7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61" borderId="0" applyNumberFormat="0" applyBorder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8" borderId="0" applyNumberFormat="0" applyBorder="0" applyAlignment="0" applyProtection="0"/>
    <xf numFmtId="0" fontId="2" fillId="76" borderId="0" applyNumberFormat="0" applyBorder="0" applyAlignment="0" applyProtection="0"/>
    <xf numFmtId="0" fontId="2" fillId="69" borderId="0" applyNumberFormat="0" applyBorder="0" applyAlignment="0" applyProtection="0"/>
    <xf numFmtId="0" fontId="2" fillId="76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57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64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0" borderId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57" borderId="0" applyNumberFormat="0" applyBorder="0" applyAlignment="0" applyProtection="0"/>
    <xf numFmtId="0" fontId="2" fillId="73" borderId="0" applyNumberFormat="0" applyBorder="0" applyAlignment="0" applyProtection="0"/>
    <xf numFmtId="0" fontId="2" fillId="60" borderId="0" applyNumberFormat="0" applyBorder="0" applyAlignment="0" applyProtection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73" borderId="0" applyNumberFormat="0" applyBorder="0" applyAlignment="0" applyProtection="0"/>
    <xf numFmtId="0" fontId="2" fillId="57" borderId="0" applyNumberFormat="0" applyBorder="0" applyAlignment="0" applyProtection="0"/>
    <xf numFmtId="0" fontId="2" fillId="68" borderId="0" applyNumberFormat="0" applyBorder="0" applyAlignment="0" applyProtection="0"/>
    <xf numFmtId="0" fontId="2" fillId="72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57" borderId="0" applyNumberFormat="0" applyBorder="0" applyAlignment="0" applyProtection="0"/>
    <xf numFmtId="0" fontId="2" fillId="61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2" borderId="0" applyNumberFormat="0" applyBorder="0" applyAlignment="0" applyProtection="0"/>
    <xf numFmtId="0" fontId="2" fillId="76" borderId="0" applyNumberFormat="0" applyBorder="0" applyAlignment="0" applyProtection="0"/>
    <xf numFmtId="0" fontId="2" fillId="56" borderId="0" applyNumberFormat="0" applyBorder="0" applyAlignment="0" applyProtection="0"/>
    <xf numFmtId="0" fontId="2" fillId="61" borderId="0" applyNumberFormat="0" applyBorder="0" applyAlignment="0" applyProtection="0"/>
    <xf numFmtId="0" fontId="2" fillId="57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0" borderId="0"/>
    <xf numFmtId="0" fontId="2" fillId="68" borderId="0" applyNumberFormat="0" applyBorder="0" applyAlignment="0" applyProtection="0"/>
    <xf numFmtId="0" fontId="2" fillId="76" borderId="0" applyNumberFormat="0" applyBorder="0" applyAlignment="0" applyProtection="0"/>
    <xf numFmtId="0" fontId="2" fillId="72" borderId="0" applyNumberFormat="0" applyBorder="0" applyAlignment="0" applyProtection="0"/>
    <xf numFmtId="0" fontId="2" fillId="77" borderId="0" applyNumberFormat="0" applyBorder="0" applyAlignment="0" applyProtection="0"/>
    <xf numFmtId="0" fontId="2" fillId="72" borderId="0" applyNumberFormat="0" applyBorder="0" applyAlignment="0" applyProtection="0"/>
    <xf numFmtId="0" fontId="2" fillId="0" borderId="0"/>
    <xf numFmtId="0" fontId="2" fillId="0" borderId="0"/>
    <xf numFmtId="0" fontId="2" fillId="57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54" borderId="71" applyNumberFormat="0" applyFont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4" borderId="0" applyNumberFormat="0" applyBorder="0" applyAlignment="0" applyProtection="0"/>
    <xf numFmtId="0" fontId="2" fillId="65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4" borderId="0" applyNumberFormat="0" applyBorder="0" applyAlignment="0" applyProtection="0"/>
    <xf numFmtId="0" fontId="2" fillId="65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54" borderId="71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" fontId="4" fillId="0" borderId="4" applyNumberFormat="0" applyFont="0" applyFill="0" applyAlignment="0"/>
    <xf numFmtId="0" fontId="110" fillId="0" borderId="4"/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37" fontId="111" fillId="24" borderId="93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2" fontId="4" fillId="0" borderId="4" applyNumberFormat="0" applyFont="0" applyFill="0" applyAlignment="0"/>
    <xf numFmtId="0" fontId="110" fillId="0" borderId="4"/>
    <xf numFmtId="0" fontId="115" fillId="0" borderId="92"/>
    <xf numFmtId="37" fontId="111" fillId="24" borderId="93"/>
    <xf numFmtId="0" fontId="122" fillId="83" borderId="92"/>
    <xf numFmtId="0" fontId="5" fillId="0" borderId="4">
      <alignment horizontal="left" vertical="center"/>
    </xf>
    <xf numFmtId="0" fontId="115" fillId="85" borderId="92"/>
    <xf numFmtId="0" fontId="115" fillId="83" borderId="92"/>
    <xf numFmtId="10" fontId="12" fillId="88" borderId="30" applyNumberFormat="0" applyBorder="0" applyAlignment="0" applyProtection="0"/>
    <xf numFmtId="10" fontId="130" fillId="0" borderId="97" applyFont="0" applyAlignment="0">
      <protection locked="0"/>
    </xf>
    <xf numFmtId="0" fontId="134" fillId="79" borderId="99"/>
    <xf numFmtId="0" fontId="131" fillId="0" borderId="92"/>
    <xf numFmtId="0" fontId="115" fillId="92" borderId="92"/>
    <xf numFmtId="0" fontId="115" fillId="92" borderId="92"/>
    <xf numFmtId="0" fontId="131" fillId="0" borderId="92"/>
    <xf numFmtId="0" fontId="134" fillId="79" borderId="99"/>
    <xf numFmtId="10" fontId="130" fillId="0" borderId="97" applyFont="0" applyAlignment="0">
      <protection locked="0"/>
    </xf>
    <xf numFmtId="0" fontId="115" fillId="83" borderId="92"/>
    <xf numFmtId="0" fontId="115" fillId="85" borderId="92"/>
    <xf numFmtId="0" fontId="122" fillId="83" borderId="92"/>
    <xf numFmtId="0" fontId="115" fillId="0" borderId="92"/>
    <xf numFmtId="0" fontId="122" fillId="83" borderId="92"/>
    <xf numFmtId="10" fontId="130" fillId="0" borderId="97" applyFont="0" applyAlignment="0">
      <protection locked="0"/>
    </xf>
    <xf numFmtId="0" fontId="131" fillId="0" borderId="92"/>
    <xf numFmtId="0" fontId="115" fillId="83" borderId="92"/>
    <xf numFmtId="0" fontId="131" fillId="0" borderId="92"/>
    <xf numFmtId="0" fontId="134" fillId="79" borderId="99"/>
    <xf numFmtId="0" fontId="122" fillId="83" borderId="92"/>
    <xf numFmtId="0" fontId="31" fillId="24" borderId="82" applyNumberFormat="0" applyAlignment="0" applyProtection="0"/>
    <xf numFmtId="0" fontId="37" fillId="11" borderId="82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37" fontId="111" fillId="24" borderId="93"/>
    <xf numFmtId="0" fontId="115" fillId="0" borderId="92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5" fillId="83" borderId="92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115" fillId="85" borderId="92"/>
    <xf numFmtId="2" fontId="4" fillId="0" borderId="4" applyNumberFormat="0" applyFont="0" applyFill="0" applyAlignment="0"/>
    <xf numFmtId="0" fontId="110" fillId="0" borderId="4"/>
    <xf numFmtId="0" fontId="134" fillId="79" borderId="99"/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0" fontId="115" fillId="92" borderId="92"/>
    <xf numFmtId="2" fontId="4" fillId="0" borderId="4" applyNumberFormat="0" applyFont="0" applyFill="0" applyAlignment="0"/>
    <xf numFmtId="0" fontId="110" fillId="0" borderId="4"/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37" fontId="111" fillId="24" borderId="93"/>
    <xf numFmtId="0" fontId="115" fillId="85" borderId="92"/>
    <xf numFmtId="10" fontId="130" fillId="0" borderId="97" applyFont="0" applyAlignment="0">
      <protection locked="0"/>
    </xf>
    <xf numFmtId="0" fontId="115" fillId="92" borderId="92"/>
    <xf numFmtId="0" fontId="115" fillId="0" borderId="92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2" fillId="0" borderId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40" fillId="24" borderId="84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5" fillId="0" borderId="4">
      <alignment horizontal="left" vertical="center"/>
    </xf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11" fillId="0" borderId="85" applyNumberFormat="0" applyFill="0" applyAlignment="0" applyProtection="0"/>
    <xf numFmtId="0" fontId="40" fillId="24" borderId="84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37" fillId="11" borderId="82" applyNumberFormat="0" applyAlignment="0" applyProtection="0"/>
    <xf numFmtId="0" fontId="2" fillId="73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64" borderId="0" applyNumberFormat="0" applyBorder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72" borderId="0" applyNumberFormat="0" applyBorder="0" applyAlignment="0" applyProtection="0"/>
    <xf numFmtId="0" fontId="2" fillId="64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4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54" borderId="71" applyNumberFormat="0" applyFont="0" applyAlignment="0" applyProtection="0"/>
    <xf numFmtId="0" fontId="2" fillId="57" borderId="0" applyNumberFormat="0" applyBorder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7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65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1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73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60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56" borderId="0" applyNumberFormat="0" applyBorder="0" applyAlignment="0" applyProtection="0"/>
    <xf numFmtId="0" fontId="2" fillId="68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0" borderId="0"/>
    <xf numFmtId="0" fontId="2" fillId="64" borderId="0" applyNumberFormat="0" applyBorder="0" applyAlignment="0" applyProtection="0"/>
    <xf numFmtId="0" fontId="2" fillId="56" borderId="0" applyNumberFormat="0" applyBorder="0" applyAlignment="0" applyProtection="0"/>
    <xf numFmtId="0" fontId="2" fillId="61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6" borderId="0" applyNumberFormat="0" applyBorder="0" applyAlignment="0" applyProtection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73" borderId="0" applyNumberFormat="0" applyBorder="0" applyAlignment="0" applyProtection="0"/>
    <xf numFmtId="0" fontId="2" fillId="0" borderId="0"/>
    <xf numFmtId="0" fontId="2" fillId="7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61" borderId="0" applyNumberFormat="0" applyBorder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8" borderId="0" applyNumberFormat="0" applyBorder="0" applyAlignment="0" applyProtection="0"/>
    <xf numFmtId="0" fontId="2" fillId="76" borderId="0" applyNumberFormat="0" applyBorder="0" applyAlignment="0" applyProtection="0"/>
    <xf numFmtId="0" fontId="2" fillId="69" borderId="0" applyNumberFormat="0" applyBorder="0" applyAlignment="0" applyProtection="0"/>
    <xf numFmtId="0" fontId="2" fillId="76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57" borderId="0" applyNumberFormat="0" applyBorder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5" fillId="0" borderId="4">
      <alignment horizontal="left" vertical="center"/>
    </xf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64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0" borderId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57" borderId="0" applyNumberFormat="0" applyBorder="0" applyAlignment="0" applyProtection="0"/>
    <xf numFmtId="0" fontId="2" fillId="73" borderId="0" applyNumberFormat="0" applyBorder="0" applyAlignment="0" applyProtection="0"/>
    <xf numFmtId="0" fontId="2" fillId="60" borderId="0" applyNumberFormat="0" applyBorder="0" applyAlignment="0" applyProtection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73" borderId="0" applyNumberFormat="0" applyBorder="0" applyAlignment="0" applyProtection="0"/>
    <xf numFmtId="0" fontId="2" fillId="57" borderId="0" applyNumberFormat="0" applyBorder="0" applyAlignment="0" applyProtection="0"/>
    <xf numFmtId="0" fontId="2" fillId="68" borderId="0" applyNumberFormat="0" applyBorder="0" applyAlignment="0" applyProtection="0"/>
    <xf numFmtId="0" fontId="2" fillId="72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57" borderId="0" applyNumberFormat="0" applyBorder="0" applyAlignment="0" applyProtection="0"/>
    <xf numFmtId="0" fontId="2" fillId="61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2" borderId="0" applyNumberFormat="0" applyBorder="0" applyAlignment="0" applyProtection="0"/>
    <xf numFmtId="0" fontId="2" fillId="76" borderId="0" applyNumberFormat="0" applyBorder="0" applyAlignment="0" applyProtection="0"/>
    <xf numFmtId="0" fontId="2" fillId="56" borderId="0" applyNumberFormat="0" applyBorder="0" applyAlignment="0" applyProtection="0"/>
    <xf numFmtId="0" fontId="2" fillId="61" borderId="0" applyNumberFormat="0" applyBorder="0" applyAlignment="0" applyProtection="0"/>
    <xf numFmtId="0" fontId="2" fillId="57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0" borderId="0"/>
    <xf numFmtId="0" fontId="2" fillId="68" borderId="0" applyNumberFormat="0" applyBorder="0" applyAlignment="0" applyProtection="0"/>
    <xf numFmtId="0" fontId="2" fillId="76" borderId="0" applyNumberFormat="0" applyBorder="0" applyAlignment="0" applyProtection="0"/>
    <xf numFmtId="0" fontId="2" fillId="72" borderId="0" applyNumberFormat="0" applyBorder="0" applyAlignment="0" applyProtection="0"/>
    <xf numFmtId="0" fontId="2" fillId="77" borderId="0" applyNumberFormat="0" applyBorder="0" applyAlignment="0" applyProtection="0"/>
    <xf numFmtId="0" fontId="2" fillId="72" borderId="0" applyNumberFormat="0" applyBorder="0" applyAlignment="0" applyProtection="0"/>
    <xf numFmtId="0" fontId="2" fillId="0" borderId="0"/>
    <xf numFmtId="0" fontId="2" fillId="0" borderId="0"/>
    <xf numFmtId="0" fontId="2" fillId="57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37" fillId="11" borderId="82" applyNumberFormat="0" applyAlignment="0" applyProtection="0"/>
    <xf numFmtId="0" fontId="2" fillId="54" borderId="71" applyNumberFormat="0" applyFon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54" borderId="71" applyNumberFormat="0" applyFont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4" borderId="0" applyNumberFormat="0" applyBorder="0" applyAlignment="0" applyProtection="0"/>
    <xf numFmtId="0" fontId="2" fillId="65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4" borderId="0" applyNumberFormat="0" applyBorder="0" applyAlignment="0" applyProtection="0"/>
    <xf numFmtId="0" fontId="2" fillId="65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54" borderId="71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40" fillId="24" borderId="84" applyNumberFormat="0" applyAlignment="0" applyProtection="0"/>
    <xf numFmtId="0" fontId="2" fillId="69" borderId="0" applyNumberFormat="0" applyBorder="0" applyAlignment="0" applyProtection="0"/>
    <xf numFmtId="0" fontId="40" fillId="24" borderId="84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37" fillId="11" borderId="82" applyNumberFormat="0" applyAlignment="0" applyProtection="0"/>
    <xf numFmtId="0" fontId="2" fillId="73" borderId="0" applyNumberFormat="0" applyBorder="0" applyAlignment="0" applyProtection="0"/>
    <xf numFmtId="0" fontId="37" fillId="11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2" fontId="4" fillId="0" borderId="4" applyNumberFormat="0" applyFont="0" applyFill="0" applyAlignment="0"/>
    <xf numFmtId="0" fontId="110" fillId="0" borderId="4"/>
    <xf numFmtId="0" fontId="115" fillId="0" borderId="92"/>
    <xf numFmtId="0" fontId="4" fillId="28" borderId="83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85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37" fontId="111" fillId="24" borderId="93"/>
    <xf numFmtId="0" fontId="37" fillId="11" borderId="82" applyNumberFormat="0" applyAlignment="0" applyProtection="0"/>
    <xf numFmtId="0" fontId="122" fillId="83" borderId="92"/>
    <xf numFmtId="0" fontId="5" fillId="0" borderId="4">
      <alignment horizontal="left" vertical="center"/>
    </xf>
    <xf numFmtId="0" fontId="115" fillId="85" borderId="92"/>
    <xf numFmtId="0" fontId="115" fillId="83" borderId="92"/>
    <xf numFmtId="10" fontId="12" fillId="88" borderId="30" applyNumberFormat="0" applyBorder="0" applyAlignment="0" applyProtection="0"/>
    <xf numFmtId="10" fontId="130" fillId="0" borderId="97" applyFont="0" applyAlignment="0">
      <protection locked="0"/>
    </xf>
    <xf numFmtId="10" fontId="130" fillId="0" borderId="97" applyFont="0" applyAlignment="0">
      <protection locked="0"/>
    </xf>
    <xf numFmtId="0" fontId="134" fillId="79" borderId="99"/>
    <xf numFmtId="0" fontId="131" fillId="0" borderId="92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24" borderId="84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2" fillId="0" borderId="0"/>
    <xf numFmtId="0" fontId="11" fillId="0" borderId="85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15" fillId="92" borderId="92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15" fillId="92" borderId="92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31" fillId="0" borderId="92"/>
    <xf numFmtId="0" fontId="134" fillId="79" borderId="99"/>
    <xf numFmtId="10" fontId="130" fillId="0" borderId="97" applyFont="0" applyAlignment="0">
      <protection locked="0"/>
    </xf>
    <xf numFmtId="9" fontId="2" fillId="0" borderId="0" applyFont="0" applyFill="0" applyBorder="0" applyAlignment="0" applyProtection="0"/>
    <xf numFmtId="0" fontId="115" fillId="83" borderId="92"/>
    <xf numFmtId="0" fontId="115" fillId="85" borderId="92"/>
    <xf numFmtId="0" fontId="122" fillId="83" borderId="92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15" fillId="0" borderId="92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22" fillId="83" borderId="92"/>
    <xf numFmtId="10" fontId="130" fillId="0" borderId="97" applyFont="0" applyAlignment="0">
      <protection locked="0"/>
    </xf>
    <xf numFmtId="0" fontId="131" fillId="0" borderId="92"/>
    <xf numFmtId="0" fontId="2" fillId="0" borderId="0"/>
    <xf numFmtId="0" fontId="115" fillId="83" borderId="92"/>
    <xf numFmtId="0" fontId="131" fillId="0" borderId="92"/>
    <xf numFmtId="0" fontId="134" fillId="79" borderId="99"/>
    <xf numFmtId="0" fontId="122" fillId="83" borderId="92"/>
    <xf numFmtId="0" fontId="31" fillId="24" borderId="82" applyNumberFormat="0" applyAlignment="0" applyProtection="0"/>
    <xf numFmtId="0" fontId="37" fillId="11" borderId="82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2" fillId="73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64" borderId="0" applyNumberFormat="0" applyBorder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72" borderId="0" applyNumberFormat="0" applyBorder="0" applyAlignment="0" applyProtection="0"/>
    <xf numFmtId="0" fontId="2" fillId="64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4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54" borderId="71" applyNumberFormat="0" applyFont="0" applyAlignment="0" applyProtection="0"/>
    <xf numFmtId="0" fontId="2" fillId="57" borderId="0" applyNumberFormat="0" applyBorder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7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65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1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73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60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56" borderId="0" applyNumberFormat="0" applyBorder="0" applyAlignment="0" applyProtection="0"/>
    <xf numFmtId="0" fontId="2" fillId="68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0" borderId="0"/>
    <xf numFmtId="0" fontId="2" fillId="64" borderId="0" applyNumberFormat="0" applyBorder="0" applyAlignment="0" applyProtection="0"/>
    <xf numFmtId="0" fontId="2" fillId="56" borderId="0" applyNumberFormat="0" applyBorder="0" applyAlignment="0" applyProtection="0"/>
    <xf numFmtId="0" fontId="2" fillId="61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6" borderId="0" applyNumberFormat="0" applyBorder="0" applyAlignment="0" applyProtection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73" borderId="0" applyNumberFormat="0" applyBorder="0" applyAlignment="0" applyProtection="0"/>
    <xf numFmtId="0" fontId="2" fillId="0" borderId="0"/>
    <xf numFmtId="0" fontId="2" fillId="7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61" borderId="0" applyNumberFormat="0" applyBorder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8" borderId="0" applyNumberFormat="0" applyBorder="0" applyAlignment="0" applyProtection="0"/>
    <xf numFmtId="0" fontId="2" fillId="76" borderId="0" applyNumberFormat="0" applyBorder="0" applyAlignment="0" applyProtection="0"/>
    <xf numFmtId="0" fontId="2" fillId="69" borderId="0" applyNumberFormat="0" applyBorder="0" applyAlignment="0" applyProtection="0"/>
    <xf numFmtId="0" fontId="2" fillId="76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57" borderId="0" applyNumberFormat="0" applyBorder="0" applyAlignment="0" applyProtection="0"/>
    <xf numFmtId="37" fontId="111" fillId="24" borderId="93"/>
    <xf numFmtId="0" fontId="115" fillId="0" borderId="92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64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0" borderId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57" borderId="0" applyNumberFormat="0" applyBorder="0" applyAlignment="0" applyProtection="0"/>
    <xf numFmtId="0" fontId="2" fillId="73" borderId="0" applyNumberFormat="0" applyBorder="0" applyAlignment="0" applyProtection="0"/>
    <xf numFmtId="0" fontId="2" fillId="60" borderId="0" applyNumberFormat="0" applyBorder="0" applyAlignment="0" applyProtection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73" borderId="0" applyNumberFormat="0" applyBorder="0" applyAlignment="0" applyProtection="0"/>
    <xf numFmtId="0" fontId="2" fillId="57" borderId="0" applyNumberFormat="0" applyBorder="0" applyAlignment="0" applyProtection="0"/>
    <xf numFmtId="0" fontId="2" fillId="68" borderId="0" applyNumberFormat="0" applyBorder="0" applyAlignment="0" applyProtection="0"/>
    <xf numFmtId="0" fontId="2" fillId="72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57" borderId="0" applyNumberFormat="0" applyBorder="0" applyAlignment="0" applyProtection="0"/>
    <xf numFmtId="0" fontId="2" fillId="61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2" borderId="0" applyNumberFormat="0" applyBorder="0" applyAlignment="0" applyProtection="0"/>
    <xf numFmtId="0" fontId="2" fillId="76" borderId="0" applyNumberFormat="0" applyBorder="0" applyAlignment="0" applyProtection="0"/>
    <xf numFmtId="0" fontId="2" fillId="56" borderId="0" applyNumberFormat="0" applyBorder="0" applyAlignment="0" applyProtection="0"/>
    <xf numFmtId="0" fontId="2" fillId="61" borderId="0" applyNumberFormat="0" applyBorder="0" applyAlignment="0" applyProtection="0"/>
    <xf numFmtId="0" fontId="2" fillId="57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0" borderId="0"/>
    <xf numFmtId="0" fontId="2" fillId="68" borderId="0" applyNumberFormat="0" applyBorder="0" applyAlignment="0" applyProtection="0"/>
    <xf numFmtId="0" fontId="2" fillId="76" borderId="0" applyNumberFormat="0" applyBorder="0" applyAlignment="0" applyProtection="0"/>
    <xf numFmtId="0" fontId="2" fillId="72" borderId="0" applyNumberFormat="0" applyBorder="0" applyAlignment="0" applyProtection="0"/>
    <xf numFmtId="0" fontId="2" fillId="77" borderId="0" applyNumberFormat="0" applyBorder="0" applyAlignment="0" applyProtection="0"/>
    <xf numFmtId="0" fontId="2" fillId="72" borderId="0" applyNumberFormat="0" applyBorder="0" applyAlignment="0" applyProtection="0"/>
    <xf numFmtId="0" fontId="2" fillId="0" borderId="0"/>
    <xf numFmtId="0" fontId="2" fillId="0" borderId="0"/>
    <xf numFmtId="0" fontId="2" fillId="57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54" borderId="71" applyNumberFormat="0" applyFont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4" borderId="0" applyNumberFormat="0" applyBorder="0" applyAlignment="0" applyProtection="0"/>
    <xf numFmtId="0" fontId="2" fillId="65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115" fillId="83" borderId="92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4" borderId="0" applyNumberFormat="0" applyBorder="0" applyAlignment="0" applyProtection="0"/>
    <xf numFmtId="0" fontId="2" fillId="65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54" borderId="71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115" fillId="85" borderId="92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2" fontId="4" fillId="0" borderId="4" applyNumberFormat="0" applyFont="0" applyFill="0" applyAlignment="0"/>
    <xf numFmtId="0" fontId="110" fillId="0" borderId="4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34" fillId="79" borderId="99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5" fillId="92" borderId="92"/>
    <xf numFmtId="0" fontId="2" fillId="0" borderId="0"/>
    <xf numFmtId="0" fontId="2" fillId="0" borderId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" fontId="4" fillId="0" borderId="4" applyNumberFormat="0" applyFont="0" applyFill="0" applyAlignment="0"/>
    <xf numFmtId="0" fontId="110" fillId="0" borderId="4"/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37" fontId="111" fillId="24" borderId="93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5" fillId="85" borderId="92"/>
    <xf numFmtId="10" fontId="130" fillId="0" borderId="97" applyFont="0" applyAlignment="0">
      <protection locked="0"/>
    </xf>
    <xf numFmtId="0" fontId="115" fillId="92" borderId="92"/>
    <xf numFmtId="0" fontId="115" fillId="0" borderId="92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4" borderId="0" applyNumberFormat="0" applyBorder="0" applyAlignment="0" applyProtection="0"/>
    <xf numFmtId="0" fontId="2" fillId="65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0" borderId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2" fillId="73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64" borderId="0" applyNumberFormat="0" applyBorder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72" borderId="0" applyNumberFormat="0" applyBorder="0" applyAlignment="0" applyProtection="0"/>
    <xf numFmtId="0" fontId="2" fillId="64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4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54" borderId="71" applyNumberFormat="0" applyFont="0" applyAlignment="0" applyProtection="0"/>
    <xf numFmtId="0" fontId="2" fillId="57" borderId="0" applyNumberFormat="0" applyBorder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7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65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1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73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60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56" borderId="0" applyNumberFormat="0" applyBorder="0" applyAlignment="0" applyProtection="0"/>
    <xf numFmtId="0" fontId="2" fillId="68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0" borderId="0"/>
    <xf numFmtId="0" fontId="2" fillId="64" borderId="0" applyNumberFormat="0" applyBorder="0" applyAlignment="0" applyProtection="0"/>
    <xf numFmtId="0" fontId="2" fillId="56" borderId="0" applyNumberFormat="0" applyBorder="0" applyAlignment="0" applyProtection="0"/>
    <xf numFmtId="0" fontId="2" fillId="61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6" borderId="0" applyNumberFormat="0" applyBorder="0" applyAlignment="0" applyProtection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73" borderId="0" applyNumberFormat="0" applyBorder="0" applyAlignment="0" applyProtection="0"/>
    <xf numFmtId="0" fontId="2" fillId="0" borderId="0"/>
    <xf numFmtId="0" fontId="2" fillId="7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61" borderId="0" applyNumberFormat="0" applyBorder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8" borderId="0" applyNumberFormat="0" applyBorder="0" applyAlignment="0" applyProtection="0"/>
    <xf numFmtId="0" fontId="2" fillId="76" borderId="0" applyNumberFormat="0" applyBorder="0" applyAlignment="0" applyProtection="0"/>
    <xf numFmtId="0" fontId="2" fillId="69" borderId="0" applyNumberFormat="0" applyBorder="0" applyAlignment="0" applyProtection="0"/>
    <xf numFmtId="0" fontId="2" fillId="76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57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64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0" borderId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57" borderId="0" applyNumberFormat="0" applyBorder="0" applyAlignment="0" applyProtection="0"/>
    <xf numFmtId="0" fontId="2" fillId="73" borderId="0" applyNumberFormat="0" applyBorder="0" applyAlignment="0" applyProtection="0"/>
    <xf numFmtId="0" fontId="2" fillId="60" borderId="0" applyNumberFormat="0" applyBorder="0" applyAlignment="0" applyProtection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73" borderId="0" applyNumberFormat="0" applyBorder="0" applyAlignment="0" applyProtection="0"/>
    <xf numFmtId="0" fontId="2" fillId="57" borderId="0" applyNumberFormat="0" applyBorder="0" applyAlignment="0" applyProtection="0"/>
    <xf numFmtId="0" fontId="2" fillId="68" borderId="0" applyNumberFormat="0" applyBorder="0" applyAlignment="0" applyProtection="0"/>
    <xf numFmtId="0" fontId="2" fillId="72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57" borderId="0" applyNumberFormat="0" applyBorder="0" applyAlignment="0" applyProtection="0"/>
    <xf numFmtId="0" fontId="2" fillId="61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2" borderId="0" applyNumberFormat="0" applyBorder="0" applyAlignment="0" applyProtection="0"/>
    <xf numFmtId="0" fontId="2" fillId="76" borderId="0" applyNumberFormat="0" applyBorder="0" applyAlignment="0" applyProtection="0"/>
    <xf numFmtId="0" fontId="2" fillId="56" borderId="0" applyNumberFormat="0" applyBorder="0" applyAlignment="0" applyProtection="0"/>
    <xf numFmtId="0" fontId="2" fillId="61" borderId="0" applyNumberFormat="0" applyBorder="0" applyAlignment="0" applyProtection="0"/>
    <xf numFmtId="0" fontId="2" fillId="57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0" borderId="0"/>
    <xf numFmtId="0" fontId="2" fillId="68" borderId="0" applyNumberFormat="0" applyBorder="0" applyAlignment="0" applyProtection="0"/>
    <xf numFmtId="0" fontId="2" fillId="76" borderId="0" applyNumberFormat="0" applyBorder="0" applyAlignment="0" applyProtection="0"/>
    <xf numFmtId="0" fontId="2" fillId="72" borderId="0" applyNumberFormat="0" applyBorder="0" applyAlignment="0" applyProtection="0"/>
    <xf numFmtId="0" fontId="2" fillId="77" borderId="0" applyNumberFormat="0" applyBorder="0" applyAlignment="0" applyProtection="0"/>
    <xf numFmtId="0" fontId="2" fillId="72" borderId="0" applyNumberFormat="0" applyBorder="0" applyAlignment="0" applyProtection="0"/>
    <xf numFmtId="0" fontId="2" fillId="0" borderId="0"/>
    <xf numFmtId="0" fontId="2" fillId="0" borderId="0"/>
    <xf numFmtId="0" fontId="2" fillId="57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54" borderId="71" applyNumberFormat="0" applyFont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4" borderId="0" applyNumberFormat="0" applyBorder="0" applyAlignment="0" applyProtection="0"/>
    <xf numFmtId="0" fontId="2" fillId="65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54" borderId="71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" fontId="4" fillId="0" borderId="4" applyNumberFormat="0" applyFont="0" applyFill="0" applyAlignment="0"/>
    <xf numFmtId="0" fontId="110" fillId="0" borderId="4"/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37" fontId="111" fillId="24" borderId="93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2" fillId="73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64" borderId="0" applyNumberFormat="0" applyBorder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72" borderId="0" applyNumberFormat="0" applyBorder="0" applyAlignment="0" applyProtection="0"/>
    <xf numFmtId="0" fontId="2" fillId="64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4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54" borderId="71" applyNumberFormat="0" applyFont="0" applyAlignment="0" applyProtection="0"/>
    <xf numFmtId="0" fontId="2" fillId="57" borderId="0" applyNumberFormat="0" applyBorder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7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65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1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73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60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56" borderId="0" applyNumberFormat="0" applyBorder="0" applyAlignment="0" applyProtection="0"/>
    <xf numFmtId="0" fontId="2" fillId="68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0" borderId="0"/>
    <xf numFmtId="0" fontId="2" fillId="64" borderId="0" applyNumberFormat="0" applyBorder="0" applyAlignment="0" applyProtection="0"/>
    <xf numFmtId="0" fontId="2" fillId="56" borderId="0" applyNumberFormat="0" applyBorder="0" applyAlignment="0" applyProtection="0"/>
    <xf numFmtId="0" fontId="2" fillId="61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6" borderId="0" applyNumberFormat="0" applyBorder="0" applyAlignment="0" applyProtection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73" borderId="0" applyNumberFormat="0" applyBorder="0" applyAlignment="0" applyProtection="0"/>
    <xf numFmtId="0" fontId="2" fillId="0" borderId="0"/>
    <xf numFmtId="0" fontId="2" fillId="7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61" borderId="0" applyNumberFormat="0" applyBorder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8" borderId="0" applyNumberFormat="0" applyBorder="0" applyAlignment="0" applyProtection="0"/>
    <xf numFmtId="0" fontId="2" fillId="76" borderId="0" applyNumberFormat="0" applyBorder="0" applyAlignment="0" applyProtection="0"/>
    <xf numFmtId="0" fontId="2" fillId="69" borderId="0" applyNumberFormat="0" applyBorder="0" applyAlignment="0" applyProtection="0"/>
    <xf numFmtId="0" fontId="2" fillId="76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57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64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0" borderId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57" borderId="0" applyNumberFormat="0" applyBorder="0" applyAlignment="0" applyProtection="0"/>
    <xf numFmtId="0" fontId="2" fillId="73" borderId="0" applyNumberFormat="0" applyBorder="0" applyAlignment="0" applyProtection="0"/>
    <xf numFmtId="0" fontId="2" fillId="60" borderId="0" applyNumberFormat="0" applyBorder="0" applyAlignment="0" applyProtection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73" borderId="0" applyNumberFormat="0" applyBorder="0" applyAlignment="0" applyProtection="0"/>
    <xf numFmtId="0" fontId="2" fillId="57" borderId="0" applyNumberFormat="0" applyBorder="0" applyAlignment="0" applyProtection="0"/>
    <xf numFmtId="0" fontId="2" fillId="68" borderId="0" applyNumberFormat="0" applyBorder="0" applyAlignment="0" applyProtection="0"/>
    <xf numFmtId="0" fontId="2" fillId="72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57" borderId="0" applyNumberFormat="0" applyBorder="0" applyAlignment="0" applyProtection="0"/>
    <xf numFmtId="0" fontId="2" fillId="61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2" borderId="0" applyNumberFormat="0" applyBorder="0" applyAlignment="0" applyProtection="0"/>
    <xf numFmtId="0" fontId="2" fillId="76" borderId="0" applyNumberFormat="0" applyBorder="0" applyAlignment="0" applyProtection="0"/>
    <xf numFmtId="0" fontId="2" fillId="56" borderId="0" applyNumberFormat="0" applyBorder="0" applyAlignment="0" applyProtection="0"/>
    <xf numFmtId="0" fontId="2" fillId="61" borderId="0" applyNumberFormat="0" applyBorder="0" applyAlignment="0" applyProtection="0"/>
    <xf numFmtId="0" fontId="2" fillId="57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0" borderId="0"/>
    <xf numFmtId="0" fontId="2" fillId="68" borderId="0" applyNumberFormat="0" applyBorder="0" applyAlignment="0" applyProtection="0"/>
    <xf numFmtId="0" fontId="2" fillId="76" borderId="0" applyNumberFormat="0" applyBorder="0" applyAlignment="0" applyProtection="0"/>
    <xf numFmtId="0" fontId="2" fillId="72" borderId="0" applyNumberFormat="0" applyBorder="0" applyAlignment="0" applyProtection="0"/>
    <xf numFmtId="0" fontId="2" fillId="77" borderId="0" applyNumberFormat="0" applyBorder="0" applyAlignment="0" applyProtection="0"/>
    <xf numFmtId="0" fontId="2" fillId="72" borderId="0" applyNumberFormat="0" applyBorder="0" applyAlignment="0" applyProtection="0"/>
    <xf numFmtId="0" fontId="2" fillId="0" borderId="0"/>
    <xf numFmtId="0" fontId="2" fillId="0" borderId="0"/>
    <xf numFmtId="0" fontId="2" fillId="57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54" borderId="71" applyNumberFormat="0" applyFont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4" borderId="0" applyNumberFormat="0" applyBorder="0" applyAlignment="0" applyProtection="0"/>
    <xf numFmtId="0" fontId="2" fillId="65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4" borderId="0" applyNumberFormat="0" applyBorder="0" applyAlignment="0" applyProtection="0"/>
    <xf numFmtId="0" fontId="2" fillId="65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54" borderId="71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" fontId="4" fillId="0" borderId="4" applyNumberFormat="0" applyFont="0" applyFill="0" applyAlignment="0"/>
    <xf numFmtId="0" fontId="110" fillId="0" borderId="4"/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37" fontId="111" fillId="24" borderId="93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2" fontId="4" fillId="0" borderId="4" applyNumberFormat="0" applyFont="0" applyFill="0" applyAlignment="0"/>
    <xf numFmtId="0" fontId="110" fillId="0" borderId="4"/>
    <xf numFmtId="0" fontId="115" fillId="0" borderId="92"/>
    <xf numFmtId="37" fontId="111" fillId="24" borderId="93"/>
    <xf numFmtId="0" fontId="122" fillId="83" borderId="92"/>
    <xf numFmtId="0" fontId="5" fillId="0" borderId="4">
      <alignment horizontal="left" vertical="center"/>
    </xf>
    <xf numFmtId="0" fontId="115" fillId="85" borderId="92"/>
    <xf numFmtId="0" fontId="115" fillId="83" borderId="92"/>
    <xf numFmtId="10" fontId="12" fillId="88" borderId="30" applyNumberFormat="0" applyBorder="0" applyAlignment="0" applyProtection="0"/>
    <xf numFmtId="10" fontId="130" fillId="0" borderId="97" applyFont="0" applyAlignment="0">
      <protection locked="0"/>
    </xf>
    <xf numFmtId="0" fontId="134" fillId="79" borderId="99"/>
    <xf numFmtId="0" fontId="131" fillId="0" borderId="92"/>
    <xf numFmtId="0" fontId="115" fillId="92" borderId="92"/>
    <xf numFmtId="0" fontId="115" fillId="92" borderId="92"/>
    <xf numFmtId="0" fontId="131" fillId="0" borderId="92"/>
    <xf numFmtId="0" fontId="134" fillId="79" borderId="99"/>
    <xf numFmtId="10" fontId="130" fillId="0" borderId="97" applyFont="0" applyAlignment="0">
      <protection locked="0"/>
    </xf>
    <xf numFmtId="0" fontId="115" fillId="83" borderId="92"/>
    <xf numFmtId="0" fontId="115" fillId="85" borderId="92"/>
    <xf numFmtId="0" fontId="122" fillId="83" borderId="92"/>
    <xf numFmtId="0" fontId="115" fillId="0" borderId="92"/>
    <xf numFmtId="0" fontId="122" fillId="83" borderId="92"/>
    <xf numFmtId="10" fontId="130" fillId="0" borderId="97" applyFont="0" applyAlignment="0">
      <protection locked="0"/>
    </xf>
    <xf numFmtId="0" fontId="131" fillId="0" borderId="92"/>
    <xf numFmtId="0" fontId="115" fillId="83" borderId="92"/>
    <xf numFmtId="0" fontId="131" fillId="0" borderId="92"/>
    <xf numFmtId="0" fontId="134" fillId="79" borderId="99"/>
    <xf numFmtId="0" fontId="122" fillId="83" borderId="92"/>
    <xf numFmtId="0" fontId="31" fillId="24" borderId="82" applyNumberFormat="0" applyAlignment="0" applyProtection="0"/>
    <xf numFmtId="0" fontId="37" fillId="11" borderId="82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37" fontId="111" fillId="24" borderId="93"/>
    <xf numFmtId="0" fontId="115" fillId="0" borderId="92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5" fillId="83" borderId="92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115" fillId="85" borderId="92"/>
    <xf numFmtId="2" fontId="4" fillId="0" borderId="4" applyNumberFormat="0" applyFont="0" applyFill="0" applyAlignment="0"/>
    <xf numFmtId="0" fontId="110" fillId="0" borderId="4"/>
    <xf numFmtId="0" fontId="134" fillId="79" borderId="99"/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0" fontId="115" fillId="92" borderId="92"/>
    <xf numFmtId="2" fontId="4" fillId="0" borderId="4" applyNumberFormat="0" applyFont="0" applyFill="0" applyAlignment="0"/>
    <xf numFmtId="0" fontId="110" fillId="0" borderId="4"/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37" fontId="111" fillId="24" borderId="93"/>
    <xf numFmtId="0" fontId="115" fillId="85" borderId="92"/>
    <xf numFmtId="10" fontId="130" fillId="0" borderId="97" applyFont="0" applyAlignment="0">
      <protection locked="0"/>
    </xf>
    <xf numFmtId="0" fontId="115" fillId="92" borderId="92"/>
    <xf numFmtId="0" fontId="115" fillId="0" borderId="92"/>
    <xf numFmtId="0" fontId="40" fillId="24" borderId="84" applyNumberFormat="0" applyAlignment="0" applyProtection="0"/>
    <xf numFmtId="0" fontId="37" fillId="11" borderId="82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2" fontId="4" fillId="0" borderId="4" applyNumberFormat="0" applyFont="0" applyFill="0" applyAlignment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31" fillId="24" borderId="82" applyNumberFormat="0" applyAlignment="0" applyProtection="0"/>
    <xf numFmtId="0" fontId="110" fillId="0" borderId="4"/>
    <xf numFmtId="0" fontId="115" fillId="0" borderId="92"/>
    <xf numFmtId="0" fontId="31" fillId="24" borderId="82" applyNumberFormat="0" applyAlignment="0" applyProtection="0"/>
    <xf numFmtId="0" fontId="115" fillId="85" borderId="92"/>
    <xf numFmtId="0" fontId="115" fillId="92" borderId="92"/>
    <xf numFmtId="37" fontId="111" fillId="24" borderId="93"/>
    <xf numFmtId="0" fontId="122" fillId="83" borderId="92"/>
    <xf numFmtId="0" fontId="5" fillId="0" borderId="4">
      <alignment horizontal="left" vertical="center"/>
    </xf>
    <xf numFmtId="0" fontId="115" fillId="85" borderId="92"/>
    <xf numFmtId="0" fontId="115" fillId="83" borderId="92"/>
    <xf numFmtId="10" fontId="12" fillId="88" borderId="30" applyNumberFormat="0" applyBorder="0" applyAlignment="0" applyProtection="0"/>
    <xf numFmtId="10" fontId="12" fillId="88" borderId="30" applyNumberFormat="0" applyBorder="0" applyAlignment="0" applyProtection="0"/>
    <xf numFmtId="10" fontId="130" fillId="0" borderId="97" applyFont="0" applyAlignment="0">
      <protection locked="0"/>
    </xf>
    <xf numFmtId="0" fontId="134" fillId="79" borderId="99"/>
    <xf numFmtId="0" fontId="131" fillId="0" borderId="92"/>
    <xf numFmtId="0" fontId="4" fillId="28" borderId="83" applyNumberFormat="0" applyFon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0" fillId="24" borderId="84" applyNumberFormat="0" applyAlignment="0" applyProtection="0"/>
    <xf numFmtId="0" fontId="4" fillId="28" borderId="83" applyNumberFormat="0" applyFon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1" fillId="24" borderId="82" applyNumberFormat="0" applyAlignment="0" applyProtection="0"/>
    <xf numFmtId="0" fontId="115" fillId="83" borderId="92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" fillId="28" borderId="83" applyNumberFormat="0" applyFont="0" applyAlignment="0" applyProtection="0"/>
    <xf numFmtId="0" fontId="37" fillId="11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134" fillId="79" borderId="99"/>
    <xf numFmtId="0" fontId="131" fillId="0" borderId="92"/>
    <xf numFmtId="0" fontId="115" fillId="0" borderId="92"/>
    <xf numFmtId="10" fontId="130" fillId="0" borderId="97" applyFont="0" applyAlignment="0">
      <protection locked="0"/>
    </xf>
    <xf numFmtId="0" fontId="134" fillId="79" borderId="99"/>
    <xf numFmtId="0" fontId="131" fillId="0" borderId="92"/>
    <xf numFmtId="0" fontId="134" fillId="79" borderId="99"/>
    <xf numFmtId="0" fontId="131" fillId="0" borderId="92"/>
    <xf numFmtId="0" fontId="115" fillId="85" borderId="92"/>
    <xf numFmtId="10" fontId="12" fillId="88" borderId="30" applyNumberFormat="0" applyBorder="0" applyAlignment="0" applyProtection="0"/>
    <xf numFmtId="0" fontId="5" fillId="0" borderId="4">
      <alignment horizontal="left" vertical="center"/>
    </xf>
    <xf numFmtId="0" fontId="115" fillId="0" borderId="92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115" fillId="92" borderId="92"/>
    <xf numFmtId="0" fontId="115" fillId="92" borderId="92"/>
    <xf numFmtId="0" fontId="131" fillId="0" borderId="92"/>
    <xf numFmtId="0" fontId="134" fillId="79" borderId="99"/>
    <xf numFmtId="10" fontId="130" fillId="0" borderId="97" applyFont="0" applyAlignment="0">
      <protection locked="0"/>
    </xf>
    <xf numFmtId="0" fontId="115" fillId="83" borderId="92"/>
    <xf numFmtId="0" fontId="115" fillId="85" borderId="92"/>
    <xf numFmtId="0" fontId="122" fillId="83" borderId="92"/>
    <xf numFmtId="0" fontId="115" fillId="0" borderId="92"/>
    <xf numFmtId="0" fontId="122" fillId="83" borderId="92"/>
    <xf numFmtId="10" fontId="130" fillId="0" borderId="97" applyFont="0" applyAlignment="0">
      <protection locked="0"/>
    </xf>
    <xf numFmtId="0" fontId="131" fillId="0" borderId="92"/>
    <xf numFmtId="0" fontId="115" fillId="83" borderId="92"/>
    <xf numFmtId="0" fontId="131" fillId="0" borderId="92"/>
    <xf numFmtId="0" fontId="134" fillId="79" borderId="99"/>
    <xf numFmtId="0" fontId="122" fillId="83" borderId="92"/>
    <xf numFmtId="0" fontId="31" fillId="24" borderId="82" applyNumberFormat="0" applyAlignment="0" applyProtection="0"/>
    <xf numFmtId="0" fontId="37" fillId="11" borderId="82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22" fillId="83" borderId="92"/>
    <xf numFmtId="0" fontId="110" fillId="0" borderId="4"/>
    <xf numFmtId="0" fontId="11" fillId="0" borderId="85" applyNumberFormat="0" applyFill="0" applyAlignment="0" applyProtection="0"/>
    <xf numFmtId="0" fontId="37" fillId="11" borderId="82" applyNumberFormat="0" applyAlignment="0" applyProtection="0"/>
    <xf numFmtId="37" fontId="111" fillId="24" borderId="93"/>
    <xf numFmtId="0" fontId="115" fillId="0" borderId="92"/>
    <xf numFmtId="0" fontId="40" fillId="24" borderId="84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5" fillId="83" borderId="92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1" fillId="24" borderId="82" applyNumberFormat="0" applyAlignment="0" applyProtection="0"/>
    <xf numFmtId="0" fontId="115" fillId="85" borderId="92"/>
    <xf numFmtId="2" fontId="4" fillId="0" borderId="4" applyNumberFormat="0" applyFont="0" applyFill="0" applyAlignment="0"/>
    <xf numFmtId="0" fontId="110" fillId="0" borderId="4"/>
    <xf numFmtId="0" fontId="134" fillId="79" borderId="99"/>
    <xf numFmtId="0" fontId="11" fillId="0" borderId="85" applyNumberFormat="0" applyFill="0" applyAlignment="0" applyProtection="0"/>
    <xf numFmtId="0" fontId="115" fillId="0" borderId="92"/>
    <xf numFmtId="0" fontId="5" fillId="0" borderId="4">
      <alignment horizontal="left" vertical="center"/>
    </xf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0" fontId="134" fillId="79" borderId="99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40" fillId="24" borderId="84" applyNumberFormat="0" applyAlignment="0" applyProtection="0"/>
    <xf numFmtId="0" fontId="4" fillId="28" borderId="83" applyNumberFormat="0" applyFon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131" fillId="0" borderId="92"/>
    <xf numFmtId="10" fontId="130" fillId="0" borderId="97" applyFont="0" applyAlignment="0">
      <protection locked="0"/>
    </xf>
    <xf numFmtId="0" fontId="115" fillId="85" borderId="92"/>
    <xf numFmtId="37" fontId="111" fillId="24" borderId="93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115" fillId="92" borderId="92"/>
    <xf numFmtId="2" fontId="4" fillId="0" borderId="4" applyNumberFormat="0" applyFont="0" applyFill="0" applyAlignment="0"/>
    <xf numFmtId="0" fontId="110" fillId="0" borderId="4"/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37" fontId="111" fillId="24" borderId="93"/>
    <xf numFmtId="0" fontId="115" fillId="85" borderId="92"/>
    <xf numFmtId="0" fontId="115" fillId="85" borderId="92"/>
    <xf numFmtId="10" fontId="130" fillId="0" borderId="97" applyFont="0" applyAlignment="0">
      <protection locked="0"/>
    </xf>
    <xf numFmtId="0" fontId="115" fillId="92" borderId="92"/>
    <xf numFmtId="0" fontId="115" fillId="0" borderId="92"/>
    <xf numFmtId="0" fontId="31" fillId="24" borderId="82" applyNumberFormat="0" applyAlignment="0" applyProtection="0"/>
    <xf numFmtId="0" fontId="37" fillId="11" borderId="82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37" fontId="111" fillId="24" borderId="93"/>
    <xf numFmtId="0" fontId="40" fillId="24" borderId="84" applyNumberFormat="0" applyAlignment="0" applyProtection="0"/>
    <xf numFmtId="0" fontId="37" fillId="11" borderId="82" applyNumberFormat="0" applyAlignment="0" applyProtection="0"/>
    <xf numFmtId="0" fontId="40" fillId="24" borderId="84" applyNumberFormat="0" applyAlignment="0" applyProtection="0"/>
    <xf numFmtId="10" fontId="12" fillId="88" borderId="30" applyNumberFormat="0" applyBorder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11" fillId="0" borderId="85" applyNumberFormat="0" applyFill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11" fillId="0" borderId="85" applyNumberFormat="0" applyFill="0" applyAlignment="0" applyProtection="0"/>
    <xf numFmtId="0" fontId="37" fillId="11" borderId="82" applyNumberFormat="0" applyAlignment="0" applyProtection="0"/>
    <xf numFmtId="10" fontId="130" fillId="0" borderId="97" applyFont="0" applyAlignment="0">
      <protection locked="0"/>
    </xf>
    <xf numFmtId="37" fontId="111" fillId="24" borderId="93"/>
    <xf numFmtId="2" fontId="4" fillId="0" borderId="4" applyNumberFormat="0" applyFont="0" applyFill="0" applyAlignment="0"/>
    <xf numFmtId="10" fontId="12" fillId="88" borderId="30" applyNumberFormat="0" applyBorder="0" applyAlignment="0" applyProtection="0"/>
    <xf numFmtId="2" fontId="4" fillId="0" borderId="4" applyNumberFormat="0" applyFont="0" applyFill="0" applyAlignment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37" fillId="11" borderId="82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0" fillId="24" borderId="84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37" fontId="111" fillId="24" borderId="93"/>
    <xf numFmtId="0" fontId="122" fillId="83" borderId="92"/>
    <xf numFmtId="0" fontId="40" fillId="24" borderId="84" applyNumberFormat="0" applyAlignment="0" applyProtection="0"/>
    <xf numFmtId="0" fontId="122" fillId="83" borderId="92"/>
    <xf numFmtId="0" fontId="115" fillId="92" borderId="92"/>
    <xf numFmtId="0" fontId="115" fillId="83" borderId="92"/>
    <xf numFmtId="0" fontId="110" fillId="0" borderId="4"/>
    <xf numFmtId="2" fontId="4" fillId="0" borderId="4" applyNumberFormat="0" applyFont="0" applyFill="0" applyAlignment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2" fontId="4" fillId="0" borderId="4" applyNumberFormat="0" applyFont="0" applyFill="0" applyAlignment="0"/>
    <xf numFmtId="0" fontId="110" fillId="0" borderId="4"/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37" fontId="111" fillId="24" borderId="93"/>
    <xf numFmtId="0" fontId="31" fillId="24" borderId="82" applyNumberFormat="0" applyAlignment="0" applyProtection="0"/>
    <xf numFmtId="0" fontId="37" fillId="11" borderId="82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2" fontId="4" fillId="0" borderId="4" applyNumberFormat="0" applyFont="0" applyFill="0" applyAlignment="0"/>
    <xf numFmtId="0" fontId="11" fillId="0" borderId="85" applyNumberFormat="0" applyFill="0" applyAlignment="0" applyProtection="0"/>
    <xf numFmtId="0" fontId="37" fillId="11" borderId="82" applyNumberFormat="0" applyAlignment="0" applyProtection="0"/>
    <xf numFmtId="0" fontId="40" fillId="24" borderId="84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11" fillId="0" borderId="85" applyNumberFormat="0" applyFill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1" fillId="24" borderId="82" applyNumberFormat="0" applyAlignment="0" applyProtection="0"/>
    <xf numFmtId="0" fontId="40" fillId="24" borderId="84" applyNumberFormat="0" applyAlignment="0" applyProtection="0"/>
    <xf numFmtId="0" fontId="115" fillId="92" borderId="92"/>
    <xf numFmtId="0" fontId="110" fillId="0" borderId="4"/>
    <xf numFmtId="0" fontId="110" fillId="0" borderId="4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37" fillId="11" borderId="82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40" fillId="24" borderId="84" applyNumberFormat="0" applyAlignment="0" applyProtection="0"/>
    <xf numFmtId="0" fontId="4" fillId="28" borderId="83" applyNumberFormat="0" applyFon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40" fillId="24" borderId="84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115" fillId="0" borderId="92"/>
    <xf numFmtId="0" fontId="31" fillId="24" borderId="82" applyNumberFormat="0" applyAlignment="0" applyProtection="0"/>
    <xf numFmtId="0" fontId="11" fillId="0" borderId="85" applyNumberFormat="0" applyFill="0" applyAlignment="0" applyProtection="0"/>
    <xf numFmtId="0" fontId="115" fillId="83" borderId="92"/>
    <xf numFmtId="0" fontId="122" fillId="83" borderId="92"/>
    <xf numFmtId="0" fontId="115" fillId="83" borderId="92"/>
    <xf numFmtId="0" fontId="115" fillId="92" borderId="92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2" fontId="4" fillId="0" borderId="4" applyNumberFormat="0" applyFont="0" applyFill="0" applyAlignment="0"/>
    <xf numFmtId="0" fontId="110" fillId="0" borderId="4"/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37" fontId="111" fillId="24" borderId="93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2" fontId="4" fillId="0" borderId="4" applyNumberFormat="0" applyFont="0" applyFill="0" applyAlignment="0"/>
    <xf numFmtId="0" fontId="110" fillId="0" borderId="4"/>
    <xf numFmtId="0" fontId="115" fillId="0" borderId="92"/>
    <xf numFmtId="37" fontId="111" fillId="24" borderId="93"/>
    <xf numFmtId="0" fontId="122" fillId="83" borderId="92"/>
    <xf numFmtId="0" fontId="5" fillId="0" borderId="4">
      <alignment horizontal="left" vertical="center"/>
    </xf>
    <xf numFmtId="0" fontId="115" fillId="85" borderId="92"/>
    <xf numFmtId="0" fontId="115" fillId="83" borderId="92"/>
    <xf numFmtId="10" fontId="12" fillId="88" borderId="30" applyNumberFormat="0" applyBorder="0" applyAlignment="0" applyProtection="0"/>
    <xf numFmtId="10" fontId="130" fillId="0" borderId="97" applyFont="0" applyAlignment="0">
      <protection locked="0"/>
    </xf>
    <xf numFmtId="0" fontId="134" fillId="79" borderId="99"/>
    <xf numFmtId="0" fontId="131" fillId="0" borderId="92"/>
    <xf numFmtId="0" fontId="115" fillId="92" borderId="92"/>
    <xf numFmtId="0" fontId="115" fillId="92" borderId="92"/>
    <xf numFmtId="0" fontId="131" fillId="0" borderId="92"/>
    <xf numFmtId="0" fontId="134" fillId="79" borderId="99"/>
    <xf numFmtId="10" fontId="130" fillId="0" borderId="97" applyFont="0" applyAlignment="0">
      <protection locked="0"/>
    </xf>
    <xf numFmtId="0" fontId="115" fillId="83" borderId="92"/>
    <xf numFmtId="0" fontId="115" fillId="85" borderId="92"/>
    <xf numFmtId="0" fontId="122" fillId="83" borderId="92"/>
    <xf numFmtId="0" fontId="115" fillId="0" borderId="92"/>
    <xf numFmtId="0" fontId="122" fillId="83" borderId="92"/>
    <xf numFmtId="10" fontId="130" fillId="0" borderId="97" applyFont="0" applyAlignment="0">
      <protection locked="0"/>
    </xf>
    <xf numFmtId="0" fontId="131" fillId="0" borderId="92"/>
    <xf numFmtId="0" fontId="115" fillId="83" borderId="92"/>
    <xf numFmtId="0" fontId="131" fillId="0" borderId="92"/>
    <xf numFmtId="0" fontId="134" fillId="79" borderId="99"/>
    <xf numFmtId="0" fontId="122" fillId="83" borderId="92"/>
    <xf numFmtId="0" fontId="31" fillId="24" borderId="82" applyNumberFormat="0" applyAlignment="0" applyProtection="0"/>
    <xf numFmtId="0" fontId="37" fillId="11" borderId="82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37" fontId="111" fillId="24" borderId="93"/>
    <xf numFmtId="0" fontId="115" fillId="0" borderId="92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5" fillId="83" borderId="92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115" fillId="85" borderId="92"/>
    <xf numFmtId="2" fontId="4" fillId="0" borderId="4" applyNumberFormat="0" applyFont="0" applyFill="0" applyAlignment="0"/>
    <xf numFmtId="0" fontId="110" fillId="0" borderId="4"/>
    <xf numFmtId="0" fontId="134" fillId="79" borderId="99"/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0" fontId="115" fillId="92" borderId="92"/>
    <xf numFmtId="2" fontId="4" fillId="0" borderId="4" applyNumberFormat="0" applyFont="0" applyFill="0" applyAlignment="0"/>
    <xf numFmtId="0" fontId="110" fillId="0" borderId="4"/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37" fontId="111" fillId="24" borderId="93"/>
    <xf numFmtId="0" fontId="115" fillId="85" borderId="92"/>
    <xf numFmtId="10" fontId="130" fillId="0" borderId="97" applyFont="0" applyAlignment="0">
      <protection locked="0"/>
    </xf>
    <xf numFmtId="0" fontId="115" fillId="92" borderId="92"/>
    <xf numFmtId="0" fontId="115" fillId="0" borderId="92"/>
    <xf numFmtId="2" fontId="4" fillId="0" borderId="4" applyNumberFormat="0" applyFont="0" applyFill="0" applyAlignment="0"/>
    <xf numFmtId="0" fontId="110" fillId="0" borderId="4"/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37" fontId="111" fillId="24" borderId="93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2" fontId="4" fillId="0" borderId="4" applyNumberFormat="0" applyFont="0" applyFill="0" applyAlignment="0"/>
    <xf numFmtId="0" fontId="110" fillId="0" borderId="4"/>
    <xf numFmtId="0" fontId="115" fillId="0" borderId="92"/>
    <xf numFmtId="37" fontId="111" fillId="24" borderId="93"/>
    <xf numFmtId="0" fontId="122" fillId="83" borderId="92"/>
    <xf numFmtId="0" fontId="5" fillId="0" borderId="4">
      <alignment horizontal="left" vertical="center"/>
    </xf>
    <xf numFmtId="0" fontId="115" fillId="85" borderId="92"/>
    <xf numFmtId="0" fontId="115" fillId="83" borderId="92"/>
    <xf numFmtId="10" fontId="12" fillId="88" borderId="30" applyNumberFormat="0" applyBorder="0" applyAlignment="0" applyProtection="0"/>
    <xf numFmtId="10" fontId="130" fillId="0" borderId="97" applyFont="0" applyAlignment="0">
      <protection locked="0"/>
    </xf>
    <xf numFmtId="0" fontId="134" fillId="79" borderId="99"/>
    <xf numFmtId="0" fontId="131" fillId="0" borderId="92"/>
    <xf numFmtId="0" fontId="115" fillId="92" borderId="92"/>
    <xf numFmtId="0" fontId="115" fillId="92" borderId="92"/>
    <xf numFmtId="0" fontId="131" fillId="0" borderId="92"/>
    <xf numFmtId="0" fontId="134" fillId="79" borderId="99"/>
    <xf numFmtId="10" fontId="130" fillId="0" borderId="97" applyFont="0" applyAlignment="0">
      <protection locked="0"/>
    </xf>
    <xf numFmtId="0" fontId="115" fillId="83" borderId="92"/>
    <xf numFmtId="0" fontId="115" fillId="85" borderId="92"/>
    <xf numFmtId="0" fontId="122" fillId="83" borderId="92"/>
    <xf numFmtId="0" fontId="115" fillId="0" borderId="92"/>
    <xf numFmtId="0" fontId="122" fillId="83" borderId="92"/>
    <xf numFmtId="10" fontId="130" fillId="0" borderId="97" applyFont="0" applyAlignment="0">
      <protection locked="0"/>
    </xf>
    <xf numFmtId="0" fontId="131" fillId="0" borderId="92"/>
    <xf numFmtId="0" fontId="115" fillId="83" borderId="92"/>
    <xf numFmtId="0" fontId="131" fillId="0" borderId="92"/>
    <xf numFmtId="0" fontId="134" fillId="79" borderId="99"/>
    <xf numFmtId="0" fontId="122" fillId="83" borderId="92"/>
    <xf numFmtId="0" fontId="31" fillId="24" borderId="82" applyNumberFormat="0" applyAlignment="0" applyProtection="0"/>
    <xf numFmtId="0" fontId="37" fillId="11" borderId="82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37" fontId="111" fillId="24" borderId="93"/>
    <xf numFmtId="0" fontId="115" fillId="0" borderId="92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5" fillId="83" borderId="92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115" fillId="85" borderId="92"/>
    <xf numFmtId="2" fontId="4" fillId="0" borderId="4" applyNumberFormat="0" applyFont="0" applyFill="0" applyAlignment="0"/>
    <xf numFmtId="0" fontId="110" fillId="0" borderId="4"/>
    <xf numFmtId="0" fontId="134" fillId="79" borderId="99"/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0" fontId="115" fillId="92" borderId="92"/>
    <xf numFmtId="2" fontId="4" fillId="0" borderId="4" applyNumberFormat="0" applyFont="0" applyFill="0" applyAlignment="0"/>
    <xf numFmtId="0" fontId="110" fillId="0" borderId="4"/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37" fontId="111" fillId="24" borderId="93"/>
    <xf numFmtId="0" fontId="115" fillId="85" borderId="92"/>
    <xf numFmtId="10" fontId="130" fillId="0" borderId="97" applyFont="0" applyAlignment="0">
      <protection locked="0"/>
    </xf>
    <xf numFmtId="0" fontId="115" fillId="92" borderId="92"/>
    <xf numFmtId="0" fontId="115" fillId="0" borderId="92"/>
    <xf numFmtId="0" fontId="40" fillId="24" borderId="143" applyNumberFormat="0" applyAlignment="0" applyProtection="0"/>
    <xf numFmtId="0" fontId="37" fillId="11" borderId="121" applyNumberFormat="0" applyAlignment="0" applyProtection="0"/>
    <xf numFmtId="0" fontId="11" fillId="0" borderId="144" applyNumberFormat="0" applyFill="0" applyAlignment="0" applyProtection="0"/>
    <xf numFmtId="0" fontId="110" fillId="0" borderId="136"/>
    <xf numFmtId="0" fontId="4" fillId="28" borderId="122" applyNumberFormat="0" applyFont="0" applyAlignment="0" applyProtection="0"/>
    <xf numFmtId="0" fontId="11" fillId="0" borderId="144" applyNumberFormat="0" applyFill="0" applyAlignment="0" applyProtection="0"/>
    <xf numFmtId="0" fontId="40" fillId="24" borderId="123" applyNumberFormat="0" applyAlignment="0" applyProtection="0"/>
    <xf numFmtId="0" fontId="115" fillId="0" borderId="137"/>
    <xf numFmtId="0" fontId="31" fillId="24" borderId="131" applyNumberFormat="0" applyAlignment="0" applyProtection="0"/>
    <xf numFmtId="0" fontId="4" fillId="28" borderId="132" applyNumberFormat="0" applyFont="0" applyAlignment="0" applyProtection="0"/>
    <xf numFmtId="0" fontId="37" fillId="11" borderId="111" applyNumberFormat="0" applyAlignment="0" applyProtection="0"/>
    <xf numFmtId="0" fontId="115" fillId="83" borderId="127"/>
    <xf numFmtId="0" fontId="31" fillId="24" borderId="121" applyNumberFormat="0" applyAlignment="0" applyProtection="0"/>
    <xf numFmtId="0" fontId="37" fillId="11" borderId="141" applyNumberFormat="0" applyAlignment="0" applyProtection="0"/>
    <xf numFmtId="0" fontId="37" fillId="11" borderId="121" applyNumberFormat="0" applyAlignment="0" applyProtection="0"/>
    <xf numFmtId="0" fontId="31" fillId="24" borderId="131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31" fillId="24" borderId="141" applyNumberFormat="0" applyAlignment="0" applyProtection="0"/>
    <xf numFmtId="0" fontId="11" fillId="0" borderId="124" applyNumberFormat="0" applyFill="0" applyAlignment="0" applyProtection="0"/>
    <xf numFmtId="0" fontId="37" fillId="11" borderId="121" applyNumberFormat="0" applyAlignment="0" applyProtection="0"/>
    <xf numFmtId="0" fontId="31" fillId="24" borderId="131" applyNumberFormat="0" applyAlignment="0" applyProtection="0"/>
    <xf numFmtId="0" fontId="4" fillId="28" borderId="142" applyNumberFormat="0" applyFont="0" applyAlignment="0" applyProtection="0"/>
    <xf numFmtId="0" fontId="131" fillId="0" borderId="137"/>
    <xf numFmtId="0" fontId="37" fillId="11" borderId="131" applyNumberFormat="0" applyAlignment="0" applyProtection="0"/>
    <xf numFmtId="0" fontId="5" fillId="0" borderId="126">
      <alignment horizontal="left" vertical="center"/>
    </xf>
    <xf numFmtId="0" fontId="122" fillId="83" borderId="147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31" fillId="24" borderId="121" applyNumberFormat="0" applyAlignment="0" applyProtection="0"/>
    <xf numFmtId="0" fontId="40" fillId="24" borderId="123" applyNumberFormat="0" applyAlignment="0" applyProtection="0"/>
    <xf numFmtId="0" fontId="4" fillId="28" borderId="122" applyNumberFormat="0" applyFont="0" applyAlignment="0" applyProtection="0"/>
    <xf numFmtId="0" fontId="31" fillId="24" borderId="13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4" fillId="28" borderId="142" applyNumberFormat="0" applyFont="0" applyAlignment="0" applyProtection="0"/>
    <xf numFmtId="2" fontId="4" fillId="0" borderId="136" applyNumberFormat="0" applyFont="0" applyFill="0" applyAlignment="0"/>
    <xf numFmtId="0" fontId="31" fillId="24" borderId="131" applyNumberFormat="0" applyAlignment="0" applyProtection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115" fillId="0" borderId="127"/>
    <xf numFmtId="0" fontId="40" fillId="24" borderId="143" applyNumberFormat="0" applyAlignment="0" applyProtection="0"/>
    <xf numFmtId="0" fontId="40" fillId="24" borderId="123" applyNumberFormat="0" applyAlignment="0" applyProtection="0"/>
    <xf numFmtId="0" fontId="40" fillId="24" borderId="143" applyNumberFormat="0" applyAlignment="0" applyProtection="0"/>
    <xf numFmtId="0" fontId="40" fillId="24" borderId="123" applyNumberFormat="0" applyAlignment="0" applyProtection="0"/>
    <xf numFmtId="0" fontId="122" fillId="83" borderId="127"/>
    <xf numFmtId="0" fontId="40" fillId="24" borderId="143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40" fillId="24" borderId="133" applyNumberFormat="0" applyAlignment="0" applyProtection="0"/>
    <xf numFmtId="0" fontId="115" fillId="92" borderId="117"/>
    <xf numFmtId="0" fontId="110" fillId="0" borderId="146"/>
    <xf numFmtId="0" fontId="4" fillId="28" borderId="122" applyNumberFormat="0" applyFont="0" applyAlignment="0" applyProtection="0"/>
    <xf numFmtId="0" fontId="131" fillId="0" borderId="147"/>
    <xf numFmtId="0" fontId="40" fillId="24" borderId="143" applyNumberFormat="0" applyAlignment="0" applyProtection="0"/>
    <xf numFmtId="0" fontId="40" fillId="24" borderId="133" applyNumberFormat="0" applyAlignment="0" applyProtection="0"/>
    <xf numFmtId="0" fontId="37" fillId="11" borderId="131" applyNumberFormat="0" applyAlignment="0" applyProtection="0"/>
    <xf numFmtId="0" fontId="40" fillId="24" borderId="133" applyNumberFormat="0" applyAlignment="0" applyProtection="0"/>
    <xf numFmtId="0" fontId="37" fillId="11" borderId="141" applyNumberFormat="0" applyAlignment="0" applyProtection="0"/>
    <xf numFmtId="0" fontId="4" fillId="28" borderId="132" applyNumberFormat="0" applyFont="0" applyAlignment="0" applyProtection="0"/>
    <xf numFmtId="0" fontId="31" fillId="24" borderId="141" applyNumberFormat="0" applyAlignment="0" applyProtection="0"/>
    <xf numFmtId="0" fontId="37" fillId="11" borderId="111" applyNumberFormat="0" applyAlignment="0" applyProtection="0"/>
    <xf numFmtId="0" fontId="37" fillId="11" borderId="141" applyNumberFormat="0" applyAlignment="0" applyProtection="0"/>
    <xf numFmtId="0" fontId="122" fillId="83" borderId="127"/>
    <xf numFmtId="0" fontId="4" fillId="28" borderId="112" applyNumberFormat="0" applyFont="0" applyAlignment="0" applyProtection="0"/>
    <xf numFmtId="0" fontId="31" fillId="24" borderId="131" applyNumberFormat="0" applyAlignment="0" applyProtection="0"/>
    <xf numFmtId="0" fontId="4" fillId="28" borderId="122" applyNumberFormat="0" applyFon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7" fillId="11" borderId="141" applyNumberFormat="0" applyAlignment="0" applyProtection="0"/>
    <xf numFmtId="0" fontId="11" fillId="0" borderId="114" applyNumberFormat="0" applyFill="0" applyAlignment="0" applyProtection="0"/>
    <xf numFmtId="37" fontId="111" fillId="24" borderId="138"/>
    <xf numFmtId="0" fontId="37" fillId="11" borderId="141" applyNumberFormat="0" applyAlignment="0" applyProtection="0"/>
    <xf numFmtId="0" fontId="134" fillId="79" borderId="14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40" fillId="24" borderId="123" applyNumberFormat="0" applyAlignment="0" applyProtection="0"/>
    <xf numFmtId="0" fontId="37" fillId="11" borderId="121" applyNumberFormat="0" applyAlignment="0" applyProtection="0"/>
    <xf numFmtId="0" fontId="115" fillId="92" borderId="127"/>
    <xf numFmtId="0" fontId="40" fillId="24" borderId="123" applyNumberFormat="0" applyAlignment="0" applyProtection="0"/>
    <xf numFmtId="0" fontId="40" fillId="24" borderId="133" applyNumberFormat="0" applyAlignment="0" applyProtection="0"/>
    <xf numFmtId="0" fontId="4" fillId="28" borderId="132" applyNumberFormat="0" applyFont="0" applyAlignment="0" applyProtection="0"/>
    <xf numFmtId="0" fontId="37" fillId="11" borderId="121" applyNumberFormat="0" applyAlignment="0" applyProtection="0"/>
    <xf numFmtId="0" fontId="37" fillId="11" borderId="111" applyNumberFormat="0" applyAlignment="0" applyProtection="0"/>
    <xf numFmtId="0" fontId="37" fillId="11" borderId="131" applyNumberFormat="0" applyAlignment="0" applyProtection="0"/>
    <xf numFmtId="0" fontId="4" fillId="28" borderId="122" applyNumberFormat="0" applyFont="0" applyAlignment="0" applyProtection="0"/>
    <xf numFmtId="0" fontId="11" fillId="0" borderId="144" applyNumberFormat="0" applyFill="0" applyAlignment="0" applyProtection="0"/>
    <xf numFmtId="0" fontId="40" fillId="24" borderId="123" applyNumberFormat="0" applyAlignment="0" applyProtection="0"/>
    <xf numFmtId="10" fontId="12" fillId="88" borderId="115" applyNumberFormat="0" applyBorder="0" applyAlignment="0" applyProtection="0"/>
    <xf numFmtId="0" fontId="37" fillId="11" borderId="111" applyNumberFormat="0" applyAlignment="0" applyProtection="0"/>
    <xf numFmtId="0" fontId="4" fillId="28" borderId="142" applyNumberFormat="0" applyFont="0" applyAlignment="0" applyProtection="0"/>
    <xf numFmtId="0" fontId="11" fillId="0" borderId="114" applyNumberFormat="0" applyFill="0" applyAlignment="0" applyProtection="0"/>
    <xf numFmtId="0" fontId="31" fillId="24" borderId="131" applyNumberFormat="0" applyAlignment="0" applyProtection="0"/>
    <xf numFmtId="0" fontId="40" fillId="24" borderId="123" applyNumberFormat="0" applyAlignment="0" applyProtection="0"/>
    <xf numFmtId="0" fontId="115" fillId="0" borderId="117"/>
    <xf numFmtId="0" fontId="4" fillId="28" borderId="142" applyNumberFormat="0" applyFont="0" applyAlignment="0" applyProtection="0"/>
    <xf numFmtId="0" fontId="31" fillId="24" borderId="121" applyNumberFormat="0" applyAlignment="0" applyProtection="0"/>
    <xf numFmtId="0" fontId="31" fillId="24" borderId="141" applyNumberFormat="0" applyAlignment="0" applyProtection="0"/>
    <xf numFmtId="0" fontId="11" fillId="0" borderId="124" applyNumberFormat="0" applyFill="0" applyAlignment="0" applyProtection="0"/>
    <xf numFmtId="0" fontId="31" fillId="24" borderId="11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4" fillId="28" borderId="122" applyNumberFormat="0" applyFont="0" applyAlignment="0" applyProtection="0"/>
    <xf numFmtId="0" fontId="115" fillId="85" borderId="127"/>
    <xf numFmtId="0" fontId="40" fillId="24" borderId="123" applyNumberFormat="0" applyAlignment="0" applyProtection="0"/>
    <xf numFmtId="0" fontId="11" fillId="0" borderId="114" applyNumberFormat="0" applyFill="0" applyAlignment="0" applyProtection="0"/>
    <xf numFmtId="0" fontId="4" fillId="28" borderId="122" applyNumberFormat="0" applyFont="0" applyAlignment="0" applyProtection="0"/>
    <xf numFmtId="0" fontId="122" fillId="83" borderId="117"/>
    <xf numFmtId="0" fontId="115" fillId="85" borderId="137"/>
    <xf numFmtId="0" fontId="4" fillId="28" borderId="132" applyNumberFormat="0" applyFont="0" applyAlignment="0" applyProtection="0"/>
    <xf numFmtId="0" fontId="4" fillId="28" borderId="112" applyNumberFormat="0" applyFont="0" applyAlignment="0" applyProtection="0"/>
    <xf numFmtId="0" fontId="115" fillId="0" borderId="117"/>
    <xf numFmtId="0" fontId="4" fillId="28" borderId="122" applyNumberFormat="0" applyFont="0" applyAlignment="0" applyProtection="0"/>
    <xf numFmtId="0" fontId="31" fillId="24" borderId="141" applyNumberFormat="0" applyAlignment="0" applyProtection="0"/>
    <xf numFmtId="0" fontId="11" fillId="0" borderId="144" applyNumberFormat="0" applyFill="0" applyAlignment="0" applyProtection="0"/>
    <xf numFmtId="0" fontId="40" fillId="24" borderId="143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10" fontId="130" fillId="0" borderId="119" applyFont="0" applyAlignment="0">
      <protection locked="0"/>
    </xf>
    <xf numFmtId="0" fontId="31" fillId="24" borderId="121" applyNumberFormat="0" applyAlignment="0" applyProtection="0"/>
    <xf numFmtId="2" fontId="4" fillId="0" borderId="146" applyNumberFormat="0" applyFont="0" applyFill="0" applyAlignment="0"/>
    <xf numFmtId="0" fontId="115" fillId="85" borderId="117"/>
    <xf numFmtId="0" fontId="4" fillId="28" borderId="132" applyNumberFormat="0" applyFont="0" applyAlignment="0" applyProtection="0"/>
    <xf numFmtId="0" fontId="40" fillId="24" borderId="113" applyNumberFormat="0" applyAlignment="0" applyProtection="0"/>
    <xf numFmtId="0" fontId="4" fillId="28" borderId="112" applyNumberFormat="0" applyFont="0" applyAlignment="0" applyProtection="0"/>
    <xf numFmtId="0" fontId="37" fillId="11" borderId="121" applyNumberFormat="0" applyAlignment="0" applyProtection="0"/>
    <xf numFmtId="0" fontId="37" fillId="11" borderId="141" applyNumberFormat="0" applyAlignment="0" applyProtection="0"/>
    <xf numFmtId="0" fontId="4" fillId="28" borderId="122" applyNumberFormat="0" applyFont="0" applyAlignment="0" applyProtection="0"/>
    <xf numFmtId="0" fontId="134" fillId="79" borderId="150"/>
    <xf numFmtId="0" fontId="4" fillId="28" borderId="122" applyNumberFormat="0" applyFont="0" applyAlignment="0" applyProtection="0"/>
    <xf numFmtId="0" fontId="31" fillId="24" borderId="131" applyNumberFormat="0" applyAlignment="0" applyProtection="0"/>
    <xf numFmtId="0" fontId="40" fillId="24" borderId="123" applyNumberFormat="0" applyAlignment="0" applyProtection="0"/>
    <xf numFmtId="0" fontId="11" fillId="0" borderId="114" applyNumberFormat="0" applyFill="0" applyAlignment="0" applyProtection="0"/>
    <xf numFmtId="0" fontId="37" fillId="11" borderId="131" applyNumberFormat="0" applyAlignment="0" applyProtection="0"/>
    <xf numFmtId="0" fontId="37" fillId="11" borderId="141" applyNumberFormat="0" applyAlignment="0" applyProtection="0"/>
    <xf numFmtId="0" fontId="4" fillId="28" borderId="112" applyNumberFormat="0" applyFont="0" applyAlignment="0" applyProtection="0"/>
    <xf numFmtId="0" fontId="11" fillId="0" borderId="134" applyNumberFormat="0" applyFill="0" applyAlignment="0" applyProtection="0"/>
    <xf numFmtId="0" fontId="110" fillId="0" borderId="116"/>
    <xf numFmtId="0" fontId="115" fillId="85" borderId="127"/>
    <xf numFmtId="0" fontId="40" fillId="24" borderId="123" applyNumberFormat="0" applyAlignment="0" applyProtection="0"/>
    <xf numFmtId="0" fontId="37" fillId="11" borderId="111" applyNumberFormat="0" applyAlignment="0" applyProtection="0"/>
    <xf numFmtId="0" fontId="115" fillId="92" borderId="117"/>
    <xf numFmtId="0" fontId="134" fillId="79" borderId="150"/>
    <xf numFmtId="0" fontId="40" fillId="24" borderId="113" applyNumberFormat="0" applyAlignment="0" applyProtection="0"/>
    <xf numFmtId="0" fontId="5" fillId="0" borderId="136">
      <alignment horizontal="left" vertical="center"/>
    </xf>
    <xf numFmtId="0" fontId="110" fillId="0" borderId="136"/>
    <xf numFmtId="0" fontId="31" fillId="24" borderId="121" applyNumberFormat="0" applyAlignment="0" applyProtection="0"/>
    <xf numFmtId="0" fontId="11" fillId="0" borderId="124" applyNumberFormat="0" applyFill="0" applyAlignment="0" applyProtection="0"/>
    <xf numFmtId="0" fontId="31" fillId="24" borderId="131" applyNumberFormat="0" applyAlignment="0" applyProtection="0"/>
    <xf numFmtId="2" fontId="4" fillId="0" borderId="146" applyNumberFormat="0" applyFont="0" applyFill="0" applyAlignment="0"/>
    <xf numFmtId="0" fontId="31" fillId="24" borderId="141" applyNumberFormat="0" applyAlignment="0" applyProtection="0"/>
    <xf numFmtId="0" fontId="31" fillId="24" borderId="111" applyNumberFormat="0" applyAlignment="0" applyProtection="0"/>
    <xf numFmtId="0" fontId="40" fillId="24" borderId="133" applyNumberFormat="0" applyAlignment="0" applyProtection="0"/>
    <xf numFmtId="0" fontId="37" fillId="11" borderId="111" applyNumberFormat="0" applyAlignment="0" applyProtection="0"/>
    <xf numFmtId="0" fontId="37" fillId="11" borderId="141" applyNumberFormat="0" applyAlignment="0" applyProtection="0"/>
    <xf numFmtId="0" fontId="40" fillId="24" borderId="113" applyNumberFormat="0" applyAlignment="0" applyProtection="0"/>
    <xf numFmtId="0" fontId="4" fillId="28" borderId="122" applyNumberFormat="0" applyFont="0" applyAlignment="0" applyProtection="0"/>
    <xf numFmtId="10" fontId="130" fillId="0" borderId="139" applyFont="0" applyAlignment="0">
      <protection locked="0"/>
    </xf>
    <xf numFmtId="0" fontId="4" fillId="28" borderId="132" applyNumberFormat="0" applyFont="0" applyAlignment="0" applyProtection="0"/>
    <xf numFmtId="0" fontId="37" fillId="11" borderId="111" applyNumberFormat="0" applyAlignment="0" applyProtection="0"/>
    <xf numFmtId="0" fontId="131" fillId="0" borderId="137"/>
    <xf numFmtId="2" fontId="4" fillId="0" borderId="116" applyNumberFormat="0" applyFont="0" applyFill="0" applyAlignment="0"/>
    <xf numFmtId="0" fontId="4" fillId="28" borderId="142" applyNumberFormat="0" applyFont="0" applyAlignment="0" applyProtection="0"/>
    <xf numFmtId="0" fontId="11" fillId="0" borderId="134" applyNumberFormat="0" applyFill="0" applyAlignment="0" applyProtection="0"/>
    <xf numFmtId="0" fontId="11" fillId="0" borderId="124" applyNumberFormat="0" applyFill="0" applyAlignment="0" applyProtection="0"/>
    <xf numFmtId="0" fontId="40" fillId="24" borderId="123" applyNumberFormat="0" applyAlignment="0" applyProtection="0"/>
    <xf numFmtId="0" fontId="31" fillId="24" borderId="131" applyNumberFormat="0" applyAlignment="0" applyProtection="0"/>
    <xf numFmtId="0" fontId="40" fillId="24" borderId="123" applyNumberFormat="0" applyAlignment="0" applyProtection="0"/>
    <xf numFmtId="0" fontId="4" fillId="28" borderId="112" applyNumberFormat="0" applyFont="0" applyAlignment="0" applyProtection="0"/>
    <xf numFmtId="0" fontId="4" fillId="28" borderId="132" applyNumberFormat="0" applyFont="0" applyAlignment="0" applyProtection="0"/>
    <xf numFmtId="0" fontId="40" fillId="24" borderId="143" applyNumberFormat="0" applyAlignment="0" applyProtection="0"/>
    <xf numFmtId="0" fontId="115" fillId="85" borderId="127"/>
    <xf numFmtId="0" fontId="37" fillId="11" borderId="141" applyNumberFormat="0" applyAlignment="0" applyProtection="0"/>
    <xf numFmtId="0" fontId="37" fillId="11" borderId="121" applyNumberFormat="0" applyAlignment="0" applyProtection="0"/>
    <xf numFmtId="0" fontId="115" fillId="83" borderId="137"/>
    <xf numFmtId="0" fontId="31" fillId="24" borderId="131" applyNumberFormat="0" applyAlignment="0" applyProtection="0"/>
    <xf numFmtId="0" fontId="11" fillId="0" borderId="114" applyNumberFormat="0" applyFill="0" applyAlignment="0" applyProtection="0"/>
    <xf numFmtId="0" fontId="37" fillId="11" borderId="111" applyNumberFormat="0" applyAlignment="0" applyProtection="0"/>
    <xf numFmtId="0" fontId="115" fillId="0" borderId="117"/>
    <xf numFmtId="0" fontId="4" fillId="28" borderId="142" applyNumberFormat="0" applyFont="0" applyAlignment="0" applyProtection="0"/>
    <xf numFmtId="0" fontId="31" fillId="24" borderId="121" applyNumberFormat="0" applyAlignment="0" applyProtection="0"/>
    <xf numFmtId="0" fontId="115" fillId="85" borderId="147"/>
    <xf numFmtId="0" fontId="40" fillId="24" borderId="123" applyNumberFormat="0" applyAlignment="0" applyProtection="0"/>
    <xf numFmtId="0" fontId="11" fillId="0" borderId="144" applyNumberFormat="0" applyFill="0" applyAlignment="0" applyProtection="0"/>
    <xf numFmtId="0" fontId="31" fillId="24" borderId="121" applyNumberFormat="0" applyAlignment="0" applyProtection="0"/>
    <xf numFmtId="0" fontId="40" fillId="24" borderId="143" applyNumberFormat="0" applyAlignment="0" applyProtection="0"/>
    <xf numFmtId="0" fontId="134" fillId="79" borderId="120"/>
    <xf numFmtId="0" fontId="40" fillId="24" borderId="113" applyNumberFormat="0" applyAlignment="0" applyProtection="0"/>
    <xf numFmtId="0" fontId="4" fillId="28" borderId="112" applyNumberFormat="0" applyFon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4" fillId="28" borderId="122" applyNumberFormat="0" applyFont="0" applyAlignment="0" applyProtection="0"/>
    <xf numFmtId="0" fontId="4" fillId="28" borderId="142" applyNumberFormat="0" applyFont="0" applyAlignment="0" applyProtection="0"/>
    <xf numFmtId="0" fontId="115" fillId="85" borderId="117"/>
    <xf numFmtId="0" fontId="11" fillId="0" borderId="124" applyNumberFormat="0" applyFill="0" applyAlignment="0" applyProtection="0"/>
    <xf numFmtId="0" fontId="5" fillId="0" borderId="116">
      <alignment horizontal="left" vertical="center"/>
    </xf>
    <xf numFmtId="0" fontId="31" fillId="24" borderId="121" applyNumberFormat="0" applyAlignment="0" applyProtection="0"/>
    <xf numFmtId="0" fontId="4" fillId="28" borderId="112" applyNumberFormat="0" applyFont="0" applyAlignment="0" applyProtection="0"/>
    <xf numFmtId="0" fontId="115" fillId="85" borderId="117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37" fillId="11" borderId="141" applyNumberFormat="0" applyAlignment="0" applyProtection="0"/>
    <xf numFmtId="0" fontId="110" fillId="0" borderId="146"/>
    <xf numFmtId="0" fontId="11" fillId="0" borderId="144" applyNumberFormat="0" applyFill="0" applyAlignment="0" applyProtection="0"/>
    <xf numFmtId="0" fontId="37" fillId="11" borderId="121" applyNumberFormat="0" applyAlignment="0" applyProtection="0"/>
    <xf numFmtId="0" fontId="11" fillId="0" borderId="114" applyNumberFormat="0" applyFill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40" fillId="24" borderId="133" applyNumberFormat="0" applyAlignment="0" applyProtection="0"/>
    <xf numFmtId="0" fontId="31" fillId="24" borderId="121" applyNumberFormat="0" applyAlignment="0" applyProtection="0"/>
    <xf numFmtId="0" fontId="31" fillId="24" borderId="111" applyNumberFormat="0" applyAlignment="0" applyProtection="0"/>
    <xf numFmtId="0" fontId="4" fillId="28" borderId="132" applyNumberFormat="0" applyFont="0" applyAlignment="0" applyProtection="0"/>
    <xf numFmtId="0" fontId="4" fillId="28" borderId="122" applyNumberFormat="0" applyFont="0" applyAlignment="0" applyProtection="0"/>
    <xf numFmtId="0" fontId="31" fillId="24" borderId="131" applyNumberFormat="0" applyAlignment="0" applyProtection="0"/>
    <xf numFmtId="0" fontId="115" fillId="83" borderId="127"/>
    <xf numFmtId="0" fontId="11" fillId="0" borderId="114" applyNumberFormat="0" applyFill="0" applyAlignment="0" applyProtection="0"/>
    <xf numFmtId="0" fontId="40" fillId="24" borderId="143" applyNumberFormat="0" applyAlignment="0" applyProtection="0"/>
    <xf numFmtId="0" fontId="31" fillId="24" borderId="111" applyNumberFormat="0" applyAlignment="0" applyProtection="0"/>
    <xf numFmtId="0" fontId="115" fillId="92" borderId="127"/>
    <xf numFmtId="0" fontId="31" fillId="24" borderId="131" applyNumberFormat="0" applyAlignment="0" applyProtection="0"/>
    <xf numFmtId="0" fontId="31" fillId="24" borderId="131" applyNumberForma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31" fillId="24" borderId="121" applyNumberFormat="0" applyAlignment="0" applyProtection="0"/>
    <xf numFmtId="2" fontId="4" fillId="0" borderId="146" applyNumberFormat="0" applyFont="0" applyFill="0" applyAlignment="0"/>
    <xf numFmtId="0" fontId="11" fillId="0" borderId="134" applyNumberFormat="0" applyFill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4" fillId="28" borderId="122" applyNumberFormat="0" applyFont="0" applyAlignment="0" applyProtection="0"/>
    <xf numFmtId="0" fontId="40" fillId="24" borderId="143" applyNumberFormat="0" applyAlignment="0" applyProtection="0"/>
    <xf numFmtId="0" fontId="4" fillId="28" borderId="142" applyNumberFormat="0" applyFont="0" applyAlignment="0" applyProtection="0"/>
    <xf numFmtId="0" fontId="11" fillId="0" borderId="144" applyNumberFormat="0" applyFill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33" applyNumberFormat="0" applyAlignment="0" applyProtection="0"/>
    <xf numFmtId="0" fontId="115" fillId="92" borderId="127"/>
    <xf numFmtId="0" fontId="110" fillId="0" borderId="146"/>
    <xf numFmtId="37" fontId="111" fillId="24" borderId="148"/>
    <xf numFmtId="0" fontId="37" fillId="11" borderId="131" applyNumberFormat="0" applyAlignment="0" applyProtection="0"/>
    <xf numFmtId="0" fontId="37" fillId="11" borderId="141" applyNumberFormat="0" applyAlignment="0" applyProtection="0"/>
    <xf numFmtId="0" fontId="31" fillId="24" borderId="121" applyNumberFormat="0" applyAlignment="0" applyProtection="0"/>
    <xf numFmtId="0" fontId="37" fillId="11" borderId="141" applyNumberFormat="0" applyAlignment="0" applyProtection="0"/>
    <xf numFmtId="0" fontId="40" fillId="24" borderId="113" applyNumberFormat="0" applyAlignment="0" applyProtection="0"/>
    <xf numFmtId="0" fontId="37" fillId="11" borderId="111" applyNumberFormat="0" applyAlignment="0" applyProtection="0"/>
    <xf numFmtId="0" fontId="40" fillId="24" borderId="123" applyNumberFormat="0" applyAlignment="0" applyProtection="0"/>
    <xf numFmtId="0" fontId="40" fillId="24" borderId="133" applyNumberFormat="0" applyAlignment="0" applyProtection="0"/>
    <xf numFmtId="0" fontId="31" fillId="24" borderId="111" applyNumberFormat="0" applyAlignment="0" applyProtection="0"/>
    <xf numFmtId="0" fontId="11" fillId="0" borderId="134" applyNumberFormat="0" applyFill="0" applyAlignment="0" applyProtection="0"/>
    <xf numFmtId="0" fontId="37" fillId="11" borderId="121" applyNumberFormat="0" applyAlignment="0" applyProtection="0"/>
    <xf numFmtId="37" fontId="111" fillId="24" borderId="118"/>
    <xf numFmtId="0" fontId="110" fillId="0" borderId="116"/>
    <xf numFmtId="0" fontId="134" fillId="79" borderId="140"/>
    <xf numFmtId="2" fontId="4" fillId="0" borderId="146" applyNumberFormat="0" applyFont="0" applyFill="0" applyAlignment="0"/>
    <xf numFmtId="0" fontId="4" fillId="28" borderId="142" applyNumberFormat="0" applyFont="0" applyAlignment="0" applyProtection="0"/>
    <xf numFmtId="0" fontId="40" fillId="24" borderId="123" applyNumberFormat="0" applyAlignment="0" applyProtection="0"/>
    <xf numFmtId="0" fontId="37" fillId="11" borderId="141" applyNumberFormat="0" applyAlignment="0" applyProtection="0"/>
    <xf numFmtId="0" fontId="4" fillId="28" borderId="122" applyNumberFormat="0" applyFont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40" fillId="24" borderId="113" applyNumberFormat="0" applyAlignment="0" applyProtection="0"/>
    <xf numFmtId="0" fontId="40" fillId="24" borderId="143" applyNumberForma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10" fontId="12" fillId="88" borderId="115" applyNumberFormat="0" applyBorder="0" applyAlignment="0" applyProtection="0"/>
    <xf numFmtId="0" fontId="31" fillId="24" borderId="131" applyNumberFormat="0" applyAlignment="0" applyProtection="0"/>
    <xf numFmtId="0" fontId="11" fillId="0" borderId="144" applyNumberFormat="0" applyFill="0" applyAlignment="0" applyProtection="0"/>
    <xf numFmtId="0" fontId="40" fillId="24" borderId="123" applyNumberFormat="0" applyAlignment="0" applyProtection="0"/>
    <xf numFmtId="0" fontId="11" fillId="0" borderId="134" applyNumberFormat="0" applyFill="0" applyAlignment="0" applyProtection="0"/>
    <xf numFmtId="0" fontId="37" fillId="11" borderId="141" applyNumberFormat="0" applyAlignment="0" applyProtection="0"/>
    <xf numFmtId="0" fontId="37" fillId="11" borderId="131" applyNumberFormat="0" applyAlignment="0" applyProtection="0"/>
    <xf numFmtId="0" fontId="37" fillId="11" borderId="121" applyNumberFormat="0" applyAlignment="0" applyProtection="0"/>
    <xf numFmtId="0" fontId="11" fillId="0" borderId="144" applyNumberFormat="0" applyFill="0" applyAlignment="0" applyProtection="0"/>
    <xf numFmtId="0" fontId="4" fillId="28" borderId="122" applyNumberFormat="0" applyFont="0" applyAlignment="0" applyProtection="0"/>
    <xf numFmtId="0" fontId="11" fillId="0" borderId="134" applyNumberFormat="0" applyFill="0" applyAlignment="0" applyProtection="0"/>
    <xf numFmtId="2" fontId="4" fillId="0" borderId="116" applyNumberFormat="0" applyFont="0" applyFill="0" applyAlignment="0"/>
    <xf numFmtId="0" fontId="4" fillId="28" borderId="112" applyNumberFormat="0" applyFont="0" applyAlignment="0" applyProtection="0"/>
    <xf numFmtId="0" fontId="11" fillId="0" borderId="124" applyNumberFormat="0" applyFill="0" applyAlignment="0" applyProtection="0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31" fillId="24" borderId="121" applyNumberForma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1" fillId="24" borderId="111" applyNumberFormat="0" applyAlignment="0" applyProtection="0"/>
    <xf numFmtId="0" fontId="11" fillId="0" borderId="124" applyNumberFormat="0" applyFill="0" applyAlignment="0" applyProtection="0"/>
    <xf numFmtId="10" fontId="130" fillId="0" borderId="129" applyFont="0" applyAlignment="0">
      <protection locked="0"/>
    </xf>
    <xf numFmtId="0" fontId="40" fillId="24" borderId="143" applyNumberFormat="0" applyAlignment="0" applyProtection="0"/>
    <xf numFmtId="0" fontId="37" fillId="11" borderId="131" applyNumberFormat="0" applyAlignment="0" applyProtection="0"/>
    <xf numFmtId="0" fontId="31" fillId="24" borderId="141" applyNumberFormat="0" applyAlignment="0" applyProtection="0"/>
    <xf numFmtId="0" fontId="40" fillId="24" borderId="123" applyNumberFormat="0" applyAlignment="0" applyProtection="0"/>
    <xf numFmtId="2" fontId="4" fillId="0" borderId="106" applyNumberFormat="0" applyFont="0" applyFill="0" applyAlignment="0"/>
    <xf numFmtId="0" fontId="110" fillId="0" borderId="106"/>
    <xf numFmtId="0" fontId="40" fillId="24" borderId="123" applyNumberFormat="0" applyAlignment="0" applyProtection="0"/>
    <xf numFmtId="0" fontId="115" fillId="0" borderId="107"/>
    <xf numFmtId="0" fontId="37" fillId="11" borderId="141" applyNumberFormat="0" applyAlignment="0" applyProtection="0"/>
    <xf numFmtId="0" fontId="131" fillId="0" borderId="117"/>
    <xf numFmtId="0" fontId="134" fillId="79" borderId="120"/>
    <xf numFmtId="10" fontId="130" fillId="0" borderId="119" applyFont="0" applyAlignment="0">
      <protection locked="0"/>
    </xf>
    <xf numFmtId="10" fontId="130" fillId="0" borderId="119" applyFont="0" applyAlignment="0">
      <protection locked="0"/>
    </xf>
    <xf numFmtId="10" fontId="12" fillId="88" borderId="115" applyNumberFormat="0" applyBorder="0" applyAlignment="0" applyProtection="0"/>
    <xf numFmtId="0" fontId="115" fillId="83" borderId="117"/>
    <xf numFmtId="0" fontId="115" fillId="85" borderId="117"/>
    <xf numFmtId="0" fontId="5" fillId="0" borderId="116">
      <alignment horizontal="left" vertical="center"/>
    </xf>
    <xf numFmtId="0" fontId="115" fillId="83" borderId="147"/>
    <xf numFmtId="0" fontId="40" fillId="24" borderId="133" applyNumberFormat="0" applyAlignment="0" applyProtection="0"/>
    <xf numFmtId="0" fontId="131" fillId="0" borderId="147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37" fillId="11" borderId="121" applyNumberFormat="0" applyAlignment="0" applyProtection="0"/>
    <xf numFmtId="0" fontId="11" fillId="0" borderId="124" applyNumberFormat="0" applyFill="0" applyAlignment="0" applyProtection="0"/>
    <xf numFmtId="0" fontId="110" fillId="0" borderId="126"/>
    <xf numFmtId="2" fontId="4" fillId="0" borderId="126" applyNumberFormat="0" applyFont="0" applyFill="0" applyAlignment="0"/>
    <xf numFmtId="0" fontId="4" fillId="28" borderId="122" applyNumberFormat="0" applyFont="0" applyAlignment="0" applyProtection="0"/>
    <xf numFmtId="0" fontId="11" fillId="0" borderId="114" applyNumberFormat="0" applyFill="0" applyAlignment="0" applyProtection="0"/>
    <xf numFmtId="0" fontId="110" fillId="0" borderId="116"/>
    <xf numFmtId="2" fontId="4" fillId="0" borderId="116" applyNumberFormat="0" applyFont="0" applyFill="0" applyAlignment="0"/>
    <xf numFmtId="0" fontId="37" fillId="11" borderId="111" applyNumberFormat="0" applyAlignment="0" applyProtection="0"/>
    <xf numFmtId="0" fontId="40" fillId="24" borderId="133" applyNumberFormat="0" applyAlignment="0" applyProtection="0"/>
    <xf numFmtId="0" fontId="31" fillId="24" borderId="121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31" fillId="24" borderId="131" applyNumberFormat="0" applyAlignment="0" applyProtection="0"/>
    <xf numFmtId="0" fontId="4" fillId="28" borderId="122" applyNumberFormat="0" applyFont="0" applyAlignment="0" applyProtection="0"/>
    <xf numFmtId="0" fontId="40" fillId="24" borderId="113" applyNumberFormat="0" applyAlignment="0" applyProtection="0"/>
    <xf numFmtId="0" fontId="31" fillId="24" borderId="131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4" fillId="28" borderId="132" applyNumberFormat="0" applyFont="0" applyAlignment="0" applyProtection="0"/>
    <xf numFmtId="0" fontId="37" fillId="11" borderId="111" applyNumberFormat="0" applyAlignment="0" applyProtection="0"/>
    <xf numFmtId="0" fontId="40" fillId="24" borderId="113" applyNumberForma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115" fillId="0" borderId="117"/>
    <xf numFmtId="0" fontId="115" fillId="85" borderId="117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11" fillId="0" borderId="114" applyNumberFormat="0" applyFill="0" applyAlignment="0" applyProtection="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4" fillId="28" borderId="122" applyNumberFormat="0" applyFont="0" applyAlignment="0" applyProtection="0"/>
    <xf numFmtId="0" fontId="37" fillId="11" borderId="121" applyNumberFormat="0" applyAlignment="0" applyProtection="0"/>
    <xf numFmtId="0" fontId="4" fillId="28" borderId="142" applyNumberFormat="0" applyFont="0" applyAlignment="0" applyProtection="0"/>
    <xf numFmtId="0" fontId="37" fillId="11" borderId="141" applyNumberFormat="0" applyAlignment="0" applyProtection="0"/>
    <xf numFmtId="0" fontId="4" fillId="28" borderId="122" applyNumberFormat="0" applyFont="0" applyAlignment="0" applyProtection="0"/>
    <xf numFmtId="10" fontId="12" fillId="88" borderId="125" applyNumberFormat="0" applyBorder="0" applyAlignment="0" applyProtection="0"/>
    <xf numFmtId="0" fontId="5" fillId="0" borderId="136">
      <alignment horizontal="left" vertical="center"/>
    </xf>
    <xf numFmtId="0" fontId="40" fillId="24" borderId="143" applyNumberFormat="0" applyAlignment="0" applyProtection="0"/>
    <xf numFmtId="37" fontId="111" fillId="24" borderId="108"/>
    <xf numFmtId="0" fontId="4" fillId="28" borderId="132" applyNumberFormat="0" applyFont="0" applyAlignment="0" applyProtection="0"/>
    <xf numFmtId="0" fontId="37" fillId="11" borderId="131" applyNumberFormat="0" applyAlignment="0" applyProtection="0"/>
    <xf numFmtId="0" fontId="40" fillId="24" borderId="143" applyNumberFormat="0" applyAlignment="0" applyProtection="0"/>
    <xf numFmtId="0" fontId="122" fillId="83" borderId="107"/>
    <xf numFmtId="0" fontId="5" fillId="0" borderId="106">
      <alignment horizontal="left" vertical="center"/>
    </xf>
    <xf numFmtId="0" fontId="115" fillId="85" borderId="107"/>
    <xf numFmtId="0" fontId="115" fillId="83" borderId="107"/>
    <xf numFmtId="10" fontId="12" fillId="88" borderId="105" applyNumberFormat="0" applyBorder="0" applyAlignment="0" applyProtection="0"/>
    <xf numFmtId="0" fontId="11" fillId="0" borderId="144" applyNumberFormat="0" applyFill="0" applyAlignment="0" applyProtection="0"/>
    <xf numFmtId="10" fontId="130" fillId="0" borderId="109" applyFont="0" applyAlignment="0">
      <protection locked="0"/>
    </xf>
    <xf numFmtId="0" fontId="134" fillId="79" borderId="110"/>
    <xf numFmtId="0" fontId="131" fillId="0" borderId="107"/>
    <xf numFmtId="0" fontId="40" fillId="24" borderId="123" applyNumberFormat="0" applyAlignment="0" applyProtection="0"/>
    <xf numFmtId="0" fontId="40" fillId="24" borderId="143" applyNumberFormat="0" applyAlignment="0" applyProtection="0"/>
    <xf numFmtId="0" fontId="40" fillId="24" borderId="123" applyNumberFormat="0" applyAlignment="0" applyProtection="0"/>
    <xf numFmtId="0" fontId="4" fillId="28" borderId="122" applyNumberFormat="0" applyFont="0" applyAlignment="0" applyProtection="0"/>
    <xf numFmtId="0" fontId="40" fillId="24" borderId="143" applyNumberFormat="0" applyAlignment="0" applyProtection="0"/>
    <xf numFmtId="0" fontId="37" fillId="11" borderId="121" applyNumberFormat="0" applyAlignment="0" applyProtection="0"/>
    <xf numFmtId="10" fontId="130" fillId="0" borderId="149" applyFont="0" applyAlignment="0">
      <protection locked="0"/>
    </xf>
    <xf numFmtId="0" fontId="40" fillId="24" borderId="123" applyNumberFormat="0" applyAlignment="0" applyProtection="0"/>
    <xf numFmtId="0" fontId="115" fillId="83" borderId="137"/>
    <xf numFmtId="0" fontId="11" fillId="0" borderId="144" applyNumberFormat="0" applyFill="0" applyAlignment="0" applyProtection="0"/>
    <xf numFmtId="0" fontId="31" fillId="24" borderId="141" applyNumberFormat="0" applyAlignment="0" applyProtection="0"/>
    <xf numFmtId="0" fontId="31" fillId="24" borderId="131" applyNumberFormat="0" applyAlignment="0" applyProtection="0"/>
    <xf numFmtId="0" fontId="122" fillId="83" borderId="137"/>
    <xf numFmtId="0" fontId="37" fillId="11" borderId="131" applyNumberFormat="0" applyAlignment="0" applyProtection="0"/>
    <xf numFmtId="0" fontId="40" fillId="24" borderId="143" applyNumberFormat="0" applyAlignment="0" applyProtection="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11" fillId="0" borderId="124" applyNumberFormat="0" applyFill="0" applyAlignment="0" applyProtection="0"/>
    <xf numFmtId="0" fontId="37" fillId="11" borderId="141" applyNumberFormat="0" applyAlignment="0" applyProtection="0"/>
    <xf numFmtId="0" fontId="115" fillId="85" borderId="127"/>
    <xf numFmtId="0" fontId="37" fillId="11" borderId="121" applyNumberFormat="0" applyAlignment="0" applyProtection="0"/>
    <xf numFmtId="0" fontId="110" fillId="0" borderId="116"/>
    <xf numFmtId="0" fontId="40" fillId="24" borderId="143" applyNumberFormat="0" applyAlignment="0" applyProtection="0"/>
    <xf numFmtId="0" fontId="37" fillId="11" borderId="131" applyNumberFormat="0" applyAlignment="0" applyProtection="0"/>
    <xf numFmtId="0" fontId="31" fillId="24" borderId="141" applyNumberFormat="0" applyAlignment="0" applyProtection="0"/>
    <xf numFmtId="0" fontId="37" fillId="11" borderId="131" applyNumberFormat="0" applyAlignment="0" applyProtection="0"/>
    <xf numFmtId="0" fontId="37" fillId="11" borderId="141" applyNumberFormat="0" applyAlignment="0" applyProtection="0"/>
    <xf numFmtId="0" fontId="115" fillId="92" borderId="137"/>
    <xf numFmtId="0" fontId="4" fillId="28" borderId="142" applyNumberFormat="0" applyFont="0" applyAlignment="0" applyProtection="0"/>
    <xf numFmtId="0" fontId="134" fillId="79" borderId="13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37" fillId="11" borderId="121" applyNumberFormat="0" applyAlignment="0" applyProtection="0"/>
    <xf numFmtId="0" fontId="11" fillId="0" borderId="134" applyNumberFormat="0" applyFill="0" applyAlignment="0" applyProtection="0"/>
    <xf numFmtId="0" fontId="11" fillId="0" borderId="124" applyNumberFormat="0" applyFill="0" applyAlignment="0" applyProtection="0"/>
    <xf numFmtId="0" fontId="4" fillId="28" borderId="132" applyNumberFormat="0" applyFont="0" applyAlignment="0" applyProtection="0"/>
    <xf numFmtId="0" fontId="31" fillId="24" borderId="121" applyNumberFormat="0" applyAlignment="0" applyProtection="0"/>
    <xf numFmtId="0" fontId="31" fillId="24" borderId="141" applyNumberFormat="0" applyAlignment="0" applyProtection="0"/>
    <xf numFmtId="0" fontId="134" fillId="79" borderId="140"/>
    <xf numFmtId="0" fontId="37" fillId="11" borderId="121" applyNumberFormat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11" fillId="0" borderId="114" applyNumberFormat="0" applyFill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21" applyNumberFormat="0" applyAlignment="0" applyProtection="0"/>
    <xf numFmtId="0" fontId="31" fillId="24" borderId="131" applyNumberFormat="0" applyAlignment="0" applyProtection="0"/>
    <xf numFmtId="0" fontId="31" fillId="24" borderId="121" applyNumberFormat="0" applyAlignment="0" applyProtection="0"/>
    <xf numFmtId="0" fontId="40" fillId="24" borderId="143" applyNumberFormat="0" applyAlignment="0" applyProtection="0"/>
    <xf numFmtId="0" fontId="37" fillId="11" borderId="131" applyNumberFormat="0" applyAlignment="0" applyProtection="0"/>
    <xf numFmtId="0" fontId="131" fillId="0" borderId="147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4" fillId="28" borderId="142" applyNumberFormat="0" applyFont="0" applyAlignment="0" applyProtection="0"/>
    <xf numFmtId="0" fontId="11" fillId="0" borderId="144" applyNumberFormat="0" applyFill="0" applyAlignment="0" applyProtection="0"/>
    <xf numFmtId="0" fontId="115" fillId="85" borderId="137"/>
    <xf numFmtId="0" fontId="40" fillId="24" borderId="123" applyNumberFormat="0" applyAlignment="0" applyProtection="0"/>
    <xf numFmtId="10" fontId="12" fillId="88" borderId="145" applyNumberFormat="0" applyBorder="0" applyAlignment="0" applyProtection="0"/>
    <xf numFmtId="0" fontId="115" fillId="92" borderId="147"/>
    <xf numFmtId="0" fontId="11" fillId="0" borderId="144" applyNumberFormat="0" applyFill="0" applyAlignment="0" applyProtection="0"/>
    <xf numFmtId="0" fontId="115" fillId="0" borderId="137"/>
    <xf numFmtId="0" fontId="31" fillId="24" borderId="141" applyNumberFormat="0" applyAlignment="0" applyProtection="0"/>
    <xf numFmtId="0" fontId="40" fillId="24" borderId="133" applyNumberFormat="0" applyAlignment="0" applyProtection="0"/>
    <xf numFmtId="2" fontId="4" fillId="0" borderId="126" applyNumberFormat="0" applyFont="0" applyFill="0" applyAlignment="0"/>
    <xf numFmtId="0" fontId="110" fillId="0" borderId="146"/>
    <xf numFmtId="0" fontId="134" fillId="79" borderId="120"/>
    <xf numFmtId="0" fontId="4" fillId="28" borderId="132" applyNumberFormat="0" applyFont="0" applyAlignment="0" applyProtection="0"/>
    <xf numFmtId="0" fontId="110" fillId="0" borderId="116"/>
    <xf numFmtId="2" fontId="4" fillId="0" borderId="116" applyNumberFormat="0" applyFont="0" applyFill="0" applyAlignment="0"/>
    <xf numFmtId="37" fontId="111" fillId="24" borderId="138"/>
    <xf numFmtId="0" fontId="31" fillId="24" borderId="121" applyNumberFormat="0" applyAlignment="0" applyProtection="0"/>
    <xf numFmtId="0" fontId="37" fillId="11" borderId="121" applyNumberFormat="0" applyAlignment="0" applyProtection="0"/>
    <xf numFmtId="0" fontId="4" fillId="28" borderId="112" applyNumberFormat="0" applyFont="0" applyAlignment="0" applyProtection="0"/>
    <xf numFmtId="0" fontId="115" fillId="85" borderId="147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31" fillId="24" borderId="141" applyNumberFormat="0" applyAlignment="0" applyProtection="0"/>
    <xf numFmtId="0" fontId="11" fillId="0" borderId="134" applyNumberFormat="0" applyFill="0" applyAlignment="0" applyProtection="0"/>
    <xf numFmtId="0" fontId="115" fillId="0" borderId="117"/>
    <xf numFmtId="0" fontId="37" fillId="11" borderId="121" applyNumberFormat="0" applyAlignment="0" applyProtection="0"/>
    <xf numFmtId="0" fontId="37" fillId="11" borderId="141" applyNumberFormat="0" applyAlignment="0" applyProtection="0"/>
    <xf numFmtId="0" fontId="40" fillId="24" borderId="143" applyNumberFormat="0" applyAlignment="0" applyProtection="0"/>
    <xf numFmtId="0" fontId="11" fillId="0" borderId="134" applyNumberFormat="0" applyFill="0" applyAlignment="0" applyProtection="0"/>
    <xf numFmtId="0" fontId="115" fillId="92" borderId="127"/>
    <xf numFmtId="0" fontId="131" fillId="0" borderId="117"/>
    <xf numFmtId="0" fontId="31" fillId="24" borderId="121" applyNumberFormat="0" applyAlignment="0" applyProtection="0"/>
    <xf numFmtId="0" fontId="11" fillId="0" borderId="124" applyNumberFormat="0" applyFill="0" applyAlignment="0" applyProtection="0"/>
    <xf numFmtId="0" fontId="31" fillId="24" borderId="121" applyNumberFormat="0" applyAlignment="0" applyProtection="0"/>
    <xf numFmtId="0" fontId="40" fillId="24" borderId="123" applyNumberFormat="0" applyAlignment="0" applyProtection="0"/>
    <xf numFmtId="0" fontId="4" fillId="28" borderId="142" applyNumberFormat="0" applyFont="0" applyAlignment="0" applyProtection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31" fillId="24" borderId="131" applyNumberFormat="0" applyAlignment="0" applyProtection="0"/>
    <xf numFmtId="0" fontId="122" fillId="83" borderId="137"/>
    <xf numFmtId="2" fontId="4" fillId="0" borderId="126" applyNumberFormat="0" applyFont="0" applyFill="0" applyAlignment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37" fillId="11" borderId="141" applyNumberFormat="0" applyAlignment="0" applyProtection="0"/>
    <xf numFmtId="37" fontId="111" fillId="24" borderId="128"/>
    <xf numFmtId="0" fontId="11" fillId="0" borderId="134" applyNumberFormat="0" applyFill="0" applyAlignment="0" applyProtection="0"/>
    <xf numFmtId="0" fontId="31" fillId="24" borderId="141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115" fillId="85" borderId="147"/>
    <xf numFmtId="0" fontId="11" fillId="0" borderId="134" applyNumberFormat="0" applyFill="0" applyAlignment="0" applyProtection="0"/>
    <xf numFmtId="0" fontId="40" fillId="24" borderId="133" applyNumberFormat="0" applyAlignment="0" applyProtection="0"/>
    <xf numFmtId="0" fontId="37" fillId="11" borderId="121" applyNumberFormat="0" applyAlignment="0" applyProtection="0"/>
    <xf numFmtId="0" fontId="40" fillId="24" borderId="143" applyNumberFormat="0" applyAlignment="0" applyProtection="0"/>
    <xf numFmtId="0" fontId="31" fillId="24" borderId="141" applyNumberFormat="0" applyAlignment="0" applyProtection="0"/>
    <xf numFmtId="0" fontId="110" fillId="0" borderId="136"/>
    <xf numFmtId="0" fontId="4" fillId="28" borderId="142" applyNumberFormat="0" applyFont="0" applyAlignment="0" applyProtection="0"/>
    <xf numFmtId="0" fontId="115" fillId="85" borderId="127"/>
    <xf numFmtId="0" fontId="40" fillId="24" borderId="133" applyNumberFormat="0" applyAlignment="0" applyProtection="0"/>
    <xf numFmtId="0" fontId="37" fillId="11" borderId="121" applyNumberFormat="0" applyAlignment="0" applyProtection="0"/>
    <xf numFmtId="0" fontId="40" fillId="24" borderId="133" applyNumberFormat="0" applyAlignment="0" applyProtection="0"/>
    <xf numFmtId="0" fontId="115" fillId="92" borderId="147"/>
    <xf numFmtId="37" fontId="111" fillId="24" borderId="118"/>
    <xf numFmtId="0" fontId="31" fillId="24" borderId="121" applyNumberFormat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11" fillId="0" borderId="124" applyNumberFormat="0" applyFill="0" applyAlignment="0" applyProtection="0"/>
    <xf numFmtId="0" fontId="37" fillId="11" borderId="131" applyNumberFormat="0" applyAlignment="0" applyProtection="0"/>
    <xf numFmtId="2" fontId="4" fillId="0" borderId="116" applyNumberFormat="0" applyFont="0" applyFill="0" applyAlignment="0"/>
    <xf numFmtId="0" fontId="4" fillId="28" borderId="132" applyNumberFormat="0" applyFont="0" applyAlignment="0" applyProtection="0"/>
    <xf numFmtId="0" fontId="4" fillId="28" borderId="122" applyNumberFormat="0" applyFont="0" applyAlignment="0" applyProtection="0"/>
    <xf numFmtId="0" fontId="37" fillId="11" borderId="121" applyNumberForma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4" fillId="28" borderId="122" applyNumberFormat="0" applyFont="0" applyAlignment="0" applyProtection="0"/>
    <xf numFmtId="0" fontId="5" fillId="0" borderId="136">
      <alignment horizontal="left" vertical="center"/>
    </xf>
    <xf numFmtId="37" fontId="111" fillId="24" borderId="128"/>
    <xf numFmtId="0" fontId="11" fillId="0" borderId="134" applyNumberFormat="0" applyFill="0" applyAlignment="0" applyProtection="0"/>
    <xf numFmtId="0" fontId="4" fillId="28" borderId="112" applyNumberFormat="0" applyFont="0" applyAlignment="0" applyProtection="0"/>
    <xf numFmtId="0" fontId="31" fillId="24" borderId="121" applyNumberFormat="0" applyAlignment="0" applyProtection="0"/>
    <xf numFmtId="0" fontId="40" fillId="24" borderId="123" applyNumberFormat="0" applyAlignment="0" applyProtection="0"/>
    <xf numFmtId="0" fontId="11" fillId="0" borderId="114" applyNumberFormat="0" applyFill="0" applyAlignment="0" applyProtection="0"/>
    <xf numFmtId="0" fontId="37" fillId="11" borderId="131" applyNumberFormat="0" applyAlignment="0" applyProtection="0"/>
    <xf numFmtId="0" fontId="11" fillId="0" borderId="134" applyNumberFormat="0" applyFill="0" applyAlignment="0" applyProtection="0"/>
    <xf numFmtId="10" fontId="130" fillId="0" borderId="129" applyFont="0" applyAlignment="0">
      <protection locked="0"/>
    </xf>
    <xf numFmtId="0" fontId="31" fillId="24" borderId="131" applyNumberFormat="0" applyAlignment="0" applyProtection="0"/>
    <xf numFmtId="10" fontId="130" fillId="0" borderId="149" applyFont="0" applyAlignment="0">
      <protection locked="0"/>
    </xf>
    <xf numFmtId="0" fontId="37" fillId="11" borderId="141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31" fillId="24" borderId="141" applyNumberFormat="0" applyAlignment="0" applyProtection="0"/>
    <xf numFmtId="0" fontId="115" fillId="83" borderId="147"/>
    <xf numFmtId="0" fontId="115" fillId="0" borderId="137"/>
    <xf numFmtId="0" fontId="115" fillId="92" borderId="137"/>
    <xf numFmtId="0" fontId="4" fillId="28" borderId="122" applyNumberFormat="0" applyFont="0" applyAlignment="0" applyProtection="0"/>
    <xf numFmtId="0" fontId="31" fillId="24" borderId="131" applyNumberFormat="0" applyAlignment="0" applyProtection="0"/>
    <xf numFmtId="0" fontId="115" fillId="92" borderId="107"/>
    <xf numFmtId="0" fontId="4" fillId="28" borderId="122" applyNumberFormat="0" applyFont="0" applyAlignment="0" applyProtection="0"/>
    <xf numFmtId="0" fontId="115" fillId="92" borderId="107"/>
    <xf numFmtId="0" fontId="4" fillId="28" borderId="132" applyNumberFormat="0" applyFont="0" applyAlignment="0" applyProtection="0"/>
    <xf numFmtId="0" fontId="40" fillId="24" borderId="143" applyNumberForma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131" fillId="0" borderId="107"/>
    <xf numFmtId="0" fontId="134" fillId="79" borderId="110"/>
    <xf numFmtId="10" fontId="130" fillId="0" borderId="109" applyFont="0" applyAlignment="0">
      <protection locked="0"/>
    </xf>
    <xf numFmtId="0" fontId="115" fillId="83" borderId="107"/>
    <xf numFmtId="0" fontId="115" fillId="85" borderId="107"/>
    <xf numFmtId="0" fontId="122" fillId="83" borderId="107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115" fillId="0" borderId="107"/>
    <xf numFmtId="0" fontId="131" fillId="0" borderId="117"/>
    <xf numFmtId="0" fontId="131" fillId="0" borderId="137"/>
    <xf numFmtId="0" fontId="37" fillId="11" borderId="111" applyNumberFormat="0" applyAlignment="0" applyProtection="0"/>
    <xf numFmtId="0" fontId="11" fillId="0" borderId="114" applyNumberFormat="0" applyFill="0" applyAlignment="0" applyProtection="0"/>
    <xf numFmtId="0" fontId="37" fillId="11" borderId="121" applyNumberFormat="0" applyAlignment="0" applyProtection="0"/>
    <xf numFmtId="0" fontId="134" fillId="79" borderId="120"/>
    <xf numFmtId="0" fontId="40" fillId="24" borderId="113" applyNumberFormat="0" applyAlignment="0" applyProtection="0"/>
    <xf numFmtId="0" fontId="31" fillId="24" borderId="111" applyNumberFormat="0" applyAlignment="0" applyProtection="0"/>
    <xf numFmtId="0" fontId="11" fillId="0" borderId="114" applyNumberFormat="0" applyFill="0" applyAlignment="0" applyProtection="0"/>
    <xf numFmtId="0" fontId="31" fillId="24" borderId="131" applyNumberFormat="0" applyAlignment="0" applyProtection="0"/>
    <xf numFmtId="0" fontId="37" fillId="11" borderId="121" applyNumberFormat="0" applyAlignment="0" applyProtection="0"/>
    <xf numFmtId="0" fontId="11" fillId="0" borderId="124" applyNumberFormat="0" applyFill="0" applyAlignment="0" applyProtection="0"/>
    <xf numFmtId="0" fontId="37" fillId="11" borderId="121" applyNumberFormat="0" applyAlignment="0" applyProtection="0"/>
    <xf numFmtId="0" fontId="115" fillId="83" borderId="117"/>
    <xf numFmtId="0" fontId="31" fillId="24" borderId="111" applyNumberFormat="0" applyAlignment="0" applyProtection="0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4" fillId="28" borderId="112" applyNumberFormat="0" applyFont="0" applyAlignment="0" applyProtection="0"/>
    <xf numFmtId="0" fontId="5" fillId="0" borderId="136">
      <alignment horizontal="left" vertical="center"/>
    </xf>
    <xf numFmtId="0" fontId="11" fillId="0" borderId="144" applyNumberFormat="0" applyFill="0" applyAlignment="0" applyProtection="0"/>
    <xf numFmtId="0" fontId="115" fillId="92" borderId="147"/>
    <xf numFmtId="0" fontId="122" fillId="83" borderId="137"/>
    <xf numFmtId="0" fontId="122" fillId="83" borderId="107"/>
    <xf numFmtId="10" fontId="130" fillId="0" borderId="109" applyFont="0" applyAlignment="0">
      <protection locked="0"/>
    </xf>
    <xf numFmtId="0" fontId="131" fillId="0" borderId="107"/>
    <xf numFmtId="0" fontId="4" fillId="28" borderId="132" applyNumberFormat="0" applyFont="0" applyAlignment="0" applyProtection="0"/>
    <xf numFmtId="0" fontId="115" fillId="83" borderId="107"/>
    <xf numFmtId="0" fontId="131" fillId="0" borderId="107"/>
    <xf numFmtId="0" fontId="134" fillId="79" borderId="110"/>
    <xf numFmtId="0" fontId="122" fillId="83" borderId="107"/>
    <xf numFmtId="0" fontId="31" fillId="24" borderId="101" applyNumberFormat="0" applyAlignment="0" applyProtection="0"/>
    <xf numFmtId="0" fontId="37" fillId="11" borderId="101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14" applyNumberFormat="0" applyFill="0" applyAlignment="0" applyProtection="0"/>
    <xf numFmtId="0" fontId="31" fillId="24" borderId="111" applyNumberFormat="0" applyAlignment="0" applyProtection="0"/>
    <xf numFmtId="0" fontId="134" fillId="79" borderId="140"/>
    <xf numFmtId="0" fontId="134" fillId="79" borderId="150"/>
    <xf numFmtId="0" fontId="4" fillId="28" borderId="142" applyNumberFormat="0" applyFon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4" fillId="28" borderId="142" applyNumberFormat="0" applyFont="0" applyAlignment="0" applyProtection="0"/>
    <xf numFmtId="0" fontId="37" fillId="11" borderId="131" applyNumberFormat="0" applyAlignment="0" applyProtection="0"/>
    <xf numFmtId="0" fontId="11" fillId="0" borderId="124" applyNumberFormat="0" applyFill="0" applyAlignment="0" applyProtection="0"/>
    <xf numFmtId="0" fontId="11" fillId="0" borderId="134" applyNumberFormat="0" applyFill="0" applyAlignment="0" applyProtection="0"/>
    <xf numFmtId="0" fontId="37" fillId="11" borderId="121" applyNumberFormat="0" applyAlignment="0" applyProtection="0"/>
    <xf numFmtId="0" fontId="110" fillId="0" borderId="136"/>
    <xf numFmtId="37" fontId="111" fillId="24" borderId="148"/>
    <xf numFmtId="0" fontId="37" fillId="11" borderId="131" applyNumberFormat="0" applyAlignment="0" applyProtection="0"/>
    <xf numFmtId="0" fontId="4" fillId="28" borderId="132" applyNumberFormat="0" applyFont="0" applyAlignment="0" applyProtection="0"/>
    <xf numFmtId="0" fontId="31" fillId="24" borderId="121" applyNumberFormat="0" applyAlignment="0" applyProtection="0"/>
    <xf numFmtId="0" fontId="40" fillId="24" borderId="133" applyNumberFormat="0" applyAlignment="0" applyProtection="0"/>
    <xf numFmtId="0" fontId="31" fillId="24" borderId="131" applyNumberFormat="0" applyAlignment="0" applyProtection="0"/>
    <xf numFmtId="0" fontId="115" fillId="92" borderId="117"/>
    <xf numFmtId="0" fontId="40" fillId="24" borderId="143" applyNumberFormat="0" applyAlignment="0" applyProtection="0"/>
    <xf numFmtId="0" fontId="37" fillId="11" borderId="141" applyNumberFormat="0" applyAlignment="0" applyProtection="0"/>
    <xf numFmtId="0" fontId="40" fillId="24" borderId="123" applyNumberFormat="0" applyAlignment="0" applyProtection="0"/>
    <xf numFmtId="0" fontId="37" fillId="11" borderId="141" applyNumberFormat="0" applyAlignment="0" applyProtection="0"/>
    <xf numFmtId="0" fontId="115" fillId="83" borderId="117"/>
    <xf numFmtId="0" fontId="40" fillId="24" borderId="143" applyNumberFormat="0" applyAlignment="0" applyProtection="0"/>
    <xf numFmtId="0" fontId="31" fillId="24" borderId="131" applyNumberFormat="0" applyAlignment="0" applyProtection="0"/>
    <xf numFmtId="0" fontId="40" fillId="24" borderId="113" applyNumberFormat="0" applyAlignment="0" applyProtection="0"/>
    <xf numFmtId="0" fontId="4" fillId="28" borderId="142" applyNumberFormat="0" applyFont="0" applyAlignment="0" applyProtection="0"/>
    <xf numFmtId="0" fontId="40" fillId="24" borderId="113" applyNumberFormat="0" applyAlignment="0" applyProtection="0"/>
    <xf numFmtId="0" fontId="11" fillId="0" borderId="144" applyNumberFormat="0" applyFill="0" applyAlignment="0" applyProtection="0"/>
    <xf numFmtId="37" fontId="111" fillId="24" borderId="118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31" fillId="24" borderId="131" applyNumberFormat="0" applyAlignment="0" applyProtection="0"/>
    <xf numFmtId="0" fontId="31" fillId="24" borderId="141" applyNumberFormat="0" applyAlignment="0" applyProtection="0"/>
    <xf numFmtId="0" fontId="110" fillId="0" borderId="126"/>
    <xf numFmtId="0" fontId="31" fillId="24" borderId="141" applyNumberFormat="0" applyAlignment="0" applyProtection="0"/>
    <xf numFmtId="0" fontId="31" fillId="24" borderId="111" applyNumberFormat="0" applyAlignment="0" applyProtection="0"/>
    <xf numFmtId="0" fontId="37" fillId="11" borderId="141" applyNumberFormat="0" applyAlignment="0" applyProtection="0"/>
    <xf numFmtId="0" fontId="40" fillId="24" borderId="133" applyNumberFormat="0" applyAlignment="0" applyProtection="0"/>
    <xf numFmtId="0" fontId="11" fillId="0" borderId="114" applyNumberFormat="0" applyFill="0" applyAlignment="0" applyProtection="0"/>
    <xf numFmtId="0" fontId="11" fillId="0" borderId="134" applyNumberFormat="0" applyFill="0" applyAlignment="0" applyProtection="0"/>
    <xf numFmtId="0" fontId="40" fillId="24" borderId="123" applyNumberFormat="0" applyAlignment="0" applyProtection="0"/>
    <xf numFmtId="0" fontId="115" fillId="83" borderId="117"/>
    <xf numFmtId="0" fontId="11" fillId="0" borderId="134" applyNumberFormat="0" applyFill="0" applyAlignment="0" applyProtection="0"/>
    <xf numFmtId="0" fontId="40" fillId="24" borderId="123" applyNumberFormat="0" applyAlignment="0" applyProtection="0"/>
    <xf numFmtId="0" fontId="37" fillId="11" borderId="111" applyNumberFormat="0" applyAlignment="0" applyProtection="0"/>
    <xf numFmtId="0" fontId="11" fillId="0" borderId="134" applyNumberFormat="0" applyFill="0" applyAlignment="0" applyProtection="0"/>
    <xf numFmtId="0" fontId="115" fillId="0" borderId="137"/>
    <xf numFmtId="0" fontId="31" fillId="24" borderId="131" applyNumberFormat="0" applyAlignment="0" applyProtection="0"/>
    <xf numFmtId="0" fontId="37" fillId="11" borderId="121" applyNumberFormat="0" applyAlignment="0" applyProtection="0"/>
    <xf numFmtId="0" fontId="40" fillId="24" borderId="143" applyNumberFormat="0" applyAlignment="0" applyProtection="0"/>
    <xf numFmtId="0" fontId="40" fillId="24" borderId="113" applyNumberFormat="0" applyAlignment="0" applyProtection="0"/>
    <xf numFmtId="0" fontId="4" fillId="28" borderId="112" applyNumberFormat="0" applyFont="0" applyAlignment="0" applyProtection="0"/>
    <xf numFmtId="0" fontId="115" fillId="92" borderId="137"/>
    <xf numFmtId="0" fontId="11" fillId="0" borderId="114" applyNumberFormat="0" applyFill="0" applyAlignment="0" applyProtection="0"/>
    <xf numFmtId="0" fontId="31" fillId="24" borderId="121" applyNumberFormat="0" applyAlignment="0" applyProtection="0"/>
    <xf numFmtId="0" fontId="40" fillId="24" borderId="123" applyNumberFormat="0" applyAlignment="0" applyProtection="0"/>
    <xf numFmtId="0" fontId="31" fillId="24" borderId="131" applyNumberFormat="0" applyAlignment="0" applyProtection="0"/>
    <xf numFmtId="37" fontId="111" fillId="24" borderId="138"/>
    <xf numFmtId="0" fontId="134" fillId="79" borderId="150"/>
    <xf numFmtId="0" fontId="40" fillId="24" borderId="113" applyNumberFormat="0" applyAlignment="0" applyProtection="0"/>
    <xf numFmtId="0" fontId="11" fillId="0" borderId="124" applyNumberFormat="0" applyFill="0" applyAlignment="0" applyProtection="0"/>
    <xf numFmtId="0" fontId="11" fillId="0" borderId="114" applyNumberFormat="0" applyFill="0" applyAlignment="0" applyProtection="0"/>
    <xf numFmtId="0" fontId="37" fillId="11" borderId="111" applyNumberFormat="0" applyAlignment="0" applyProtection="0"/>
    <xf numFmtId="37" fontId="111" fillId="24" borderId="108"/>
    <xf numFmtId="0" fontId="115" fillId="0" borderId="107"/>
    <xf numFmtId="0" fontId="31" fillId="24" borderId="111" applyNumberFormat="0" applyAlignment="0" applyProtection="0"/>
    <xf numFmtId="0" fontId="40" fillId="24" borderId="123" applyNumberFormat="0" applyAlignment="0" applyProtection="0"/>
    <xf numFmtId="0" fontId="31" fillId="24" borderId="111" applyNumberFormat="0" applyAlignment="0" applyProtection="0"/>
    <xf numFmtId="0" fontId="37" fillId="11" borderId="121" applyNumberFormat="0" applyAlignment="0" applyProtection="0"/>
    <xf numFmtId="0" fontId="40" fillId="24" borderId="113" applyNumberFormat="0" applyAlignment="0" applyProtection="0"/>
    <xf numFmtId="0" fontId="40" fillId="24" borderId="133" applyNumberFormat="0" applyAlignment="0" applyProtection="0"/>
    <xf numFmtId="0" fontId="40" fillId="24" borderId="123" applyNumberFormat="0" applyAlignment="0" applyProtection="0"/>
    <xf numFmtId="0" fontId="31" fillId="24" borderId="131" applyNumberFormat="0" applyAlignment="0" applyProtection="0"/>
    <xf numFmtId="0" fontId="122" fillId="83" borderId="117"/>
    <xf numFmtId="0" fontId="37" fillId="11" borderId="121" applyNumberFormat="0" applyAlignment="0" applyProtection="0"/>
    <xf numFmtId="0" fontId="31" fillId="24" borderId="121" applyNumberFormat="0" applyAlignment="0" applyProtection="0"/>
    <xf numFmtId="0" fontId="122" fillId="83" borderId="147"/>
    <xf numFmtId="0" fontId="37" fillId="11" borderId="131" applyNumberFormat="0" applyAlignment="0" applyProtection="0"/>
    <xf numFmtId="0" fontId="31" fillId="24" borderId="131" applyNumberFormat="0" applyAlignment="0" applyProtection="0"/>
    <xf numFmtId="0" fontId="37" fillId="11" borderId="111" applyNumberFormat="0" applyAlignment="0" applyProtection="0"/>
    <xf numFmtId="0" fontId="37" fillId="11" borderId="14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37" fillId="11" borderId="131" applyNumberFormat="0" applyAlignment="0" applyProtection="0"/>
    <xf numFmtId="0" fontId="40" fillId="24" borderId="143" applyNumberFormat="0" applyAlignment="0" applyProtection="0"/>
    <xf numFmtId="0" fontId="40" fillId="24" borderId="113" applyNumberFormat="0" applyAlignment="0" applyProtection="0"/>
    <xf numFmtId="0" fontId="115" fillId="83" borderId="107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31" fillId="24" borderId="131" applyNumberFormat="0" applyAlignment="0" applyProtection="0"/>
    <xf numFmtId="2" fontId="4" fillId="0" borderId="136" applyNumberFormat="0" applyFont="0" applyFill="0" applyAlignment="0"/>
    <xf numFmtId="0" fontId="40" fillId="24" borderId="113" applyNumberFormat="0" applyAlignment="0" applyProtection="0"/>
    <xf numFmtId="0" fontId="37" fillId="11" borderId="11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40" fillId="24" borderId="133" applyNumberFormat="0" applyAlignment="0" applyProtection="0"/>
    <xf numFmtId="0" fontId="4" fillId="28" borderId="142" applyNumberFormat="0" applyFont="0" applyAlignment="0" applyProtection="0"/>
    <xf numFmtId="0" fontId="11" fillId="0" borderId="134" applyNumberFormat="0" applyFill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11" fillId="0" borderId="124" applyNumberFormat="0" applyFill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37" fillId="11" borderId="131" applyNumberFormat="0" applyAlignment="0" applyProtection="0"/>
    <xf numFmtId="0" fontId="40" fillId="24" borderId="113" applyNumberForma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37" fillId="11" borderId="141" applyNumberFormat="0" applyAlignment="0" applyProtection="0"/>
    <xf numFmtId="0" fontId="37" fillId="11" borderId="121" applyNumberFormat="0" applyAlignment="0" applyProtection="0"/>
    <xf numFmtId="0" fontId="5" fillId="0" borderId="116">
      <alignment horizontal="left" vertical="center"/>
    </xf>
    <xf numFmtId="0" fontId="122" fillId="83" borderId="127"/>
    <xf numFmtId="0" fontId="31" fillId="24" borderId="121" applyNumberFormat="0" applyAlignment="0" applyProtection="0"/>
    <xf numFmtId="0" fontId="115" fillId="85" borderId="107"/>
    <xf numFmtId="0" fontId="11" fillId="0" borderId="124" applyNumberFormat="0" applyFill="0" applyAlignment="0" applyProtection="0"/>
    <xf numFmtId="0" fontId="4" fillId="28" borderId="142" applyNumberFormat="0" applyFont="0" applyAlignment="0" applyProtection="0"/>
    <xf numFmtId="0" fontId="37" fillId="11" borderId="131" applyNumberFormat="0" applyAlignment="0" applyProtection="0"/>
    <xf numFmtId="0" fontId="40" fillId="24" borderId="123" applyNumberFormat="0" applyAlignment="0" applyProtection="0"/>
    <xf numFmtId="0" fontId="4" fillId="28" borderId="112" applyNumberFormat="0" applyFont="0" applyAlignment="0" applyProtection="0"/>
    <xf numFmtId="0" fontId="4" fillId="28" borderId="122" applyNumberFormat="0" applyFont="0" applyAlignment="0" applyProtection="0"/>
    <xf numFmtId="0" fontId="31" fillId="24" borderId="131" applyNumberFormat="0" applyAlignment="0" applyProtection="0"/>
    <xf numFmtId="0" fontId="31" fillId="24" borderId="111" applyNumberFormat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134" fillId="79" borderId="130"/>
    <xf numFmtId="0" fontId="31" fillId="24" borderId="131" applyNumberFormat="0" applyAlignment="0" applyProtection="0"/>
    <xf numFmtId="0" fontId="122" fillId="83" borderId="117"/>
    <xf numFmtId="0" fontId="11" fillId="0" borderId="144" applyNumberFormat="0" applyFill="0" applyAlignment="0" applyProtection="0"/>
    <xf numFmtId="0" fontId="31" fillId="24" borderId="141" applyNumberFormat="0" applyAlignment="0" applyProtection="0"/>
    <xf numFmtId="2" fontId="4" fillId="0" borderId="106" applyNumberFormat="0" applyFont="0" applyFill="0" applyAlignment="0"/>
    <xf numFmtId="0" fontId="110" fillId="0" borderId="106"/>
    <xf numFmtId="0" fontId="122" fillId="83" borderId="117"/>
    <xf numFmtId="0" fontId="134" fillId="79" borderId="110"/>
    <xf numFmtId="0" fontId="4" fillId="28" borderId="122" applyNumberFormat="0" applyFont="0" applyAlignment="0" applyProtection="0"/>
    <xf numFmtId="0" fontId="11" fillId="0" borderId="13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40" fillId="24" borderId="133" applyNumberFormat="0" applyAlignment="0" applyProtection="0"/>
    <xf numFmtId="0" fontId="4" fillId="28" borderId="112" applyNumberFormat="0" applyFont="0" applyAlignment="0" applyProtection="0"/>
    <xf numFmtId="10" fontId="130" fillId="0" borderId="129" applyFont="0" applyAlignment="0">
      <protection locked="0"/>
    </xf>
    <xf numFmtId="0" fontId="40" fillId="24" borderId="143" applyNumberForma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40" fillId="24" borderId="113" applyNumberFormat="0" applyAlignment="0" applyProtection="0"/>
    <xf numFmtId="0" fontId="4" fillId="28" borderId="112" applyNumberFormat="0" applyFon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2" fontId="4" fillId="0" borderId="116" applyNumberFormat="0" applyFont="0" applyFill="0" applyAlignment="0"/>
    <xf numFmtId="0" fontId="115" fillId="92" borderId="117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11" fillId="0" borderId="114" applyNumberFormat="0" applyFill="0" applyAlignment="0" applyProtection="0"/>
    <xf numFmtId="0" fontId="37" fillId="11" borderId="141" applyNumberFormat="0" applyAlignment="0" applyProtection="0"/>
    <xf numFmtId="0" fontId="31" fillId="24" borderId="111" applyNumberFormat="0" applyAlignment="0" applyProtection="0"/>
    <xf numFmtId="0" fontId="5" fillId="0" borderId="126">
      <alignment horizontal="left" vertical="center"/>
    </xf>
    <xf numFmtId="0" fontId="11" fillId="0" borderId="144" applyNumberFormat="0" applyFill="0" applyAlignment="0" applyProtection="0"/>
    <xf numFmtId="0" fontId="5" fillId="0" borderId="146">
      <alignment horizontal="left" vertical="center"/>
    </xf>
    <xf numFmtId="0" fontId="110" fillId="0" borderId="146"/>
    <xf numFmtId="0" fontId="11" fillId="0" borderId="144" applyNumberFormat="0" applyFill="0" applyAlignment="0" applyProtection="0"/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0" fontId="37" fillId="11" borderId="141" applyNumberFormat="0" applyAlignment="0" applyProtection="0"/>
    <xf numFmtId="0" fontId="40" fillId="24" borderId="123" applyNumberFormat="0" applyAlignment="0" applyProtection="0"/>
    <xf numFmtId="0" fontId="115" fillId="83" borderId="127"/>
    <xf numFmtId="2" fontId="4" fillId="0" borderId="136" applyNumberFormat="0" applyFont="0" applyFill="0" applyAlignment="0"/>
    <xf numFmtId="0" fontId="131" fillId="0" borderId="147"/>
    <xf numFmtId="0" fontId="4" fillId="28" borderId="142" applyNumberFormat="0" applyFont="0" applyAlignment="0" applyProtection="0"/>
    <xf numFmtId="0" fontId="11" fillId="0" borderId="144" applyNumberFormat="0" applyFill="0" applyAlignment="0" applyProtection="0"/>
    <xf numFmtId="0" fontId="4" fillId="28" borderId="132" applyNumberFormat="0" applyFon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4" fillId="28" borderId="142" applyNumberFormat="0" applyFont="0" applyAlignment="0" applyProtection="0"/>
    <xf numFmtId="0" fontId="37" fillId="11" borderId="141" applyNumberFormat="0" applyAlignment="0" applyProtection="0"/>
    <xf numFmtId="0" fontId="4" fillId="28" borderId="122" applyNumberFormat="0" applyFont="0" applyAlignment="0" applyProtection="0"/>
    <xf numFmtId="0" fontId="37" fillId="11" borderId="131" applyNumberFormat="0" applyAlignment="0" applyProtection="0"/>
    <xf numFmtId="0" fontId="134" fillId="79" borderId="130"/>
    <xf numFmtId="0" fontId="31" fillId="24" borderId="131" applyNumberFormat="0" applyAlignment="0" applyProtection="0"/>
    <xf numFmtId="0" fontId="31" fillId="24" borderId="121" applyNumberFormat="0" applyAlignment="0" applyProtection="0"/>
    <xf numFmtId="2" fontId="4" fillId="0" borderId="116" applyNumberFormat="0" applyFont="0" applyFill="0" applyAlignment="0"/>
    <xf numFmtId="0" fontId="40" fillId="24" borderId="123" applyNumberFormat="0" applyAlignment="0" applyProtection="0"/>
    <xf numFmtId="0" fontId="40" fillId="24" borderId="123" applyNumberFormat="0" applyAlignment="0" applyProtection="0"/>
    <xf numFmtId="10" fontId="130" fillId="0" borderId="139" applyFont="0" applyAlignment="0">
      <protection locked="0"/>
    </xf>
    <xf numFmtId="0" fontId="40" fillId="24" borderId="123" applyNumberForma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131" fillId="0" borderId="147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" fillId="28" borderId="122" applyNumberFormat="0" applyFont="0" applyAlignment="0" applyProtection="0"/>
    <xf numFmtId="0" fontId="31" fillId="24" borderId="121" applyNumberForma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37" fillId="11" borderId="131" applyNumberFormat="0" applyAlignment="0" applyProtection="0"/>
    <xf numFmtId="0" fontId="4" fillId="28" borderId="142" applyNumberFormat="0" applyFont="0" applyAlignment="0" applyProtection="0"/>
    <xf numFmtId="0" fontId="4" fillId="28" borderId="112" applyNumberFormat="0" applyFont="0" applyAlignment="0" applyProtection="0"/>
    <xf numFmtId="0" fontId="4" fillId="28" borderId="142" applyNumberFormat="0" applyFont="0" applyAlignment="0" applyProtection="0"/>
    <xf numFmtId="0" fontId="40" fillId="24" borderId="113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11" fillId="0" borderId="144" applyNumberFormat="0" applyFill="0" applyAlignment="0" applyProtection="0"/>
    <xf numFmtId="0" fontId="37" fillId="11" borderId="131" applyNumberFormat="0" applyAlignment="0" applyProtection="0"/>
    <xf numFmtId="0" fontId="4" fillId="28" borderId="142" applyNumberFormat="0" applyFont="0" applyAlignment="0" applyProtection="0"/>
    <xf numFmtId="0" fontId="31" fillId="24" borderId="131" applyNumberFormat="0" applyAlignment="0" applyProtection="0"/>
    <xf numFmtId="0" fontId="11" fillId="0" borderId="144" applyNumberFormat="0" applyFill="0" applyAlignment="0" applyProtection="0"/>
    <xf numFmtId="0" fontId="37" fillId="11" borderId="121" applyNumberFormat="0" applyAlignment="0" applyProtection="0"/>
    <xf numFmtId="0" fontId="4" fillId="28" borderId="122" applyNumberFormat="0" applyFont="0" applyAlignment="0" applyProtection="0"/>
    <xf numFmtId="0" fontId="115" fillId="85" borderId="137"/>
    <xf numFmtId="0" fontId="4" fillId="28" borderId="142" applyNumberFormat="0" applyFont="0" applyAlignment="0" applyProtection="0"/>
    <xf numFmtId="0" fontId="11" fillId="0" borderId="124" applyNumberFormat="0" applyFill="0" applyAlignment="0" applyProtection="0"/>
    <xf numFmtId="37" fontId="111" fillId="24" borderId="148"/>
    <xf numFmtId="0" fontId="4" fillId="28" borderId="132" applyNumberFormat="0" applyFont="0" applyAlignment="0" applyProtection="0"/>
    <xf numFmtId="0" fontId="5" fillId="0" borderId="146">
      <alignment horizontal="left" vertical="center"/>
    </xf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37" fillId="11" borderId="141" applyNumberFormat="0" applyAlignment="0" applyProtection="0"/>
    <xf numFmtId="0" fontId="11" fillId="0" borderId="144" applyNumberFormat="0" applyFill="0" applyAlignment="0" applyProtection="0"/>
    <xf numFmtId="0" fontId="40" fillId="24" borderId="133" applyNumberFormat="0" applyAlignment="0" applyProtection="0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31" fillId="24" borderId="111" applyNumberFormat="0" applyAlignment="0" applyProtection="0"/>
    <xf numFmtId="0" fontId="122" fillId="83" borderId="147"/>
    <xf numFmtId="0" fontId="31" fillId="24" borderId="131" applyNumberFormat="0" applyAlignment="0" applyProtection="0"/>
    <xf numFmtId="37" fontId="111" fillId="24" borderId="118"/>
    <xf numFmtId="0" fontId="37" fillId="11" borderId="131" applyNumberFormat="0" applyAlignment="0" applyProtection="0"/>
    <xf numFmtId="0" fontId="40" fillId="24" borderId="133" applyNumberFormat="0" applyAlignment="0" applyProtection="0"/>
    <xf numFmtId="0" fontId="31" fillId="24" borderId="121" applyNumberForma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115" fillId="83" borderId="117"/>
    <xf numFmtId="0" fontId="4" fillId="28" borderId="122" applyNumberFormat="0" applyFont="0" applyAlignment="0" applyProtection="0"/>
    <xf numFmtId="0" fontId="115" fillId="83" borderId="127"/>
    <xf numFmtId="0" fontId="115" fillId="83" borderId="147"/>
    <xf numFmtId="0" fontId="4" fillId="28" borderId="122" applyNumberFormat="0" applyFont="0" applyAlignment="0" applyProtection="0"/>
    <xf numFmtId="0" fontId="37" fillId="11" borderId="131" applyNumberFormat="0" applyAlignment="0" applyProtection="0"/>
    <xf numFmtId="0" fontId="4" fillId="28" borderId="132" applyNumberFormat="0" applyFont="0" applyAlignment="0" applyProtection="0"/>
    <xf numFmtId="0" fontId="37" fillId="11" borderId="141" applyNumberFormat="0" applyAlignment="0" applyProtection="0"/>
    <xf numFmtId="2" fontId="4" fillId="0" borderId="126" applyNumberFormat="0" applyFont="0" applyFill="0" applyAlignment="0"/>
    <xf numFmtId="0" fontId="11" fillId="0" borderId="134" applyNumberFormat="0" applyFill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37" fontId="111" fillId="24" borderId="148"/>
    <xf numFmtId="0" fontId="40" fillId="24" borderId="133" applyNumberFormat="0" applyAlignment="0" applyProtection="0"/>
    <xf numFmtId="0" fontId="4" fillId="28" borderId="142" applyNumberFormat="0" applyFont="0" applyAlignment="0" applyProtection="0"/>
    <xf numFmtId="0" fontId="37" fillId="11" borderId="121" applyNumberFormat="0" applyAlignment="0" applyProtection="0"/>
    <xf numFmtId="0" fontId="115" fillId="0" borderId="127"/>
    <xf numFmtId="0" fontId="40" fillId="24" borderId="133" applyNumberFormat="0" applyAlignment="0" applyProtection="0"/>
    <xf numFmtId="0" fontId="4" fillId="28" borderId="142" applyNumberFormat="0" applyFont="0" applyAlignment="0" applyProtection="0"/>
    <xf numFmtId="0" fontId="31" fillId="24" borderId="131" applyNumberFormat="0" applyAlignment="0" applyProtection="0"/>
    <xf numFmtId="0" fontId="4" fillId="28" borderId="132" applyNumberFormat="0" applyFon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11" fillId="0" borderId="134" applyNumberFormat="0" applyFill="0" applyAlignment="0" applyProtection="0"/>
    <xf numFmtId="0" fontId="40" fillId="24" borderId="143" applyNumberFormat="0" applyAlignment="0" applyProtection="0"/>
    <xf numFmtId="0" fontId="4" fillId="28" borderId="132" applyNumberFormat="0" applyFont="0" applyAlignment="0" applyProtection="0"/>
    <xf numFmtId="10" fontId="130" fillId="0" borderId="129" applyFont="0" applyAlignment="0">
      <protection locked="0"/>
    </xf>
    <xf numFmtId="0" fontId="110" fillId="0" borderId="116"/>
    <xf numFmtId="0" fontId="115" fillId="0" borderId="117"/>
    <xf numFmtId="0" fontId="4" fillId="28" borderId="132" applyNumberFormat="0" applyFont="0" applyAlignment="0" applyProtection="0"/>
    <xf numFmtId="0" fontId="4" fillId="28" borderId="142" applyNumberFormat="0" applyFont="0" applyAlignment="0" applyProtection="0"/>
    <xf numFmtId="0" fontId="11" fillId="0" borderId="134" applyNumberFormat="0" applyFill="0" applyAlignment="0" applyProtection="0"/>
    <xf numFmtId="0" fontId="40" fillId="24" borderId="133" applyNumberFormat="0" applyAlignment="0" applyProtection="0"/>
    <xf numFmtId="0" fontId="4" fillId="28" borderId="132" applyNumberFormat="0" applyFont="0" applyAlignment="0" applyProtection="0"/>
    <xf numFmtId="0" fontId="37" fillId="11" borderId="141" applyNumberFormat="0" applyAlignment="0" applyProtection="0"/>
    <xf numFmtId="0" fontId="115" fillId="92" borderId="107"/>
    <xf numFmtId="0" fontId="11" fillId="0" borderId="114" applyNumberFormat="0" applyFill="0" applyAlignment="0" applyProtection="0"/>
    <xf numFmtId="0" fontId="4" fillId="28" borderId="142" applyNumberFormat="0" applyFont="0" applyAlignment="0" applyProtection="0"/>
    <xf numFmtId="0" fontId="11" fillId="0" borderId="144" applyNumberFormat="0" applyFill="0" applyAlignment="0" applyProtection="0"/>
    <xf numFmtId="0" fontId="37" fillId="11" borderId="141" applyNumberFormat="0" applyAlignment="0" applyProtection="0"/>
    <xf numFmtId="0" fontId="40" fillId="24" borderId="143" applyNumberFormat="0" applyAlignment="0" applyProtection="0"/>
    <xf numFmtId="0" fontId="115" fillId="0" borderId="147"/>
    <xf numFmtId="0" fontId="11" fillId="0" borderId="134" applyNumberFormat="0" applyFill="0" applyAlignment="0" applyProtection="0"/>
    <xf numFmtId="0" fontId="131" fillId="0" borderId="147"/>
    <xf numFmtId="2" fontId="4" fillId="0" borderId="106" applyNumberFormat="0" applyFont="0" applyFill="0" applyAlignment="0"/>
    <xf numFmtId="0" fontId="110" fillId="0" borderId="106"/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10" fontId="12" fillId="88" borderId="135" applyNumberFormat="0" applyBorder="0" applyAlignment="0" applyProtection="0"/>
    <xf numFmtId="37" fontId="111" fillId="24" borderId="108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10" fontId="130" fillId="0" borderId="119" applyFont="0" applyAlignment="0">
      <protection locked="0"/>
    </xf>
    <xf numFmtId="0" fontId="37" fillId="11" borderId="111" applyNumberFormat="0" applyAlignment="0" applyProtection="0"/>
    <xf numFmtId="0" fontId="40" fillId="24" borderId="113" applyNumberFormat="0" applyAlignment="0" applyProtection="0"/>
    <xf numFmtId="0" fontId="4" fillId="28" borderId="132" applyNumberFormat="0" applyFont="0" applyAlignment="0" applyProtection="0"/>
    <xf numFmtId="0" fontId="131" fillId="0" borderId="117"/>
    <xf numFmtId="0" fontId="31" fillId="24" borderId="141" applyNumberFormat="0" applyAlignment="0" applyProtection="0"/>
    <xf numFmtId="0" fontId="40" fillId="24" borderId="113" applyNumberFormat="0" applyAlignment="0" applyProtection="0"/>
    <xf numFmtId="0" fontId="31" fillId="24" borderId="111" applyNumberFormat="0" applyAlignment="0" applyProtection="0"/>
    <xf numFmtId="0" fontId="11" fillId="0" borderId="114" applyNumberFormat="0" applyFill="0" applyAlignment="0" applyProtection="0"/>
    <xf numFmtId="0" fontId="122" fillId="83" borderId="137"/>
    <xf numFmtId="0" fontId="110" fillId="0" borderId="136"/>
    <xf numFmtId="0" fontId="31" fillId="24" borderId="131" applyNumberFormat="0" applyAlignment="0" applyProtection="0"/>
    <xf numFmtId="0" fontId="40" fillId="24" borderId="143" applyNumberFormat="0" applyAlignment="0" applyProtection="0"/>
    <xf numFmtId="0" fontId="115" fillId="85" borderId="117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4" fillId="28" borderId="112" applyNumberFormat="0" applyFont="0" applyAlignment="0" applyProtection="0"/>
    <xf numFmtId="0" fontId="40" fillId="24" borderId="143" applyNumberFormat="0" applyAlignment="0" applyProtection="0"/>
    <xf numFmtId="2" fontId="4" fillId="0" borderId="136" applyNumberFormat="0" applyFont="0" applyFill="0" applyAlignment="0"/>
    <xf numFmtId="0" fontId="31" fillId="24" borderId="131" applyNumberFormat="0" applyAlignment="0" applyProtection="0"/>
    <xf numFmtId="0" fontId="110" fillId="0" borderId="136"/>
    <xf numFmtId="0" fontId="31" fillId="24" borderId="141" applyNumberFormat="0" applyAlignment="0" applyProtection="0"/>
    <xf numFmtId="0" fontId="115" fillId="85" borderId="107"/>
    <xf numFmtId="10" fontId="130" fillId="0" borderId="109" applyFont="0" applyAlignment="0">
      <protection locked="0"/>
    </xf>
    <xf numFmtId="0" fontId="115" fillId="92" borderId="107"/>
    <xf numFmtId="0" fontId="115" fillId="0" borderId="107"/>
    <xf numFmtId="0" fontId="115" fillId="0" borderId="117"/>
    <xf numFmtId="0" fontId="4" fillId="28" borderId="142" applyNumberFormat="0" applyFont="0" applyAlignment="0" applyProtection="0"/>
    <xf numFmtId="0" fontId="11" fillId="0" borderId="134" applyNumberFormat="0" applyFill="0" applyAlignment="0" applyProtection="0"/>
    <xf numFmtId="0" fontId="115" fillId="92" borderId="117"/>
    <xf numFmtId="0" fontId="37" fillId="11" borderId="14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31" fillId="24" borderId="131" applyNumberFormat="0" applyAlignment="0" applyProtection="0"/>
    <xf numFmtId="0" fontId="134" fillId="79" borderId="130"/>
    <xf numFmtId="0" fontId="31" fillId="24" borderId="111" applyNumberFormat="0" applyAlignment="0" applyProtection="0"/>
    <xf numFmtId="0" fontId="37" fillId="11" borderId="121" applyNumberFormat="0" applyAlignment="0" applyProtection="0"/>
    <xf numFmtId="0" fontId="115" fillId="83" borderId="147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4" fillId="28" borderId="122" applyNumberFormat="0" applyFont="0" applyAlignment="0" applyProtection="0"/>
    <xf numFmtId="0" fontId="122" fillId="83" borderId="147"/>
    <xf numFmtId="0" fontId="40" fillId="24" borderId="143" applyNumberFormat="0" applyAlignment="0" applyProtection="0"/>
    <xf numFmtId="0" fontId="4" fillId="28" borderId="122" applyNumberFormat="0" applyFont="0" applyAlignment="0" applyProtection="0"/>
    <xf numFmtId="0" fontId="31" fillId="24" borderId="121" applyNumberFormat="0" applyAlignment="0" applyProtection="0"/>
    <xf numFmtId="0" fontId="40" fillId="24" borderId="143" applyNumberFormat="0" applyAlignment="0" applyProtection="0"/>
    <xf numFmtId="0" fontId="40" fillId="24" borderId="133" applyNumberFormat="0" applyAlignment="0" applyProtection="0"/>
    <xf numFmtId="0" fontId="37" fillId="11" borderId="131" applyNumberFormat="0" applyAlignment="0" applyProtection="0"/>
    <xf numFmtId="0" fontId="31" fillId="24" borderId="131" applyNumberFormat="0" applyAlignment="0" applyProtection="0"/>
    <xf numFmtId="0" fontId="40" fillId="24" borderId="143" applyNumberFormat="0" applyAlignment="0" applyProtection="0"/>
    <xf numFmtId="0" fontId="11" fillId="0" borderId="114" applyNumberFormat="0" applyFill="0" applyAlignment="0" applyProtection="0"/>
    <xf numFmtId="0" fontId="40" fillId="24" borderId="143" applyNumberFormat="0" applyAlignment="0" applyProtection="0"/>
    <xf numFmtId="0" fontId="11" fillId="0" borderId="114" applyNumberFormat="0" applyFill="0" applyAlignment="0" applyProtection="0"/>
    <xf numFmtId="37" fontId="111" fillId="24" borderId="148"/>
    <xf numFmtId="0" fontId="4" fillId="28" borderId="142" applyNumberFormat="0" applyFont="0" applyAlignment="0" applyProtection="0"/>
    <xf numFmtId="0" fontId="4" fillId="28" borderId="122" applyNumberFormat="0" applyFont="0" applyAlignment="0" applyProtection="0"/>
    <xf numFmtId="0" fontId="37" fillId="11" borderId="141" applyNumberFormat="0" applyAlignment="0" applyProtection="0"/>
    <xf numFmtId="0" fontId="40" fillId="24" borderId="143" applyNumberFormat="0" applyAlignment="0" applyProtection="0"/>
    <xf numFmtId="0" fontId="40" fillId="24" borderId="113" applyNumberFormat="0" applyAlignment="0" applyProtection="0"/>
    <xf numFmtId="0" fontId="4" fillId="28" borderId="122" applyNumberFormat="0" applyFont="0" applyAlignment="0" applyProtection="0"/>
    <xf numFmtId="0" fontId="40" fillId="24" borderId="133" applyNumberFormat="0" applyAlignment="0" applyProtection="0"/>
    <xf numFmtId="0" fontId="31" fillId="24" borderId="121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11" fillId="0" borderId="144" applyNumberFormat="0" applyFill="0" applyAlignment="0" applyProtection="0"/>
    <xf numFmtId="0" fontId="115" fillId="83" borderId="147"/>
    <xf numFmtId="0" fontId="11" fillId="0" borderId="134" applyNumberFormat="0" applyFill="0" applyAlignment="0" applyProtection="0"/>
    <xf numFmtId="0" fontId="4" fillId="28" borderId="112" applyNumberFormat="0" applyFont="0" applyAlignment="0" applyProtection="0"/>
    <xf numFmtId="0" fontId="4" fillId="28" borderId="122" applyNumberFormat="0" applyFont="0" applyAlignment="0" applyProtection="0"/>
    <xf numFmtId="0" fontId="31" fillId="24" borderId="111" applyNumberFormat="0" applyAlignment="0" applyProtection="0"/>
    <xf numFmtId="0" fontId="4" fillId="28" borderId="132" applyNumberFormat="0" applyFont="0" applyAlignment="0" applyProtection="0"/>
    <xf numFmtId="0" fontId="40" fillId="24" borderId="113" applyNumberFormat="0" applyAlignment="0" applyProtection="0"/>
    <xf numFmtId="0" fontId="110" fillId="0" borderId="126"/>
    <xf numFmtId="0" fontId="131" fillId="0" borderId="117"/>
    <xf numFmtId="0" fontId="31" fillId="24" borderId="121" applyNumberFormat="0" applyAlignment="0" applyProtection="0"/>
    <xf numFmtId="0" fontId="37" fillId="11" borderId="111" applyNumberFormat="0" applyAlignment="0" applyProtection="0"/>
    <xf numFmtId="0" fontId="4" fillId="28" borderId="122" applyNumberFormat="0" applyFont="0" applyAlignment="0" applyProtection="0"/>
    <xf numFmtId="0" fontId="11" fillId="0" borderId="134" applyNumberFormat="0" applyFill="0" applyAlignment="0" applyProtection="0"/>
    <xf numFmtId="0" fontId="115" fillId="0" borderId="147"/>
    <xf numFmtId="0" fontId="40" fillId="24" borderId="143" applyNumberFormat="0" applyAlignment="0" applyProtection="0"/>
    <xf numFmtId="0" fontId="4" fillId="28" borderId="122" applyNumberFormat="0" applyFont="0" applyAlignment="0" applyProtection="0"/>
    <xf numFmtId="0" fontId="31" fillId="24" borderId="141" applyNumberFormat="0" applyAlignment="0" applyProtection="0"/>
    <xf numFmtId="0" fontId="37" fillId="11" borderId="121" applyNumberFormat="0" applyAlignment="0" applyProtection="0"/>
    <xf numFmtId="0" fontId="37" fillId="11" borderId="111" applyNumberFormat="0" applyAlignment="0" applyProtection="0"/>
    <xf numFmtId="0" fontId="37" fillId="11" borderId="121" applyNumberFormat="0" applyAlignment="0" applyProtection="0"/>
    <xf numFmtId="0" fontId="40" fillId="24" borderId="113" applyNumberFormat="0" applyAlignment="0" applyProtection="0"/>
    <xf numFmtId="0" fontId="31" fillId="24" borderId="141" applyNumberFormat="0" applyAlignment="0" applyProtection="0"/>
    <xf numFmtId="0" fontId="11" fillId="0" borderId="144" applyNumberFormat="0" applyFill="0" applyAlignment="0" applyProtection="0"/>
    <xf numFmtId="0" fontId="4" fillId="28" borderId="112" applyNumberFormat="0" applyFont="0" applyAlignment="0" applyProtection="0"/>
    <xf numFmtId="0" fontId="4" fillId="28" borderId="142" applyNumberFormat="0" applyFont="0" applyAlignment="0" applyProtection="0"/>
    <xf numFmtId="0" fontId="11" fillId="0" borderId="114" applyNumberFormat="0" applyFill="0" applyAlignment="0" applyProtection="0"/>
    <xf numFmtId="0" fontId="37" fillId="11" borderId="111" applyNumberFormat="0" applyAlignment="0" applyProtection="0"/>
    <xf numFmtId="0" fontId="40" fillId="24" borderId="123" applyNumberFormat="0" applyAlignment="0" applyProtection="0"/>
    <xf numFmtId="0" fontId="31" fillId="24" borderId="111" applyNumberFormat="0" applyAlignment="0" applyProtection="0"/>
    <xf numFmtId="0" fontId="37" fillId="11" borderId="131" applyNumberFormat="0" applyAlignment="0" applyProtection="0"/>
    <xf numFmtId="0" fontId="40" fillId="24" borderId="113" applyNumberFormat="0" applyAlignment="0" applyProtection="0"/>
    <xf numFmtId="0" fontId="31" fillId="24" borderId="131" applyNumberFormat="0" applyAlignment="0" applyProtection="0"/>
    <xf numFmtId="0" fontId="31" fillId="24" borderId="121" applyNumberFormat="0" applyAlignment="0" applyProtection="0"/>
    <xf numFmtId="0" fontId="37" fillId="11" borderId="131" applyNumberFormat="0" applyAlignment="0" applyProtection="0"/>
    <xf numFmtId="0" fontId="11" fillId="0" borderId="144" applyNumberFormat="0" applyFill="0" applyAlignment="0" applyProtection="0"/>
    <xf numFmtId="0" fontId="40" fillId="24" borderId="133" applyNumberFormat="0" applyAlignment="0" applyProtection="0"/>
    <xf numFmtId="0" fontId="37" fillId="11" borderId="111" applyNumberFormat="0" applyAlignment="0" applyProtection="0"/>
    <xf numFmtId="0" fontId="40" fillId="24" borderId="143" applyNumberFormat="0" applyAlignment="0" applyProtection="0"/>
    <xf numFmtId="0" fontId="40" fillId="24" borderId="123" applyNumberFormat="0" applyAlignment="0" applyProtection="0"/>
    <xf numFmtId="0" fontId="37" fillId="11" borderId="131" applyNumberFormat="0" applyAlignment="0" applyProtection="0"/>
    <xf numFmtId="0" fontId="11" fillId="0" borderId="144" applyNumberFormat="0" applyFill="0" applyAlignment="0" applyProtection="0"/>
    <xf numFmtId="0" fontId="134" fillId="79" borderId="130"/>
    <xf numFmtId="10" fontId="130" fillId="0" borderId="149" applyFont="0" applyAlignment="0">
      <protection locked="0"/>
    </xf>
    <xf numFmtId="0" fontId="122" fillId="83" borderId="117"/>
    <xf numFmtId="0" fontId="11" fillId="0" borderId="144" applyNumberFormat="0" applyFill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0" fillId="24" borderId="133" applyNumberFormat="0" applyAlignment="0" applyProtection="0"/>
    <xf numFmtId="0" fontId="4" fillId="28" borderId="112" applyNumberFormat="0" applyFont="0" applyAlignment="0" applyProtection="0"/>
    <xf numFmtId="0" fontId="115" fillId="0" borderId="127"/>
    <xf numFmtId="0" fontId="4" fillId="28" borderId="132" applyNumberFormat="0" applyFont="0" applyAlignment="0" applyProtection="0"/>
    <xf numFmtId="0" fontId="4" fillId="28" borderId="142" applyNumberFormat="0" applyFont="0" applyAlignment="0" applyProtection="0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37" fillId="11" borderId="111" applyNumberFormat="0" applyAlignment="0" applyProtection="0"/>
    <xf numFmtId="0" fontId="31" fillId="24" borderId="121" applyNumberFormat="0" applyAlignment="0" applyProtection="0"/>
    <xf numFmtId="0" fontId="11" fillId="0" borderId="144" applyNumberFormat="0" applyFill="0" applyAlignment="0" applyProtection="0"/>
    <xf numFmtId="0" fontId="4" fillId="28" borderId="132" applyNumberFormat="0" applyFont="0" applyAlignment="0" applyProtection="0"/>
    <xf numFmtId="0" fontId="115" fillId="92" borderId="127"/>
    <xf numFmtId="0" fontId="11" fillId="0" borderId="124" applyNumberFormat="0" applyFill="0" applyAlignment="0" applyProtection="0"/>
    <xf numFmtId="0" fontId="37" fillId="11" borderId="141" applyNumberFormat="0" applyAlignment="0" applyProtection="0"/>
    <xf numFmtId="10" fontId="130" fillId="0" borderId="139" applyFont="0" applyAlignment="0">
      <protection locked="0"/>
    </xf>
    <xf numFmtId="0" fontId="115" fillId="83" borderId="137"/>
    <xf numFmtId="0" fontId="134" fillId="79" borderId="140"/>
    <xf numFmtId="0" fontId="4" fillId="28" borderId="132" applyNumberFormat="0" applyFont="0" applyAlignment="0" applyProtection="0"/>
    <xf numFmtId="0" fontId="40" fillId="24" borderId="143" applyNumberFormat="0" applyAlignment="0" applyProtection="0"/>
    <xf numFmtId="0" fontId="4" fillId="28" borderId="112" applyNumberFormat="0" applyFont="0" applyAlignment="0" applyProtection="0"/>
    <xf numFmtId="0" fontId="31" fillId="24" borderId="121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4" fillId="28" borderId="142" applyNumberFormat="0" applyFont="0" applyAlignment="0" applyProtection="0"/>
    <xf numFmtId="0" fontId="37" fillId="11" borderId="121" applyNumberFormat="0" applyAlignment="0" applyProtection="0"/>
    <xf numFmtId="0" fontId="11" fillId="0" borderId="124" applyNumberFormat="0" applyFill="0" applyAlignment="0" applyProtection="0"/>
    <xf numFmtId="0" fontId="110" fillId="0" borderId="126"/>
    <xf numFmtId="0" fontId="31" fillId="24" borderId="141" applyNumberFormat="0" applyAlignment="0" applyProtection="0"/>
    <xf numFmtId="0" fontId="4" fillId="28" borderId="122" applyNumberFormat="0" applyFont="0" applyAlignment="0" applyProtection="0"/>
    <xf numFmtId="0" fontId="37" fillId="11" borderId="121" applyNumberFormat="0" applyAlignment="0" applyProtection="0"/>
    <xf numFmtId="0" fontId="5" fillId="0" borderId="126">
      <alignment horizontal="left" vertical="center"/>
    </xf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37" fillId="11" borderId="121" applyNumberFormat="0" applyAlignment="0" applyProtection="0"/>
    <xf numFmtId="0" fontId="31" fillId="24" borderId="121" applyNumberFormat="0" applyAlignment="0" applyProtection="0"/>
    <xf numFmtId="0" fontId="115" fillId="92" borderId="147"/>
    <xf numFmtId="0" fontId="37" fillId="11" borderId="121" applyNumberFormat="0" applyAlignment="0" applyProtection="0"/>
    <xf numFmtId="0" fontId="115" fillId="0" borderId="147"/>
    <xf numFmtId="37" fontId="111" fillId="24" borderId="148"/>
    <xf numFmtId="0" fontId="131" fillId="0" borderId="127"/>
    <xf numFmtId="0" fontId="11" fillId="0" borderId="134" applyNumberFormat="0" applyFill="0" applyAlignment="0" applyProtection="0"/>
    <xf numFmtId="0" fontId="37" fillId="11" borderId="111" applyNumberForma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31" fillId="24" borderId="131" applyNumberFormat="0" applyAlignment="0" applyProtection="0"/>
    <xf numFmtId="0" fontId="31" fillId="24" borderId="111" applyNumberFormat="0" applyAlignment="0" applyProtection="0"/>
    <xf numFmtId="0" fontId="11" fillId="0" borderId="124" applyNumberFormat="0" applyFill="0" applyAlignment="0" applyProtection="0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37" fillId="11" borderId="141" applyNumberFormat="0" applyAlignment="0" applyProtection="0"/>
    <xf numFmtId="0" fontId="115" fillId="83" borderId="127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11" fillId="0" borderId="134" applyNumberFormat="0" applyFill="0" applyAlignment="0" applyProtection="0"/>
    <xf numFmtId="0" fontId="11" fillId="0" borderId="124" applyNumberFormat="0" applyFill="0" applyAlignment="0" applyProtection="0"/>
    <xf numFmtId="0" fontId="4" fillId="28" borderId="112" applyNumberFormat="0" applyFont="0" applyAlignment="0" applyProtection="0"/>
    <xf numFmtId="0" fontId="4" fillId="28" borderId="142" applyNumberFormat="0" applyFont="0" applyAlignment="0" applyProtection="0"/>
    <xf numFmtId="0" fontId="4" fillId="28" borderId="122" applyNumberFormat="0" applyFont="0" applyAlignment="0" applyProtection="0"/>
    <xf numFmtId="0" fontId="4" fillId="28" borderId="132" applyNumberFormat="0" applyFont="0" applyAlignment="0" applyProtection="0"/>
    <xf numFmtId="0" fontId="11" fillId="0" borderId="124" applyNumberFormat="0" applyFill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134" fillId="79" borderId="120"/>
    <xf numFmtId="10" fontId="12" fillId="88" borderId="115" applyNumberFormat="0" applyBorder="0" applyAlignment="0" applyProtection="0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115" fillId="92" borderId="127"/>
    <xf numFmtId="0" fontId="134" fillId="79" borderId="140"/>
    <xf numFmtId="0" fontId="122" fillId="83" borderId="137"/>
    <xf numFmtId="0" fontId="31" fillId="24" borderId="121" applyNumberFormat="0" applyAlignment="0" applyProtection="0"/>
    <xf numFmtId="2" fontId="4" fillId="0" borderId="116" applyNumberFormat="0" applyFont="0" applyFill="0" applyAlignment="0"/>
    <xf numFmtId="0" fontId="134" fillId="79" borderId="140"/>
    <xf numFmtId="0" fontId="31" fillId="24" borderId="141" applyNumberFormat="0" applyAlignment="0" applyProtection="0"/>
    <xf numFmtId="0" fontId="31" fillId="24" borderId="121" applyNumberFormat="0" applyAlignment="0" applyProtection="0"/>
    <xf numFmtId="0" fontId="4" fillId="28" borderId="122" applyNumberFormat="0" applyFont="0" applyAlignment="0" applyProtection="0"/>
    <xf numFmtId="0" fontId="40" fillId="24" borderId="133" applyNumberForma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115" fillId="92" borderId="137"/>
    <xf numFmtId="0" fontId="4" fillId="28" borderId="132" applyNumberFormat="0" applyFont="0" applyAlignment="0" applyProtection="0"/>
    <xf numFmtId="0" fontId="11" fillId="0" borderId="124" applyNumberFormat="0" applyFill="0" applyAlignment="0" applyProtection="0"/>
    <xf numFmtId="0" fontId="115" fillId="83" borderId="137"/>
    <xf numFmtId="0" fontId="4" fillId="28" borderId="142" applyNumberFormat="0" applyFont="0" applyAlignment="0" applyProtection="0"/>
    <xf numFmtId="0" fontId="4" fillId="28" borderId="122" applyNumberFormat="0" applyFon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37" fontId="111" fillId="24" borderId="118"/>
    <xf numFmtId="0" fontId="40" fillId="24" borderId="133" applyNumberFormat="0" applyAlignment="0" applyProtection="0"/>
    <xf numFmtId="10" fontId="130" fillId="0" borderId="149" applyFont="0" applyAlignment="0">
      <protection locked="0"/>
    </xf>
    <xf numFmtId="0" fontId="122" fillId="83" borderId="127"/>
    <xf numFmtId="0" fontId="5" fillId="0" borderId="146">
      <alignment horizontal="left" vertical="center"/>
    </xf>
    <xf numFmtId="0" fontId="37" fillId="11" borderId="121" applyNumberFormat="0" applyAlignment="0" applyProtection="0"/>
    <xf numFmtId="0" fontId="37" fillId="11" borderId="131" applyNumberFormat="0" applyAlignment="0" applyProtection="0"/>
    <xf numFmtId="0" fontId="31" fillId="24" borderId="141" applyNumberFormat="0" applyAlignment="0" applyProtection="0"/>
    <xf numFmtId="0" fontId="4" fillId="28" borderId="122" applyNumberFormat="0" applyFont="0" applyAlignment="0" applyProtection="0"/>
    <xf numFmtId="37" fontId="111" fillId="24" borderId="138"/>
    <xf numFmtId="0" fontId="37" fillId="11" borderId="141" applyNumberFormat="0" applyAlignment="0" applyProtection="0"/>
    <xf numFmtId="0" fontId="11" fillId="0" borderId="124" applyNumberFormat="0" applyFill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115" fillId="92" borderId="137"/>
    <xf numFmtId="0" fontId="110" fillId="0" borderId="146"/>
    <xf numFmtId="0" fontId="4" fillId="28" borderId="122" applyNumberFormat="0" applyFont="0" applyAlignment="0" applyProtection="0"/>
    <xf numFmtId="0" fontId="40" fillId="24" borderId="133" applyNumberFormat="0" applyAlignment="0" applyProtection="0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31" fillId="24" borderId="141" applyNumberFormat="0" applyAlignment="0" applyProtection="0"/>
    <xf numFmtId="0" fontId="31" fillId="24" borderId="111" applyNumberFormat="0" applyAlignment="0" applyProtection="0"/>
    <xf numFmtId="0" fontId="11" fillId="0" borderId="144" applyNumberFormat="0" applyFill="0" applyAlignment="0" applyProtection="0"/>
    <xf numFmtId="0" fontId="37" fillId="11" borderId="141" applyNumberFormat="0" applyAlignment="0" applyProtection="0"/>
    <xf numFmtId="0" fontId="11" fillId="0" borderId="144" applyNumberFormat="0" applyFill="0" applyAlignment="0" applyProtection="0"/>
    <xf numFmtId="0" fontId="40" fillId="24" borderId="133" applyNumberForma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4" fillId="28" borderId="132" applyNumberFormat="0" applyFont="0" applyAlignment="0" applyProtection="0"/>
    <xf numFmtId="0" fontId="11" fillId="0" borderId="124" applyNumberFormat="0" applyFill="0" applyAlignment="0" applyProtection="0"/>
    <xf numFmtId="0" fontId="40" fillId="24" borderId="123" applyNumberFormat="0" applyAlignment="0" applyProtection="0"/>
    <xf numFmtId="2" fontId="4" fillId="0" borderId="146" applyNumberFormat="0" applyFont="0" applyFill="0" applyAlignment="0"/>
    <xf numFmtId="10" fontId="130" fillId="0" borderId="129" applyFont="0" applyAlignment="0">
      <protection locked="0"/>
    </xf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131" fillId="0" borderId="127"/>
    <xf numFmtId="0" fontId="11" fillId="0" borderId="134" applyNumberFormat="0" applyFill="0" applyAlignment="0" applyProtection="0"/>
    <xf numFmtId="2" fontId="4" fillId="0" borderId="116" applyNumberFormat="0" applyFont="0" applyFill="0" applyAlignment="0"/>
    <xf numFmtId="0" fontId="115" fillId="92" borderId="117"/>
    <xf numFmtId="0" fontId="11" fillId="0" borderId="144" applyNumberFormat="0" applyFill="0" applyAlignment="0" applyProtection="0"/>
    <xf numFmtId="0" fontId="4" fillId="28" borderId="122" applyNumberFormat="0" applyFont="0" applyAlignment="0" applyProtection="0"/>
    <xf numFmtId="0" fontId="131" fillId="0" borderId="137"/>
    <xf numFmtId="0" fontId="122" fillId="83" borderId="147"/>
    <xf numFmtId="0" fontId="40" fillId="24" borderId="123" applyNumberFormat="0" applyAlignment="0" applyProtection="0"/>
    <xf numFmtId="0" fontId="11" fillId="0" borderId="144" applyNumberFormat="0" applyFill="0" applyAlignment="0" applyProtection="0"/>
    <xf numFmtId="0" fontId="40" fillId="24" borderId="143" applyNumberFormat="0" applyAlignment="0" applyProtection="0"/>
    <xf numFmtId="0" fontId="11" fillId="0" borderId="134" applyNumberFormat="0" applyFill="0" applyAlignment="0" applyProtection="0"/>
    <xf numFmtId="0" fontId="37" fillId="11" borderId="111" applyNumberForma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11" fillId="0" borderId="134" applyNumberFormat="0" applyFill="0" applyAlignment="0" applyProtection="0"/>
    <xf numFmtId="0" fontId="40" fillId="24" borderId="143" applyNumberFormat="0" applyAlignment="0" applyProtection="0"/>
    <xf numFmtId="0" fontId="31" fillId="24" borderId="131" applyNumberFormat="0" applyAlignment="0" applyProtection="0"/>
    <xf numFmtId="37" fontId="111" fillId="24" borderId="128"/>
    <xf numFmtId="0" fontId="31" fillId="24" borderId="141" applyNumberFormat="0" applyAlignment="0" applyProtection="0"/>
    <xf numFmtId="0" fontId="31" fillId="24" borderId="121" applyNumberFormat="0" applyAlignment="0" applyProtection="0"/>
    <xf numFmtId="0" fontId="11" fillId="0" borderId="134" applyNumberFormat="0" applyFill="0" applyAlignment="0" applyProtection="0"/>
    <xf numFmtId="0" fontId="37" fillId="11" borderId="131" applyNumberFormat="0" applyAlignment="0" applyProtection="0"/>
    <xf numFmtId="0" fontId="31" fillId="24" borderId="111" applyNumberFormat="0" applyAlignment="0" applyProtection="0"/>
    <xf numFmtId="0" fontId="31" fillId="24" borderId="121" applyNumberFormat="0" applyAlignment="0" applyProtection="0"/>
    <xf numFmtId="0" fontId="122" fillId="83" borderId="117"/>
    <xf numFmtId="0" fontId="31" fillId="24" borderId="131" applyNumberFormat="0" applyAlignment="0" applyProtection="0"/>
    <xf numFmtId="0" fontId="11" fillId="0" borderId="124" applyNumberFormat="0" applyFill="0" applyAlignment="0" applyProtection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4" fillId="28" borderId="122" applyNumberFormat="0" applyFont="0" applyAlignment="0" applyProtection="0"/>
    <xf numFmtId="0" fontId="11" fillId="0" borderId="134" applyNumberFormat="0" applyFill="0" applyAlignment="0" applyProtection="0"/>
    <xf numFmtId="0" fontId="11" fillId="0" borderId="144" applyNumberFormat="0" applyFill="0" applyAlignment="0" applyProtection="0"/>
    <xf numFmtId="0" fontId="40" fillId="24" borderId="143" applyNumberFormat="0" applyAlignment="0" applyProtection="0"/>
    <xf numFmtId="0" fontId="11" fillId="0" borderId="134" applyNumberFormat="0" applyFill="0" applyAlignment="0" applyProtection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37" fillId="11" borderId="141" applyNumberFormat="0" applyAlignment="0" applyProtection="0"/>
    <xf numFmtId="0" fontId="131" fillId="0" borderId="127"/>
    <xf numFmtId="0" fontId="37" fillId="11" borderId="141" applyNumberFormat="0" applyAlignment="0" applyProtection="0"/>
    <xf numFmtId="0" fontId="37" fillId="11" borderId="131" applyNumberFormat="0" applyAlignment="0" applyProtection="0"/>
    <xf numFmtId="0" fontId="4" fillId="28" borderId="132" applyNumberFormat="0" applyFont="0" applyAlignment="0" applyProtection="0"/>
    <xf numFmtId="0" fontId="37" fillId="11" borderId="141" applyNumberFormat="0" applyAlignment="0" applyProtection="0"/>
    <xf numFmtId="0" fontId="40" fillId="24" borderId="133" applyNumberFormat="0" applyAlignment="0" applyProtection="0"/>
    <xf numFmtId="0" fontId="31" fillId="24" borderId="121" applyNumberFormat="0" applyAlignment="0" applyProtection="0"/>
    <xf numFmtId="0" fontId="110" fillId="0" borderId="126"/>
    <xf numFmtId="0" fontId="31" fillId="24" borderId="141" applyNumberFormat="0" applyAlignment="0" applyProtection="0"/>
    <xf numFmtId="0" fontId="4" fillId="28" borderId="132" applyNumberFormat="0" applyFont="0" applyAlignment="0" applyProtection="0"/>
    <xf numFmtId="0" fontId="115" fillId="83" borderId="117"/>
    <xf numFmtId="0" fontId="40" fillId="24" borderId="143" applyNumberFormat="0" applyAlignment="0" applyProtection="0"/>
    <xf numFmtId="0" fontId="37" fillId="11" borderId="131" applyNumberFormat="0" applyAlignment="0" applyProtection="0"/>
    <xf numFmtId="0" fontId="31" fillId="24" borderId="121" applyNumberFormat="0" applyAlignment="0" applyProtection="0"/>
    <xf numFmtId="0" fontId="11" fillId="0" borderId="124" applyNumberFormat="0" applyFill="0" applyAlignment="0" applyProtection="0"/>
    <xf numFmtId="2" fontId="4" fillId="0" borderId="126" applyNumberFormat="0" applyFont="0" applyFill="0" applyAlignment="0"/>
    <xf numFmtId="0" fontId="31" fillId="24" borderId="131" applyNumberFormat="0" applyAlignment="0" applyProtection="0"/>
    <xf numFmtId="0" fontId="31" fillId="24" borderId="141" applyNumberFormat="0" applyAlignment="0" applyProtection="0"/>
    <xf numFmtId="2" fontId="4" fillId="0" borderId="126" applyNumberFormat="0" applyFont="0" applyFill="0" applyAlignment="0"/>
    <xf numFmtId="0" fontId="40" fillId="24" borderId="133" applyNumberFormat="0" applyAlignment="0" applyProtection="0"/>
    <xf numFmtId="0" fontId="40" fillId="24" borderId="113" applyNumberFormat="0" applyAlignment="0" applyProtection="0"/>
    <xf numFmtId="0" fontId="11" fillId="0" borderId="134" applyNumberFormat="0" applyFill="0" applyAlignment="0" applyProtection="0"/>
    <xf numFmtId="0" fontId="40" fillId="24" borderId="133" applyNumberFormat="0" applyAlignment="0" applyProtection="0"/>
    <xf numFmtId="0" fontId="5" fillId="0" borderId="146">
      <alignment horizontal="left" vertical="center"/>
    </xf>
    <xf numFmtId="0" fontId="37" fillId="11" borderId="121" applyNumberFormat="0" applyAlignment="0" applyProtection="0"/>
    <xf numFmtId="0" fontId="115" fillId="85" borderId="137"/>
    <xf numFmtId="0" fontId="40" fillId="24" borderId="143" applyNumberFormat="0" applyAlignment="0" applyProtection="0"/>
    <xf numFmtId="0" fontId="11" fillId="0" borderId="134" applyNumberFormat="0" applyFill="0" applyAlignment="0" applyProtection="0"/>
    <xf numFmtId="2" fontId="4" fillId="0" borderId="106" applyNumberFormat="0" applyFont="0" applyFill="0" applyAlignment="0"/>
    <xf numFmtId="0" fontId="110" fillId="0" borderId="106"/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37" fontId="111" fillId="24" borderId="108"/>
    <xf numFmtId="0" fontId="31" fillId="24" borderId="111" applyNumberFormat="0" applyAlignment="0" applyProtection="0"/>
    <xf numFmtId="0" fontId="37" fillId="11" borderId="111" applyNumberFormat="0" applyAlignment="0" applyProtection="0"/>
    <xf numFmtId="0" fontId="115" fillId="85" borderId="117"/>
    <xf numFmtId="0" fontId="37" fillId="11" borderId="111" applyNumberFormat="0" applyAlignment="0" applyProtection="0"/>
    <xf numFmtId="0" fontId="134" fillId="79" borderId="120"/>
    <xf numFmtId="0" fontId="134" fillId="79" borderId="120"/>
    <xf numFmtId="0" fontId="4" fillId="28" borderId="142" applyNumberFormat="0" applyFont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11" fillId="0" borderId="114" applyNumberFormat="0" applyFill="0" applyAlignment="0" applyProtection="0"/>
    <xf numFmtId="0" fontId="4" fillId="28" borderId="122" applyNumberFormat="0" applyFont="0" applyAlignment="0" applyProtection="0"/>
    <xf numFmtId="0" fontId="37" fillId="11" borderId="141" applyNumberFormat="0" applyAlignment="0" applyProtection="0"/>
    <xf numFmtId="0" fontId="110" fillId="0" borderId="136"/>
    <xf numFmtId="0" fontId="115" fillId="0" borderId="117"/>
    <xf numFmtId="0" fontId="4" fillId="28" borderId="112" applyNumberFormat="0" applyFont="0" applyAlignment="0" applyProtection="0"/>
    <xf numFmtId="0" fontId="115" fillId="83" borderId="127"/>
    <xf numFmtId="0" fontId="40" fillId="24" borderId="113" applyNumberFormat="0" applyAlignment="0" applyProtection="0"/>
    <xf numFmtId="0" fontId="4" fillId="28" borderId="112" applyNumberFormat="0" applyFont="0" applyAlignment="0" applyProtection="0"/>
    <xf numFmtId="0" fontId="31" fillId="24" borderId="141" applyNumberFormat="0" applyAlignment="0" applyProtection="0"/>
    <xf numFmtId="0" fontId="37" fillId="11" borderId="111" applyNumberFormat="0" applyAlignment="0" applyProtection="0"/>
    <xf numFmtId="37" fontId="111" fillId="24" borderId="148"/>
    <xf numFmtId="0" fontId="4" fillId="28" borderId="142" applyNumberFormat="0" applyFont="0" applyAlignment="0" applyProtection="0"/>
    <xf numFmtId="0" fontId="40" fillId="24" borderId="123" applyNumberFormat="0" applyAlignment="0" applyProtection="0"/>
    <xf numFmtId="0" fontId="11" fillId="0" borderId="144" applyNumberFormat="0" applyFill="0" applyAlignment="0" applyProtection="0"/>
    <xf numFmtId="0" fontId="122" fillId="83" borderId="137"/>
    <xf numFmtId="0" fontId="11" fillId="0" borderId="134" applyNumberFormat="0" applyFill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31" applyNumberFormat="0" applyAlignment="0" applyProtection="0"/>
    <xf numFmtId="0" fontId="37" fillId="11" borderId="121" applyNumberFormat="0" applyAlignment="0" applyProtection="0"/>
    <xf numFmtId="0" fontId="37" fillId="11" borderId="131" applyNumberFormat="0" applyAlignment="0" applyProtection="0"/>
    <xf numFmtId="0" fontId="115" fillId="83" borderId="127"/>
    <xf numFmtId="0" fontId="37" fillId="11" borderId="131" applyNumberFormat="0" applyAlignment="0" applyProtection="0"/>
    <xf numFmtId="0" fontId="40" fillId="24" borderId="123" applyNumberFormat="0" applyAlignment="0" applyProtection="0"/>
    <xf numFmtId="0" fontId="115" fillId="83" borderId="127"/>
    <xf numFmtId="0" fontId="11" fillId="0" borderId="134" applyNumberFormat="0" applyFill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41" applyNumberFormat="0" applyAlignment="0" applyProtection="0"/>
    <xf numFmtId="2" fontId="4" fillId="0" borderId="136" applyNumberFormat="0" applyFont="0" applyFill="0" applyAlignment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4" fillId="28" borderId="132" applyNumberFormat="0" applyFont="0" applyAlignment="0" applyProtection="0"/>
    <xf numFmtId="0" fontId="31" fillId="24" borderId="141" applyNumberFormat="0" applyAlignment="0" applyProtection="0"/>
    <xf numFmtId="0" fontId="4" fillId="28" borderId="142" applyNumberFormat="0" applyFont="0" applyAlignment="0" applyProtection="0"/>
    <xf numFmtId="0" fontId="115" fillId="83" borderId="127"/>
    <xf numFmtId="0" fontId="4" fillId="28" borderId="142" applyNumberFormat="0" applyFont="0" applyAlignment="0" applyProtection="0"/>
    <xf numFmtId="37" fontId="111" fillId="24" borderId="128"/>
    <xf numFmtId="0" fontId="37" fillId="11" borderId="111" applyNumberFormat="0" applyAlignment="0" applyProtection="0"/>
    <xf numFmtId="0" fontId="40" fillId="24" borderId="113" applyNumberFormat="0" applyAlignment="0" applyProtection="0"/>
    <xf numFmtId="0" fontId="115" fillId="0" borderId="137"/>
    <xf numFmtId="0" fontId="31" fillId="24" borderId="131" applyNumberFormat="0" applyAlignment="0" applyProtection="0"/>
    <xf numFmtId="0" fontId="11" fillId="0" borderId="124" applyNumberFormat="0" applyFill="0" applyAlignment="0" applyProtection="0"/>
    <xf numFmtId="0" fontId="40" fillId="24" borderId="133" applyNumberFormat="0" applyAlignment="0" applyProtection="0"/>
    <xf numFmtId="0" fontId="40" fillId="24" borderId="123" applyNumberFormat="0" applyAlignment="0" applyProtection="0"/>
    <xf numFmtId="0" fontId="31" fillId="24" borderId="131" applyNumberFormat="0" applyAlignment="0" applyProtection="0"/>
    <xf numFmtId="0" fontId="11" fillId="0" borderId="134" applyNumberFormat="0" applyFill="0" applyAlignment="0" applyProtection="0"/>
    <xf numFmtId="0" fontId="37" fillId="11" borderId="131" applyNumberFormat="0" applyAlignment="0" applyProtection="0"/>
    <xf numFmtId="0" fontId="37" fillId="11" borderId="121" applyNumberFormat="0" applyAlignment="0" applyProtection="0"/>
    <xf numFmtId="0" fontId="31" fillId="24" borderId="111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14" applyNumberFormat="0" applyFill="0" applyAlignment="0" applyProtection="0"/>
    <xf numFmtId="0" fontId="37" fillId="11" borderId="111" applyNumberFormat="0" applyAlignment="0" applyProtection="0"/>
    <xf numFmtId="10" fontId="130" fillId="0" borderId="119" applyFont="0" applyAlignment="0">
      <protection locked="0"/>
    </xf>
    <xf numFmtId="0" fontId="37" fillId="11" borderId="131" applyNumberFormat="0" applyAlignment="0" applyProtection="0"/>
    <xf numFmtId="0" fontId="31" fillId="24" borderId="121" applyNumberFormat="0" applyAlignment="0" applyProtection="0"/>
    <xf numFmtId="0" fontId="115" fillId="0" borderId="137"/>
    <xf numFmtId="37" fontId="111" fillId="24" borderId="128"/>
    <xf numFmtId="0" fontId="4" fillId="28" borderId="112" applyNumberFormat="0" applyFont="0" applyAlignment="0" applyProtection="0"/>
    <xf numFmtId="0" fontId="37" fillId="11" borderId="111" applyNumberFormat="0" applyAlignment="0" applyProtection="0"/>
    <xf numFmtId="0" fontId="37" fillId="11" borderId="131" applyNumberFormat="0" applyAlignment="0" applyProtection="0"/>
    <xf numFmtId="0" fontId="11" fillId="0" borderId="114" applyNumberFormat="0" applyFill="0" applyAlignment="0" applyProtection="0"/>
    <xf numFmtId="0" fontId="4" fillId="28" borderId="122" applyNumberFormat="0" applyFont="0" applyAlignment="0" applyProtection="0"/>
    <xf numFmtId="0" fontId="37" fillId="11" borderId="141" applyNumberFormat="0" applyAlignment="0" applyProtection="0"/>
    <xf numFmtId="0" fontId="40" fillId="24" borderId="113" applyNumberFormat="0" applyAlignment="0" applyProtection="0"/>
    <xf numFmtId="0" fontId="31" fillId="24" borderId="131" applyNumberFormat="0" applyAlignment="0" applyProtection="0"/>
    <xf numFmtId="0" fontId="4" fillId="28" borderId="142" applyNumberFormat="0" applyFont="0" applyAlignment="0" applyProtection="0"/>
    <xf numFmtId="0" fontId="11" fillId="0" borderId="114" applyNumberFormat="0" applyFill="0" applyAlignment="0" applyProtection="0"/>
    <xf numFmtId="0" fontId="115" fillId="83" borderId="137"/>
    <xf numFmtId="0" fontId="4" fillId="28" borderId="122" applyNumberFormat="0" applyFont="0" applyAlignment="0" applyProtection="0"/>
    <xf numFmtId="0" fontId="37" fillId="11" borderId="111" applyNumberFormat="0" applyAlignment="0" applyProtection="0"/>
    <xf numFmtId="0" fontId="37" fillId="11" borderId="121" applyNumberFormat="0" applyAlignment="0" applyProtection="0"/>
    <xf numFmtId="0" fontId="11" fillId="0" borderId="134" applyNumberFormat="0" applyFill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40" fillId="24" borderId="133" applyNumberFormat="0" applyAlignment="0" applyProtection="0"/>
    <xf numFmtId="0" fontId="11" fillId="0" borderId="124" applyNumberFormat="0" applyFill="0" applyAlignment="0" applyProtection="0"/>
    <xf numFmtId="0" fontId="40" fillId="24" borderId="113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40" fillId="24" borderId="143" applyNumberFormat="0" applyAlignment="0" applyProtection="0"/>
    <xf numFmtId="0" fontId="4" fillId="28" borderId="122" applyNumberFormat="0" applyFont="0" applyAlignment="0" applyProtection="0"/>
    <xf numFmtId="0" fontId="4" fillId="28" borderId="142" applyNumberFormat="0" applyFont="0" applyAlignment="0" applyProtection="0"/>
    <xf numFmtId="0" fontId="37" fillId="11" borderId="111" applyNumberFormat="0" applyAlignment="0" applyProtection="0"/>
    <xf numFmtId="0" fontId="11" fillId="0" borderId="144" applyNumberFormat="0" applyFill="0" applyAlignment="0" applyProtection="0"/>
    <xf numFmtId="0" fontId="115" fillId="0" borderId="137"/>
    <xf numFmtId="0" fontId="110" fillId="0" borderId="126"/>
    <xf numFmtId="0" fontId="40" fillId="24" borderId="123" applyNumberFormat="0" applyAlignment="0" applyProtection="0"/>
    <xf numFmtId="0" fontId="4" fillId="28" borderId="142" applyNumberFormat="0" applyFont="0" applyAlignment="0" applyProtection="0"/>
    <xf numFmtId="0" fontId="31" fillId="24" borderId="121" applyNumberFormat="0" applyAlignment="0" applyProtection="0"/>
    <xf numFmtId="0" fontId="37" fillId="11" borderId="111" applyNumberFormat="0" applyAlignment="0" applyProtection="0"/>
    <xf numFmtId="0" fontId="4" fillId="28" borderId="142" applyNumberFormat="0" applyFon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4" fillId="28" borderId="122" applyNumberFormat="0" applyFont="0" applyAlignment="0" applyProtection="0"/>
    <xf numFmtId="0" fontId="4" fillId="28" borderId="142" applyNumberFormat="0" applyFont="0" applyAlignment="0" applyProtection="0"/>
    <xf numFmtId="0" fontId="37" fillId="11" borderId="121" applyNumberFormat="0" applyAlignment="0" applyProtection="0"/>
    <xf numFmtId="0" fontId="4" fillId="28" borderId="112" applyNumberFormat="0" applyFont="0" applyAlignment="0" applyProtection="0"/>
    <xf numFmtId="0" fontId="37" fillId="11" borderId="111" applyNumberFormat="0" applyAlignment="0" applyProtection="0"/>
    <xf numFmtId="0" fontId="115" fillId="0" borderId="137"/>
    <xf numFmtId="0" fontId="4" fillId="28" borderId="132" applyNumberFormat="0" applyFont="0" applyAlignment="0" applyProtection="0"/>
    <xf numFmtId="0" fontId="40" fillId="24" borderId="143" applyNumberFormat="0" applyAlignment="0" applyProtection="0"/>
    <xf numFmtId="0" fontId="110" fillId="0" borderId="146"/>
    <xf numFmtId="0" fontId="122" fillId="83" borderId="127"/>
    <xf numFmtId="0" fontId="4" fillId="28" borderId="132" applyNumberFormat="0" applyFont="0" applyAlignment="0" applyProtection="0"/>
    <xf numFmtId="0" fontId="31" fillId="24" borderId="141" applyNumberFormat="0" applyAlignment="0" applyProtection="0"/>
    <xf numFmtId="0" fontId="11" fillId="0" borderId="144" applyNumberFormat="0" applyFill="0" applyAlignment="0" applyProtection="0"/>
    <xf numFmtId="0" fontId="11" fillId="0" borderId="134" applyNumberFormat="0" applyFill="0" applyAlignment="0" applyProtection="0"/>
    <xf numFmtId="0" fontId="40" fillId="24" borderId="113" applyNumberFormat="0" applyAlignment="0" applyProtection="0"/>
    <xf numFmtId="0" fontId="4" fillId="28" borderId="142" applyNumberFormat="0" applyFont="0" applyAlignment="0" applyProtection="0"/>
    <xf numFmtId="0" fontId="4" fillId="28" borderId="132" applyNumberFormat="0" applyFont="0" applyAlignment="0" applyProtection="0"/>
    <xf numFmtId="0" fontId="110" fillId="0" borderId="116"/>
    <xf numFmtId="0" fontId="37" fillId="11" borderId="121" applyNumberFormat="0" applyAlignment="0" applyProtection="0"/>
    <xf numFmtId="0" fontId="4" fillId="28" borderId="122" applyNumberFormat="0" applyFont="0" applyAlignment="0" applyProtection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37" fillId="11" borderId="121" applyNumberFormat="0" applyAlignment="0" applyProtection="0"/>
    <xf numFmtId="0" fontId="31" fillId="24" borderId="141" applyNumberFormat="0" applyAlignment="0" applyProtection="0"/>
    <xf numFmtId="0" fontId="11" fillId="0" borderId="124" applyNumberFormat="0" applyFill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40" fillId="24" borderId="123" applyNumberFormat="0" applyAlignment="0" applyProtection="0"/>
    <xf numFmtId="0" fontId="134" fillId="79" borderId="120"/>
    <xf numFmtId="0" fontId="37" fillId="11" borderId="111" applyNumberFormat="0" applyAlignment="0" applyProtection="0"/>
    <xf numFmtId="0" fontId="110" fillId="0" borderId="146"/>
    <xf numFmtId="0" fontId="4" fillId="28" borderId="132" applyNumberFormat="0" applyFont="0" applyAlignment="0" applyProtection="0"/>
    <xf numFmtId="0" fontId="4" fillId="28" borderId="122" applyNumberFormat="0" applyFont="0" applyAlignment="0" applyProtection="0"/>
    <xf numFmtId="0" fontId="37" fillId="11" borderId="121" applyNumberFormat="0" applyAlignment="0" applyProtection="0"/>
    <xf numFmtId="0" fontId="11" fillId="0" borderId="124" applyNumberFormat="0" applyFill="0" applyAlignment="0" applyProtection="0"/>
    <xf numFmtId="0" fontId="37" fillId="11" borderId="131" applyNumberFormat="0" applyAlignment="0" applyProtection="0"/>
    <xf numFmtId="0" fontId="115" fillId="0" borderId="127"/>
    <xf numFmtId="0" fontId="40" fillId="24" borderId="113" applyNumberFormat="0" applyAlignment="0" applyProtection="0"/>
    <xf numFmtId="0" fontId="37" fillId="11" borderId="111" applyNumberFormat="0" applyAlignment="0" applyProtection="0"/>
    <xf numFmtId="10" fontId="130" fillId="0" borderId="139" applyFont="0" applyAlignment="0">
      <protection locked="0"/>
    </xf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37" fillId="11" borderId="121" applyNumberFormat="0" applyAlignment="0" applyProtection="0"/>
    <xf numFmtId="0" fontId="40" fillId="24" borderId="113" applyNumberFormat="0" applyAlignment="0" applyProtection="0"/>
    <xf numFmtId="0" fontId="4" fillId="28" borderId="112" applyNumberFormat="0" applyFont="0" applyAlignment="0" applyProtection="0"/>
    <xf numFmtId="0" fontId="40" fillId="24" borderId="123" applyNumberFormat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40" fillId="24" borderId="113" applyNumberFormat="0" applyAlignment="0" applyProtection="0"/>
    <xf numFmtId="0" fontId="31" fillId="24" borderId="111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115" fillId="92" borderId="117"/>
    <xf numFmtId="10" fontId="130" fillId="0" borderId="119" applyFont="0" applyAlignment="0">
      <protection locked="0"/>
    </xf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115" fillId="83" borderId="117"/>
    <xf numFmtId="0" fontId="40" fillId="24" borderId="113" applyNumberFormat="0" applyAlignment="0" applyProtection="0"/>
    <xf numFmtId="0" fontId="11" fillId="0" borderId="134" applyNumberFormat="0" applyFill="0" applyAlignment="0" applyProtection="0"/>
    <xf numFmtId="0" fontId="4" fillId="28" borderId="122" applyNumberFormat="0" applyFont="0" applyAlignment="0" applyProtection="0"/>
    <xf numFmtId="0" fontId="31" fillId="24" borderId="111" applyNumberFormat="0" applyAlignment="0" applyProtection="0"/>
    <xf numFmtId="0" fontId="40" fillId="24" borderId="133" applyNumberFormat="0" applyAlignment="0" applyProtection="0"/>
    <xf numFmtId="37" fontId="111" fillId="24" borderId="118"/>
    <xf numFmtId="10" fontId="12" fillId="88" borderId="115" applyNumberFormat="0" applyBorder="0" applyAlignment="0" applyProtection="0"/>
    <xf numFmtId="0" fontId="40" fillId="24" borderId="133" applyNumberFormat="0" applyAlignment="0" applyProtection="0"/>
    <xf numFmtId="0" fontId="11" fillId="0" borderId="124" applyNumberFormat="0" applyFill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1" fillId="24" borderId="131" applyNumberFormat="0" applyAlignment="0" applyProtection="0"/>
    <xf numFmtId="0" fontId="40" fillId="24" borderId="123" applyNumberFormat="0" applyAlignment="0" applyProtection="0"/>
    <xf numFmtId="0" fontId="4" fillId="28" borderId="122" applyNumberFormat="0" applyFont="0" applyAlignment="0" applyProtection="0"/>
    <xf numFmtId="0" fontId="4" fillId="28" borderId="142" applyNumberFormat="0" applyFont="0" applyAlignment="0" applyProtection="0"/>
    <xf numFmtId="0" fontId="115" fillId="85" borderId="137"/>
    <xf numFmtId="0" fontId="115" fillId="83" borderId="137"/>
    <xf numFmtId="0" fontId="4" fillId="28" borderId="122" applyNumberFormat="0" applyFont="0" applyAlignment="0" applyProtection="0"/>
    <xf numFmtId="0" fontId="37" fillId="11" borderId="131" applyNumberFormat="0" applyAlignment="0" applyProtection="0"/>
    <xf numFmtId="0" fontId="11" fillId="0" borderId="134" applyNumberFormat="0" applyFill="0" applyAlignment="0" applyProtection="0"/>
    <xf numFmtId="0" fontId="40" fillId="24" borderId="143" applyNumberFormat="0" applyAlignment="0" applyProtection="0"/>
    <xf numFmtId="0" fontId="31" fillId="24" borderId="141" applyNumberFormat="0" applyAlignment="0" applyProtection="0"/>
    <xf numFmtId="10" fontId="130" fillId="0" borderId="129" applyFont="0" applyAlignment="0">
      <protection locked="0"/>
    </xf>
    <xf numFmtId="0" fontId="37" fillId="11" borderId="121" applyNumberFormat="0" applyAlignment="0" applyProtection="0"/>
    <xf numFmtId="0" fontId="37" fillId="11" borderId="121" applyNumberFormat="0" applyAlignment="0" applyProtection="0"/>
    <xf numFmtId="10" fontId="130" fillId="0" borderId="139" applyFont="0" applyAlignment="0">
      <protection locked="0"/>
    </xf>
    <xf numFmtId="0" fontId="40" fillId="24" borderId="133" applyNumberFormat="0" applyAlignment="0" applyProtection="0"/>
    <xf numFmtId="10" fontId="130" fillId="0" borderId="149" applyFont="0" applyAlignment="0">
      <protection locked="0"/>
    </xf>
    <xf numFmtId="0" fontId="40" fillId="24" borderId="143" applyNumberFormat="0" applyAlignment="0" applyProtection="0"/>
    <xf numFmtId="0" fontId="31" fillId="24" borderId="121" applyNumberFormat="0" applyAlignment="0" applyProtection="0"/>
    <xf numFmtId="0" fontId="40" fillId="24" borderId="143" applyNumberFormat="0" applyAlignment="0" applyProtection="0"/>
    <xf numFmtId="0" fontId="37" fillId="11" borderId="131" applyNumberFormat="0" applyAlignment="0" applyProtection="0"/>
    <xf numFmtId="0" fontId="31" fillId="24" borderId="131" applyNumberFormat="0" applyAlignment="0" applyProtection="0"/>
    <xf numFmtId="0" fontId="4" fillId="28" borderId="142" applyNumberFormat="0" applyFont="0" applyAlignment="0" applyProtection="0"/>
    <xf numFmtId="0" fontId="115" fillId="85" borderId="137"/>
    <xf numFmtId="0" fontId="11" fillId="0" borderId="124" applyNumberFormat="0" applyFill="0" applyAlignment="0" applyProtection="0"/>
    <xf numFmtId="0" fontId="40" fillId="24" borderId="133" applyNumberFormat="0" applyAlignment="0" applyProtection="0"/>
    <xf numFmtId="2" fontId="4" fillId="0" borderId="126" applyNumberFormat="0" applyFont="0" applyFill="0" applyAlignment="0"/>
    <xf numFmtId="0" fontId="11" fillId="0" borderId="124" applyNumberFormat="0" applyFill="0" applyAlignment="0" applyProtection="0"/>
    <xf numFmtId="0" fontId="5" fillId="0" borderId="136">
      <alignment horizontal="left" vertical="center"/>
    </xf>
    <xf numFmtId="0" fontId="37" fillId="11" borderId="131" applyNumberFormat="0" applyAlignment="0" applyProtection="0"/>
    <xf numFmtId="2" fontId="4" fillId="0" borderId="126" applyNumberFormat="0" applyFont="0" applyFill="0" applyAlignment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40" fillId="24" borderId="143" applyNumberFormat="0" applyAlignment="0" applyProtection="0"/>
    <xf numFmtId="0" fontId="4" fillId="28" borderId="122" applyNumberFormat="0" applyFont="0" applyAlignment="0" applyProtection="0"/>
    <xf numFmtId="0" fontId="131" fillId="0" borderId="147"/>
    <xf numFmtId="0" fontId="11" fillId="0" borderId="124" applyNumberFormat="0" applyFill="0" applyAlignment="0" applyProtection="0"/>
    <xf numFmtId="0" fontId="11" fillId="0" borderId="134" applyNumberFormat="0" applyFill="0" applyAlignment="0" applyProtection="0"/>
    <xf numFmtId="0" fontId="37" fillId="11" borderId="121" applyNumberFormat="0" applyAlignment="0" applyProtection="0"/>
    <xf numFmtId="0" fontId="31" fillId="24" borderId="141" applyNumberFormat="0" applyAlignment="0" applyProtection="0"/>
    <xf numFmtId="0" fontId="40" fillId="24" borderId="143" applyNumberFormat="0" applyAlignment="0" applyProtection="0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11" fillId="0" borderId="144" applyNumberFormat="0" applyFill="0" applyAlignment="0" applyProtection="0"/>
    <xf numFmtId="0" fontId="110" fillId="0" borderId="136"/>
    <xf numFmtId="0" fontId="4" fillId="28" borderId="142" applyNumberFormat="0" applyFont="0" applyAlignment="0" applyProtection="0"/>
    <xf numFmtId="0" fontId="4" fillId="28" borderId="132" applyNumberFormat="0" applyFont="0" applyAlignment="0" applyProtection="0"/>
    <xf numFmtId="10" fontId="12" fillId="88" borderId="115" applyNumberFormat="0" applyBorder="0" applyAlignment="0" applyProtection="0"/>
    <xf numFmtId="0" fontId="11" fillId="0" borderId="144" applyNumberFormat="0" applyFill="0" applyAlignment="0" applyProtection="0"/>
    <xf numFmtId="0" fontId="115" fillId="0" borderId="127"/>
    <xf numFmtId="0" fontId="4" fillId="28" borderId="142" applyNumberFormat="0" applyFont="0" applyAlignment="0" applyProtection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115" fillId="0" borderId="147"/>
    <xf numFmtId="0" fontId="37" fillId="11" borderId="121" applyNumberFormat="0" applyAlignment="0" applyProtection="0"/>
    <xf numFmtId="0" fontId="40" fillId="24" borderId="133" applyNumberFormat="0" applyAlignment="0" applyProtection="0"/>
    <xf numFmtId="0" fontId="4" fillId="28" borderId="132" applyNumberFormat="0" applyFont="0" applyAlignment="0" applyProtection="0"/>
    <xf numFmtId="0" fontId="11" fillId="0" borderId="134" applyNumberFormat="0" applyFill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40" fillId="24" borderId="133" applyNumberFormat="0" applyAlignment="0" applyProtection="0"/>
    <xf numFmtId="0" fontId="40" fillId="24" borderId="123" applyNumberFormat="0" applyAlignment="0" applyProtection="0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31" fillId="24" borderId="111" applyNumberFormat="0" applyAlignment="0" applyProtection="0"/>
    <xf numFmtId="0" fontId="11" fillId="0" borderId="124" applyNumberFormat="0" applyFill="0" applyAlignment="0" applyProtection="0"/>
    <xf numFmtId="0" fontId="37" fillId="11" borderId="141" applyNumberFormat="0" applyAlignment="0" applyProtection="0"/>
    <xf numFmtId="0" fontId="4" fillId="28" borderId="132" applyNumberFormat="0" applyFont="0" applyAlignment="0" applyProtection="0"/>
    <xf numFmtId="0" fontId="122" fillId="83" borderId="127"/>
    <xf numFmtId="0" fontId="31" fillId="24" borderId="141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31" fillId="24" borderId="131" applyNumberFormat="0" applyAlignment="0" applyProtection="0"/>
    <xf numFmtId="0" fontId="37" fillId="11" borderId="141" applyNumberFormat="0" applyAlignment="0" applyProtection="0"/>
    <xf numFmtId="0" fontId="11" fillId="0" borderId="124" applyNumberFormat="0" applyFill="0" applyAlignment="0" applyProtection="0"/>
    <xf numFmtId="0" fontId="37" fillId="11" borderId="141" applyNumberFormat="0" applyAlignment="0" applyProtection="0"/>
    <xf numFmtId="0" fontId="131" fillId="0" borderId="147"/>
    <xf numFmtId="0" fontId="11" fillId="0" borderId="114" applyNumberFormat="0" applyFill="0" applyAlignment="0" applyProtection="0"/>
    <xf numFmtId="0" fontId="134" fillId="79" borderId="130"/>
    <xf numFmtId="0" fontId="40" fillId="24" borderId="133" applyNumberFormat="0" applyAlignment="0" applyProtection="0"/>
    <xf numFmtId="0" fontId="5" fillId="0" borderId="136">
      <alignment horizontal="left" vertical="center"/>
    </xf>
    <xf numFmtId="0" fontId="37" fillId="11" borderId="131" applyNumberFormat="0" applyAlignment="0" applyProtection="0"/>
    <xf numFmtId="0" fontId="110" fillId="0" borderId="126"/>
    <xf numFmtId="0" fontId="40" fillId="24" borderId="123" applyNumberFormat="0" applyAlignment="0" applyProtection="0"/>
    <xf numFmtId="0" fontId="11" fillId="0" borderId="134" applyNumberFormat="0" applyFill="0" applyAlignment="0" applyProtection="0"/>
    <xf numFmtId="0" fontId="37" fillId="11" borderId="121" applyNumberFormat="0" applyAlignment="0" applyProtection="0"/>
    <xf numFmtId="0" fontId="115" fillId="85" borderId="147"/>
    <xf numFmtId="0" fontId="11" fillId="0" borderId="124" applyNumberFormat="0" applyFill="0" applyAlignment="0" applyProtection="0"/>
    <xf numFmtId="10" fontId="12" fillId="88" borderId="115" applyNumberFormat="0" applyBorder="0" applyAlignment="0" applyProtection="0"/>
    <xf numFmtId="0" fontId="37" fillId="11" borderId="141" applyNumberFormat="0" applyAlignment="0" applyProtection="0"/>
    <xf numFmtId="0" fontId="11" fillId="0" borderId="144" applyNumberFormat="0" applyFill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40" fillId="24" borderId="133" applyNumberFormat="0" applyAlignment="0" applyProtection="0"/>
    <xf numFmtId="10" fontId="130" fillId="0" borderId="129" applyFont="0" applyAlignment="0">
      <protection locked="0"/>
    </xf>
    <xf numFmtId="0" fontId="4" fillId="28" borderId="132" applyNumberFormat="0" applyFont="0" applyAlignment="0" applyProtection="0"/>
    <xf numFmtId="0" fontId="4" fillId="28" borderId="142" applyNumberFormat="0" applyFont="0" applyAlignment="0" applyProtection="0"/>
    <xf numFmtId="0" fontId="4" fillId="28" borderId="132" applyNumberFormat="0" applyFont="0" applyAlignment="0" applyProtection="0"/>
    <xf numFmtId="0" fontId="11" fillId="0" borderId="124" applyNumberFormat="0" applyFill="0" applyAlignment="0" applyProtection="0"/>
    <xf numFmtId="0" fontId="11" fillId="0" borderId="114" applyNumberFormat="0" applyFill="0" applyAlignment="0" applyProtection="0"/>
    <xf numFmtId="0" fontId="37" fillId="11" borderId="141" applyNumberFormat="0" applyAlignment="0" applyProtection="0"/>
    <xf numFmtId="0" fontId="115" fillId="92" borderId="127"/>
    <xf numFmtId="0" fontId="11" fillId="0" borderId="134" applyNumberFormat="0" applyFill="0" applyAlignment="0" applyProtection="0"/>
    <xf numFmtId="2" fontId="4" fillId="0" borderId="146" applyNumberFormat="0" applyFont="0" applyFill="0" applyAlignment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11" fillId="0" borderId="124" applyNumberFormat="0" applyFill="0" applyAlignment="0" applyProtection="0"/>
    <xf numFmtId="2" fontId="4" fillId="0" borderId="106" applyNumberFormat="0" applyFont="0" applyFill="0" applyAlignment="0"/>
    <xf numFmtId="0" fontId="110" fillId="0" borderId="106"/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0" fontId="37" fillId="11" borderId="131" applyNumberFormat="0" applyAlignment="0" applyProtection="0"/>
    <xf numFmtId="0" fontId="37" fillId="11" borderId="121" applyNumberFormat="0" applyAlignment="0" applyProtection="0"/>
    <xf numFmtId="37" fontId="111" fillId="24" borderId="108"/>
    <xf numFmtId="0" fontId="40" fillId="24" borderId="133" applyNumberFormat="0" applyAlignment="0" applyProtection="0"/>
    <xf numFmtId="0" fontId="31" fillId="24" borderId="111" applyNumberFormat="0" applyAlignment="0" applyProtection="0"/>
    <xf numFmtId="0" fontId="4" fillId="28" borderId="112" applyNumberFormat="0" applyFont="0" applyAlignment="0" applyProtection="0"/>
    <xf numFmtId="0" fontId="122" fillId="83" borderId="117"/>
    <xf numFmtId="0" fontId="37" fillId="11" borderId="111" applyNumberFormat="0" applyAlignment="0" applyProtection="0"/>
    <xf numFmtId="0" fontId="37" fillId="11" borderId="111" applyNumberFormat="0" applyAlignment="0" applyProtection="0"/>
    <xf numFmtId="0" fontId="115" fillId="92" borderId="117"/>
    <xf numFmtId="0" fontId="31" fillId="24" borderId="121" applyNumberFormat="0" applyAlignment="0" applyProtection="0"/>
    <xf numFmtId="0" fontId="40" fillId="24" borderId="113" applyNumberFormat="0" applyAlignment="0" applyProtection="0"/>
    <xf numFmtId="0" fontId="31" fillId="24" borderId="111" applyNumberFormat="0" applyAlignment="0" applyProtection="0"/>
    <xf numFmtId="0" fontId="11" fillId="0" borderId="114" applyNumberFormat="0" applyFill="0" applyAlignment="0" applyProtection="0"/>
    <xf numFmtId="0" fontId="4" fillId="28" borderId="142" applyNumberFormat="0" applyFont="0" applyAlignment="0" applyProtection="0"/>
    <xf numFmtId="0" fontId="31" fillId="24" borderId="141" applyNumberFormat="0" applyAlignment="0" applyProtection="0"/>
    <xf numFmtId="0" fontId="115" fillId="92" borderId="147"/>
    <xf numFmtId="0" fontId="122" fillId="83" borderId="147"/>
    <xf numFmtId="0" fontId="5" fillId="0" borderId="116">
      <alignment horizontal="left" vertical="center"/>
    </xf>
    <xf numFmtId="0" fontId="37" fillId="11" borderId="121" applyNumberFormat="0" applyAlignment="0" applyProtection="0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4" fillId="28" borderId="112" applyNumberFormat="0" applyFont="0" applyAlignment="0" applyProtection="0"/>
    <xf numFmtId="0" fontId="11" fillId="0" borderId="134" applyNumberFormat="0" applyFill="0" applyAlignment="0" applyProtection="0"/>
    <xf numFmtId="0" fontId="37" fillId="11" borderId="131" applyNumberFormat="0" applyAlignment="0" applyProtection="0"/>
    <xf numFmtId="0" fontId="37" fillId="11" borderId="14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2" fontId="4" fillId="0" borderId="106" applyNumberFormat="0" applyFont="0" applyFill="0" applyAlignment="0"/>
    <xf numFmtId="0" fontId="110" fillId="0" borderId="106"/>
    <xf numFmtId="0" fontId="115" fillId="0" borderId="107"/>
    <xf numFmtId="37" fontId="111" fillId="24" borderId="108"/>
    <xf numFmtId="0" fontId="122" fillId="83" borderId="107"/>
    <xf numFmtId="0" fontId="5" fillId="0" borderId="106">
      <alignment horizontal="left" vertical="center"/>
    </xf>
    <xf numFmtId="0" fontId="115" fillId="85" borderId="107"/>
    <xf numFmtId="0" fontId="115" fillId="83" borderId="107"/>
    <xf numFmtId="10" fontId="12" fillId="88" borderId="105" applyNumberFormat="0" applyBorder="0" applyAlignment="0" applyProtection="0"/>
    <xf numFmtId="10" fontId="130" fillId="0" borderId="109" applyFont="0" applyAlignment="0">
      <protection locked="0"/>
    </xf>
    <xf numFmtId="0" fontId="134" fillId="79" borderId="110"/>
    <xf numFmtId="0" fontId="131" fillId="0" borderId="107"/>
    <xf numFmtId="0" fontId="115" fillId="92" borderId="107"/>
    <xf numFmtId="0" fontId="115" fillId="92" borderId="107"/>
    <xf numFmtId="0" fontId="131" fillId="0" borderId="107"/>
    <xf numFmtId="0" fontId="134" fillId="79" borderId="110"/>
    <xf numFmtId="10" fontId="130" fillId="0" borderId="109" applyFont="0" applyAlignment="0">
      <protection locked="0"/>
    </xf>
    <xf numFmtId="0" fontId="115" fillId="83" borderId="107"/>
    <xf numFmtId="0" fontId="115" fillId="85" borderId="107"/>
    <xf numFmtId="0" fontId="122" fillId="83" borderId="107"/>
    <xf numFmtId="0" fontId="115" fillId="0" borderId="107"/>
    <xf numFmtId="0" fontId="122" fillId="83" borderId="107"/>
    <xf numFmtId="10" fontId="130" fillId="0" borderId="109" applyFont="0" applyAlignment="0">
      <protection locked="0"/>
    </xf>
    <xf numFmtId="0" fontId="131" fillId="0" borderId="107"/>
    <xf numFmtId="0" fontId="115" fillId="83" borderId="107"/>
    <xf numFmtId="0" fontId="131" fillId="0" borderId="107"/>
    <xf numFmtId="0" fontId="134" fillId="79" borderId="110"/>
    <xf numFmtId="0" fontId="122" fillId="83" borderId="107"/>
    <xf numFmtId="0" fontId="31" fillId="24" borderId="101" applyNumberFormat="0" applyAlignment="0" applyProtection="0"/>
    <xf numFmtId="0" fontId="37" fillId="11" borderId="101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37" fontId="111" fillId="24" borderId="108"/>
    <xf numFmtId="0" fontId="115" fillId="0" borderId="107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5" fillId="83" borderId="107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115" fillId="85" borderId="107"/>
    <xf numFmtId="2" fontId="4" fillId="0" borderId="106" applyNumberFormat="0" applyFont="0" applyFill="0" applyAlignment="0"/>
    <xf numFmtId="0" fontId="110" fillId="0" borderId="106"/>
    <xf numFmtId="0" fontId="134" fillId="79" borderId="110"/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0" fontId="115" fillId="92" borderId="107"/>
    <xf numFmtId="2" fontId="4" fillId="0" borderId="106" applyNumberFormat="0" applyFont="0" applyFill="0" applyAlignment="0"/>
    <xf numFmtId="0" fontId="110" fillId="0" borderId="106"/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37" fontId="111" fillId="24" borderId="108"/>
    <xf numFmtId="0" fontId="115" fillId="85" borderId="107"/>
    <xf numFmtId="10" fontId="130" fillId="0" borderId="109" applyFont="0" applyAlignment="0">
      <protection locked="0"/>
    </xf>
    <xf numFmtId="0" fontId="115" fillId="92" borderId="107"/>
    <xf numFmtId="0" fontId="115" fillId="0" borderId="107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40" fillId="24" borderId="103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5" fillId="0" borderId="106">
      <alignment horizontal="left" vertical="center"/>
    </xf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11" fillId="0" borderId="104" applyNumberFormat="0" applyFill="0" applyAlignment="0" applyProtection="0"/>
    <xf numFmtId="0" fontId="40" fillId="24" borderId="103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37" fillId="11" borderId="101" applyNumberFormat="0" applyAlignment="0" applyProtection="0"/>
    <xf numFmtId="0" fontId="31" fillId="24" borderId="111" applyNumberFormat="0" applyAlignment="0" applyProtection="0"/>
    <xf numFmtId="0" fontId="40" fillId="24" borderId="143" applyNumberFormat="0" applyAlignment="0" applyProtection="0"/>
    <xf numFmtId="0" fontId="110" fillId="0" borderId="126"/>
    <xf numFmtId="0" fontId="5" fillId="0" borderId="116">
      <alignment horizontal="left" vertical="center"/>
    </xf>
    <xf numFmtId="0" fontId="31" fillId="24" borderId="141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40" fillId="24" borderId="113" applyNumberFormat="0" applyAlignment="0" applyProtection="0"/>
    <xf numFmtId="0" fontId="37" fillId="11" borderId="121" applyNumberFormat="0" applyAlignment="0" applyProtection="0"/>
    <xf numFmtId="0" fontId="11" fillId="0" borderId="114" applyNumberFormat="0" applyFill="0" applyAlignment="0" applyProtection="0"/>
    <xf numFmtId="0" fontId="11" fillId="0" borderId="134" applyNumberFormat="0" applyFill="0" applyAlignment="0" applyProtection="0"/>
    <xf numFmtId="0" fontId="40" fillId="24" borderId="11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110" fillId="0" borderId="146"/>
    <xf numFmtId="0" fontId="40" fillId="24" borderId="113" applyNumberFormat="0" applyAlignment="0" applyProtection="0"/>
    <xf numFmtId="0" fontId="40" fillId="24" borderId="133" applyNumberFormat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115" fillId="85" borderId="127"/>
    <xf numFmtId="0" fontId="40" fillId="24" borderId="113" applyNumberFormat="0" applyAlignment="0" applyProtection="0"/>
    <xf numFmtId="0" fontId="11" fillId="0" borderId="144" applyNumberFormat="0" applyFill="0" applyAlignment="0" applyProtection="0"/>
    <xf numFmtId="0" fontId="40" fillId="24" borderId="133" applyNumberFormat="0" applyAlignment="0" applyProtection="0"/>
    <xf numFmtId="0" fontId="11" fillId="0" borderId="144" applyNumberFormat="0" applyFill="0" applyAlignment="0" applyProtection="0"/>
    <xf numFmtId="0" fontId="4" fillId="28" borderId="132" applyNumberFormat="0" applyFont="0" applyAlignment="0" applyProtection="0"/>
    <xf numFmtId="0" fontId="40" fillId="24" borderId="123" applyNumberFormat="0" applyAlignment="0" applyProtection="0"/>
    <xf numFmtId="0" fontId="37" fillId="11" borderId="111" applyNumberFormat="0" applyAlignment="0" applyProtection="0"/>
    <xf numFmtId="0" fontId="11" fillId="0" borderId="124" applyNumberFormat="0" applyFill="0" applyAlignment="0" applyProtection="0"/>
    <xf numFmtId="0" fontId="31" fillId="24" borderId="121" applyNumberFormat="0" applyAlignment="0" applyProtection="0"/>
    <xf numFmtId="0" fontId="37" fillId="11" borderId="131" applyNumberFormat="0" applyAlignment="0" applyProtection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131" fillId="0" borderId="127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4" fillId="28" borderId="122" applyNumberFormat="0" applyFont="0" applyAlignment="0" applyProtection="0"/>
    <xf numFmtId="0" fontId="37" fillId="11" borderId="111" applyNumberFormat="0" applyAlignment="0" applyProtection="0"/>
    <xf numFmtId="0" fontId="31" fillId="24" borderId="121" applyNumberFormat="0" applyAlignment="0" applyProtection="0"/>
    <xf numFmtId="0" fontId="40" fillId="24" borderId="113" applyNumberFormat="0" applyAlignment="0" applyProtection="0"/>
    <xf numFmtId="37" fontId="111" fillId="24" borderId="138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7" fillId="11" borderId="121" applyNumberFormat="0" applyAlignment="0" applyProtection="0"/>
    <xf numFmtId="0" fontId="4" fillId="28" borderId="112" applyNumberFormat="0" applyFont="0" applyAlignment="0" applyProtection="0"/>
    <xf numFmtId="0" fontId="40" fillId="24" borderId="143" applyNumberFormat="0" applyAlignment="0" applyProtection="0"/>
    <xf numFmtId="0" fontId="11" fillId="0" borderId="124" applyNumberFormat="0" applyFill="0" applyAlignment="0" applyProtection="0"/>
    <xf numFmtId="0" fontId="40" fillId="24" borderId="133" applyNumberFormat="0" applyAlignment="0" applyProtection="0"/>
    <xf numFmtId="0" fontId="11" fillId="0" borderId="114" applyNumberFormat="0" applyFill="0" applyAlignment="0" applyProtection="0"/>
    <xf numFmtId="10" fontId="130" fillId="0" borderId="139" applyFont="0" applyAlignment="0">
      <protection locked="0"/>
    </xf>
    <xf numFmtId="0" fontId="31" fillId="24" borderId="111" applyNumberFormat="0" applyAlignment="0" applyProtection="0"/>
    <xf numFmtId="0" fontId="31" fillId="24" borderId="131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5" fillId="0" borderId="106">
      <alignment horizontal="left" vertical="center"/>
    </xf>
    <xf numFmtId="0" fontId="37" fillId="11" borderId="131" applyNumberFormat="0" applyAlignment="0" applyProtection="0"/>
    <xf numFmtId="0" fontId="31" fillId="24" borderId="121" applyNumberFormat="0" applyAlignment="0" applyProtection="0"/>
    <xf numFmtId="0" fontId="131" fillId="0" borderId="127"/>
    <xf numFmtId="0" fontId="4" fillId="28" borderId="112" applyNumberFormat="0" applyFont="0" applyAlignment="0" applyProtection="0"/>
    <xf numFmtId="0" fontId="122" fillId="83" borderId="127"/>
    <xf numFmtId="0" fontId="115" fillId="0" borderId="127"/>
    <xf numFmtId="0" fontId="115" fillId="0" borderId="127"/>
    <xf numFmtId="0" fontId="4" fillId="28" borderId="132" applyNumberFormat="0" applyFont="0" applyAlignment="0" applyProtection="0"/>
    <xf numFmtId="0" fontId="4" fillId="28" borderId="122" applyNumberFormat="0" applyFont="0" applyAlignment="0" applyProtection="0"/>
    <xf numFmtId="0" fontId="31" fillId="24" borderId="121" applyNumberFormat="0" applyAlignment="0" applyProtection="0"/>
    <xf numFmtId="0" fontId="31" fillId="24" borderId="131" applyNumberFormat="0" applyAlignment="0" applyProtection="0"/>
    <xf numFmtId="0" fontId="37" fillId="11" borderId="111" applyNumberFormat="0" applyAlignment="0" applyProtection="0"/>
    <xf numFmtId="0" fontId="11" fillId="0" borderId="144" applyNumberFormat="0" applyFill="0" applyAlignment="0" applyProtection="0"/>
    <xf numFmtId="0" fontId="37" fillId="11" borderId="101" applyNumberFormat="0" applyAlignment="0" applyProtection="0"/>
    <xf numFmtId="0" fontId="11" fillId="0" borderId="134" applyNumberFormat="0" applyFill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5" fillId="0" borderId="146">
      <alignment horizontal="left" vertical="center"/>
    </xf>
    <xf numFmtId="0" fontId="4" fillId="28" borderId="122" applyNumberFormat="0" applyFont="0" applyAlignment="0" applyProtection="0"/>
    <xf numFmtId="0" fontId="11" fillId="0" borderId="134" applyNumberFormat="0" applyFill="0" applyAlignment="0" applyProtection="0"/>
    <xf numFmtId="0" fontId="134" fillId="79" borderId="140"/>
    <xf numFmtId="0" fontId="4" fillId="28" borderId="132" applyNumberFormat="0" applyFont="0" applyAlignment="0" applyProtection="0"/>
    <xf numFmtId="0" fontId="115" fillId="83" borderId="117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10" fontId="130" fillId="0" borderId="119" applyFont="0" applyAlignment="0">
      <protection locked="0"/>
    </xf>
    <xf numFmtId="0" fontId="37" fillId="11" borderId="121" applyNumberFormat="0" applyAlignment="0" applyProtection="0"/>
    <xf numFmtId="0" fontId="115" fillId="0" borderId="127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37" fillId="11" borderId="121" applyNumberFormat="0" applyAlignment="0" applyProtection="0"/>
    <xf numFmtId="37" fontId="111" fillId="24" borderId="128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31" fillId="24" borderId="111" applyNumberFormat="0" applyAlignment="0" applyProtection="0"/>
    <xf numFmtId="0" fontId="11" fillId="0" borderId="134" applyNumberFormat="0" applyFill="0" applyAlignment="0" applyProtection="0"/>
    <xf numFmtId="0" fontId="40" fillId="24" borderId="143" applyNumberFormat="0" applyAlignment="0" applyProtection="0"/>
    <xf numFmtId="10" fontId="130" fillId="0" borderId="129" applyFont="0" applyAlignment="0">
      <protection locked="0"/>
    </xf>
    <xf numFmtId="0" fontId="11" fillId="0" borderId="114" applyNumberFormat="0" applyFill="0" applyAlignment="0" applyProtection="0"/>
    <xf numFmtId="0" fontId="40" fillId="24" borderId="133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37" fillId="11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40" fillId="24" borderId="133" applyNumberFormat="0" applyAlignment="0" applyProtection="0"/>
    <xf numFmtId="0" fontId="4" fillId="28" borderId="112" applyNumberFormat="0" applyFont="0" applyAlignment="0" applyProtection="0"/>
    <xf numFmtId="0" fontId="4" fillId="28" borderId="122" applyNumberFormat="0" applyFont="0" applyAlignment="0" applyProtection="0"/>
    <xf numFmtId="0" fontId="4" fillId="28" borderId="132" applyNumberFormat="0" applyFont="0" applyAlignment="0" applyProtection="0"/>
    <xf numFmtId="0" fontId="11" fillId="0" borderId="124" applyNumberFormat="0" applyFill="0" applyAlignment="0" applyProtection="0"/>
    <xf numFmtId="0" fontId="37" fillId="11" borderId="121" applyNumberFormat="0" applyAlignment="0" applyProtection="0"/>
    <xf numFmtId="0" fontId="40" fillId="24" borderId="143" applyNumberFormat="0" applyAlignment="0" applyProtection="0"/>
    <xf numFmtId="0" fontId="4" fillId="28" borderId="122" applyNumberFormat="0" applyFont="0" applyAlignment="0" applyProtection="0"/>
    <xf numFmtId="37" fontId="111" fillId="24" borderId="118"/>
    <xf numFmtId="0" fontId="4" fillId="28" borderId="132" applyNumberFormat="0" applyFont="0" applyAlignment="0" applyProtection="0"/>
    <xf numFmtId="0" fontId="5" fillId="0" borderId="126">
      <alignment horizontal="left" vertical="center"/>
    </xf>
    <xf numFmtId="0" fontId="37" fillId="11" borderId="121" applyNumberFormat="0" applyAlignment="0" applyProtection="0"/>
    <xf numFmtId="0" fontId="4" fillId="28" borderId="122" applyNumberFormat="0" applyFon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37" fillId="11" borderId="111" applyNumberFormat="0" applyAlignment="0" applyProtection="0"/>
    <xf numFmtId="0" fontId="37" fillId="11" borderId="141" applyNumberFormat="0" applyAlignment="0" applyProtection="0"/>
    <xf numFmtId="0" fontId="4" fillId="28" borderId="132" applyNumberFormat="0" applyFont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11" fillId="0" borderId="114" applyNumberFormat="0" applyFill="0" applyAlignment="0" applyProtection="0"/>
    <xf numFmtId="0" fontId="37" fillId="11" borderId="111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11" fillId="0" borderId="124" applyNumberFormat="0" applyFill="0" applyAlignment="0" applyProtection="0"/>
    <xf numFmtId="10" fontId="130" fillId="0" borderId="149" applyFont="0" applyAlignment="0">
      <protection locked="0"/>
    </xf>
    <xf numFmtId="0" fontId="31" fillId="24" borderId="121" applyNumberFormat="0" applyAlignment="0" applyProtection="0"/>
    <xf numFmtId="0" fontId="4" fillId="28" borderId="122" applyNumberFormat="0" applyFont="0" applyAlignment="0" applyProtection="0"/>
    <xf numFmtId="0" fontId="37" fillId="11" borderId="101" applyNumberFormat="0" applyAlignment="0" applyProtection="0"/>
    <xf numFmtId="10" fontId="130" fillId="0" borderId="119" applyFont="0" applyAlignment="0">
      <protection locked="0"/>
    </xf>
    <xf numFmtId="0" fontId="37" fillId="11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115" fillId="83" borderId="147"/>
    <xf numFmtId="2" fontId="4" fillId="0" borderId="106" applyNumberFormat="0" applyFont="0" applyFill="0" applyAlignment="0"/>
    <xf numFmtId="0" fontId="110" fillId="0" borderId="106"/>
    <xf numFmtId="0" fontId="115" fillId="0" borderId="107"/>
    <xf numFmtId="0" fontId="4" fillId="28" borderId="102" applyNumberFormat="0" applyFont="0" applyAlignment="0" applyProtection="0"/>
    <xf numFmtId="0" fontId="11" fillId="0" borderId="114" applyNumberFormat="0" applyFill="0" applyAlignment="0" applyProtection="0"/>
    <xf numFmtId="0" fontId="4" fillId="28" borderId="122" applyNumberFormat="0" applyFont="0" applyAlignment="0" applyProtection="0"/>
    <xf numFmtId="0" fontId="115" fillId="0" borderId="117"/>
    <xf numFmtId="0" fontId="11" fillId="0" borderId="124" applyNumberFormat="0" applyFill="0" applyAlignment="0" applyProtection="0"/>
    <xf numFmtId="0" fontId="31" fillId="24" borderId="111" applyNumberFormat="0" applyAlignment="0" applyProtection="0"/>
    <xf numFmtId="0" fontId="4" fillId="28" borderId="112" applyNumberFormat="0" applyFont="0" applyAlignment="0" applyProtection="0"/>
    <xf numFmtId="0" fontId="11" fillId="0" borderId="104" applyNumberFormat="0" applyFill="0" applyAlignment="0" applyProtection="0"/>
    <xf numFmtId="0" fontId="4" fillId="28" borderId="142" applyNumberFormat="0" applyFont="0" applyAlignment="0" applyProtection="0"/>
    <xf numFmtId="0" fontId="115" fillId="92" borderId="147"/>
    <xf numFmtId="0" fontId="37" fillId="11" borderId="141" applyNumberFormat="0" applyAlignment="0" applyProtection="0"/>
    <xf numFmtId="0" fontId="4" fillId="28" borderId="122" applyNumberFormat="0" applyFont="0" applyAlignment="0" applyProtection="0"/>
    <xf numFmtId="0" fontId="11" fillId="0" borderId="124" applyNumberFormat="0" applyFill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10" fontId="130" fillId="0" borderId="129" applyFont="0" applyAlignment="0">
      <protection locked="0"/>
    </xf>
    <xf numFmtId="0" fontId="37" fillId="11" borderId="131" applyNumberForma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1" fillId="24" borderId="121" applyNumberFormat="0" applyAlignment="0" applyProtection="0"/>
    <xf numFmtId="0" fontId="4" fillId="28" borderId="112" applyNumberFormat="0" applyFont="0" applyAlignment="0" applyProtection="0"/>
    <xf numFmtId="0" fontId="4" fillId="28" borderId="132" applyNumberFormat="0" applyFont="0" applyAlignment="0" applyProtection="0"/>
    <xf numFmtId="0" fontId="11" fillId="0" borderId="114" applyNumberFormat="0" applyFill="0" applyAlignment="0" applyProtection="0"/>
    <xf numFmtId="0" fontId="5" fillId="0" borderId="126">
      <alignment horizontal="left" vertical="center"/>
    </xf>
    <xf numFmtId="0" fontId="31" fillId="24" borderId="111" applyNumberFormat="0" applyAlignment="0" applyProtection="0"/>
    <xf numFmtId="0" fontId="40" fillId="24" borderId="113" applyNumberFormat="0" applyAlignment="0" applyProtection="0"/>
    <xf numFmtId="0" fontId="31" fillId="24" borderId="111" applyNumberFormat="0" applyAlignment="0" applyProtection="0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2" fontId="4" fillId="0" borderId="116" applyNumberFormat="0" applyFont="0" applyFill="0" applyAlignment="0"/>
    <xf numFmtId="0" fontId="110" fillId="0" borderId="116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37" fillId="11" borderId="121" applyNumberFormat="0" applyAlignment="0" applyProtection="0"/>
    <xf numFmtId="0" fontId="40" fillId="24" borderId="143" applyNumberFormat="0" applyAlignment="0" applyProtection="0"/>
    <xf numFmtId="0" fontId="40" fillId="24" borderId="123" applyNumberFormat="0" applyAlignment="0" applyProtection="0"/>
    <xf numFmtId="0" fontId="31" fillId="24" borderId="141" applyNumberFormat="0" applyAlignment="0" applyProtection="0"/>
    <xf numFmtId="0" fontId="37" fillId="11" borderId="131" applyNumberFormat="0" applyAlignment="0" applyProtection="0"/>
    <xf numFmtId="0" fontId="31" fillId="24" borderId="131" applyNumberFormat="0" applyAlignment="0" applyProtection="0"/>
    <xf numFmtId="37" fontId="111" fillId="24" borderId="108"/>
    <xf numFmtId="0" fontId="37" fillId="11" borderId="101" applyNumberFormat="0" applyAlignment="0" applyProtection="0"/>
    <xf numFmtId="0" fontId="122" fillId="83" borderId="107"/>
    <xf numFmtId="0" fontId="5" fillId="0" borderId="106">
      <alignment horizontal="left" vertical="center"/>
    </xf>
    <xf numFmtId="0" fontId="115" fillId="85" borderId="107"/>
    <xf numFmtId="0" fontId="115" fillId="83" borderId="107"/>
    <xf numFmtId="10" fontId="12" fillId="88" borderId="105" applyNumberFormat="0" applyBorder="0" applyAlignment="0" applyProtection="0"/>
    <xf numFmtId="10" fontId="130" fillId="0" borderId="109" applyFont="0" applyAlignment="0">
      <protection locked="0"/>
    </xf>
    <xf numFmtId="10" fontId="130" fillId="0" borderId="109" applyFont="0" applyAlignment="0">
      <protection locked="0"/>
    </xf>
    <xf numFmtId="0" fontId="134" fillId="79" borderId="110"/>
    <xf numFmtId="0" fontId="131" fillId="0" borderId="107"/>
    <xf numFmtId="0" fontId="40" fillId="24" borderId="133" applyNumberFormat="0" applyAlignment="0" applyProtection="0"/>
    <xf numFmtId="0" fontId="115" fillId="92" borderId="127"/>
    <xf numFmtId="0" fontId="31" fillId="24" borderId="121" applyNumberFormat="0" applyAlignment="0" applyProtection="0"/>
    <xf numFmtId="0" fontId="11" fillId="0" borderId="144" applyNumberFormat="0" applyFill="0" applyAlignment="0" applyProtection="0"/>
    <xf numFmtId="0" fontId="11" fillId="0" borderId="124" applyNumberFormat="0" applyFill="0" applyAlignment="0" applyProtection="0"/>
    <xf numFmtId="0" fontId="40" fillId="24" borderId="12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37" fillId="11" borderId="131" applyNumberFormat="0" applyAlignment="0" applyProtection="0"/>
    <xf numFmtId="0" fontId="37" fillId="11" borderId="121" applyNumberFormat="0" applyAlignment="0" applyProtection="0"/>
    <xf numFmtId="0" fontId="115" fillId="0" borderId="127"/>
    <xf numFmtId="0" fontId="40" fillId="24" borderId="113" applyNumberFormat="0" applyAlignment="0" applyProtection="0"/>
    <xf numFmtId="0" fontId="5" fillId="0" borderId="116">
      <alignment horizontal="left" vertical="center"/>
    </xf>
    <xf numFmtId="0" fontId="4" fillId="28" borderId="132" applyNumberFormat="0" applyFont="0" applyAlignment="0" applyProtection="0"/>
    <xf numFmtId="0" fontId="115" fillId="83" borderId="147"/>
    <xf numFmtId="0" fontId="31" fillId="24" borderId="121" applyNumberFormat="0" applyAlignment="0" applyProtection="0"/>
    <xf numFmtId="37" fontId="111" fillId="24" borderId="128"/>
    <xf numFmtId="0" fontId="40" fillId="24" borderId="103" applyNumberFormat="0" applyAlignment="0" applyProtection="0"/>
    <xf numFmtId="0" fontId="4" fillId="28" borderId="132" applyNumberFormat="0" applyFont="0" applyAlignment="0" applyProtection="0"/>
    <xf numFmtId="0" fontId="31" fillId="24" borderId="131" applyNumberFormat="0" applyAlignment="0" applyProtection="0"/>
    <xf numFmtId="0" fontId="4" fillId="28" borderId="122" applyNumberFormat="0" applyFont="0" applyAlignment="0" applyProtection="0"/>
    <xf numFmtId="0" fontId="37" fillId="11" borderId="121" applyNumberFormat="0" applyAlignment="0" applyProtection="0"/>
    <xf numFmtId="0" fontId="37" fillId="11" borderId="111" applyNumberForma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31" fillId="24" borderId="111" applyNumberFormat="0" applyAlignment="0" applyProtection="0"/>
    <xf numFmtId="0" fontId="11" fillId="0" borderId="144" applyNumberFormat="0" applyFill="0" applyAlignment="0" applyProtection="0"/>
    <xf numFmtId="0" fontId="4" fillId="28" borderId="132" applyNumberFormat="0" applyFont="0" applyAlignment="0" applyProtection="0"/>
    <xf numFmtId="0" fontId="37" fillId="11" borderId="131" applyNumberFormat="0" applyAlignment="0" applyProtection="0"/>
    <xf numFmtId="0" fontId="131" fillId="0" borderId="127"/>
    <xf numFmtId="0" fontId="5" fillId="0" borderId="136">
      <alignment horizontal="left" vertical="center"/>
    </xf>
    <xf numFmtId="0" fontId="37" fillId="11" borderId="141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44" applyNumberFormat="0" applyFill="0" applyAlignment="0" applyProtection="0"/>
    <xf numFmtId="0" fontId="40" fillId="24" borderId="123" applyNumberFormat="0" applyAlignment="0" applyProtection="0"/>
    <xf numFmtId="0" fontId="37" fillId="11" borderId="131" applyNumberFormat="0" applyAlignment="0" applyProtection="0"/>
    <xf numFmtId="0" fontId="4" fillId="28" borderId="132" applyNumberFormat="0" applyFon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40" fillId="24" borderId="133" applyNumberFormat="0" applyAlignment="0" applyProtection="0"/>
    <xf numFmtId="0" fontId="4" fillId="28" borderId="132" applyNumberFormat="0" applyFont="0" applyAlignment="0" applyProtection="0"/>
    <xf numFmtId="0" fontId="5" fillId="0" borderId="136">
      <alignment horizontal="left" vertical="center"/>
    </xf>
    <xf numFmtId="0" fontId="11" fillId="0" borderId="134" applyNumberFormat="0" applyFill="0" applyAlignment="0" applyProtection="0"/>
    <xf numFmtId="0" fontId="37" fillId="11" borderId="131" applyNumberFormat="0" applyAlignment="0" applyProtection="0"/>
    <xf numFmtId="0" fontId="37" fillId="11" borderId="111" applyNumberFormat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2" fontId="4" fillId="0" borderId="146" applyNumberFormat="0" applyFont="0" applyFill="0" applyAlignment="0"/>
    <xf numFmtId="0" fontId="37" fillId="11" borderId="121" applyNumberFormat="0" applyAlignment="0" applyProtection="0"/>
    <xf numFmtId="0" fontId="31" fillId="24" borderId="121" applyNumberFormat="0" applyAlignment="0" applyProtection="0"/>
    <xf numFmtId="37" fontId="111" fillId="24" borderId="148"/>
    <xf numFmtId="0" fontId="37" fillId="11" borderId="101" applyNumberFormat="0" applyAlignment="0" applyProtection="0"/>
    <xf numFmtId="0" fontId="37" fillId="11" borderId="101" applyNumberFormat="0" applyAlignment="0" applyProtection="0"/>
    <xf numFmtId="2" fontId="4" fillId="0" borderId="146" applyNumberFormat="0" applyFont="0" applyFill="0" applyAlignment="0"/>
    <xf numFmtId="0" fontId="134" fillId="79" borderId="12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37" fillId="11" borderId="121" applyNumberFormat="0" applyAlignment="0" applyProtection="0"/>
    <xf numFmtId="0" fontId="11" fillId="0" borderId="104" applyNumberFormat="0" applyFill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31" fillId="24" borderId="141" applyNumberFormat="0" applyAlignment="0" applyProtection="0"/>
    <xf numFmtId="0" fontId="4" fillId="28" borderId="132" applyNumberFormat="0" applyFont="0" applyAlignment="0" applyProtection="0"/>
    <xf numFmtId="0" fontId="31" fillId="24" borderId="141" applyNumberFormat="0" applyAlignment="0" applyProtection="0"/>
    <xf numFmtId="0" fontId="134" fillId="79" borderId="130"/>
    <xf numFmtId="0" fontId="40" fillId="24" borderId="123" applyNumberFormat="0" applyAlignment="0" applyProtection="0"/>
    <xf numFmtId="0" fontId="4" fillId="28" borderId="13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11" fillId="0" borderId="134" applyNumberFormat="0" applyFill="0" applyAlignment="0" applyProtection="0"/>
    <xf numFmtId="0" fontId="4" fillId="28" borderId="142" applyNumberFormat="0" applyFont="0" applyAlignment="0" applyProtection="0"/>
    <xf numFmtId="0" fontId="4" fillId="28" borderId="122" applyNumberFormat="0" applyFont="0" applyAlignment="0" applyProtection="0"/>
    <xf numFmtId="0" fontId="37" fillId="11" borderId="131" applyNumberFormat="0" applyAlignment="0" applyProtection="0"/>
    <xf numFmtId="0" fontId="37" fillId="11" borderId="141" applyNumberFormat="0" applyAlignment="0" applyProtection="0"/>
    <xf numFmtId="0" fontId="131" fillId="0" borderId="117"/>
    <xf numFmtId="0" fontId="31" fillId="24" borderId="141" applyNumberFormat="0" applyAlignment="0" applyProtection="0"/>
    <xf numFmtId="0" fontId="5" fillId="0" borderId="116">
      <alignment horizontal="left" vertical="center"/>
    </xf>
    <xf numFmtId="0" fontId="4" fillId="28" borderId="122" applyNumberFormat="0" applyFont="0" applyAlignment="0" applyProtection="0"/>
    <xf numFmtId="0" fontId="31" fillId="24" borderId="121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4" fillId="28" borderId="132" applyNumberFormat="0" applyFont="0" applyAlignment="0" applyProtection="0"/>
    <xf numFmtId="0" fontId="11" fillId="0" borderId="144" applyNumberFormat="0" applyFill="0" applyAlignment="0" applyProtection="0"/>
    <xf numFmtId="0" fontId="37" fillId="11" borderId="131" applyNumberFormat="0" applyAlignment="0" applyProtection="0"/>
    <xf numFmtId="0" fontId="11" fillId="0" borderId="134" applyNumberFormat="0" applyFill="0" applyAlignment="0" applyProtection="0"/>
    <xf numFmtId="0" fontId="115" fillId="92" borderId="137"/>
    <xf numFmtId="0" fontId="110" fillId="0" borderId="126"/>
    <xf numFmtId="0" fontId="11" fillId="0" borderId="124" applyNumberFormat="0" applyFill="0" applyAlignment="0" applyProtection="0"/>
    <xf numFmtId="0" fontId="40" fillId="24" borderId="113" applyNumberFormat="0" applyAlignment="0" applyProtection="0"/>
    <xf numFmtId="0" fontId="4" fillId="28" borderId="142" applyNumberFormat="0" applyFont="0" applyAlignment="0" applyProtection="0"/>
    <xf numFmtId="0" fontId="37" fillId="11" borderId="141" applyNumberFormat="0" applyAlignment="0" applyProtection="0"/>
    <xf numFmtId="0" fontId="37" fillId="11" borderId="121" applyNumberFormat="0" applyAlignment="0" applyProtection="0"/>
    <xf numFmtId="0" fontId="40" fillId="24" borderId="133" applyNumberFormat="0" applyAlignment="0" applyProtection="0"/>
    <xf numFmtId="0" fontId="4" fillId="28" borderId="132" applyNumberFormat="0" applyFont="0" applyAlignment="0" applyProtection="0"/>
    <xf numFmtId="0" fontId="122" fillId="83" borderId="147"/>
    <xf numFmtId="0" fontId="31" fillId="24" borderId="141" applyNumberFormat="0" applyAlignment="0" applyProtection="0"/>
    <xf numFmtId="0" fontId="11" fillId="0" borderId="144" applyNumberFormat="0" applyFill="0" applyAlignment="0" applyProtection="0"/>
    <xf numFmtId="0" fontId="37" fillId="11" borderId="141" applyNumberFormat="0" applyAlignment="0" applyProtection="0"/>
    <xf numFmtId="0" fontId="37" fillId="11" borderId="131" applyNumberFormat="0" applyAlignment="0" applyProtection="0"/>
    <xf numFmtId="0" fontId="115" fillId="92" borderId="107"/>
    <xf numFmtId="0" fontId="40" fillId="24" borderId="133" applyNumberFormat="0" applyAlignment="0" applyProtection="0"/>
    <xf numFmtId="0" fontId="115" fillId="92" borderId="107"/>
    <xf numFmtId="0" fontId="131" fillId="0" borderId="107"/>
    <xf numFmtId="0" fontId="134" fillId="79" borderId="110"/>
    <xf numFmtId="10" fontId="130" fillId="0" borderId="109" applyFont="0" applyAlignment="0">
      <protection locked="0"/>
    </xf>
    <xf numFmtId="0" fontId="115" fillId="83" borderId="107"/>
    <xf numFmtId="0" fontId="115" fillId="85" borderId="107"/>
    <xf numFmtId="0" fontId="122" fillId="83" borderId="107"/>
    <xf numFmtId="0" fontId="31" fillId="24" borderId="111" applyNumberFormat="0" applyAlignment="0" applyProtection="0"/>
    <xf numFmtId="0" fontId="37" fillId="11" borderId="111" applyNumberFormat="0" applyAlignment="0" applyProtection="0"/>
    <xf numFmtId="0" fontId="115" fillId="0" borderId="107"/>
    <xf numFmtId="10" fontId="130" fillId="0" borderId="119" applyFont="0" applyAlignment="0">
      <protection locked="0"/>
    </xf>
    <xf numFmtId="0" fontId="115" fillId="0" borderId="127"/>
    <xf numFmtId="0" fontId="31" fillId="24" borderId="111" applyNumberFormat="0" applyAlignment="0" applyProtection="0"/>
    <xf numFmtId="0" fontId="115" fillId="83" borderId="117"/>
    <xf numFmtId="10" fontId="12" fillId="88" borderId="115" applyNumberFormat="0" applyBorder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40" fillId="24" borderId="133" applyNumberFormat="0" applyAlignment="0" applyProtection="0"/>
    <xf numFmtId="37" fontId="111" fillId="24" borderId="118"/>
    <xf numFmtId="0" fontId="40" fillId="24" borderId="113" applyNumberFormat="0" applyAlignment="0" applyProtection="0"/>
    <xf numFmtId="0" fontId="134" fillId="79" borderId="150"/>
    <xf numFmtId="0" fontId="31" fillId="24" borderId="141" applyNumberFormat="0" applyAlignment="0" applyProtection="0"/>
    <xf numFmtId="0" fontId="31" fillId="24" borderId="131" applyNumberFormat="0" applyAlignment="0" applyProtection="0"/>
    <xf numFmtId="0" fontId="31" fillId="24" borderId="141" applyNumberForma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1" fillId="24" borderId="121" applyNumberFormat="0" applyAlignment="0" applyProtection="0"/>
    <xf numFmtId="2" fontId="4" fillId="0" borderId="116" applyNumberFormat="0" applyFont="0" applyFill="0" applyAlignment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4" fillId="28" borderId="112" applyNumberFormat="0" applyFont="0" applyAlignment="0" applyProtection="0"/>
    <xf numFmtId="0" fontId="37" fillId="11" borderId="111" applyNumberFormat="0" applyAlignment="0" applyProtection="0"/>
    <xf numFmtId="0" fontId="40" fillId="24" borderId="143" applyNumberFormat="0" applyAlignment="0" applyProtection="0"/>
    <xf numFmtId="0" fontId="115" fillId="83" borderId="147"/>
    <xf numFmtId="0" fontId="31" fillId="24" borderId="141" applyNumberFormat="0" applyAlignment="0" applyProtection="0"/>
    <xf numFmtId="0" fontId="122" fillId="83" borderId="107"/>
    <xf numFmtId="10" fontId="130" fillId="0" borderId="109" applyFont="0" applyAlignment="0">
      <protection locked="0"/>
    </xf>
    <xf numFmtId="0" fontId="131" fillId="0" borderId="107"/>
    <xf numFmtId="0" fontId="115" fillId="83" borderId="107"/>
    <xf numFmtId="0" fontId="131" fillId="0" borderId="107"/>
    <xf numFmtId="0" fontId="134" fillId="79" borderId="110"/>
    <xf numFmtId="0" fontId="122" fillId="83" borderId="107"/>
    <xf numFmtId="0" fontId="31" fillId="24" borderId="101" applyNumberFormat="0" applyAlignment="0" applyProtection="0"/>
    <xf numFmtId="0" fontId="37" fillId="11" borderId="101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10" fontId="130" fillId="0" borderId="129" applyFont="0" applyAlignment="0">
      <protection locked="0"/>
    </xf>
    <xf numFmtId="0" fontId="11" fillId="0" borderId="134" applyNumberFormat="0" applyFill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40" fillId="24" borderId="123" applyNumberForma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31" fillId="24" borderId="121" applyNumberFormat="0" applyAlignment="0" applyProtection="0"/>
    <xf numFmtId="0" fontId="11" fillId="0" borderId="144" applyNumberFormat="0" applyFill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42" applyNumberFormat="0" applyFont="0" applyAlignment="0" applyProtection="0"/>
    <xf numFmtId="0" fontId="37" fillId="11" borderId="141" applyNumberFormat="0" applyAlignment="0" applyProtection="0"/>
    <xf numFmtId="0" fontId="11" fillId="0" borderId="144" applyNumberFormat="0" applyFill="0" applyAlignment="0" applyProtection="0"/>
    <xf numFmtId="0" fontId="134" fillId="79" borderId="130"/>
    <xf numFmtId="0" fontId="31" fillId="24" borderId="131" applyNumberFormat="0" applyAlignment="0" applyProtection="0"/>
    <xf numFmtId="0" fontId="31" fillId="24" borderId="141" applyNumberFormat="0" applyAlignment="0" applyProtection="0"/>
    <xf numFmtId="0" fontId="31" fillId="24" borderId="121" applyNumberFormat="0" applyAlignment="0" applyProtection="0"/>
    <xf numFmtId="0" fontId="37" fillId="11" borderId="131" applyNumberFormat="0" applyAlignment="0" applyProtection="0"/>
    <xf numFmtId="0" fontId="4" fillId="28" borderId="142" applyNumberFormat="0" applyFont="0" applyAlignment="0" applyProtection="0"/>
    <xf numFmtId="0" fontId="40" fillId="24" borderId="113" applyNumberFormat="0" applyAlignment="0" applyProtection="0"/>
    <xf numFmtId="0" fontId="37" fillId="11" borderId="131" applyNumberFormat="0" applyAlignment="0" applyProtection="0"/>
    <xf numFmtId="2" fontId="4" fillId="0" borderId="126" applyNumberFormat="0" applyFont="0" applyFill="0" applyAlignment="0"/>
    <xf numFmtId="0" fontId="31" fillId="24" borderId="131" applyNumberFormat="0" applyAlignment="0" applyProtection="0"/>
    <xf numFmtId="0" fontId="31" fillId="24" borderId="141" applyNumberFormat="0" applyAlignment="0" applyProtection="0"/>
    <xf numFmtId="0" fontId="11" fillId="0" borderId="124" applyNumberFormat="0" applyFill="0" applyAlignment="0" applyProtection="0"/>
    <xf numFmtId="0" fontId="115" fillId="83" borderId="127"/>
    <xf numFmtId="0" fontId="4" fillId="28" borderId="142" applyNumberFormat="0" applyFont="0" applyAlignment="0" applyProtection="0"/>
    <xf numFmtId="0" fontId="4" fillId="28" borderId="132" applyNumberFormat="0" applyFont="0" applyAlignment="0" applyProtection="0"/>
    <xf numFmtId="0" fontId="4" fillId="28" borderId="122" applyNumberFormat="0" applyFont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11" fillId="0" borderId="114" applyNumberFormat="0" applyFill="0" applyAlignment="0" applyProtection="0"/>
    <xf numFmtId="0" fontId="4" fillId="28" borderId="122" applyNumberFormat="0" applyFont="0" applyAlignment="0" applyProtection="0"/>
    <xf numFmtId="0" fontId="4" fillId="28" borderId="142" applyNumberFormat="0" applyFont="0" applyAlignment="0" applyProtection="0"/>
    <xf numFmtId="0" fontId="134" fillId="79" borderId="120"/>
    <xf numFmtId="0" fontId="31" fillId="24" borderId="121" applyNumberFormat="0" applyAlignment="0" applyProtection="0"/>
    <xf numFmtId="0" fontId="122" fillId="83" borderId="137"/>
    <xf numFmtId="0" fontId="37" fillId="11" borderId="131" applyNumberFormat="0" applyAlignment="0" applyProtection="0"/>
    <xf numFmtId="0" fontId="11" fillId="0" borderId="124" applyNumberFormat="0" applyFill="0" applyAlignment="0" applyProtection="0"/>
    <xf numFmtId="0" fontId="37" fillId="11" borderId="111" applyNumberFormat="0" applyAlignment="0" applyProtection="0"/>
    <xf numFmtId="0" fontId="31" fillId="24" borderId="121" applyNumberFormat="0" applyAlignment="0" applyProtection="0"/>
    <xf numFmtId="0" fontId="110" fillId="0" borderId="146"/>
    <xf numFmtId="0" fontId="37" fillId="11" borderId="131" applyNumberFormat="0" applyAlignment="0" applyProtection="0"/>
    <xf numFmtId="0" fontId="40" fillId="24" borderId="133" applyNumberFormat="0" applyAlignment="0" applyProtection="0"/>
    <xf numFmtId="0" fontId="131" fillId="0" borderId="117"/>
    <xf numFmtId="0" fontId="40" fillId="24" borderId="123" applyNumberFormat="0" applyAlignment="0" applyProtection="0"/>
    <xf numFmtId="0" fontId="4" fillId="28" borderId="142" applyNumberFormat="0" applyFont="0" applyAlignment="0" applyProtection="0"/>
    <xf numFmtId="0" fontId="37" fillId="11" borderId="141" applyNumberFormat="0" applyAlignment="0" applyProtection="0"/>
    <xf numFmtId="37" fontId="111" fillId="24" borderId="118"/>
    <xf numFmtId="37" fontId="111" fillId="24" borderId="148"/>
    <xf numFmtId="0" fontId="31" fillId="24" borderId="141" applyNumberFormat="0" applyAlignment="0" applyProtection="0"/>
    <xf numFmtId="0" fontId="4" fillId="28" borderId="112" applyNumberFormat="0" applyFont="0" applyAlignment="0" applyProtection="0"/>
    <xf numFmtId="0" fontId="37" fillId="11" borderId="111" applyNumberFormat="0" applyAlignment="0" applyProtection="0"/>
    <xf numFmtId="0" fontId="31" fillId="24" borderId="141" applyNumberFormat="0" applyAlignment="0" applyProtection="0"/>
    <xf numFmtId="0" fontId="40" fillId="24" borderId="113" applyNumberFormat="0" applyAlignment="0" applyProtection="0"/>
    <xf numFmtId="0" fontId="5" fillId="0" borderId="126">
      <alignment horizontal="left" vertical="center"/>
    </xf>
    <xf numFmtId="0" fontId="4" fillId="28" borderId="112" applyNumberFormat="0" applyFont="0" applyAlignment="0" applyProtection="0"/>
    <xf numFmtId="0" fontId="11" fillId="0" borderId="144" applyNumberFormat="0" applyFill="0" applyAlignment="0" applyProtection="0"/>
    <xf numFmtId="0" fontId="11" fillId="0" borderId="114" applyNumberFormat="0" applyFill="0" applyAlignment="0" applyProtection="0"/>
    <xf numFmtId="0" fontId="5" fillId="0" borderId="146">
      <alignment horizontal="left" vertical="center"/>
    </xf>
    <xf numFmtId="0" fontId="37" fillId="11" borderId="131" applyNumberFormat="0" applyAlignment="0" applyProtection="0"/>
    <xf numFmtId="0" fontId="5" fillId="0" borderId="146">
      <alignment horizontal="left" vertical="center"/>
    </xf>
    <xf numFmtId="0" fontId="37" fillId="11" borderId="111" applyNumberFormat="0" applyAlignment="0" applyProtection="0"/>
    <xf numFmtId="37" fontId="111" fillId="24" borderId="108"/>
    <xf numFmtId="0" fontId="115" fillId="0" borderId="107"/>
    <xf numFmtId="0" fontId="115" fillId="83" borderId="117"/>
    <xf numFmtId="0" fontId="31" fillId="24" borderId="111" applyNumberFormat="0" applyAlignment="0" applyProtection="0"/>
    <xf numFmtId="0" fontId="31" fillId="24" borderId="131" applyNumberFormat="0" applyAlignment="0" applyProtection="0"/>
    <xf numFmtId="0" fontId="40" fillId="24" borderId="113" applyNumberFormat="0" applyAlignment="0" applyProtection="0"/>
    <xf numFmtId="37" fontId="111" fillId="24" borderId="148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37" fillId="11" borderId="111" applyNumberFormat="0" applyAlignment="0" applyProtection="0"/>
    <xf numFmtId="0" fontId="40" fillId="24" borderId="143" applyNumberFormat="0" applyAlignment="0" applyProtection="0"/>
    <xf numFmtId="0" fontId="4" fillId="28" borderId="122" applyNumberFormat="0" applyFont="0" applyAlignment="0" applyProtection="0"/>
    <xf numFmtId="0" fontId="115" fillId="85" borderId="127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2" fontId="4" fillId="0" borderId="136" applyNumberFormat="0" applyFont="0" applyFill="0" applyAlignment="0"/>
    <xf numFmtId="0" fontId="115" fillId="83" borderId="107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11" fillId="0" borderId="144" applyNumberFormat="0" applyFill="0" applyAlignment="0" applyProtection="0"/>
    <xf numFmtId="0" fontId="131" fillId="0" borderId="137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37" fillId="11" borderId="111" applyNumberFormat="0" applyAlignment="0" applyProtection="0"/>
    <xf numFmtId="0" fontId="11" fillId="0" borderId="144" applyNumberFormat="0" applyFill="0" applyAlignment="0" applyProtection="0"/>
    <xf numFmtId="0" fontId="4" fillId="28" borderId="122" applyNumberFormat="0" applyFont="0" applyAlignment="0" applyProtection="0"/>
    <xf numFmtId="0" fontId="4" fillId="28" borderId="132" applyNumberFormat="0" applyFont="0" applyAlignment="0" applyProtection="0"/>
    <xf numFmtId="10" fontId="130" fillId="0" borderId="149" applyFont="0" applyAlignment="0">
      <protection locked="0"/>
    </xf>
    <xf numFmtId="0" fontId="4" fillId="28" borderId="142" applyNumberFormat="0" applyFont="0" applyAlignment="0" applyProtection="0"/>
    <xf numFmtId="0" fontId="40" fillId="24" borderId="123" applyNumberFormat="0" applyAlignment="0" applyProtection="0"/>
    <xf numFmtId="0" fontId="4" fillId="28" borderId="122" applyNumberFormat="0" applyFont="0" applyAlignment="0" applyProtection="0"/>
    <xf numFmtId="0" fontId="40" fillId="24" borderId="143" applyNumberFormat="0" applyAlignment="0" applyProtection="0"/>
    <xf numFmtId="0" fontId="37" fillId="11" borderId="131" applyNumberFormat="0" applyAlignment="0" applyProtection="0"/>
    <xf numFmtId="0" fontId="40" fillId="24" borderId="143" applyNumberFormat="0" applyAlignment="0" applyProtection="0"/>
    <xf numFmtId="0" fontId="4" fillId="28" borderId="112" applyNumberFormat="0" applyFont="0" applyAlignment="0" applyProtection="0"/>
    <xf numFmtId="0" fontId="40" fillId="24" borderId="143" applyNumberFormat="0" applyAlignment="0" applyProtection="0"/>
    <xf numFmtId="0" fontId="131" fillId="0" borderId="127"/>
    <xf numFmtId="0" fontId="31" fillId="24" borderId="121" applyNumberFormat="0" applyAlignment="0" applyProtection="0"/>
    <xf numFmtId="0" fontId="40" fillId="24" borderId="123" applyNumberFormat="0" applyAlignment="0" applyProtection="0"/>
    <xf numFmtId="0" fontId="115" fillId="0" borderId="147"/>
    <xf numFmtId="0" fontId="115" fillId="85" borderId="107"/>
    <xf numFmtId="0" fontId="11" fillId="0" borderId="124" applyNumberFormat="0" applyFill="0" applyAlignment="0" applyProtection="0"/>
    <xf numFmtId="0" fontId="5" fillId="0" borderId="116">
      <alignment horizontal="left" vertical="center"/>
    </xf>
    <xf numFmtId="0" fontId="134" fillId="79" borderId="120"/>
    <xf numFmtId="0" fontId="31" fillId="24" borderId="121" applyNumberFormat="0" applyAlignment="0" applyProtection="0"/>
    <xf numFmtId="0" fontId="115" fillId="83" borderId="127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11" fillId="0" borderId="134" applyNumberFormat="0" applyFill="0" applyAlignment="0" applyProtection="0"/>
    <xf numFmtId="0" fontId="122" fillId="83" borderId="137"/>
    <xf numFmtId="0" fontId="115" fillId="83" borderId="117"/>
    <xf numFmtId="0" fontId="4" fillId="28" borderId="132" applyNumberFormat="0" applyFont="0" applyAlignment="0" applyProtection="0"/>
    <xf numFmtId="0" fontId="37" fillId="11" borderId="111" applyNumberFormat="0" applyAlignment="0" applyProtection="0"/>
    <xf numFmtId="2" fontId="4" fillId="0" borderId="106" applyNumberFormat="0" applyFont="0" applyFill="0" applyAlignment="0"/>
    <xf numFmtId="0" fontId="110" fillId="0" borderId="106"/>
    <xf numFmtId="0" fontId="134" fillId="79" borderId="110"/>
    <xf numFmtId="0" fontId="5" fillId="0" borderId="146">
      <alignment horizontal="left" vertical="center"/>
    </xf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31" applyNumberFormat="0" applyAlignment="0" applyProtection="0"/>
    <xf numFmtId="0" fontId="40" fillId="24" borderId="113" applyNumberFormat="0" applyAlignment="0" applyProtection="0"/>
    <xf numFmtId="0" fontId="4" fillId="28" borderId="142" applyNumberFormat="0" applyFont="0" applyAlignment="0" applyProtection="0"/>
    <xf numFmtId="0" fontId="4" fillId="28" borderId="122" applyNumberFormat="0" applyFont="0" applyAlignment="0" applyProtection="0"/>
    <xf numFmtId="0" fontId="115" fillId="0" borderId="137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115" fillId="85" borderId="137"/>
    <xf numFmtId="0" fontId="4" fillId="28" borderId="112" applyNumberFormat="0" applyFont="0" applyAlignment="0" applyProtection="0"/>
    <xf numFmtId="37" fontId="111" fillId="24" borderId="148"/>
    <xf numFmtId="0" fontId="4" fillId="28" borderId="132" applyNumberFormat="0" applyFont="0" applyAlignment="0" applyProtection="0"/>
    <xf numFmtId="0" fontId="37" fillId="11" borderId="111" applyNumberForma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5" fillId="0" borderId="116">
      <alignment horizontal="left" vertical="center"/>
    </xf>
    <xf numFmtId="37" fontId="111" fillId="24" borderId="118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40" fillId="24" borderId="123" applyNumberFormat="0" applyAlignment="0" applyProtection="0"/>
    <xf numFmtId="0" fontId="31" fillId="24" borderId="111" applyNumberFormat="0" applyAlignment="0" applyProtection="0"/>
    <xf numFmtId="0" fontId="4" fillId="28" borderId="142" applyNumberFormat="0" applyFont="0" applyAlignment="0" applyProtection="0"/>
    <xf numFmtId="0" fontId="37" fillId="11" borderId="141" applyNumberFormat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110" fillId="0" borderId="116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0" fontId="31" fillId="24" borderId="121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31" fillId="24" borderId="131" applyNumberFormat="0" applyAlignment="0" applyProtection="0"/>
    <xf numFmtId="0" fontId="11" fillId="0" borderId="134" applyNumberFormat="0" applyFill="0" applyAlignment="0" applyProtection="0"/>
    <xf numFmtId="0" fontId="110" fillId="0" borderId="126"/>
    <xf numFmtId="0" fontId="11" fillId="0" borderId="144" applyNumberFormat="0" applyFill="0" applyAlignment="0" applyProtection="0"/>
    <xf numFmtId="0" fontId="31" fillId="24" borderId="121" applyNumberFormat="0" applyAlignment="0" applyProtection="0"/>
    <xf numFmtId="0" fontId="4" fillId="28" borderId="122" applyNumberFormat="0" applyFont="0" applyAlignment="0" applyProtection="0"/>
    <xf numFmtId="0" fontId="31" fillId="24" borderId="141" applyNumberFormat="0" applyAlignment="0" applyProtection="0"/>
    <xf numFmtId="2" fontId="4" fillId="0" borderId="146" applyNumberFormat="0" applyFont="0" applyFill="0" applyAlignment="0"/>
    <xf numFmtId="0" fontId="31" fillId="24" borderId="141" applyNumberFormat="0" applyAlignment="0" applyProtection="0"/>
    <xf numFmtId="10" fontId="130" fillId="0" borderId="149" applyFont="0" applyAlignment="0">
      <protection locked="0"/>
    </xf>
    <xf numFmtId="0" fontId="40" fillId="24" borderId="143" applyNumberFormat="0" applyAlignment="0" applyProtection="0"/>
    <xf numFmtId="0" fontId="40" fillId="24" borderId="133" applyNumberFormat="0" applyAlignment="0" applyProtection="0"/>
    <xf numFmtId="0" fontId="31" fillId="24" borderId="121" applyNumberFormat="0" applyAlignment="0" applyProtection="0"/>
    <xf numFmtId="0" fontId="5" fillId="0" borderId="136">
      <alignment horizontal="left" vertical="center"/>
    </xf>
    <xf numFmtId="0" fontId="131" fillId="0" borderId="147"/>
    <xf numFmtId="0" fontId="31" fillId="24" borderId="131" applyNumberFormat="0" applyAlignment="0" applyProtection="0"/>
    <xf numFmtId="0" fontId="11" fillId="0" borderId="134" applyNumberFormat="0" applyFill="0" applyAlignment="0" applyProtection="0"/>
    <xf numFmtId="0" fontId="115" fillId="83" borderId="137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37" fillId="11" borderId="141" applyNumberFormat="0" applyAlignment="0" applyProtection="0"/>
    <xf numFmtId="0" fontId="31" fillId="24" borderId="121" applyNumberFormat="0" applyAlignment="0" applyProtection="0"/>
    <xf numFmtId="0" fontId="131" fillId="0" borderId="137"/>
    <xf numFmtId="0" fontId="4" fillId="28" borderId="122" applyNumberFormat="0" applyFont="0" applyAlignment="0" applyProtection="0"/>
    <xf numFmtId="0" fontId="115" fillId="92" borderId="147"/>
    <xf numFmtId="0" fontId="131" fillId="0" borderId="137"/>
    <xf numFmtId="0" fontId="11" fillId="0" borderId="134" applyNumberFormat="0" applyFill="0" applyAlignment="0" applyProtection="0"/>
    <xf numFmtId="0" fontId="4" fillId="28" borderId="112" applyNumberFormat="0" applyFont="0" applyAlignment="0" applyProtection="0"/>
    <xf numFmtId="0" fontId="4" fillId="28" borderId="122" applyNumberFormat="0" applyFon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31" fillId="24" borderId="111" applyNumberFormat="0" applyAlignment="0" applyProtection="0"/>
    <xf numFmtId="0" fontId="37" fillId="11" borderId="141" applyNumberFormat="0" applyAlignment="0" applyProtection="0"/>
    <xf numFmtId="0" fontId="11" fillId="0" borderId="134" applyNumberFormat="0" applyFill="0" applyAlignment="0" applyProtection="0"/>
    <xf numFmtId="0" fontId="31" fillId="24" borderId="121" applyNumberFormat="0" applyAlignment="0" applyProtection="0"/>
    <xf numFmtId="0" fontId="115" fillId="85" borderId="147"/>
    <xf numFmtId="0" fontId="37" fillId="11" borderId="141" applyNumberFormat="0" applyAlignment="0" applyProtection="0"/>
    <xf numFmtId="0" fontId="40" fillId="24" borderId="143" applyNumberForma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110" fillId="0" borderId="116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40" fillId="24" borderId="133" applyNumberFormat="0" applyAlignment="0" applyProtection="0"/>
    <xf numFmtId="0" fontId="4" fillId="28" borderId="142" applyNumberFormat="0" applyFont="0" applyAlignment="0" applyProtection="0"/>
    <xf numFmtId="0" fontId="31" fillId="24" borderId="141" applyNumberFormat="0" applyAlignment="0" applyProtection="0"/>
    <xf numFmtId="0" fontId="110" fillId="0" borderId="136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31" fillId="24" borderId="111" applyNumberFormat="0" applyAlignment="0" applyProtection="0"/>
    <xf numFmtId="0" fontId="4" fillId="28" borderId="142" applyNumberFormat="0" applyFon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37" fillId="11" borderId="111" applyNumberFormat="0" applyAlignment="0" applyProtection="0"/>
    <xf numFmtId="10" fontId="130" fillId="0" borderId="119" applyFont="0" applyAlignment="0">
      <protection locked="0"/>
    </xf>
    <xf numFmtId="0" fontId="31" fillId="24" borderId="141" applyNumberFormat="0" applyAlignment="0" applyProtection="0"/>
    <xf numFmtId="0" fontId="115" fillId="0" borderId="117"/>
    <xf numFmtId="0" fontId="11" fillId="0" borderId="124" applyNumberFormat="0" applyFill="0" applyAlignment="0" applyProtection="0"/>
    <xf numFmtId="0" fontId="11" fillId="0" borderId="134" applyNumberFormat="0" applyFill="0" applyAlignment="0" applyProtection="0"/>
    <xf numFmtId="0" fontId="31" fillId="24" borderId="131" applyNumberFormat="0" applyAlignment="0" applyProtection="0"/>
    <xf numFmtId="0" fontId="115" fillId="0" borderId="127"/>
    <xf numFmtId="0" fontId="4" fillId="28" borderId="122" applyNumberFormat="0" applyFont="0" applyAlignment="0" applyProtection="0"/>
    <xf numFmtId="0" fontId="11" fillId="0" borderId="124" applyNumberFormat="0" applyFill="0" applyAlignment="0" applyProtection="0"/>
    <xf numFmtId="0" fontId="115" fillId="92" borderId="137"/>
    <xf numFmtId="0" fontId="4" fillId="28" borderId="142" applyNumberFormat="0" applyFont="0" applyAlignment="0" applyProtection="0"/>
    <xf numFmtId="2" fontId="4" fillId="0" borderId="136" applyNumberFormat="0" applyFont="0" applyFill="0" applyAlignment="0"/>
    <xf numFmtId="0" fontId="4" fillId="28" borderId="122" applyNumberFormat="0" applyFon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1" fillId="24" borderId="131" applyNumberFormat="0" applyAlignment="0" applyProtection="0"/>
    <xf numFmtId="0" fontId="122" fillId="83" borderId="117"/>
    <xf numFmtId="0" fontId="11" fillId="0" borderId="124" applyNumberFormat="0" applyFill="0" applyAlignment="0" applyProtection="0"/>
    <xf numFmtId="0" fontId="115" fillId="83" borderId="137"/>
    <xf numFmtId="0" fontId="11" fillId="0" borderId="124" applyNumberFormat="0" applyFill="0" applyAlignment="0" applyProtection="0"/>
    <xf numFmtId="0" fontId="131" fillId="0" borderId="127"/>
    <xf numFmtId="0" fontId="31" fillId="24" borderId="121" applyNumberFormat="0" applyAlignment="0" applyProtection="0"/>
    <xf numFmtId="0" fontId="31" fillId="24" borderId="141" applyNumberFormat="0" applyAlignment="0" applyProtection="0"/>
    <xf numFmtId="0" fontId="4" fillId="28" borderId="142" applyNumberFormat="0" applyFont="0" applyAlignment="0" applyProtection="0"/>
    <xf numFmtId="0" fontId="115" fillId="92" borderId="107"/>
    <xf numFmtId="0" fontId="11" fillId="0" borderId="124" applyNumberFormat="0" applyFill="0" applyAlignment="0" applyProtection="0"/>
    <xf numFmtId="0" fontId="37" fillId="11" borderId="141" applyNumberFormat="0" applyAlignment="0" applyProtection="0"/>
    <xf numFmtId="0" fontId="40" fillId="24" borderId="113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40" fillId="24" borderId="143" applyNumberFormat="0" applyAlignment="0" applyProtection="0"/>
    <xf numFmtId="37" fontId="111" fillId="24" borderId="138"/>
    <xf numFmtId="0" fontId="37" fillId="11" borderId="131" applyNumberFormat="0" applyAlignment="0" applyProtection="0"/>
    <xf numFmtId="0" fontId="115" fillId="92" borderId="127"/>
    <xf numFmtId="10" fontId="130" fillId="0" borderId="149" applyFont="0" applyAlignment="0">
      <protection locked="0"/>
    </xf>
    <xf numFmtId="10" fontId="130" fillId="0" borderId="139" applyFont="0" applyAlignment="0">
      <protection locked="0"/>
    </xf>
    <xf numFmtId="2" fontId="4" fillId="0" borderId="106" applyNumberFormat="0" applyFont="0" applyFill="0" applyAlignment="0"/>
    <xf numFmtId="0" fontId="110" fillId="0" borderId="106"/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0" fontId="134" fillId="79" borderId="150"/>
    <xf numFmtId="0" fontId="4" fillId="28" borderId="132" applyNumberFormat="0" applyFont="0" applyAlignment="0" applyProtection="0"/>
    <xf numFmtId="0" fontId="11" fillId="0" borderId="144" applyNumberFormat="0" applyFill="0" applyAlignment="0" applyProtection="0"/>
    <xf numFmtId="37" fontId="111" fillId="24" borderId="108"/>
    <xf numFmtId="0" fontId="31" fillId="24" borderId="111" applyNumberFormat="0" applyAlignment="0" applyProtection="0"/>
    <xf numFmtId="0" fontId="37" fillId="11" borderId="111" applyNumberFormat="0" applyAlignment="0" applyProtection="0"/>
    <xf numFmtId="0" fontId="122" fillId="83" borderId="117"/>
    <xf numFmtId="0" fontId="37" fillId="11" borderId="111" applyNumberFormat="0" applyAlignment="0" applyProtection="0"/>
    <xf numFmtId="0" fontId="122" fillId="83" borderId="117"/>
    <xf numFmtId="0" fontId="4" fillId="28" borderId="142" applyNumberFormat="0" applyFont="0" applyAlignment="0" applyProtection="0"/>
    <xf numFmtId="0" fontId="131" fillId="0" borderId="117"/>
    <xf numFmtId="0" fontId="37" fillId="11" borderId="131" applyNumberFormat="0" applyAlignment="0" applyProtection="0"/>
    <xf numFmtId="0" fontId="122" fillId="83" borderId="127"/>
    <xf numFmtId="0" fontId="40" fillId="24" borderId="113" applyNumberFormat="0" applyAlignment="0" applyProtection="0"/>
    <xf numFmtId="0" fontId="31" fillId="24" borderId="111" applyNumberFormat="0" applyAlignment="0" applyProtection="0"/>
    <xf numFmtId="0" fontId="11" fillId="0" borderId="114" applyNumberFormat="0" applyFill="0" applyAlignment="0" applyProtection="0"/>
    <xf numFmtId="0" fontId="40" fillId="24" borderId="123" applyNumberFormat="0" applyAlignment="0" applyProtection="0"/>
    <xf numFmtId="0" fontId="31" fillId="24" borderId="121" applyNumberFormat="0" applyAlignment="0" applyProtection="0"/>
    <xf numFmtId="0" fontId="115" fillId="83" borderId="147"/>
    <xf numFmtId="0" fontId="11" fillId="0" borderId="144" applyNumberFormat="0" applyFill="0" applyAlignment="0" applyProtection="0"/>
    <xf numFmtId="37" fontId="111" fillId="24" borderId="118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37" fillId="11" borderId="111" applyNumberFormat="0" applyAlignment="0" applyProtection="0"/>
    <xf numFmtId="10" fontId="130" fillId="0" borderId="139" applyFont="0" applyAlignment="0">
      <protection locked="0"/>
    </xf>
    <xf numFmtId="0" fontId="11" fillId="0" borderId="124" applyNumberFormat="0" applyFill="0" applyAlignment="0" applyProtection="0"/>
    <xf numFmtId="0" fontId="31" fillId="24" borderId="121" applyNumberFormat="0" applyAlignment="0" applyProtection="0"/>
    <xf numFmtId="0" fontId="115" fillId="85" borderId="107"/>
    <xf numFmtId="10" fontId="130" fillId="0" borderId="109" applyFont="0" applyAlignment="0">
      <protection locked="0"/>
    </xf>
    <xf numFmtId="0" fontId="115" fillId="92" borderId="107"/>
    <xf numFmtId="0" fontId="115" fillId="0" borderId="107"/>
    <xf numFmtId="0" fontId="40" fillId="24" borderId="133" applyNumberFormat="0" applyAlignment="0" applyProtection="0"/>
    <xf numFmtId="0" fontId="115" fillId="92" borderId="117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37" fillId="11" borderId="131" applyNumberFormat="0" applyAlignment="0" applyProtection="0"/>
    <xf numFmtId="0" fontId="31" fillId="24" borderId="14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31" fillId="0" borderId="127"/>
    <xf numFmtId="0" fontId="31" fillId="24" borderId="111" applyNumberFormat="0" applyAlignment="0" applyProtection="0"/>
    <xf numFmtId="0" fontId="31" fillId="24" borderId="141" applyNumberFormat="0" applyAlignment="0" applyProtection="0"/>
    <xf numFmtId="0" fontId="4" fillId="28" borderId="132" applyNumberFormat="0" applyFont="0" applyAlignment="0" applyProtection="0"/>
    <xf numFmtId="0" fontId="40" fillId="24" borderId="123" applyNumberFormat="0" applyAlignment="0" applyProtection="0"/>
    <xf numFmtId="0" fontId="115" fillId="85" borderId="147"/>
    <xf numFmtId="0" fontId="5" fillId="0" borderId="126">
      <alignment horizontal="left" vertical="center"/>
    </xf>
    <xf numFmtId="0" fontId="11" fillId="0" borderId="144" applyNumberFormat="0" applyFill="0" applyAlignment="0" applyProtection="0"/>
    <xf numFmtId="0" fontId="37" fillId="11" borderId="141" applyNumberFormat="0" applyAlignment="0" applyProtection="0"/>
    <xf numFmtId="10" fontId="12" fillId="88" borderId="115" applyNumberFormat="0" applyBorder="0" applyAlignment="0" applyProtection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11" fillId="0" borderId="114" applyNumberFormat="0" applyFill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5" fillId="0" borderId="126">
      <alignment horizontal="left" vertical="center"/>
    </xf>
    <xf numFmtId="0" fontId="115" fillId="92" borderId="147"/>
    <xf numFmtId="0" fontId="37" fillId="11" borderId="131" applyNumberForma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31" fillId="24" borderId="141" applyNumberFormat="0" applyAlignment="0" applyProtection="0"/>
    <xf numFmtId="0" fontId="11" fillId="0" borderId="144" applyNumberFormat="0" applyFill="0" applyAlignment="0" applyProtection="0"/>
    <xf numFmtId="0" fontId="4" fillId="28" borderId="122" applyNumberFormat="0" applyFont="0" applyAlignment="0" applyProtection="0"/>
    <xf numFmtId="0" fontId="31" fillId="24" borderId="121" applyNumberFormat="0" applyAlignment="0" applyProtection="0"/>
    <xf numFmtId="0" fontId="37" fillId="11" borderId="131" applyNumberFormat="0" applyAlignment="0" applyProtection="0"/>
    <xf numFmtId="0" fontId="40" fillId="24" borderId="113" applyNumberFormat="0" applyAlignment="0" applyProtection="0"/>
    <xf numFmtId="0" fontId="11" fillId="0" borderId="124" applyNumberFormat="0" applyFill="0" applyAlignment="0" applyProtection="0"/>
    <xf numFmtId="0" fontId="11" fillId="0" borderId="134" applyNumberFormat="0" applyFill="0" applyAlignment="0" applyProtection="0"/>
    <xf numFmtId="0" fontId="37" fillId="11" borderId="121" applyNumberFormat="0" applyAlignment="0" applyProtection="0"/>
    <xf numFmtId="37" fontId="111" fillId="24" borderId="138"/>
    <xf numFmtId="0" fontId="11" fillId="0" borderId="134" applyNumberFormat="0" applyFill="0" applyAlignment="0" applyProtection="0"/>
    <xf numFmtId="0" fontId="11" fillId="0" borderId="114" applyNumberFormat="0" applyFill="0" applyAlignment="0" applyProtection="0"/>
    <xf numFmtId="0" fontId="115" fillId="92" borderId="137"/>
    <xf numFmtId="0" fontId="4" fillId="28" borderId="132" applyNumberFormat="0" applyFont="0" applyAlignment="0" applyProtection="0"/>
    <xf numFmtId="0" fontId="4" fillId="28" borderId="112" applyNumberFormat="0" applyFont="0" applyAlignment="0" applyProtection="0"/>
    <xf numFmtId="0" fontId="11" fillId="0" borderId="124" applyNumberFormat="0" applyFill="0" applyAlignment="0" applyProtection="0"/>
    <xf numFmtId="0" fontId="31" fillId="24" borderId="111" applyNumberFormat="0" applyAlignment="0" applyProtection="0"/>
    <xf numFmtId="0" fontId="5" fillId="0" borderId="126">
      <alignment horizontal="left" vertical="center"/>
    </xf>
    <xf numFmtId="0" fontId="40" fillId="24" borderId="113" applyNumberFormat="0" applyAlignment="0" applyProtection="0"/>
    <xf numFmtId="0" fontId="37" fillId="11" borderId="121" applyNumberFormat="0" applyAlignment="0" applyProtection="0"/>
    <xf numFmtId="0" fontId="11" fillId="0" borderId="144" applyNumberFormat="0" applyFill="0" applyAlignment="0" applyProtection="0"/>
    <xf numFmtId="0" fontId="31" fillId="24" borderId="131" applyNumberFormat="0" applyAlignment="0" applyProtection="0"/>
    <xf numFmtId="0" fontId="11" fillId="0" borderId="144" applyNumberFormat="0" applyFill="0" applyAlignment="0" applyProtection="0"/>
    <xf numFmtId="0" fontId="37" fillId="11" borderId="111" applyNumberFormat="0" applyAlignment="0" applyProtection="0"/>
    <xf numFmtId="0" fontId="37" fillId="11" borderId="121" applyNumberFormat="0" applyAlignment="0" applyProtection="0"/>
    <xf numFmtId="10" fontId="130" fillId="0" borderId="139" applyFont="0" applyAlignment="0">
      <protection locked="0"/>
    </xf>
    <xf numFmtId="0" fontId="40" fillId="24" borderId="133" applyNumberFormat="0" applyAlignment="0" applyProtection="0"/>
    <xf numFmtId="0" fontId="31" fillId="24" borderId="121" applyNumberFormat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31" fillId="24" borderId="131" applyNumberFormat="0" applyAlignment="0" applyProtection="0"/>
    <xf numFmtId="0" fontId="37" fillId="11" borderId="111" applyNumberFormat="0" applyAlignment="0" applyProtection="0"/>
    <xf numFmtId="0" fontId="11" fillId="0" borderId="124" applyNumberFormat="0" applyFill="0" applyAlignment="0" applyProtection="0"/>
    <xf numFmtId="0" fontId="40" fillId="24" borderId="113" applyNumberFormat="0" applyAlignment="0" applyProtection="0"/>
    <xf numFmtId="0" fontId="11" fillId="0" borderId="144" applyNumberFormat="0" applyFill="0" applyAlignment="0" applyProtection="0"/>
    <xf numFmtId="0" fontId="31" fillId="24" borderId="141" applyNumberFormat="0" applyAlignment="0" applyProtection="0"/>
    <xf numFmtId="0" fontId="31" fillId="24" borderId="121" applyNumberFormat="0" applyAlignment="0" applyProtection="0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4" fillId="28" borderId="142" applyNumberFormat="0" applyFont="0" applyAlignment="0" applyProtection="0"/>
    <xf numFmtId="0" fontId="31" fillId="24" borderId="111" applyNumberFormat="0" applyAlignment="0" applyProtection="0"/>
    <xf numFmtId="0" fontId="31" fillId="24" borderId="131" applyNumberFormat="0" applyAlignment="0" applyProtection="0"/>
    <xf numFmtId="0" fontId="40" fillId="24" borderId="123" applyNumberFormat="0" applyAlignment="0" applyProtection="0"/>
    <xf numFmtId="0" fontId="110" fillId="0" borderId="136"/>
    <xf numFmtId="0" fontId="40" fillId="24" borderId="143" applyNumberFormat="0" applyAlignment="0" applyProtection="0"/>
    <xf numFmtId="0" fontId="11" fillId="0" borderId="134" applyNumberFormat="0" applyFill="0" applyAlignment="0" applyProtection="0"/>
    <xf numFmtId="0" fontId="40" fillId="24" borderId="113" applyNumberForma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37" fillId="11" borderId="131" applyNumberFormat="0" applyAlignment="0" applyProtection="0"/>
    <xf numFmtId="0" fontId="115" fillId="83" borderId="137"/>
    <xf numFmtId="0" fontId="5" fillId="0" borderId="126">
      <alignment horizontal="left" vertical="center"/>
    </xf>
    <xf numFmtId="0" fontId="37" fillId="11" borderId="121" applyNumberFormat="0" applyAlignment="0" applyProtection="0"/>
    <xf numFmtId="0" fontId="31" fillId="24" borderId="131" applyNumberFormat="0" applyAlignment="0" applyProtection="0"/>
    <xf numFmtId="0" fontId="37" fillId="11" borderId="111" applyNumberFormat="0" applyAlignment="0" applyProtection="0"/>
    <xf numFmtId="0" fontId="11" fillId="0" borderId="144" applyNumberFormat="0" applyFill="0" applyAlignment="0" applyProtection="0"/>
    <xf numFmtId="0" fontId="4" fillId="28" borderId="122" applyNumberFormat="0" applyFon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5" fillId="85" borderId="117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" fillId="28" borderId="112" applyNumberFormat="0" applyFont="0" applyAlignment="0" applyProtection="0"/>
    <xf numFmtId="0" fontId="40" fillId="24" borderId="143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31" fillId="24" borderId="111" applyNumberFormat="0" applyAlignment="0" applyProtection="0"/>
    <xf numFmtId="0" fontId="37" fillId="11" borderId="121" applyNumberFormat="0" applyAlignment="0" applyProtection="0"/>
    <xf numFmtId="0" fontId="31" fillId="24" borderId="141" applyNumberFormat="0" applyAlignment="0" applyProtection="0"/>
    <xf numFmtId="0" fontId="40" fillId="24" borderId="133" applyNumberFormat="0" applyAlignment="0" applyProtection="0"/>
    <xf numFmtId="0" fontId="40" fillId="24" borderId="123" applyNumberFormat="0" applyAlignment="0" applyProtection="0"/>
    <xf numFmtId="0" fontId="4" fillId="28" borderId="142" applyNumberFormat="0" applyFont="0" applyAlignment="0" applyProtection="0"/>
    <xf numFmtId="0" fontId="31" fillId="24" borderId="121" applyNumberFormat="0" applyAlignment="0" applyProtection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4" fillId="28" borderId="122" applyNumberFormat="0" applyFont="0" applyAlignment="0" applyProtection="0"/>
    <xf numFmtId="0" fontId="5" fillId="0" borderId="146">
      <alignment horizontal="left" vertical="center"/>
    </xf>
    <xf numFmtId="0" fontId="122" fillId="83" borderId="147"/>
    <xf numFmtId="0" fontId="4" fillId="28" borderId="112" applyNumberFormat="0" applyFont="0" applyAlignment="0" applyProtection="0"/>
    <xf numFmtId="0" fontId="11" fillId="0" borderId="124" applyNumberFormat="0" applyFill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31" fillId="24" borderId="121" applyNumberFormat="0" applyAlignment="0" applyProtection="0"/>
    <xf numFmtId="0" fontId="122" fillId="83" borderId="127"/>
    <xf numFmtId="0" fontId="37" fillId="11" borderId="131" applyNumberFormat="0" applyAlignment="0" applyProtection="0"/>
    <xf numFmtId="37" fontId="111" fillId="24" borderId="128"/>
    <xf numFmtId="0" fontId="40" fillId="24" borderId="133" applyNumberFormat="0" applyAlignment="0" applyProtection="0"/>
    <xf numFmtId="0" fontId="40" fillId="24" borderId="123" applyNumberFormat="0" applyAlignment="0" applyProtection="0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31" fillId="24" borderId="111" applyNumberFormat="0" applyAlignment="0" applyProtection="0"/>
    <xf numFmtId="0" fontId="11" fillId="0" borderId="114" applyNumberFormat="0" applyFill="0" applyAlignment="0" applyProtection="0"/>
    <xf numFmtId="0" fontId="37" fillId="11" borderId="111" applyNumberFormat="0" applyAlignment="0" applyProtection="0"/>
    <xf numFmtId="0" fontId="40" fillId="24" borderId="133" applyNumberFormat="0" applyAlignment="0" applyProtection="0"/>
    <xf numFmtId="0" fontId="11" fillId="0" borderId="144" applyNumberFormat="0" applyFill="0" applyAlignment="0" applyProtection="0"/>
    <xf numFmtId="0" fontId="131" fillId="0" borderId="117"/>
    <xf numFmtId="0" fontId="4" fillId="28" borderId="132" applyNumberFormat="0" applyFont="0" applyAlignment="0" applyProtection="0"/>
    <xf numFmtId="0" fontId="5" fillId="0" borderId="136">
      <alignment horizontal="left" vertical="center"/>
    </xf>
    <xf numFmtId="0" fontId="37" fillId="11" borderId="121" applyNumberFormat="0" applyAlignment="0" applyProtection="0"/>
    <xf numFmtId="0" fontId="4" fillId="28" borderId="142" applyNumberFormat="0" applyFont="0" applyAlignment="0" applyProtection="0"/>
    <xf numFmtId="0" fontId="31" fillId="24" borderId="121" applyNumberFormat="0" applyAlignment="0" applyProtection="0"/>
    <xf numFmtId="0" fontId="4" fillId="28" borderId="112" applyNumberFormat="0" applyFont="0" applyAlignment="0" applyProtection="0"/>
    <xf numFmtId="0" fontId="37" fillId="11" borderId="121" applyNumberFormat="0" applyAlignment="0" applyProtection="0"/>
    <xf numFmtId="0" fontId="31" fillId="24" borderId="111" applyNumberFormat="0" applyAlignment="0" applyProtection="0"/>
    <xf numFmtId="0" fontId="4" fillId="28" borderId="112" applyNumberFormat="0" applyFont="0" applyAlignment="0" applyProtection="0"/>
    <xf numFmtId="0" fontId="4" fillId="28" borderId="132" applyNumberFormat="0" applyFont="0" applyAlignment="0" applyProtection="0"/>
    <xf numFmtId="0" fontId="11" fillId="0" borderId="144" applyNumberFormat="0" applyFill="0" applyAlignment="0" applyProtection="0"/>
    <xf numFmtId="0" fontId="40" fillId="24" borderId="143" applyNumberFormat="0" applyAlignment="0" applyProtection="0"/>
    <xf numFmtId="0" fontId="31" fillId="24" borderId="121" applyNumberFormat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37" fillId="11" borderId="131" applyNumberForma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37" fillId="11" borderId="111" applyNumberFormat="0" applyAlignment="0" applyProtection="0"/>
    <xf numFmtId="0" fontId="4" fillId="28" borderId="122" applyNumberFormat="0" applyFont="0" applyAlignment="0" applyProtection="0"/>
    <xf numFmtId="0" fontId="11" fillId="0" borderId="144" applyNumberFormat="0" applyFill="0" applyAlignment="0" applyProtection="0"/>
    <xf numFmtId="0" fontId="11" fillId="0" borderId="134" applyNumberFormat="0" applyFill="0" applyAlignment="0" applyProtection="0"/>
    <xf numFmtId="0" fontId="4" fillId="28" borderId="142" applyNumberFormat="0" applyFont="0" applyAlignment="0" applyProtection="0"/>
    <xf numFmtId="0" fontId="5" fillId="0" borderId="116">
      <alignment horizontal="left" vertical="center"/>
    </xf>
    <xf numFmtId="0" fontId="4" fillId="28" borderId="112" applyNumberFormat="0" applyFont="0" applyAlignment="0" applyProtection="0"/>
    <xf numFmtId="0" fontId="11" fillId="0" borderId="124" applyNumberFormat="0" applyFill="0" applyAlignment="0" applyProtection="0"/>
    <xf numFmtId="0" fontId="40" fillId="24" borderId="143" applyNumberFormat="0" applyAlignment="0" applyProtection="0"/>
    <xf numFmtId="0" fontId="11" fillId="0" borderId="114" applyNumberFormat="0" applyFill="0" applyAlignment="0" applyProtection="0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110" fillId="0" borderId="116"/>
    <xf numFmtId="0" fontId="5" fillId="0" borderId="116">
      <alignment horizontal="left" vertical="center"/>
    </xf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11" fillId="0" borderId="124" applyNumberFormat="0" applyFill="0" applyAlignment="0" applyProtection="0"/>
    <xf numFmtId="0" fontId="31" fillId="24" borderId="121" applyNumberFormat="0" applyAlignment="0" applyProtection="0"/>
    <xf numFmtId="10" fontId="12" fillId="88" borderId="125" applyNumberFormat="0" applyBorder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37" fillId="11" borderId="141" applyNumberFormat="0" applyAlignment="0" applyProtection="0"/>
    <xf numFmtId="2" fontId="4" fillId="0" borderId="136" applyNumberFormat="0" applyFont="0" applyFill="0" applyAlignment="0"/>
    <xf numFmtId="0" fontId="4" fillId="28" borderId="122" applyNumberFormat="0" applyFont="0" applyAlignment="0" applyProtection="0"/>
    <xf numFmtId="10" fontId="130" fillId="0" borderId="129" applyFont="0" applyAlignment="0">
      <protection locked="0"/>
    </xf>
    <xf numFmtId="0" fontId="4" fillId="28" borderId="122" applyNumberFormat="0" applyFont="0" applyAlignment="0" applyProtection="0"/>
    <xf numFmtId="0" fontId="4" fillId="28" borderId="132" applyNumberFormat="0" applyFont="0" applyAlignment="0" applyProtection="0"/>
    <xf numFmtId="0" fontId="134" fillId="79" borderId="13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10" fontId="12" fillId="88" borderId="135" applyNumberFormat="0" applyBorder="0" applyAlignment="0" applyProtection="0"/>
    <xf numFmtId="0" fontId="40" fillId="24" borderId="133" applyNumberFormat="0" applyAlignment="0" applyProtection="0"/>
    <xf numFmtId="0" fontId="4" fillId="28" borderId="142" applyNumberFormat="0" applyFont="0" applyAlignment="0" applyProtection="0"/>
    <xf numFmtId="0" fontId="115" fillId="83" borderId="137"/>
    <xf numFmtId="0" fontId="40" fillId="24" borderId="123" applyNumberFormat="0" applyAlignment="0" applyProtection="0"/>
    <xf numFmtId="0" fontId="11" fillId="0" borderId="114" applyNumberFormat="0" applyFill="0" applyAlignment="0" applyProtection="0"/>
    <xf numFmtId="0" fontId="4" fillId="28" borderId="132" applyNumberFormat="0" applyFont="0" applyAlignment="0" applyProtection="0"/>
    <xf numFmtId="0" fontId="37" fillId="11" borderId="121" applyNumberFormat="0" applyAlignment="0" applyProtection="0"/>
    <xf numFmtId="10" fontId="12" fillId="88" borderId="115" applyNumberFormat="0" applyBorder="0" applyAlignment="0" applyProtection="0"/>
    <xf numFmtId="0" fontId="11" fillId="0" borderId="134" applyNumberFormat="0" applyFill="0" applyAlignment="0" applyProtection="0"/>
    <xf numFmtId="0" fontId="31" fillId="24" borderId="131" applyNumberFormat="0" applyAlignment="0" applyProtection="0"/>
    <xf numFmtId="0" fontId="4" fillId="28" borderId="142" applyNumberFormat="0" applyFont="0" applyAlignment="0" applyProtection="0"/>
    <xf numFmtId="0" fontId="115" fillId="92" borderId="127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2" fontId="4" fillId="0" borderId="136" applyNumberFormat="0" applyFont="0" applyFill="0" applyAlignment="0"/>
    <xf numFmtId="0" fontId="4" fillId="28" borderId="142" applyNumberFormat="0" applyFont="0" applyAlignment="0" applyProtection="0"/>
    <xf numFmtId="0" fontId="31" fillId="24" borderId="121" applyNumberFormat="0" applyAlignment="0" applyProtection="0"/>
    <xf numFmtId="0" fontId="37" fillId="11" borderId="131" applyNumberFormat="0" applyAlignment="0" applyProtection="0"/>
    <xf numFmtId="0" fontId="11" fillId="0" borderId="144" applyNumberFormat="0" applyFill="0" applyAlignment="0" applyProtection="0"/>
    <xf numFmtId="0" fontId="115" fillId="83" borderId="137"/>
    <xf numFmtId="0" fontId="11" fillId="0" borderId="134" applyNumberFormat="0" applyFill="0" applyAlignment="0" applyProtection="0"/>
    <xf numFmtId="0" fontId="4" fillId="28" borderId="122" applyNumberFormat="0" applyFont="0" applyAlignment="0" applyProtection="0"/>
    <xf numFmtId="0" fontId="31" fillId="24" borderId="121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31" fillId="24" borderId="141" applyNumberFormat="0" applyAlignment="0" applyProtection="0"/>
    <xf numFmtId="0" fontId="11" fillId="0" borderId="134" applyNumberFormat="0" applyFill="0" applyAlignment="0" applyProtection="0"/>
    <xf numFmtId="0" fontId="4" fillId="28" borderId="122" applyNumberFormat="0" applyFont="0" applyAlignment="0" applyProtection="0"/>
    <xf numFmtId="0" fontId="134" fillId="79" borderId="140"/>
    <xf numFmtId="0" fontId="4" fillId="28" borderId="132" applyNumberFormat="0" applyFont="0" applyAlignment="0" applyProtection="0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122" fillId="83" borderId="127"/>
    <xf numFmtId="0" fontId="31" fillId="24" borderId="111" applyNumberFormat="0" applyAlignment="0" applyProtection="0"/>
    <xf numFmtId="0" fontId="31" fillId="24" borderId="141" applyNumberFormat="0" applyAlignment="0" applyProtection="0"/>
    <xf numFmtId="0" fontId="37" fillId="11" borderId="121" applyNumberFormat="0" applyAlignment="0" applyProtection="0"/>
    <xf numFmtId="0" fontId="4" fillId="28" borderId="142" applyNumberFormat="0" applyFont="0" applyAlignment="0" applyProtection="0"/>
    <xf numFmtId="0" fontId="37" fillId="11" borderId="141" applyNumberFormat="0" applyAlignment="0" applyProtection="0"/>
    <xf numFmtId="10" fontId="12" fillId="88" borderId="145" applyNumberFormat="0" applyBorder="0" applyAlignment="0" applyProtection="0"/>
    <xf numFmtId="0" fontId="31" fillId="24" borderId="131" applyNumberFormat="0" applyAlignment="0" applyProtection="0"/>
    <xf numFmtId="0" fontId="4" fillId="28" borderId="122" applyNumberFormat="0" applyFont="0" applyAlignment="0" applyProtection="0"/>
    <xf numFmtId="0" fontId="4" fillId="28" borderId="142" applyNumberFormat="0" applyFont="0" applyAlignment="0" applyProtection="0"/>
    <xf numFmtId="0" fontId="31" fillId="24" borderId="121" applyNumberFormat="0" applyAlignment="0" applyProtection="0"/>
    <xf numFmtId="0" fontId="4" fillId="28" borderId="132" applyNumberFormat="0" applyFon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2" fontId="4" fillId="0" borderId="126" applyNumberFormat="0" applyFont="0" applyFill="0" applyAlignment="0"/>
    <xf numFmtId="0" fontId="5" fillId="0" borderId="146">
      <alignment horizontal="left" vertical="center"/>
    </xf>
    <xf numFmtId="0" fontId="110" fillId="0" borderId="136"/>
    <xf numFmtId="0" fontId="11" fillId="0" borderId="144" applyNumberFormat="0" applyFill="0" applyAlignment="0" applyProtection="0"/>
    <xf numFmtId="0" fontId="37" fillId="11" borderId="111" applyNumberForma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5" fillId="0" borderId="136">
      <alignment horizontal="left" vertical="center"/>
    </xf>
    <xf numFmtId="0" fontId="37" fillId="11" borderId="121" applyNumberFormat="0" applyAlignment="0" applyProtection="0"/>
    <xf numFmtId="0" fontId="11" fillId="0" borderId="124" applyNumberFormat="0" applyFill="0" applyAlignment="0" applyProtection="0"/>
    <xf numFmtId="0" fontId="31" fillId="24" borderId="131" applyNumberFormat="0" applyAlignment="0" applyProtection="0"/>
    <xf numFmtId="0" fontId="4" fillId="28" borderId="142" applyNumberFormat="0" applyFont="0" applyAlignment="0" applyProtection="0"/>
    <xf numFmtId="0" fontId="31" fillId="24" borderId="131" applyNumberFormat="0" applyAlignment="0" applyProtection="0"/>
    <xf numFmtId="0" fontId="31" fillId="24" borderId="121" applyNumberFormat="0" applyAlignment="0" applyProtection="0"/>
    <xf numFmtId="0" fontId="122" fillId="83" borderId="117"/>
    <xf numFmtId="0" fontId="40" fillId="24" borderId="143" applyNumberFormat="0" applyAlignment="0" applyProtection="0"/>
    <xf numFmtId="0" fontId="37" fillId="11" borderId="121" applyNumberFormat="0" applyAlignment="0" applyProtection="0"/>
    <xf numFmtId="0" fontId="4" fillId="28" borderId="142" applyNumberFormat="0" applyFont="0" applyAlignment="0" applyProtection="0"/>
    <xf numFmtId="0" fontId="115" fillId="92" borderId="117"/>
    <xf numFmtId="0" fontId="115" fillId="92" borderId="137"/>
    <xf numFmtId="0" fontId="37" fillId="11" borderId="141" applyNumberFormat="0" applyAlignment="0" applyProtection="0"/>
    <xf numFmtId="0" fontId="40" fillId="24" borderId="133" applyNumberFormat="0" applyAlignment="0" applyProtection="0"/>
    <xf numFmtId="0" fontId="31" fillId="24" borderId="131" applyNumberFormat="0" applyAlignment="0" applyProtection="0"/>
    <xf numFmtId="0" fontId="31" fillId="24" borderId="141" applyNumberFormat="0" applyAlignment="0" applyProtection="0"/>
    <xf numFmtId="0" fontId="131" fillId="0" borderId="147"/>
    <xf numFmtId="0" fontId="37" fillId="11" borderId="121" applyNumberFormat="0" applyAlignment="0" applyProtection="0"/>
    <xf numFmtId="0" fontId="37" fillId="11" borderId="131" applyNumberFormat="0" applyAlignment="0" applyProtection="0"/>
    <xf numFmtId="0" fontId="40" fillId="24" borderId="143" applyNumberFormat="0" applyAlignment="0" applyProtection="0"/>
    <xf numFmtId="0" fontId="115" fillId="85" borderId="117"/>
    <xf numFmtId="2" fontId="4" fillId="0" borderId="136" applyNumberFormat="0" applyFont="0" applyFill="0" applyAlignment="0"/>
    <xf numFmtId="0" fontId="115" fillId="92" borderId="147"/>
    <xf numFmtId="0" fontId="4" fillId="28" borderId="122" applyNumberFormat="0" applyFont="0" applyAlignment="0" applyProtection="0"/>
    <xf numFmtId="0" fontId="11" fillId="0" borderId="134" applyNumberFormat="0" applyFill="0" applyAlignment="0" applyProtection="0"/>
    <xf numFmtId="0" fontId="110" fillId="0" borderId="126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13" applyNumberFormat="0" applyAlignment="0" applyProtection="0"/>
    <xf numFmtId="2" fontId="4" fillId="0" borderId="126" applyNumberFormat="0" applyFont="0" applyFill="0" applyAlignment="0"/>
    <xf numFmtId="0" fontId="37" fillId="11" borderId="131" applyNumberFormat="0" applyAlignment="0" applyProtection="0"/>
    <xf numFmtId="0" fontId="4" fillId="28" borderId="132" applyNumberFormat="0" applyFont="0" applyAlignment="0" applyProtection="0"/>
    <xf numFmtId="37" fontId="111" fillId="24" borderId="138"/>
    <xf numFmtId="0" fontId="40" fillId="24" borderId="133" applyNumberFormat="0" applyAlignment="0" applyProtection="0"/>
    <xf numFmtId="0" fontId="4" fillId="28" borderId="142" applyNumberFormat="0" applyFont="0" applyAlignment="0" applyProtection="0"/>
    <xf numFmtId="0" fontId="40" fillId="24" borderId="133" applyNumberFormat="0" applyAlignment="0" applyProtection="0"/>
    <xf numFmtId="0" fontId="37" fillId="11" borderId="141" applyNumberFormat="0" applyAlignment="0" applyProtection="0"/>
    <xf numFmtId="2" fontId="4" fillId="0" borderId="106" applyNumberFormat="0" applyFont="0" applyFill="0" applyAlignment="0"/>
    <xf numFmtId="0" fontId="110" fillId="0" borderId="106"/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0" fontId="40" fillId="24" borderId="123" applyNumberFormat="0" applyAlignment="0" applyProtection="0"/>
    <xf numFmtId="37" fontId="111" fillId="24" borderId="108"/>
    <xf numFmtId="0" fontId="37" fillId="11" borderId="121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115" fillId="83" borderId="117"/>
    <xf numFmtId="0" fontId="37" fillId="11" borderId="111" applyNumberFormat="0" applyAlignment="0" applyProtection="0"/>
    <xf numFmtId="0" fontId="131" fillId="0" borderId="117"/>
    <xf numFmtId="10" fontId="130" fillId="0" borderId="119" applyFont="0" applyAlignment="0">
      <protection locked="0"/>
    </xf>
    <xf numFmtId="0" fontId="4" fillId="28" borderId="112" applyNumberFormat="0" applyFont="0" applyAlignment="0" applyProtection="0"/>
    <xf numFmtId="0" fontId="115" fillId="0" borderId="117"/>
    <xf numFmtId="0" fontId="40" fillId="24" borderId="113" applyNumberFormat="0" applyAlignment="0" applyProtection="0"/>
    <xf numFmtId="0" fontId="11" fillId="0" borderId="124" applyNumberFormat="0" applyFill="0" applyAlignment="0" applyProtection="0"/>
    <xf numFmtId="0" fontId="11" fillId="0" borderId="134" applyNumberFormat="0" applyFill="0" applyAlignment="0" applyProtection="0"/>
    <xf numFmtId="0" fontId="4" fillId="28" borderId="142" applyNumberFormat="0" applyFont="0" applyAlignment="0" applyProtection="0"/>
    <xf numFmtId="0" fontId="11" fillId="0" borderId="144" applyNumberFormat="0" applyFill="0" applyAlignment="0" applyProtection="0"/>
    <xf numFmtId="0" fontId="31" fillId="24" borderId="131" applyNumberFormat="0" applyAlignment="0" applyProtection="0"/>
    <xf numFmtId="0" fontId="110" fillId="0" borderId="116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4" fillId="28" borderId="112" applyNumberFormat="0" applyFont="0" applyAlignment="0" applyProtection="0"/>
    <xf numFmtId="0" fontId="37" fillId="11" borderId="111" applyNumberFormat="0" applyAlignment="0" applyProtection="0"/>
    <xf numFmtId="0" fontId="131" fillId="0" borderId="137"/>
    <xf numFmtId="0" fontId="11" fillId="0" borderId="124" applyNumberFormat="0" applyFill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40" fillId="24" borderId="133" applyNumberFormat="0" applyAlignment="0" applyProtection="0"/>
    <xf numFmtId="0" fontId="122" fillId="83" borderId="147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21" applyNumberFormat="0" applyAlignment="0" applyProtection="0"/>
    <xf numFmtId="0" fontId="134" fillId="79" borderId="150"/>
    <xf numFmtId="0" fontId="4" fillId="28" borderId="122" applyNumberFormat="0" applyFont="0" applyAlignment="0" applyProtection="0"/>
    <xf numFmtId="0" fontId="40" fillId="24" borderId="143" applyNumberFormat="0" applyAlignment="0" applyProtection="0"/>
    <xf numFmtId="37" fontId="111" fillId="24" borderId="128"/>
    <xf numFmtId="0" fontId="37" fillId="11" borderId="121" applyNumberFormat="0" applyAlignment="0" applyProtection="0"/>
    <xf numFmtId="0" fontId="4" fillId="28" borderId="132" applyNumberFormat="0" applyFont="0" applyAlignment="0" applyProtection="0"/>
    <xf numFmtId="0" fontId="40" fillId="24" borderId="123" applyNumberFormat="0" applyAlignment="0" applyProtection="0"/>
    <xf numFmtId="0" fontId="31" fillId="24" borderId="131" applyNumberFormat="0" applyAlignment="0" applyProtection="0"/>
    <xf numFmtId="0" fontId="40" fillId="24" borderId="133" applyNumberFormat="0" applyAlignment="0" applyProtection="0"/>
    <xf numFmtId="0" fontId="11" fillId="0" borderId="124" applyNumberFormat="0" applyFill="0" applyAlignment="0" applyProtection="0"/>
    <xf numFmtId="0" fontId="11" fillId="0" borderId="144" applyNumberFormat="0" applyFill="0" applyAlignment="0" applyProtection="0"/>
    <xf numFmtId="0" fontId="4" fillId="28" borderId="132" applyNumberFormat="0" applyFont="0" applyAlignment="0" applyProtection="0"/>
    <xf numFmtId="0" fontId="11" fillId="0" borderId="144" applyNumberFormat="0" applyFill="0" applyAlignment="0" applyProtection="0"/>
    <xf numFmtId="0" fontId="40" fillId="24" borderId="133" applyNumberFormat="0" applyAlignment="0" applyProtection="0"/>
    <xf numFmtId="0" fontId="37" fillId="11" borderId="141" applyNumberFormat="0" applyAlignment="0" applyProtection="0"/>
    <xf numFmtId="0" fontId="40" fillId="24" borderId="123" applyNumberFormat="0" applyAlignment="0" applyProtection="0"/>
    <xf numFmtId="0" fontId="11" fillId="0" borderId="114" applyNumberFormat="0" applyFill="0" applyAlignment="0" applyProtection="0"/>
    <xf numFmtId="0" fontId="4" fillId="28" borderId="132" applyNumberFormat="0" applyFont="0" applyAlignment="0" applyProtection="0"/>
    <xf numFmtId="0" fontId="31" fillId="24" borderId="111" applyNumberFormat="0" applyAlignment="0" applyProtection="0"/>
    <xf numFmtId="0" fontId="40" fillId="24" borderId="113" applyNumberFormat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11" fillId="0" borderId="134" applyNumberFormat="0" applyFill="0" applyAlignment="0" applyProtection="0"/>
    <xf numFmtId="0" fontId="40" fillId="24" borderId="133" applyNumberFormat="0" applyAlignment="0" applyProtection="0"/>
    <xf numFmtId="0" fontId="11" fillId="0" borderId="124" applyNumberFormat="0" applyFill="0" applyAlignment="0" applyProtection="0"/>
    <xf numFmtId="0" fontId="4" fillId="28" borderId="112" applyNumberFormat="0" applyFont="0" applyAlignment="0" applyProtection="0"/>
    <xf numFmtId="0" fontId="4" fillId="28" borderId="122" applyNumberFormat="0" applyFont="0" applyAlignment="0" applyProtection="0"/>
    <xf numFmtId="0" fontId="31" fillId="24" borderId="141" applyNumberFormat="0" applyAlignment="0" applyProtection="0"/>
    <xf numFmtId="0" fontId="31" fillId="24" borderId="111" applyNumberFormat="0" applyAlignment="0" applyProtection="0"/>
    <xf numFmtId="0" fontId="4" fillId="28" borderId="122" applyNumberFormat="0" applyFont="0" applyAlignment="0" applyProtection="0"/>
    <xf numFmtId="0" fontId="4" fillId="28" borderId="142" applyNumberFormat="0" applyFont="0" applyAlignment="0" applyProtection="0"/>
    <xf numFmtId="0" fontId="11" fillId="0" borderId="114" applyNumberFormat="0" applyFill="0" applyAlignment="0" applyProtection="0"/>
    <xf numFmtId="0" fontId="11" fillId="0" borderId="124" applyNumberFormat="0" applyFill="0" applyAlignment="0" applyProtection="0"/>
    <xf numFmtId="0" fontId="115" fillId="92" borderId="127"/>
    <xf numFmtId="10" fontId="130" fillId="0" borderId="119" applyFont="0" applyAlignment="0">
      <protection locked="0"/>
    </xf>
    <xf numFmtId="0" fontId="31" fillId="24" borderId="141" applyNumberFormat="0" applyAlignment="0" applyProtection="0"/>
    <xf numFmtId="0" fontId="31" fillId="24" borderId="121" applyNumberFormat="0" applyAlignment="0" applyProtection="0"/>
    <xf numFmtId="0" fontId="37" fillId="11" borderId="111" applyNumberFormat="0" applyAlignment="0" applyProtection="0"/>
    <xf numFmtId="0" fontId="11" fillId="0" borderId="124" applyNumberFormat="0" applyFill="0" applyAlignment="0" applyProtection="0"/>
    <xf numFmtId="0" fontId="31" fillId="24" borderId="13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134" fillId="79" borderId="120"/>
    <xf numFmtId="0" fontId="40" fillId="24" borderId="143" applyNumberFormat="0" applyAlignment="0" applyProtection="0"/>
    <xf numFmtId="0" fontId="37" fillId="11" borderId="121" applyNumberFormat="0" applyAlignment="0" applyProtection="0"/>
    <xf numFmtId="0" fontId="40" fillId="24" borderId="123" applyNumberFormat="0" applyAlignment="0" applyProtection="0"/>
    <xf numFmtId="37" fontId="111" fillId="24" borderId="138"/>
    <xf numFmtId="0" fontId="37" fillId="11" borderId="131" applyNumberFormat="0" applyAlignment="0" applyProtection="0"/>
    <xf numFmtId="0" fontId="4" fillId="28" borderId="112" applyNumberFormat="0" applyFont="0" applyAlignment="0" applyProtection="0"/>
    <xf numFmtId="0" fontId="37" fillId="11" borderId="111" applyNumberFormat="0" applyAlignment="0" applyProtection="0"/>
    <xf numFmtId="0" fontId="40" fillId="24" borderId="113" applyNumberFormat="0" applyAlignment="0" applyProtection="0"/>
    <xf numFmtId="0" fontId="37" fillId="11" borderId="121" applyNumberFormat="0" applyAlignment="0" applyProtection="0"/>
    <xf numFmtId="0" fontId="115" fillId="85" borderId="147"/>
    <xf numFmtId="0" fontId="4" fillId="28" borderId="112" applyNumberFormat="0" applyFont="0" applyAlignment="0" applyProtection="0"/>
    <xf numFmtId="0" fontId="31" fillId="24" borderId="141" applyNumberFormat="0" applyAlignment="0" applyProtection="0"/>
    <xf numFmtId="0" fontId="4" fillId="28" borderId="142" applyNumberFormat="0" applyFont="0" applyAlignment="0" applyProtection="0"/>
    <xf numFmtId="0" fontId="11" fillId="0" borderId="114" applyNumberFormat="0" applyFill="0" applyAlignment="0" applyProtection="0"/>
    <xf numFmtId="0" fontId="11" fillId="0" borderId="134" applyNumberFormat="0" applyFill="0" applyAlignment="0" applyProtection="0"/>
    <xf numFmtId="0" fontId="11" fillId="0" borderId="124" applyNumberFormat="0" applyFill="0" applyAlignment="0" applyProtection="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4" fillId="28" borderId="132" applyNumberFormat="0" applyFont="0" applyAlignment="0" applyProtection="0"/>
    <xf numFmtId="0" fontId="40" fillId="24" borderId="113" applyNumberFormat="0" applyAlignment="0" applyProtection="0"/>
    <xf numFmtId="0" fontId="122" fillId="83" borderId="137"/>
    <xf numFmtId="0" fontId="4" fillId="28" borderId="142" applyNumberFormat="0" applyFont="0" applyAlignment="0" applyProtection="0"/>
    <xf numFmtId="0" fontId="37" fillId="11" borderId="141" applyNumberFormat="0" applyAlignment="0" applyProtection="0"/>
    <xf numFmtId="10" fontId="130" fillId="0" borderId="139" applyFont="0" applyAlignment="0">
      <protection locked="0"/>
    </xf>
    <xf numFmtId="0" fontId="4" fillId="28" borderId="142" applyNumberFormat="0" applyFont="0" applyAlignment="0" applyProtection="0"/>
    <xf numFmtId="37" fontId="111" fillId="24" borderId="138"/>
    <xf numFmtId="0" fontId="37" fillId="11" borderId="111" applyNumberFormat="0" applyAlignment="0" applyProtection="0"/>
    <xf numFmtId="0" fontId="4" fillId="28" borderId="122" applyNumberFormat="0" applyFont="0" applyAlignment="0" applyProtection="0"/>
    <xf numFmtId="0" fontId="11" fillId="0" borderId="144" applyNumberFormat="0" applyFill="0" applyAlignment="0" applyProtection="0"/>
    <xf numFmtId="0" fontId="40" fillId="24" borderId="143" applyNumberFormat="0" applyAlignment="0" applyProtection="0"/>
    <xf numFmtId="0" fontId="40" fillId="24" borderId="123" applyNumberFormat="0" applyAlignment="0" applyProtection="0"/>
    <xf numFmtId="0" fontId="11" fillId="0" borderId="134" applyNumberFormat="0" applyFill="0" applyAlignment="0" applyProtection="0"/>
    <xf numFmtId="0" fontId="5" fillId="0" borderId="126">
      <alignment horizontal="left" vertical="center"/>
    </xf>
    <xf numFmtId="37" fontId="111" fillId="24" borderId="128"/>
    <xf numFmtId="0" fontId="31" fillId="24" borderId="111" applyNumberFormat="0" applyAlignment="0" applyProtection="0"/>
    <xf numFmtId="0" fontId="31" fillId="24" borderId="14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5" fillId="92" borderId="137"/>
    <xf numFmtId="0" fontId="115" fillId="85" borderId="147"/>
    <xf numFmtId="0" fontId="37" fillId="11" borderId="141" applyNumberFormat="0" applyAlignment="0" applyProtection="0"/>
    <xf numFmtId="0" fontId="11" fillId="0" borderId="124" applyNumberFormat="0" applyFill="0" applyAlignment="0" applyProtection="0"/>
    <xf numFmtId="0" fontId="40" fillId="24" borderId="143" applyNumberFormat="0" applyAlignment="0" applyProtection="0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37" fillId="11" borderId="111" applyNumberForma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11" fillId="0" borderId="124" applyNumberFormat="0" applyFill="0" applyAlignment="0" applyProtection="0"/>
    <xf numFmtId="0" fontId="5" fillId="0" borderId="136">
      <alignment horizontal="left" vertical="center"/>
    </xf>
    <xf numFmtId="0" fontId="40" fillId="24" borderId="113" applyNumberFormat="0" applyAlignment="0" applyProtection="0"/>
    <xf numFmtId="0" fontId="40" fillId="24" borderId="123" applyNumberFormat="0" applyAlignment="0" applyProtection="0"/>
    <xf numFmtId="0" fontId="4" fillId="28" borderId="142" applyNumberFormat="0" applyFont="0" applyAlignment="0" applyProtection="0"/>
    <xf numFmtId="0" fontId="4" fillId="28" borderId="132" applyNumberFormat="0" applyFont="0" applyAlignment="0" applyProtection="0"/>
    <xf numFmtId="0" fontId="4" fillId="28" borderId="122" applyNumberFormat="0" applyFont="0" applyAlignment="0" applyProtection="0"/>
    <xf numFmtId="0" fontId="40" fillId="24" borderId="133" applyNumberFormat="0" applyAlignment="0" applyProtection="0"/>
    <xf numFmtId="2" fontId="4" fillId="0" borderId="116" applyNumberFormat="0" applyFont="0" applyFill="0" applyAlignment="0"/>
    <xf numFmtId="0" fontId="4" fillId="28" borderId="142" applyNumberFormat="0" applyFont="0" applyAlignment="0" applyProtection="0"/>
    <xf numFmtId="10" fontId="130" fillId="0" borderId="129" applyFont="0" applyAlignment="0">
      <protection locked="0"/>
    </xf>
    <xf numFmtId="0" fontId="31" fillId="24" borderId="121" applyNumberFormat="0" applyAlignment="0" applyProtection="0"/>
    <xf numFmtId="0" fontId="4" fillId="28" borderId="132" applyNumberFormat="0" applyFont="0" applyAlignment="0" applyProtection="0"/>
    <xf numFmtId="10" fontId="12" fillId="88" borderId="115" applyNumberFormat="0" applyBorder="0" applyAlignment="0" applyProtection="0"/>
    <xf numFmtId="0" fontId="4" fillId="28" borderId="122" applyNumberFormat="0" applyFont="0" applyAlignment="0" applyProtection="0"/>
    <xf numFmtId="0" fontId="134" fillId="79" borderId="130"/>
    <xf numFmtId="0" fontId="4" fillId="28" borderId="112" applyNumberFormat="0" applyFont="0" applyAlignment="0" applyProtection="0"/>
    <xf numFmtId="0" fontId="4" fillId="28" borderId="122" applyNumberFormat="0" applyFont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4" fillId="28" borderId="132" applyNumberFormat="0" applyFont="0" applyAlignment="0" applyProtection="0"/>
    <xf numFmtId="0" fontId="131" fillId="0" borderId="117"/>
    <xf numFmtId="0" fontId="37" fillId="11" borderId="131" applyNumberFormat="0" applyAlignment="0" applyProtection="0"/>
    <xf numFmtId="37" fontId="111" fillId="24" borderId="118"/>
    <xf numFmtId="0" fontId="31" fillId="24" borderId="121" applyNumberFormat="0" applyAlignment="0" applyProtection="0"/>
    <xf numFmtId="0" fontId="4" fillId="28" borderId="122" applyNumberFormat="0" applyFont="0" applyAlignment="0" applyProtection="0"/>
    <xf numFmtId="0" fontId="37" fillId="11" borderId="121" applyNumberFormat="0" applyAlignment="0" applyProtection="0"/>
    <xf numFmtId="0" fontId="31" fillId="24" borderId="131" applyNumberFormat="0" applyAlignment="0" applyProtection="0"/>
    <xf numFmtId="0" fontId="115" fillId="0" borderId="147"/>
    <xf numFmtId="0" fontId="37" fillId="11" borderId="141" applyNumberFormat="0" applyAlignment="0" applyProtection="0"/>
    <xf numFmtId="37" fontId="111" fillId="24" borderId="138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40" fillId="24" borderId="133" applyNumberFormat="0" applyAlignment="0" applyProtection="0"/>
    <xf numFmtId="0" fontId="37" fillId="11" borderId="131" applyNumberFormat="0" applyAlignment="0" applyProtection="0"/>
    <xf numFmtId="0" fontId="4" fillId="28" borderId="112" applyNumberFormat="0" applyFont="0" applyAlignment="0" applyProtection="0"/>
    <xf numFmtId="10" fontId="130" fillId="0" borderId="139" applyFont="0" applyAlignment="0">
      <protection locked="0"/>
    </xf>
    <xf numFmtId="0" fontId="40" fillId="24" borderId="123" applyNumberFormat="0" applyAlignment="0" applyProtection="0"/>
    <xf numFmtId="0" fontId="31" fillId="24" borderId="141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31" fillId="24" borderId="121" applyNumberFormat="0" applyAlignment="0" applyProtection="0"/>
    <xf numFmtId="0" fontId="4" fillId="28" borderId="112" applyNumberFormat="0" applyFont="0" applyAlignment="0" applyProtection="0"/>
    <xf numFmtId="0" fontId="5" fillId="0" borderId="116">
      <alignment horizontal="left" vertical="center"/>
    </xf>
    <xf numFmtId="0" fontId="11" fillId="0" borderId="114" applyNumberFormat="0" applyFill="0" applyAlignment="0" applyProtection="0"/>
    <xf numFmtId="0" fontId="31" fillId="24" borderId="111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10" fontId="12" fillId="88" borderId="115" applyNumberFormat="0" applyBorder="0" applyAlignment="0" applyProtection="0"/>
    <xf numFmtId="0" fontId="115" fillId="85" borderId="117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40" fillId="24" borderId="133" applyNumberFormat="0" applyAlignment="0" applyProtection="0"/>
    <xf numFmtId="0" fontId="31" fillId="24" borderId="111" applyNumberFormat="0" applyAlignment="0" applyProtection="0"/>
    <xf numFmtId="0" fontId="11" fillId="0" borderId="144" applyNumberFormat="0" applyFill="0" applyAlignment="0" applyProtection="0"/>
    <xf numFmtId="0" fontId="115" fillId="0" borderId="147"/>
    <xf numFmtId="0" fontId="31" fillId="24" borderId="131" applyNumberFormat="0" applyAlignment="0" applyProtection="0"/>
    <xf numFmtId="0" fontId="122" fillId="83" borderId="127"/>
    <xf numFmtId="0" fontId="5" fillId="0" borderId="116">
      <alignment horizontal="left" vertical="center"/>
    </xf>
    <xf numFmtId="0" fontId="31" fillId="24" borderId="141" applyNumberFormat="0" applyAlignment="0" applyProtection="0"/>
    <xf numFmtId="0" fontId="37" fillId="11" borderId="141" applyNumberFormat="0" applyAlignment="0" applyProtection="0"/>
    <xf numFmtId="0" fontId="11" fillId="0" borderId="144" applyNumberFormat="0" applyFill="0" applyAlignment="0" applyProtection="0"/>
    <xf numFmtId="0" fontId="40" fillId="24" borderId="133" applyNumberFormat="0" applyAlignment="0" applyProtection="0"/>
    <xf numFmtId="37" fontId="111" fillId="24" borderId="128"/>
    <xf numFmtId="0" fontId="31" fillId="24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40" fillId="24" borderId="123" applyNumberFormat="0" applyAlignment="0" applyProtection="0"/>
    <xf numFmtId="0" fontId="11" fillId="0" borderId="134" applyNumberFormat="0" applyFill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7" fillId="11" borderId="141" applyNumberFormat="0" applyAlignment="0" applyProtection="0"/>
    <xf numFmtId="0" fontId="31" fillId="24" borderId="121" applyNumberFormat="0" applyAlignment="0" applyProtection="0"/>
    <xf numFmtId="0" fontId="40" fillId="24" borderId="143" applyNumberFormat="0" applyAlignment="0" applyProtection="0"/>
    <xf numFmtId="0" fontId="31" fillId="24" borderId="121" applyNumberFormat="0" applyAlignment="0" applyProtection="0"/>
    <xf numFmtId="0" fontId="11" fillId="0" borderId="124" applyNumberFormat="0" applyFill="0" applyAlignment="0" applyProtection="0"/>
    <xf numFmtId="0" fontId="40" fillId="24" borderId="123" applyNumberFormat="0" applyAlignment="0" applyProtection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11" fillId="0" borderId="144" applyNumberFormat="0" applyFill="0" applyAlignment="0" applyProtection="0"/>
    <xf numFmtId="0" fontId="134" fillId="79" borderId="130"/>
    <xf numFmtId="0" fontId="4" fillId="28" borderId="132" applyNumberFormat="0" applyFont="0" applyAlignment="0" applyProtection="0"/>
    <xf numFmtId="0" fontId="4" fillId="28" borderId="122" applyNumberFormat="0" applyFont="0" applyAlignment="0" applyProtection="0"/>
    <xf numFmtId="10" fontId="130" fillId="0" borderId="149" applyFont="0" applyAlignment="0">
      <protection locked="0"/>
    </xf>
    <xf numFmtId="37" fontId="111" fillId="24" borderId="138"/>
    <xf numFmtId="0" fontId="37" fillId="11" borderId="131" applyNumberFormat="0" applyAlignment="0" applyProtection="0"/>
    <xf numFmtId="0" fontId="31" fillId="24" borderId="131" applyNumberFormat="0" applyAlignment="0" applyProtection="0"/>
    <xf numFmtId="0" fontId="4" fillId="28" borderId="142" applyNumberFormat="0" applyFon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37" fillId="11" borderId="121" applyNumberFormat="0" applyAlignment="0" applyProtection="0"/>
    <xf numFmtId="0" fontId="11" fillId="0" borderId="134" applyNumberFormat="0" applyFill="0" applyAlignment="0" applyProtection="0"/>
    <xf numFmtId="0" fontId="134" fillId="79" borderId="140"/>
    <xf numFmtId="0" fontId="37" fillId="11" borderId="121" applyNumberFormat="0" applyAlignment="0" applyProtection="0"/>
    <xf numFmtId="0" fontId="40" fillId="24" borderId="123" applyNumberFormat="0" applyAlignment="0" applyProtection="0"/>
    <xf numFmtId="0" fontId="31" fillId="24" borderId="121" applyNumberFormat="0" applyAlignment="0" applyProtection="0"/>
    <xf numFmtId="0" fontId="37" fillId="11" borderId="131" applyNumberFormat="0" applyAlignment="0" applyProtection="0"/>
    <xf numFmtId="0" fontId="122" fillId="83" borderId="137"/>
    <xf numFmtId="0" fontId="11" fillId="0" borderId="134" applyNumberFormat="0" applyFill="0" applyAlignment="0" applyProtection="0"/>
    <xf numFmtId="0" fontId="4" fillId="28" borderId="112" applyNumberFormat="0" applyFont="0" applyAlignment="0" applyProtection="0"/>
    <xf numFmtId="0" fontId="37" fillId="11" borderId="131" applyNumberForma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37" fillId="11" borderId="131" applyNumberFormat="0" applyAlignment="0" applyProtection="0"/>
    <xf numFmtId="0" fontId="37" fillId="11" borderId="121" applyNumberFormat="0" applyAlignment="0" applyProtection="0"/>
    <xf numFmtId="0" fontId="4" fillId="28" borderId="132" applyNumberFormat="0" applyFont="0" applyAlignment="0" applyProtection="0"/>
    <xf numFmtId="0" fontId="37" fillId="11" borderId="121" applyNumberFormat="0" applyAlignment="0" applyProtection="0"/>
    <xf numFmtId="0" fontId="115" fillId="85" borderId="127"/>
    <xf numFmtId="0" fontId="4" fillId="28" borderId="122" applyNumberFormat="0" applyFont="0" applyAlignment="0" applyProtection="0"/>
    <xf numFmtId="0" fontId="5" fillId="0" borderId="116">
      <alignment horizontal="left" vertical="center"/>
    </xf>
    <xf numFmtId="0" fontId="110" fillId="0" borderId="126"/>
    <xf numFmtId="0" fontId="115" fillId="0" borderId="147"/>
    <xf numFmtId="0" fontId="37" fillId="11" borderId="141" applyNumberFormat="0" applyAlignment="0" applyProtection="0"/>
    <xf numFmtId="0" fontId="31" fillId="24" borderId="121" applyNumberFormat="0" applyAlignment="0" applyProtection="0"/>
    <xf numFmtId="0" fontId="4" fillId="28" borderId="132" applyNumberFormat="0" applyFont="0" applyAlignment="0" applyProtection="0"/>
    <xf numFmtId="0" fontId="115" fillId="85" borderId="117"/>
    <xf numFmtId="0" fontId="40" fillId="24" borderId="133" applyNumberFormat="0" applyAlignment="0" applyProtection="0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31" fillId="24" borderId="111" applyNumberFormat="0" applyAlignment="0" applyProtection="0"/>
    <xf numFmtId="0" fontId="37" fillId="11" borderId="141" applyNumberFormat="0" applyAlignment="0" applyProtection="0"/>
    <xf numFmtId="10" fontId="130" fillId="0" borderId="149" applyFont="0" applyAlignment="0">
      <protection locked="0"/>
    </xf>
    <xf numFmtId="0" fontId="5" fillId="0" borderId="146">
      <alignment horizontal="left" vertical="center"/>
    </xf>
    <xf numFmtId="0" fontId="40" fillId="24" borderId="133" applyNumberFormat="0" applyAlignment="0" applyProtection="0"/>
    <xf numFmtId="0" fontId="115" fillId="83" borderId="127"/>
    <xf numFmtId="0" fontId="40" fillId="24" borderId="133" applyNumberFormat="0" applyAlignment="0" applyProtection="0"/>
    <xf numFmtId="0" fontId="40" fillId="24" borderId="113" applyNumberFormat="0" applyAlignment="0" applyProtection="0"/>
    <xf numFmtId="0" fontId="131" fillId="0" borderId="117"/>
    <xf numFmtId="0" fontId="40" fillId="24" borderId="123" applyNumberFormat="0" applyAlignment="0" applyProtection="0"/>
    <xf numFmtId="0" fontId="31" fillId="24" borderId="131" applyNumberFormat="0" applyAlignment="0" applyProtection="0"/>
    <xf numFmtId="0" fontId="131" fillId="0" borderId="127"/>
    <xf numFmtId="0" fontId="31" fillId="24" borderId="131" applyNumberFormat="0" applyAlignment="0" applyProtection="0"/>
    <xf numFmtId="0" fontId="37" fillId="11" borderId="131" applyNumberFormat="0" applyAlignment="0" applyProtection="0"/>
    <xf numFmtId="0" fontId="40" fillId="24" borderId="143" applyNumberFormat="0" applyAlignment="0" applyProtection="0"/>
    <xf numFmtId="0" fontId="37" fillId="11" borderId="141" applyNumberFormat="0" applyAlignment="0" applyProtection="0"/>
    <xf numFmtId="0" fontId="37" fillId="11" borderId="131" applyNumberFormat="0" applyAlignment="0" applyProtection="0"/>
    <xf numFmtId="0" fontId="11" fillId="0" borderId="124" applyNumberFormat="0" applyFill="0" applyAlignment="0" applyProtection="0"/>
    <xf numFmtId="0" fontId="11" fillId="0" borderId="144" applyNumberFormat="0" applyFill="0" applyAlignment="0" applyProtection="0"/>
    <xf numFmtId="0" fontId="11" fillId="0" borderId="124" applyNumberFormat="0" applyFill="0" applyAlignment="0" applyProtection="0"/>
    <xf numFmtId="0" fontId="131" fillId="0" borderId="137"/>
    <xf numFmtId="0" fontId="31" fillId="24" borderId="131" applyNumberFormat="0" applyAlignment="0" applyProtection="0"/>
    <xf numFmtId="0" fontId="4" fillId="28" borderId="122" applyNumberFormat="0" applyFont="0" applyAlignment="0" applyProtection="0"/>
    <xf numFmtId="0" fontId="11" fillId="0" borderId="144" applyNumberFormat="0" applyFill="0" applyAlignment="0" applyProtection="0"/>
    <xf numFmtId="10" fontId="130" fillId="0" borderId="119" applyFont="0" applyAlignment="0">
      <protection locked="0"/>
    </xf>
    <xf numFmtId="0" fontId="37" fillId="11" borderId="141" applyNumberFormat="0" applyAlignment="0" applyProtection="0"/>
    <xf numFmtId="0" fontId="11" fillId="0" borderId="124" applyNumberFormat="0" applyFill="0" applyAlignment="0" applyProtection="0"/>
    <xf numFmtId="0" fontId="37" fillId="11" borderId="121" applyNumberFormat="0" applyAlignment="0" applyProtection="0"/>
    <xf numFmtId="0" fontId="37" fillId="11" borderId="131" applyNumberFormat="0" applyAlignment="0" applyProtection="0"/>
    <xf numFmtId="0" fontId="134" fillId="79" borderId="130"/>
    <xf numFmtId="0" fontId="4" fillId="28" borderId="142" applyNumberFormat="0" applyFont="0" applyAlignment="0" applyProtection="0"/>
    <xf numFmtId="0" fontId="31" fillId="24" borderId="121" applyNumberFormat="0" applyAlignment="0" applyProtection="0"/>
    <xf numFmtId="0" fontId="40" fillId="24" borderId="113" applyNumberFormat="0" applyAlignment="0" applyProtection="0"/>
    <xf numFmtId="0" fontId="37" fillId="11" borderId="131" applyNumberFormat="0" applyAlignment="0" applyProtection="0"/>
    <xf numFmtId="0" fontId="31" fillId="24" borderId="141" applyNumberFormat="0" applyAlignment="0" applyProtection="0"/>
    <xf numFmtId="0" fontId="37" fillId="11" borderId="121" applyNumberFormat="0" applyAlignment="0" applyProtection="0"/>
    <xf numFmtId="0" fontId="4" fillId="28" borderId="132" applyNumberFormat="0" applyFont="0" applyAlignment="0" applyProtection="0"/>
    <xf numFmtId="0" fontId="37" fillId="11" borderId="141" applyNumberFormat="0" applyAlignment="0" applyProtection="0"/>
    <xf numFmtId="0" fontId="11" fillId="0" borderId="144" applyNumberFormat="0" applyFill="0" applyAlignment="0" applyProtection="0"/>
    <xf numFmtId="0" fontId="115" fillId="85" borderId="137"/>
    <xf numFmtId="0" fontId="4" fillId="28" borderId="122" applyNumberFormat="0" applyFont="0" applyAlignment="0" applyProtection="0"/>
    <xf numFmtId="2" fontId="4" fillId="0" borderId="106" applyNumberFormat="0" applyFont="0" applyFill="0" applyAlignment="0"/>
    <xf numFmtId="0" fontId="110" fillId="0" borderId="106"/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0" fontId="4" fillId="28" borderId="142" applyNumberFormat="0" applyFont="0" applyAlignment="0" applyProtection="0"/>
    <xf numFmtId="0" fontId="4" fillId="28" borderId="132" applyNumberFormat="0" applyFont="0" applyAlignment="0" applyProtection="0"/>
    <xf numFmtId="37" fontId="111" fillId="24" borderId="108"/>
    <xf numFmtId="0" fontId="31" fillId="24" borderId="111" applyNumberFormat="0" applyAlignment="0" applyProtection="0"/>
    <xf numFmtId="0" fontId="37" fillId="11" borderId="111" applyNumberFormat="0" applyAlignment="0" applyProtection="0"/>
    <xf numFmtId="0" fontId="115" fillId="0" borderId="117"/>
    <xf numFmtId="0" fontId="40" fillId="24" borderId="143" applyNumberFormat="0" applyAlignment="0" applyProtection="0"/>
    <xf numFmtId="0" fontId="31" fillId="24" borderId="131" applyNumberFormat="0" applyAlignment="0" applyProtection="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115" fillId="92" borderId="117"/>
    <xf numFmtId="0" fontId="40" fillId="24" borderId="113" applyNumberFormat="0" applyAlignment="0" applyProtection="0"/>
    <xf numFmtId="0" fontId="31" fillId="24" borderId="111" applyNumberFormat="0" applyAlignment="0" applyProtection="0"/>
    <xf numFmtId="0" fontId="11" fillId="0" borderId="114" applyNumberFormat="0" applyFill="0" applyAlignment="0" applyProtection="0"/>
    <xf numFmtId="0" fontId="4" fillId="28" borderId="142" applyNumberFormat="0" applyFont="0" applyAlignment="0" applyProtection="0"/>
    <xf numFmtId="0" fontId="37" fillId="11" borderId="121" applyNumberFormat="0" applyAlignment="0" applyProtection="0"/>
    <xf numFmtId="0" fontId="40" fillId="24" borderId="143" applyNumberFormat="0" applyAlignment="0" applyProtection="0"/>
    <xf numFmtId="0" fontId="4" fillId="28" borderId="142" applyNumberFormat="0" applyFont="0" applyAlignment="0" applyProtection="0"/>
    <xf numFmtId="0" fontId="4" fillId="28" borderId="122" applyNumberFormat="0" applyFont="0" applyAlignment="0" applyProtection="0"/>
    <xf numFmtId="0" fontId="122" fillId="83" borderId="117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37" fillId="11" borderId="111" applyNumberFormat="0" applyAlignment="0" applyProtection="0"/>
    <xf numFmtId="0" fontId="31" fillId="24" borderId="141" applyNumberFormat="0" applyAlignment="0" applyProtection="0"/>
    <xf numFmtId="0" fontId="131" fillId="0" borderId="137"/>
    <xf numFmtId="0" fontId="31" fillId="24" borderId="141" applyNumberFormat="0" applyAlignment="0" applyProtection="0"/>
    <xf numFmtId="0" fontId="40" fillId="24" borderId="143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2" fontId="4" fillId="0" borderId="106" applyNumberFormat="0" applyFont="0" applyFill="0" applyAlignment="0"/>
    <xf numFmtId="0" fontId="110" fillId="0" borderId="106"/>
    <xf numFmtId="0" fontId="115" fillId="0" borderId="107"/>
    <xf numFmtId="37" fontId="111" fillId="24" borderId="108"/>
    <xf numFmtId="0" fontId="122" fillId="83" borderId="107"/>
    <xf numFmtId="0" fontId="5" fillId="0" borderId="106">
      <alignment horizontal="left" vertical="center"/>
    </xf>
    <xf numFmtId="0" fontId="115" fillId="85" borderId="107"/>
    <xf numFmtId="0" fontId="115" fillId="83" borderId="107"/>
    <xf numFmtId="10" fontId="12" fillId="88" borderId="105" applyNumberFormat="0" applyBorder="0" applyAlignment="0" applyProtection="0"/>
    <xf numFmtId="10" fontId="130" fillId="0" borderId="109" applyFont="0" applyAlignment="0">
      <protection locked="0"/>
    </xf>
    <xf numFmtId="0" fontId="134" fillId="79" borderId="110"/>
    <xf numFmtId="0" fontId="131" fillId="0" borderId="107"/>
    <xf numFmtId="0" fontId="115" fillId="92" borderId="107"/>
    <xf numFmtId="0" fontId="115" fillId="92" borderId="107"/>
    <xf numFmtId="0" fontId="131" fillId="0" borderId="107"/>
    <xf numFmtId="0" fontId="134" fillId="79" borderId="110"/>
    <xf numFmtId="10" fontId="130" fillId="0" borderId="109" applyFont="0" applyAlignment="0">
      <protection locked="0"/>
    </xf>
    <xf numFmtId="0" fontId="115" fillId="83" borderId="107"/>
    <xf numFmtId="0" fontId="115" fillId="85" borderId="107"/>
    <xf numFmtId="0" fontId="122" fillId="83" borderId="107"/>
    <xf numFmtId="0" fontId="115" fillId="0" borderId="107"/>
    <xf numFmtId="0" fontId="122" fillId="83" borderId="107"/>
    <xf numFmtId="10" fontId="130" fillId="0" borderId="109" applyFont="0" applyAlignment="0">
      <protection locked="0"/>
    </xf>
    <xf numFmtId="0" fontId="131" fillId="0" borderId="107"/>
    <xf numFmtId="0" fontId="115" fillId="83" borderId="107"/>
    <xf numFmtId="0" fontId="131" fillId="0" borderId="107"/>
    <xf numFmtId="0" fontId="134" fillId="79" borderId="110"/>
    <xf numFmtId="0" fontId="122" fillId="83" borderId="107"/>
    <xf numFmtId="0" fontId="31" fillId="24" borderId="101" applyNumberFormat="0" applyAlignment="0" applyProtection="0"/>
    <xf numFmtId="0" fontId="37" fillId="11" borderId="101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37" fontId="111" fillId="24" borderId="108"/>
    <xf numFmtId="0" fontId="115" fillId="0" borderId="107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5" fillId="83" borderId="107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115" fillId="85" borderId="107"/>
    <xf numFmtId="2" fontId="4" fillId="0" borderId="106" applyNumberFormat="0" applyFont="0" applyFill="0" applyAlignment="0"/>
    <xf numFmtId="0" fontId="110" fillId="0" borderId="106"/>
    <xf numFmtId="0" fontId="134" fillId="79" borderId="110"/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0" fontId="115" fillId="92" borderId="107"/>
    <xf numFmtId="2" fontId="4" fillId="0" borderId="106" applyNumberFormat="0" applyFont="0" applyFill="0" applyAlignment="0"/>
    <xf numFmtId="0" fontId="110" fillId="0" borderId="106"/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37" fontId="111" fillId="24" borderId="108"/>
    <xf numFmtId="0" fontId="115" fillId="85" borderId="107"/>
    <xf numFmtId="10" fontId="130" fillId="0" borderId="109" applyFont="0" applyAlignment="0">
      <protection locked="0"/>
    </xf>
    <xf numFmtId="0" fontId="115" fillId="92" borderId="107"/>
    <xf numFmtId="0" fontId="115" fillId="0" borderId="107"/>
    <xf numFmtId="0" fontId="40" fillId="24" borderId="103" applyNumberFormat="0" applyAlignment="0" applyProtection="0"/>
    <xf numFmtId="0" fontId="37" fillId="11" borderId="101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2" fontId="4" fillId="0" borderId="106" applyNumberFormat="0" applyFont="0" applyFill="0" applyAlignment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31" fillId="24" borderId="101" applyNumberFormat="0" applyAlignment="0" applyProtection="0"/>
    <xf numFmtId="0" fontId="110" fillId="0" borderId="106"/>
    <xf numFmtId="0" fontId="115" fillId="0" borderId="107"/>
    <xf numFmtId="0" fontId="31" fillId="24" borderId="101" applyNumberFormat="0" applyAlignment="0" applyProtection="0"/>
    <xf numFmtId="0" fontId="115" fillId="85" borderId="107"/>
    <xf numFmtId="0" fontId="115" fillId="92" borderId="107"/>
    <xf numFmtId="37" fontId="111" fillId="24" borderId="108"/>
    <xf numFmtId="0" fontId="122" fillId="83" borderId="107"/>
    <xf numFmtId="0" fontId="5" fillId="0" borderId="106">
      <alignment horizontal="left" vertical="center"/>
    </xf>
    <xf numFmtId="0" fontId="115" fillId="85" borderId="107"/>
    <xf numFmtId="0" fontId="115" fillId="83" borderId="107"/>
    <xf numFmtId="10" fontId="12" fillId="88" borderId="105" applyNumberFormat="0" applyBorder="0" applyAlignment="0" applyProtection="0"/>
    <xf numFmtId="10" fontId="12" fillId="88" borderId="105" applyNumberFormat="0" applyBorder="0" applyAlignment="0" applyProtection="0"/>
    <xf numFmtId="10" fontId="130" fillId="0" borderId="109" applyFont="0" applyAlignment="0">
      <protection locked="0"/>
    </xf>
    <xf numFmtId="0" fontId="134" fillId="79" borderId="110"/>
    <xf numFmtId="0" fontId="131" fillId="0" borderId="107"/>
    <xf numFmtId="0" fontId="4" fillId="28" borderId="102" applyNumberFormat="0" applyFon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0" fillId="24" borderId="103" applyNumberFormat="0" applyAlignment="0" applyProtection="0"/>
    <xf numFmtId="0" fontId="4" fillId="28" borderId="102" applyNumberFormat="0" applyFon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1" fillId="24" borderId="101" applyNumberFormat="0" applyAlignment="0" applyProtection="0"/>
    <xf numFmtId="0" fontId="115" fillId="83" borderId="107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" fillId="28" borderId="102" applyNumberFormat="0" applyFont="0" applyAlignment="0" applyProtection="0"/>
    <xf numFmtId="0" fontId="37" fillId="11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134" fillId="79" borderId="110"/>
    <xf numFmtId="0" fontId="131" fillId="0" borderId="107"/>
    <xf numFmtId="0" fontId="115" fillId="0" borderId="107"/>
    <xf numFmtId="10" fontId="130" fillId="0" borderId="109" applyFont="0" applyAlignment="0">
      <protection locked="0"/>
    </xf>
    <xf numFmtId="0" fontId="134" fillId="79" borderId="110"/>
    <xf numFmtId="0" fontId="131" fillId="0" borderId="107"/>
    <xf numFmtId="0" fontId="134" fillId="79" borderId="110"/>
    <xf numFmtId="0" fontId="131" fillId="0" borderId="107"/>
    <xf numFmtId="0" fontId="115" fillId="85" borderId="107"/>
    <xf numFmtId="10" fontId="12" fillId="88" borderId="105" applyNumberFormat="0" applyBorder="0" applyAlignment="0" applyProtection="0"/>
    <xf numFmtId="0" fontId="5" fillId="0" borderId="106">
      <alignment horizontal="left" vertical="center"/>
    </xf>
    <xf numFmtId="0" fontId="115" fillId="0" borderId="107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115" fillId="92" borderId="107"/>
    <xf numFmtId="0" fontId="115" fillId="92" borderId="107"/>
    <xf numFmtId="0" fontId="131" fillId="0" borderId="107"/>
    <xf numFmtId="0" fontId="134" fillId="79" borderId="110"/>
    <xf numFmtId="10" fontId="130" fillId="0" borderId="109" applyFont="0" applyAlignment="0">
      <protection locked="0"/>
    </xf>
    <xf numFmtId="0" fontId="115" fillId="83" borderId="107"/>
    <xf numFmtId="0" fontId="115" fillId="85" borderId="107"/>
    <xf numFmtId="0" fontId="122" fillId="83" borderId="107"/>
    <xf numFmtId="0" fontId="115" fillId="0" borderId="107"/>
    <xf numFmtId="0" fontId="122" fillId="83" borderId="107"/>
    <xf numFmtId="10" fontId="130" fillId="0" borderId="109" applyFont="0" applyAlignment="0">
      <protection locked="0"/>
    </xf>
    <xf numFmtId="0" fontId="131" fillId="0" borderId="107"/>
    <xf numFmtId="0" fontId="115" fillId="83" borderId="107"/>
    <xf numFmtId="0" fontId="131" fillId="0" borderId="107"/>
    <xf numFmtId="0" fontId="134" fillId="79" borderId="110"/>
    <xf numFmtId="0" fontId="122" fillId="83" borderId="107"/>
    <xf numFmtId="0" fontId="31" fillId="24" borderId="101" applyNumberFormat="0" applyAlignment="0" applyProtection="0"/>
    <xf numFmtId="0" fontId="37" fillId="11" borderId="101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22" fillId="83" borderId="107"/>
    <xf numFmtId="0" fontId="110" fillId="0" borderId="106"/>
    <xf numFmtId="0" fontId="11" fillId="0" borderId="104" applyNumberFormat="0" applyFill="0" applyAlignment="0" applyProtection="0"/>
    <xf numFmtId="0" fontId="37" fillId="11" borderId="101" applyNumberFormat="0" applyAlignment="0" applyProtection="0"/>
    <xf numFmtId="37" fontId="111" fillId="24" borderId="108"/>
    <xf numFmtId="0" fontId="115" fillId="0" borderId="107"/>
    <xf numFmtId="0" fontId="40" fillId="24" borderId="103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5" fillId="83" borderId="107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1" fillId="24" borderId="101" applyNumberFormat="0" applyAlignment="0" applyProtection="0"/>
    <xf numFmtId="0" fontId="115" fillId="85" borderId="107"/>
    <xf numFmtId="2" fontId="4" fillId="0" borderId="106" applyNumberFormat="0" applyFont="0" applyFill="0" applyAlignment="0"/>
    <xf numFmtId="0" fontId="110" fillId="0" borderId="106"/>
    <xf numFmtId="0" fontId="134" fillId="79" borderId="110"/>
    <xf numFmtId="0" fontId="11" fillId="0" borderId="104" applyNumberFormat="0" applyFill="0" applyAlignment="0" applyProtection="0"/>
    <xf numFmtId="0" fontId="115" fillId="0" borderId="107"/>
    <xf numFmtId="0" fontId="5" fillId="0" borderId="106">
      <alignment horizontal="left" vertical="center"/>
    </xf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0" fontId="134" fillId="79" borderId="11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40" fillId="24" borderId="103" applyNumberFormat="0" applyAlignment="0" applyProtection="0"/>
    <xf numFmtId="0" fontId="4" fillId="28" borderId="102" applyNumberFormat="0" applyFon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131" fillId="0" borderId="107"/>
    <xf numFmtId="10" fontId="130" fillId="0" borderId="109" applyFont="0" applyAlignment="0">
      <protection locked="0"/>
    </xf>
    <xf numFmtId="0" fontId="115" fillId="85" borderId="107"/>
    <xf numFmtId="37" fontId="111" fillId="24" borderId="108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115" fillId="92" borderId="107"/>
    <xf numFmtId="2" fontId="4" fillId="0" borderId="106" applyNumberFormat="0" applyFont="0" applyFill="0" applyAlignment="0"/>
    <xf numFmtId="0" fontId="110" fillId="0" borderId="106"/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37" fontId="111" fillId="24" borderId="108"/>
    <xf numFmtId="0" fontId="115" fillId="85" borderId="107"/>
    <xf numFmtId="0" fontId="115" fillId="85" borderId="107"/>
    <xf numFmtId="10" fontId="130" fillId="0" borderId="109" applyFont="0" applyAlignment="0">
      <protection locked="0"/>
    </xf>
    <xf numFmtId="0" fontId="115" fillId="92" borderId="107"/>
    <xf numFmtId="0" fontId="115" fillId="0" borderId="107"/>
    <xf numFmtId="0" fontId="31" fillId="24" borderId="101" applyNumberFormat="0" applyAlignment="0" applyProtection="0"/>
    <xf numFmtId="0" fontId="37" fillId="11" borderId="101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37" fontId="111" fillId="24" borderId="108"/>
    <xf numFmtId="0" fontId="40" fillId="24" borderId="103" applyNumberFormat="0" applyAlignment="0" applyProtection="0"/>
    <xf numFmtId="0" fontId="37" fillId="11" borderId="101" applyNumberFormat="0" applyAlignment="0" applyProtection="0"/>
    <xf numFmtId="0" fontId="40" fillId="24" borderId="103" applyNumberFormat="0" applyAlignment="0" applyProtection="0"/>
    <xf numFmtId="10" fontId="12" fillId="88" borderId="105" applyNumberFormat="0" applyBorder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11" fillId="0" borderId="104" applyNumberFormat="0" applyFill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11" fillId="0" borderId="104" applyNumberFormat="0" applyFill="0" applyAlignment="0" applyProtection="0"/>
    <xf numFmtId="0" fontId="37" fillId="11" borderId="101" applyNumberFormat="0" applyAlignment="0" applyProtection="0"/>
    <xf numFmtId="10" fontId="130" fillId="0" borderId="109" applyFont="0" applyAlignment="0">
      <protection locked="0"/>
    </xf>
    <xf numFmtId="37" fontId="111" fillId="24" borderId="108"/>
    <xf numFmtId="2" fontId="4" fillId="0" borderId="106" applyNumberFormat="0" applyFont="0" applyFill="0" applyAlignment="0"/>
    <xf numFmtId="10" fontId="12" fillId="88" borderId="105" applyNumberFormat="0" applyBorder="0" applyAlignment="0" applyProtection="0"/>
    <xf numFmtId="2" fontId="4" fillId="0" borderId="106" applyNumberFormat="0" applyFont="0" applyFill="0" applyAlignment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37" fillId="11" borderId="101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0" fillId="24" borderId="103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37" fontId="111" fillId="24" borderId="108"/>
    <xf numFmtId="0" fontId="122" fillId="83" borderId="107"/>
    <xf numFmtId="0" fontId="40" fillId="24" borderId="103" applyNumberFormat="0" applyAlignment="0" applyProtection="0"/>
    <xf numFmtId="0" fontId="122" fillId="83" borderId="107"/>
    <xf numFmtId="0" fontId="115" fillId="92" borderId="107"/>
    <xf numFmtId="0" fontId="115" fillId="83" borderId="107"/>
    <xf numFmtId="0" fontId="110" fillId="0" borderId="106"/>
    <xf numFmtId="2" fontId="4" fillId="0" borderId="106" applyNumberFormat="0" applyFont="0" applyFill="0" applyAlignment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2" fontId="4" fillId="0" borderId="106" applyNumberFormat="0" applyFont="0" applyFill="0" applyAlignment="0"/>
    <xf numFmtId="0" fontId="110" fillId="0" borderId="106"/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37" fontId="111" fillId="24" borderId="108"/>
    <xf numFmtId="0" fontId="31" fillId="24" borderId="101" applyNumberFormat="0" applyAlignment="0" applyProtection="0"/>
    <xf numFmtId="0" fontId="37" fillId="11" borderId="101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2" fontId="4" fillId="0" borderId="106" applyNumberFormat="0" applyFont="0" applyFill="0" applyAlignment="0"/>
    <xf numFmtId="0" fontId="11" fillId="0" borderId="104" applyNumberFormat="0" applyFill="0" applyAlignment="0" applyProtection="0"/>
    <xf numFmtId="0" fontId="37" fillId="11" borderId="101" applyNumberFormat="0" applyAlignment="0" applyProtection="0"/>
    <xf numFmtId="0" fontId="40" fillId="24" borderId="103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11" fillId="0" borderId="104" applyNumberFormat="0" applyFill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1" fillId="24" borderId="101" applyNumberFormat="0" applyAlignment="0" applyProtection="0"/>
    <xf numFmtId="0" fontId="40" fillId="24" borderId="103" applyNumberFormat="0" applyAlignment="0" applyProtection="0"/>
    <xf numFmtId="0" fontId="115" fillId="92" borderId="107"/>
    <xf numFmtId="0" fontId="110" fillId="0" borderId="106"/>
    <xf numFmtId="0" fontId="110" fillId="0" borderId="106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37" fillId="11" borderId="101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40" fillId="24" borderId="103" applyNumberFormat="0" applyAlignment="0" applyProtection="0"/>
    <xf numFmtId="0" fontId="4" fillId="28" borderId="102" applyNumberFormat="0" applyFon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40" fillId="24" borderId="103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115" fillId="0" borderId="107"/>
    <xf numFmtId="0" fontId="31" fillId="24" borderId="101" applyNumberFormat="0" applyAlignment="0" applyProtection="0"/>
    <xf numFmtId="0" fontId="11" fillId="0" borderId="104" applyNumberFormat="0" applyFill="0" applyAlignment="0" applyProtection="0"/>
    <xf numFmtId="0" fontId="115" fillId="83" borderId="107"/>
    <xf numFmtId="0" fontId="122" fillId="83" borderId="107"/>
    <xf numFmtId="0" fontId="115" fillId="83" borderId="107"/>
    <xf numFmtId="0" fontId="115" fillId="92" borderId="107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2" fontId="4" fillId="0" borderId="106" applyNumberFormat="0" applyFont="0" applyFill="0" applyAlignment="0"/>
    <xf numFmtId="0" fontId="110" fillId="0" borderId="106"/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37" fontId="111" fillId="24" borderId="108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2" fontId="4" fillId="0" borderId="106" applyNumberFormat="0" applyFont="0" applyFill="0" applyAlignment="0"/>
    <xf numFmtId="0" fontId="110" fillId="0" borderId="106"/>
    <xf numFmtId="0" fontId="115" fillId="0" borderId="107"/>
    <xf numFmtId="37" fontId="111" fillId="24" borderId="108"/>
    <xf numFmtId="0" fontId="122" fillId="83" borderId="107"/>
    <xf numFmtId="0" fontId="5" fillId="0" borderId="106">
      <alignment horizontal="left" vertical="center"/>
    </xf>
    <xf numFmtId="0" fontId="115" fillId="85" borderId="107"/>
    <xf numFmtId="0" fontId="115" fillId="83" borderId="107"/>
    <xf numFmtId="10" fontId="12" fillId="88" borderId="105" applyNumberFormat="0" applyBorder="0" applyAlignment="0" applyProtection="0"/>
    <xf numFmtId="10" fontId="130" fillId="0" borderId="109" applyFont="0" applyAlignment="0">
      <protection locked="0"/>
    </xf>
    <xf numFmtId="0" fontId="134" fillId="79" borderId="110"/>
    <xf numFmtId="0" fontId="131" fillId="0" borderId="107"/>
    <xf numFmtId="0" fontId="115" fillId="92" borderId="107"/>
    <xf numFmtId="0" fontId="115" fillId="92" borderId="107"/>
    <xf numFmtId="0" fontId="131" fillId="0" borderId="107"/>
    <xf numFmtId="0" fontId="134" fillId="79" borderId="110"/>
    <xf numFmtId="10" fontId="130" fillId="0" borderId="109" applyFont="0" applyAlignment="0">
      <protection locked="0"/>
    </xf>
    <xf numFmtId="0" fontId="115" fillId="83" borderId="107"/>
    <xf numFmtId="0" fontId="115" fillId="85" borderId="107"/>
    <xf numFmtId="0" fontId="122" fillId="83" borderId="107"/>
    <xf numFmtId="0" fontId="115" fillId="0" borderId="107"/>
    <xf numFmtId="0" fontId="122" fillId="83" borderId="107"/>
    <xf numFmtId="10" fontId="130" fillId="0" borderId="109" applyFont="0" applyAlignment="0">
      <protection locked="0"/>
    </xf>
    <xf numFmtId="0" fontId="131" fillId="0" borderId="107"/>
    <xf numFmtId="0" fontId="115" fillId="83" borderId="107"/>
    <xf numFmtId="0" fontId="131" fillId="0" borderId="107"/>
    <xf numFmtId="0" fontId="134" fillId="79" borderId="110"/>
    <xf numFmtId="0" fontId="122" fillId="83" borderId="107"/>
    <xf numFmtId="0" fontId="31" fillId="24" borderId="101" applyNumberFormat="0" applyAlignment="0" applyProtection="0"/>
    <xf numFmtId="0" fontId="37" fillId="11" borderId="101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37" fontId="111" fillId="24" borderId="108"/>
    <xf numFmtId="0" fontId="115" fillId="0" borderId="107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5" fillId="83" borderId="107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115" fillId="85" borderId="107"/>
    <xf numFmtId="2" fontId="4" fillId="0" borderId="106" applyNumberFormat="0" applyFont="0" applyFill="0" applyAlignment="0"/>
    <xf numFmtId="0" fontId="110" fillId="0" borderId="106"/>
    <xf numFmtId="0" fontId="134" fillId="79" borderId="110"/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0" fontId="115" fillId="92" borderId="107"/>
    <xf numFmtId="2" fontId="4" fillId="0" borderId="106" applyNumberFormat="0" applyFont="0" applyFill="0" applyAlignment="0"/>
    <xf numFmtId="0" fontId="110" fillId="0" borderId="106"/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37" fontId="111" fillId="24" borderId="108"/>
    <xf numFmtId="0" fontId="115" fillId="85" borderId="107"/>
    <xf numFmtId="10" fontId="130" fillId="0" borderId="109" applyFont="0" applyAlignment="0">
      <protection locked="0"/>
    </xf>
    <xf numFmtId="0" fontId="115" fillId="92" borderId="107"/>
    <xf numFmtId="0" fontId="115" fillId="0" borderId="107"/>
    <xf numFmtId="2" fontId="4" fillId="0" borderId="106" applyNumberFormat="0" applyFont="0" applyFill="0" applyAlignment="0"/>
    <xf numFmtId="0" fontId="110" fillId="0" borderId="106"/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37" fontId="111" fillId="24" borderId="108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2" fontId="4" fillId="0" borderId="106" applyNumberFormat="0" applyFont="0" applyFill="0" applyAlignment="0"/>
    <xf numFmtId="0" fontId="110" fillId="0" borderId="106"/>
    <xf numFmtId="0" fontId="115" fillId="0" borderId="107"/>
    <xf numFmtId="37" fontId="111" fillId="24" borderId="108"/>
    <xf numFmtId="0" fontId="122" fillId="83" borderId="107"/>
    <xf numFmtId="0" fontId="5" fillId="0" borderId="106">
      <alignment horizontal="left" vertical="center"/>
    </xf>
    <xf numFmtId="0" fontId="115" fillId="85" borderId="107"/>
    <xf numFmtId="0" fontId="115" fillId="83" borderId="107"/>
    <xf numFmtId="10" fontId="12" fillId="88" borderId="105" applyNumberFormat="0" applyBorder="0" applyAlignment="0" applyProtection="0"/>
    <xf numFmtId="10" fontId="130" fillId="0" borderId="109" applyFont="0" applyAlignment="0">
      <protection locked="0"/>
    </xf>
    <xf numFmtId="0" fontId="134" fillId="79" borderId="110"/>
    <xf numFmtId="0" fontId="131" fillId="0" borderId="107"/>
    <xf numFmtId="0" fontId="115" fillId="92" borderId="107"/>
    <xf numFmtId="0" fontId="115" fillId="92" borderId="107"/>
    <xf numFmtId="0" fontId="131" fillId="0" borderId="107"/>
    <xf numFmtId="0" fontId="134" fillId="79" borderId="110"/>
    <xf numFmtId="10" fontId="130" fillId="0" borderId="109" applyFont="0" applyAlignment="0">
      <protection locked="0"/>
    </xf>
    <xf numFmtId="0" fontId="115" fillId="83" borderId="107"/>
    <xf numFmtId="0" fontId="115" fillId="85" borderId="107"/>
    <xf numFmtId="0" fontId="122" fillId="83" borderId="107"/>
    <xf numFmtId="0" fontId="115" fillId="0" borderId="107"/>
    <xf numFmtId="0" fontId="122" fillId="83" borderId="107"/>
    <xf numFmtId="10" fontId="130" fillId="0" borderId="109" applyFont="0" applyAlignment="0">
      <protection locked="0"/>
    </xf>
    <xf numFmtId="0" fontId="131" fillId="0" borderId="107"/>
    <xf numFmtId="0" fontId="115" fillId="83" borderId="107"/>
    <xf numFmtId="0" fontId="131" fillId="0" borderId="107"/>
    <xf numFmtId="0" fontId="134" fillId="79" borderId="110"/>
    <xf numFmtId="0" fontId="122" fillId="83" borderId="107"/>
    <xf numFmtId="0" fontId="31" fillId="24" borderId="101" applyNumberFormat="0" applyAlignment="0" applyProtection="0"/>
    <xf numFmtId="0" fontId="37" fillId="11" borderId="101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37" fontId="111" fillId="24" borderId="108"/>
    <xf numFmtId="0" fontId="115" fillId="0" borderId="107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5" fillId="83" borderId="107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115" fillId="85" borderId="107"/>
    <xf numFmtId="2" fontId="4" fillId="0" borderId="106" applyNumberFormat="0" applyFont="0" applyFill="0" applyAlignment="0"/>
    <xf numFmtId="0" fontId="110" fillId="0" borderId="106"/>
    <xf numFmtId="0" fontId="134" fillId="79" borderId="110"/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0" fontId="115" fillId="92" borderId="107"/>
    <xf numFmtId="2" fontId="4" fillId="0" borderId="106" applyNumberFormat="0" applyFont="0" applyFill="0" applyAlignment="0"/>
    <xf numFmtId="0" fontId="110" fillId="0" borderId="106"/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37" fontId="111" fillId="24" borderId="108"/>
    <xf numFmtId="0" fontId="115" fillId="85" borderId="107"/>
    <xf numFmtId="10" fontId="130" fillId="0" borderId="109" applyFont="0" applyAlignment="0">
      <protection locked="0"/>
    </xf>
    <xf numFmtId="0" fontId="115" fillId="92" borderId="107"/>
    <xf numFmtId="0" fontId="115" fillId="0" borderId="107"/>
    <xf numFmtId="0" fontId="115" fillId="85" borderId="137"/>
    <xf numFmtId="2" fontId="4" fillId="0" borderId="126" applyNumberFormat="0" applyFont="0" applyFill="0" applyAlignment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115" fillId="0" borderId="147"/>
    <xf numFmtId="0" fontId="11" fillId="0" borderId="134" applyNumberFormat="0" applyFill="0" applyAlignment="0" applyProtection="0"/>
    <xf numFmtId="0" fontId="37" fillId="11" borderId="141" applyNumberFormat="0" applyAlignment="0" applyProtection="0"/>
    <xf numFmtId="0" fontId="37" fillId="11" borderId="131" applyNumberFormat="0" applyAlignment="0" applyProtection="0"/>
    <xf numFmtId="0" fontId="4" fillId="28" borderId="122" applyNumberFormat="0" applyFont="0" applyAlignment="0" applyProtection="0"/>
    <xf numFmtId="0" fontId="4" fillId="28" borderId="132" applyNumberFormat="0" applyFont="0" applyAlignment="0" applyProtection="0"/>
    <xf numFmtId="0" fontId="4" fillId="28" borderId="122" applyNumberFormat="0" applyFont="0" applyAlignment="0" applyProtection="0"/>
    <xf numFmtId="0" fontId="31" fillId="24" borderId="121" applyNumberFormat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37" fillId="11" borderId="131" applyNumberFormat="0" applyAlignment="0" applyProtection="0"/>
    <xf numFmtId="0" fontId="31" fillId="24" borderId="141" applyNumberFormat="0" applyAlignment="0" applyProtection="0"/>
    <xf numFmtId="10" fontId="130" fillId="0" borderId="149" applyFont="0" applyAlignment="0">
      <protection locked="0"/>
    </xf>
    <xf numFmtId="0" fontId="131" fillId="0" borderId="127"/>
    <xf numFmtId="37" fontId="111" fillId="24" borderId="128"/>
    <xf numFmtId="0" fontId="131" fillId="0" borderId="147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11" fillId="0" borderId="144" applyNumberFormat="0" applyFill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37" fillId="11" borderId="121" applyNumberFormat="0" applyAlignment="0" applyProtection="0"/>
    <xf numFmtId="0" fontId="31" fillId="24" borderId="121" applyNumberFormat="0" applyAlignment="0" applyProtection="0"/>
    <xf numFmtId="0" fontId="11" fillId="0" borderId="144" applyNumberFormat="0" applyFill="0" applyAlignment="0" applyProtection="0"/>
    <xf numFmtId="37" fontId="111" fillId="24" borderId="148"/>
    <xf numFmtId="0" fontId="31" fillId="24" borderId="141" applyNumberFormat="0" applyAlignment="0" applyProtection="0"/>
    <xf numFmtId="0" fontId="4" fillId="28" borderId="122" applyNumberFormat="0" applyFont="0" applyAlignment="0" applyProtection="0"/>
    <xf numFmtId="0" fontId="40" fillId="24" borderId="133" applyNumberFormat="0" applyAlignment="0" applyProtection="0"/>
    <xf numFmtId="0" fontId="11" fillId="0" borderId="144" applyNumberFormat="0" applyFill="0" applyAlignment="0" applyProtection="0"/>
    <xf numFmtId="0" fontId="4" fillId="28" borderId="122" applyNumberFormat="0" applyFont="0" applyAlignment="0" applyProtection="0"/>
    <xf numFmtId="0" fontId="5" fillId="0" borderId="126">
      <alignment horizontal="left" vertical="center"/>
    </xf>
    <xf numFmtId="0" fontId="11" fillId="0" borderId="124" applyNumberFormat="0" applyFill="0" applyAlignment="0" applyProtection="0"/>
    <xf numFmtId="0" fontId="31" fillId="24" borderId="121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115" fillId="85" borderId="127"/>
    <xf numFmtId="0" fontId="4" fillId="28" borderId="122" applyNumberFormat="0" applyFont="0" applyAlignment="0" applyProtection="0"/>
    <xf numFmtId="0" fontId="11" fillId="0" borderId="124" applyNumberFormat="0" applyFill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11" fillId="0" borderId="124" applyNumberFormat="0" applyFill="0" applyAlignment="0" applyProtection="0"/>
    <xf numFmtId="0" fontId="40" fillId="24" borderId="123" applyNumberFormat="0" applyAlignment="0" applyProtection="0"/>
    <xf numFmtId="0" fontId="40" fillId="24" borderId="143" applyNumberFormat="0" applyAlignment="0" applyProtection="0"/>
    <xf numFmtId="0" fontId="31" fillId="24" borderId="121" applyNumberFormat="0" applyAlignment="0" applyProtection="0"/>
    <xf numFmtId="0" fontId="4" fillId="28" borderId="132" applyNumberFormat="0" applyFont="0" applyAlignment="0" applyProtection="0"/>
    <xf numFmtId="0" fontId="5" fillId="0" borderId="126">
      <alignment horizontal="left" vertical="center"/>
    </xf>
    <xf numFmtId="0" fontId="37" fillId="11" borderId="141" applyNumberFormat="0" applyAlignment="0" applyProtection="0"/>
    <xf numFmtId="0" fontId="37" fillId="11" borderId="141" applyNumberFormat="0" applyAlignment="0" applyProtection="0"/>
    <xf numFmtId="0" fontId="4" fillId="28" borderId="132" applyNumberFormat="0" applyFont="0" applyAlignment="0" applyProtection="0"/>
    <xf numFmtId="0" fontId="4" fillId="28" borderId="14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11" fillId="0" borderId="134" applyNumberFormat="0" applyFill="0" applyAlignment="0" applyProtection="0"/>
    <xf numFmtId="0" fontId="37" fillId="11" borderId="131" applyNumberFormat="0" applyAlignment="0" applyProtection="0"/>
    <xf numFmtId="0" fontId="37" fillId="11" borderId="141" applyNumberFormat="0" applyAlignment="0" applyProtection="0"/>
    <xf numFmtId="0" fontId="11" fillId="0" borderId="134" applyNumberFormat="0" applyFill="0" applyAlignment="0" applyProtection="0"/>
    <xf numFmtId="0" fontId="5" fillId="0" borderId="146">
      <alignment horizontal="left" vertical="center"/>
    </xf>
    <xf numFmtId="0" fontId="115" fillId="92" borderId="137"/>
    <xf numFmtId="0" fontId="4" fillId="28" borderId="14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115" fillId="85" borderId="147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37" fillId="11" borderId="131" applyNumberForma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4" fillId="28" borderId="142" applyNumberFormat="0" applyFont="0" applyAlignment="0" applyProtection="0"/>
    <xf numFmtId="0" fontId="11" fillId="0" borderId="134" applyNumberFormat="0" applyFill="0" applyAlignment="0" applyProtection="0"/>
    <xf numFmtId="0" fontId="4" fillId="28" borderId="122" applyNumberFormat="0" applyFont="0" applyAlignment="0" applyProtection="0"/>
    <xf numFmtId="0" fontId="11" fillId="0" borderId="124" applyNumberFormat="0" applyFill="0" applyAlignment="0" applyProtection="0"/>
    <xf numFmtId="0" fontId="40" fillId="24" borderId="123" applyNumberForma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40" fillId="24" borderId="143" applyNumberFormat="0" applyAlignment="0" applyProtection="0"/>
    <xf numFmtId="0" fontId="4" fillId="28" borderId="132" applyNumberFormat="0" applyFont="0" applyAlignment="0" applyProtection="0"/>
    <xf numFmtId="0" fontId="11" fillId="0" borderId="134" applyNumberFormat="0" applyFill="0" applyAlignment="0" applyProtection="0"/>
    <xf numFmtId="0" fontId="37" fillId="11" borderId="131" applyNumberFormat="0" applyAlignment="0" applyProtection="0"/>
    <xf numFmtId="0" fontId="31" fillId="24" borderId="131" applyNumberFormat="0" applyAlignment="0" applyProtection="0"/>
    <xf numFmtId="0" fontId="40" fillId="24" borderId="143" applyNumberFormat="0" applyAlignment="0" applyProtection="0"/>
    <xf numFmtId="0" fontId="115" fillId="0" borderId="137"/>
    <xf numFmtId="0" fontId="110" fillId="0" borderId="136"/>
    <xf numFmtId="0" fontId="37" fillId="11" borderId="141" applyNumberFormat="0" applyAlignment="0" applyProtection="0"/>
    <xf numFmtId="0" fontId="115" fillId="92" borderId="147"/>
    <xf numFmtId="0" fontId="5" fillId="0" borderId="126">
      <alignment horizontal="left" vertical="center"/>
    </xf>
    <xf numFmtId="0" fontId="4" fillId="28" borderId="142" applyNumberFormat="0" applyFont="0" applyAlignment="0" applyProtection="0"/>
    <xf numFmtId="0" fontId="115" fillId="85" borderId="127"/>
    <xf numFmtId="0" fontId="4" fillId="28" borderId="122" applyNumberFormat="0" applyFont="0" applyAlignment="0" applyProtection="0"/>
    <xf numFmtId="0" fontId="4" fillId="28" borderId="132" applyNumberFormat="0" applyFont="0" applyAlignment="0" applyProtection="0"/>
    <xf numFmtId="0" fontId="11" fillId="0" borderId="124" applyNumberFormat="0" applyFill="0" applyAlignment="0" applyProtection="0"/>
    <xf numFmtId="0" fontId="40" fillId="24" borderId="123" applyNumberFormat="0" applyAlignment="0" applyProtection="0"/>
    <xf numFmtId="0" fontId="31" fillId="24" borderId="121" applyNumberForma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40" fillId="24" borderId="133" applyNumberFormat="0" applyAlignment="0" applyProtection="0"/>
    <xf numFmtId="0" fontId="40" fillId="24" borderId="123" applyNumberFormat="0" applyAlignment="0" applyProtection="0"/>
    <xf numFmtId="0" fontId="131" fillId="0" borderId="127"/>
    <xf numFmtId="0" fontId="4" fillId="28" borderId="142" applyNumberFormat="0" applyFont="0" applyAlignment="0" applyProtection="0"/>
    <xf numFmtId="0" fontId="134" fillId="79" borderId="140"/>
    <xf numFmtId="0" fontId="4" fillId="28" borderId="132" applyNumberFormat="0" applyFont="0" applyAlignment="0" applyProtection="0"/>
    <xf numFmtId="0" fontId="11" fillId="0" borderId="144" applyNumberFormat="0" applyFill="0" applyAlignment="0" applyProtection="0"/>
    <xf numFmtId="0" fontId="31" fillId="24" borderId="141" applyNumberFormat="0" applyAlignment="0" applyProtection="0"/>
    <xf numFmtId="0" fontId="40" fillId="24" borderId="133" applyNumberFormat="0" applyAlignment="0" applyProtection="0"/>
    <xf numFmtId="0" fontId="115" fillId="85" borderId="137"/>
    <xf numFmtId="0" fontId="134" fillId="79" borderId="15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5" fillId="0" borderId="147"/>
    <xf numFmtId="10" fontId="130" fillId="0" borderId="129" applyFont="0" applyAlignment="0">
      <protection locked="0"/>
    </xf>
    <xf numFmtId="0" fontId="37" fillId="11" borderId="141" applyNumberFormat="0" applyAlignment="0" applyProtection="0"/>
    <xf numFmtId="0" fontId="4" fillId="28" borderId="132" applyNumberFormat="0" applyFont="0" applyAlignment="0" applyProtection="0"/>
    <xf numFmtId="0" fontId="115" fillId="83" borderId="147"/>
    <xf numFmtId="0" fontId="40" fillId="24" borderId="123" applyNumberFormat="0" applyAlignment="0" applyProtection="0"/>
    <xf numFmtId="0" fontId="40" fillId="24" borderId="133" applyNumberFormat="0" applyAlignment="0" applyProtection="0"/>
    <xf numFmtId="0" fontId="115" fillId="0" borderId="137"/>
    <xf numFmtId="0" fontId="31" fillId="24" borderId="131" applyNumberFormat="0" applyAlignment="0" applyProtection="0"/>
    <xf numFmtId="2" fontId="4" fillId="0" borderId="116" applyNumberFormat="0" applyFont="0" applyFill="0" applyAlignment="0"/>
    <xf numFmtId="0" fontId="110" fillId="0" borderId="116"/>
    <xf numFmtId="0" fontId="5" fillId="0" borderId="116">
      <alignment horizontal="left" vertical="center"/>
    </xf>
    <xf numFmtId="10" fontId="12" fillId="88" borderId="115" applyNumberFormat="0" applyBorder="0" applyAlignment="0" applyProtection="0"/>
    <xf numFmtId="37" fontId="111" fillId="24" borderId="118"/>
    <xf numFmtId="0" fontId="31" fillId="24" borderId="121" applyNumberFormat="0" applyAlignment="0" applyProtection="0"/>
    <xf numFmtId="0" fontId="31" fillId="24" borderId="131" applyNumberFormat="0" applyAlignment="0" applyProtection="0"/>
    <xf numFmtId="0" fontId="37" fillId="11" borderId="121" applyNumberFormat="0" applyAlignment="0" applyProtection="0"/>
    <xf numFmtId="0" fontId="115" fillId="0" borderId="127"/>
    <xf numFmtId="0" fontId="37" fillId="11" borderId="121" applyNumberFormat="0" applyAlignment="0" applyProtection="0"/>
    <xf numFmtId="0" fontId="31" fillId="24" borderId="121" applyNumberFormat="0" applyAlignment="0" applyProtection="0"/>
    <xf numFmtId="0" fontId="115" fillId="92" borderId="127"/>
    <xf numFmtId="0" fontId="40" fillId="24" borderId="123" applyNumberFormat="0" applyAlignment="0" applyProtection="0"/>
    <xf numFmtId="0" fontId="31" fillId="24" borderId="121" applyNumberFormat="0" applyAlignment="0" applyProtection="0"/>
    <xf numFmtId="0" fontId="11" fillId="0" borderId="124" applyNumberFormat="0" applyFill="0" applyAlignment="0" applyProtection="0"/>
    <xf numFmtId="0" fontId="31" fillId="24" borderId="141" applyNumberForma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122" fillId="83" borderId="127"/>
    <xf numFmtId="0" fontId="4" fillId="28" borderId="122" applyNumberFormat="0" applyFont="0" applyAlignment="0" applyProtection="0"/>
    <xf numFmtId="0" fontId="11" fillId="0" borderId="124" applyNumberFormat="0" applyFill="0" applyAlignment="0" applyProtection="0"/>
    <xf numFmtId="0" fontId="40" fillId="24" borderId="123" applyNumberFormat="0" applyAlignment="0" applyProtection="0"/>
    <xf numFmtId="0" fontId="31" fillId="24" borderId="141" applyNumberFormat="0" applyAlignment="0" applyProtection="0"/>
    <xf numFmtId="0" fontId="37" fillId="11" borderId="121" applyNumberFormat="0" applyAlignment="0" applyProtection="0"/>
    <xf numFmtId="0" fontId="4" fillId="28" borderId="142" applyNumberFormat="0" applyFon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2" fontId="4" fillId="0" borderId="116" applyNumberFormat="0" applyFont="0" applyFill="0" applyAlignment="0"/>
    <xf numFmtId="0" fontId="110" fillId="0" borderId="116"/>
    <xf numFmtId="0" fontId="115" fillId="0" borderId="117"/>
    <xf numFmtId="37" fontId="111" fillId="24" borderId="118"/>
    <xf numFmtId="0" fontId="122" fillId="83" borderId="117"/>
    <xf numFmtId="0" fontId="5" fillId="0" borderId="116">
      <alignment horizontal="left" vertical="center"/>
    </xf>
    <xf numFmtId="0" fontId="115" fillId="85" borderId="117"/>
    <xf numFmtId="0" fontId="115" fillId="83" borderId="117"/>
    <xf numFmtId="10" fontId="12" fillId="88" borderId="115" applyNumberFormat="0" applyBorder="0" applyAlignment="0" applyProtection="0"/>
    <xf numFmtId="10" fontId="130" fillId="0" borderId="119" applyFont="0" applyAlignment="0">
      <protection locked="0"/>
    </xf>
    <xf numFmtId="0" fontId="134" fillId="79" borderId="120"/>
    <xf numFmtId="0" fontId="131" fillId="0" borderId="117"/>
    <xf numFmtId="0" fontId="115" fillId="92" borderId="117"/>
    <xf numFmtId="0" fontId="115" fillId="92" borderId="117"/>
    <xf numFmtId="0" fontId="131" fillId="0" borderId="117"/>
    <xf numFmtId="0" fontId="134" fillId="79" borderId="120"/>
    <xf numFmtId="10" fontId="130" fillId="0" borderId="119" applyFont="0" applyAlignment="0">
      <protection locked="0"/>
    </xf>
    <xf numFmtId="0" fontId="115" fillId="83" borderId="117"/>
    <xf numFmtId="0" fontId="115" fillId="85" borderId="117"/>
    <xf numFmtId="0" fontId="122" fillId="83" borderId="117"/>
    <xf numFmtId="0" fontId="115" fillId="0" borderId="117"/>
    <xf numFmtId="0" fontId="122" fillId="83" borderId="117"/>
    <xf numFmtId="10" fontId="130" fillId="0" borderId="119" applyFont="0" applyAlignment="0">
      <protection locked="0"/>
    </xf>
    <xf numFmtId="0" fontId="131" fillId="0" borderId="117"/>
    <xf numFmtId="0" fontId="115" fillId="83" borderId="117"/>
    <xf numFmtId="0" fontId="131" fillId="0" borderId="117"/>
    <xf numFmtId="0" fontId="134" fillId="79" borderId="120"/>
    <xf numFmtId="0" fontId="122" fillId="83" borderId="117"/>
    <xf numFmtId="0" fontId="31" fillId="24" borderId="111" applyNumberFormat="0" applyAlignment="0" applyProtection="0"/>
    <xf numFmtId="0" fontId="37" fillId="11" borderId="111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37" fontId="111" fillId="24" borderId="118"/>
    <xf numFmtId="0" fontId="115" fillId="0" borderId="117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5" fillId="83" borderId="117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115" fillId="85" borderId="117"/>
    <xf numFmtId="2" fontId="4" fillId="0" borderId="116" applyNumberFormat="0" applyFont="0" applyFill="0" applyAlignment="0"/>
    <xf numFmtId="0" fontId="110" fillId="0" borderId="116"/>
    <xf numFmtId="0" fontId="134" fillId="79" borderId="120"/>
    <xf numFmtId="0" fontId="5" fillId="0" borderId="116">
      <alignment horizontal="left" vertical="center"/>
    </xf>
    <xf numFmtId="10" fontId="12" fillId="88" borderId="115" applyNumberFormat="0" applyBorder="0" applyAlignment="0" applyProtection="0"/>
    <xf numFmtId="0" fontId="115" fillId="92" borderId="117"/>
    <xf numFmtId="2" fontId="4" fillId="0" borderId="116" applyNumberFormat="0" applyFont="0" applyFill="0" applyAlignment="0"/>
    <xf numFmtId="0" fontId="110" fillId="0" borderId="116"/>
    <xf numFmtId="0" fontId="5" fillId="0" borderId="116">
      <alignment horizontal="left" vertical="center"/>
    </xf>
    <xf numFmtId="10" fontId="12" fillId="88" borderId="115" applyNumberFormat="0" applyBorder="0" applyAlignment="0" applyProtection="0"/>
    <xf numFmtId="37" fontId="111" fillId="24" borderId="118"/>
    <xf numFmtId="0" fontId="115" fillId="85" borderId="117"/>
    <xf numFmtId="10" fontId="130" fillId="0" borderId="119" applyFont="0" applyAlignment="0">
      <protection locked="0"/>
    </xf>
    <xf numFmtId="0" fontId="115" fillId="92" borderId="117"/>
    <xf numFmtId="0" fontId="115" fillId="0" borderId="117"/>
    <xf numFmtId="0" fontId="40" fillId="24" borderId="113" applyNumberFormat="0" applyAlignment="0" applyProtection="0"/>
    <xf numFmtId="0" fontId="37" fillId="11" borderId="111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2" fontId="4" fillId="0" borderId="116" applyNumberFormat="0" applyFont="0" applyFill="0" applyAlignment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110" fillId="0" borderId="116"/>
    <xf numFmtId="0" fontId="115" fillId="0" borderId="117"/>
    <xf numFmtId="0" fontId="31" fillId="24" borderId="111" applyNumberFormat="0" applyAlignment="0" applyProtection="0"/>
    <xf numFmtId="0" fontId="115" fillId="85" borderId="117"/>
    <xf numFmtId="0" fontId="115" fillId="92" borderId="117"/>
    <xf numFmtId="37" fontId="111" fillId="24" borderId="118"/>
    <xf numFmtId="0" fontId="122" fillId="83" borderId="117"/>
    <xf numFmtId="0" fontId="5" fillId="0" borderId="116">
      <alignment horizontal="left" vertical="center"/>
    </xf>
    <xf numFmtId="0" fontId="115" fillId="85" borderId="117"/>
    <xf numFmtId="0" fontId="115" fillId="83" borderId="117"/>
    <xf numFmtId="10" fontId="12" fillId="88" borderId="115" applyNumberFormat="0" applyBorder="0" applyAlignment="0" applyProtection="0"/>
    <xf numFmtId="10" fontId="12" fillId="88" borderId="115" applyNumberFormat="0" applyBorder="0" applyAlignment="0" applyProtection="0"/>
    <xf numFmtId="10" fontId="130" fillId="0" borderId="119" applyFont="0" applyAlignment="0">
      <protection locked="0"/>
    </xf>
    <xf numFmtId="0" fontId="134" fillId="79" borderId="120"/>
    <xf numFmtId="0" fontId="131" fillId="0" borderId="117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4" fillId="28" borderId="112" applyNumberFormat="0" applyFon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115" fillId="83" borderId="117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" fillId="28" borderId="112" applyNumberFormat="0" applyFont="0" applyAlignment="0" applyProtection="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134" fillId="79" borderId="120"/>
    <xf numFmtId="0" fontId="131" fillId="0" borderId="117"/>
    <xf numFmtId="0" fontId="115" fillId="0" borderId="117"/>
    <xf numFmtId="10" fontId="130" fillId="0" borderId="119" applyFont="0" applyAlignment="0">
      <protection locked="0"/>
    </xf>
    <xf numFmtId="0" fontId="134" fillId="79" borderId="120"/>
    <xf numFmtId="0" fontId="131" fillId="0" borderId="117"/>
    <xf numFmtId="0" fontId="134" fillId="79" borderId="120"/>
    <xf numFmtId="0" fontId="131" fillId="0" borderId="117"/>
    <xf numFmtId="0" fontId="115" fillId="85" borderId="117"/>
    <xf numFmtId="10" fontId="12" fillId="88" borderId="115" applyNumberFormat="0" applyBorder="0" applyAlignment="0" applyProtection="0"/>
    <xf numFmtId="0" fontId="5" fillId="0" borderId="116">
      <alignment horizontal="left" vertical="center"/>
    </xf>
    <xf numFmtId="0" fontId="115" fillId="0" borderId="117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115" fillId="92" borderId="117"/>
    <xf numFmtId="0" fontId="115" fillId="92" borderId="117"/>
    <xf numFmtId="0" fontId="131" fillId="0" borderId="117"/>
    <xf numFmtId="0" fontId="134" fillId="79" borderId="120"/>
    <xf numFmtId="10" fontId="130" fillId="0" borderId="119" applyFont="0" applyAlignment="0">
      <protection locked="0"/>
    </xf>
    <xf numFmtId="0" fontId="115" fillId="83" borderId="117"/>
    <xf numFmtId="0" fontId="115" fillId="85" borderId="117"/>
    <xf numFmtId="0" fontId="122" fillId="83" borderId="117"/>
    <xf numFmtId="0" fontId="115" fillId="0" borderId="117"/>
    <xf numFmtId="0" fontId="122" fillId="83" borderId="117"/>
    <xf numFmtId="10" fontId="130" fillId="0" borderId="119" applyFont="0" applyAlignment="0">
      <protection locked="0"/>
    </xf>
    <xf numFmtId="0" fontId="131" fillId="0" borderId="117"/>
    <xf numFmtId="0" fontId="115" fillId="83" borderId="117"/>
    <xf numFmtId="0" fontId="131" fillId="0" borderId="117"/>
    <xf numFmtId="0" fontId="134" fillId="79" borderId="120"/>
    <xf numFmtId="0" fontId="122" fillId="83" borderId="117"/>
    <xf numFmtId="0" fontId="31" fillId="24" borderId="111" applyNumberFormat="0" applyAlignment="0" applyProtection="0"/>
    <xf numFmtId="0" fontId="37" fillId="11" borderId="111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122" fillId="83" borderId="117"/>
    <xf numFmtId="0" fontId="110" fillId="0" borderId="116"/>
    <xf numFmtId="0" fontId="11" fillId="0" borderId="114" applyNumberFormat="0" applyFill="0" applyAlignment="0" applyProtection="0"/>
    <xf numFmtId="0" fontId="37" fillId="11" borderId="111" applyNumberFormat="0" applyAlignment="0" applyProtection="0"/>
    <xf numFmtId="37" fontId="111" fillId="24" borderId="118"/>
    <xf numFmtId="0" fontId="115" fillId="0" borderId="117"/>
    <xf numFmtId="0" fontId="40" fillId="24" borderId="113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5" fillId="83" borderId="117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115" fillId="85" borderId="117"/>
    <xf numFmtId="2" fontId="4" fillId="0" borderId="116" applyNumberFormat="0" applyFont="0" applyFill="0" applyAlignment="0"/>
    <xf numFmtId="0" fontId="110" fillId="0" borderId="116"/>
    <xf numFmtId="0" fontId="134" fillId="79" borderId="120"/>
    <xf numFmtId="0" fontId="11" fillId="0" borderId="114" applyNumberFormat="0" applyFill="0" applyAlignment="0" applyProtection="0"/>
    <xf numFmtId="0" fontId="115" fillId="0" borderId="117"/>
    <xf numFmtId="0" fontId="5" fillId="0" borderId="116">
      <alignment horizontal="left" vertical="center"/>
    </xf>
    <xf numFmtId="0" fontId="5" fillId="0" borderId="116">
      <alignment horizontal="left" vertical="center"/>
    </xf>
    <xf numFmtId="10" fontId="12" fillId="88" borderId="115" applyNumberFormat="0" applyBorder="0" applyAlignment="0" applyProtection="0"/>
    <xf numFmtId="0" fontId="134" fillId="79" borderId="12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131" fillId="0" borderId="117"/>
    <xf numFmtId="10" fontId="130" fillId="0" borderId="119" applyFont="0" applyAlignment="0">
      <protection locked="0"/>
    </xf>
    <xf numFmtId="0" fontId="115" fillId="85" borderId="117"/>
    <xf numFmtId="37" fontId="111" fillId="24" borderId="118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115" fillId="92" borderId="117"/>
    <xf numFmtId="2" fontId="4" fillId="0" borderId="116" applyNumberFormat="0" applyFont="0" applyFill="0" applyAlignment="0"/>
    <xf numFmtId="0" fontId="110" fillId="0" borderId="116"/>
    <xf numFmtId="0" fontId="5" fillId="0" borderId="116">
      <alignment horizontal="left" vertical="center"/>
    </xf>
    <xf numFmtId="10" fontId="12" fillId="88" borderId="115" applyNumberFormat="0" applyBorder="0" applyAlignment="0" applyProtection="0"/>
    <xf numFmtId="37" fontId="111" fillId="24" borderId="118"/>
    <xf numFmtId="0" fontId="115" fillId="85" borderId="117"/>
    <xf numFmtId="0" fontId="115" fillId="85" borderId="117"/>
    <xf numFmtId="10" fontId="130" fillId="0" borderId="119" applyFont="0" applyAlignment="0">
      <protection locked="0"/>
    </xf>
    <xf numFmtId="0" fontId="115" fillId="92" borderId="117"/>
    <xf numFmtId="0" fontId="115" fillId="0" borderId="117"/>
    <xf numFmtId="0" fontId="31" fillId="24" borderId="111" applyNumberFormat="0" applyAlignment="0" applyProtection="0"/>
    <xf numFmtId="0" fontId="37" fillId="11" borderId="111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37" fontId="111" fillId="24" borderId="118"/>
    <xf numFmtId="0" fontId="40" fillId="24" borderId="113" applyNumberFormat="0" applyAlignment="0" applyProtection="0"/>
    <xf numFmtId="0" fontId="37" fillId="11" borderId="111" applyNumberFormat="0" applyAlignment="0" applyProtection="0"/>
    <xf numFmtId="0" fontId="40" fillId="24" borderId="113" applyNumberFormat="0" applyAlignment="0" applyProtection="0"/>
    <xf numFmtId="10" fontId="12" fillId="88" borderId="115" applyNumberFormat="0" applyBorder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11" fillId="0" borderId="114" applyNumberFormat="0" applyFill="0" applyAlignment="0" applyProtection="0"/>
    <xf numFmtId="0" fontId="37" fillId="11" borderId="111" applyNumberFormat="0" applyAlignment="0" applyProtection="0"/>
    <xf numFmtId="10" fontId="130" fillId="0" borderId="119" applyFont="0" applyAlignment="0">
      <protection locked="0"/>
    </xf>
    <xf numFmtId="37" fontId="111" fillId="24" borderId="118"/>
    <xf numFmtId="2" fontId="4" fillId="0" borderId="116" applyNumberFormat="0" applyFont="0" applyFill="0" applyAlignment="0"/>
    <xf numFmtId="10" fontId="12" fillId="88" borderId="115" applyNumberFormat="0" applyBorder="0" applyAlignment="0" applyProtection="0"/>
    <xf numFmtId="2" fontId="4" fillId="0" borderId="116" applyNumberFormat="0" applyFont="0" applyFill="0" applyAlignment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37" fillId="11" borderId="111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37" fontId="111" fillId="24" borderId="118"/>
    <xf numFmtId="0" fontId="122" fillId="83" borderId="117"/>
    <xf numFmtId="0" fontId="40" fillId="24" borderId="113" applyNumberFormat="0" applyAlignment="0" applyProtection="0"/>
    <xf numFmtId="0" fontId="122" fillId="83" borderId="117"/>
    <xf numFmtId="0" fontId="115" fillId="92" borderId="117"/>
    <xf numFmtId="0" fontId="115" fillId="83" borderId="117"/>
    <xf numFmtId="0" fontId="110" fillId="0" borderId="116"/>
    <xf numFmtId="2" fontId="4" fillId="0" borderId="116" applyNumberFormat="0" applyFont="0" applyFill="0" applyAlignment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2" fontId="4" fillId="0" borderId="116" applyNumberFormat="0" applyFont="0" applyFill="0" applyAlignment="0"/>
    <xf numFmtId="0" fontId="110" fillId="0" borderId="116"/>
    <xf numFmtId="0" fontId="5" fillId="0" borderId="116">
      <alignment horizontal="left" vertical="center"/>
    </xf>
    <xf numFmtId="10" fontId="12" fillId="88" borderId="115" applyNumberFormat="0" applyBorder="0" applyAlignment="0" applyProtection="0"/>
    <xf numFmtId="37" fontId="111" fillId="24" borderId="118"/>
    <xf numFmtId="0" fontId="31" fillId="24" borderId="111" applyNumberFormat="0" applyAlignment="0" applyProtection="0"/>
    <xf numFmtId="0" fontId="37" fillId="11" borderId="111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2" fontId="4" fillId="0" borderId="116" applyNumberFormat="0" applyFont="0" applyFill="0" applyAlignment="0"/>
    <xf numFmtId="0" fontId="11" fillId="0" borderId="114" applyNumberFormat="0" applyFill="0" applyAlignment="0" applyProtection="0"/>
    <xf numFmtId="0" fontId="37" fillId="11" borderId="111" applyNumberFormat="0" applyAlignment="0" applyProtection="0"/>
    <xf numFmtId="0" fontId="40" fillId="24" borderId="113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40" fillId="24" borderId="113" applyNumberFormat="0" applyAlignment="0" applyProtection="0"/>
    <xf numFmtId="0" fontId="115" fillId="92" borderId="117"/>
    <xf numFmtId="0" fontId="110" fillId="0" borderId="116"/>
    <xf numFmtId="0" fontId="110" fillId="0" borderId="116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37" fillId="11" borderId="111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115" fillId="0" borderId="117"/>
    <xf numFmtId="0" fontId="31" fillId="24" borderId="111" applyNumberFormat="0" applyAlignment="0" applyProtection="0"/>
    <xf numFmtId="0" fontId="11" fillId="0" borderId="114" applyNumberFormat="0" applyFill="0" applyAlignment="0" applyProtection="0"/>
    <xf numFmtId="0" fontId="115" fillId="83" borderId="117"/>
    <xf numFmtId="0" fontId="122" fillId="83" borderId="117"/>
    <xf numFmtId="0" fontId="115" fillId="83" borderId="117"/>
    <xf numFmtId="0" fontId="115" fillId="92" borderId="117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2" fontId="4" fillId="0" borderId="116" applyNumberFormat="0" applyFont="0" applyFill="0" applyAlignment="0"/>
    <xf numFmtId="0" fontId="110" fillId="0" borderId="116"/>
    <xf numFmtId="0" fontId="5" fillId="0" borderId="116">
      <alignment horizontal="left" vertical="center"/>
    </xf>
    <xf numFmtId="10" fontId="12" fillId="88" borderId="115" applyNumberFormat="0" applyBorder="0" applyAlignment="0" applyProtection="0"/>
    <xf numFmtId="37" fontId="111" fillId="24" borderId="118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2" fontId="4" fillId="0" borderId="116" applyNumberFormat="0" applyFont="0" applyFill="0" applyAlignment="0"/>
    <xf numFmtId="0" fontId="110" fillId="0" borderId="116"/>
    <xf numFmtId="0" fontId="115" fillId="0" borderId="117"/>
    <xf numFmtId="37" fontId="111" fillId="24" borderId="118"/>
    <xf numFmtId="0" fontId="122" fillId="83" borderId="117"/>
    <xf numFmtId="0" fontId="5" fillId="0" borderId="116">
      <alignment horizontal="left" vertical="center"/>
    </xf>
    <xf numFmtId="0" fontId="115" fillId="85" borderId="117"/>
    <xf numFmtId="0" fontId="115" fillId="83" borderId="117"/>
    <xf numFmtId="10" fontId="12" fillId="88" borderId="115" applyNumberFormat="0" applyBorder="0" applyAlignment="0" applyProtection="0"/>
    <xf numFmtId="10" fontId="130" fillId="0" borderId="119" applyFont="0" applyAlignment="0">
      <protection locked="0"/>
    </xf>
    <xf numFmtId="0" fontId="134" fillId="79" borderId="120"/>
    <xf numFmtId="0" fontId="131" fillId="0" borderId="117"/>
    <xf numFmtId="0" fontId="115" fillId="92" borderId="117"/>
    <xf numFmtId="0" fontId="115" fillId="92" borderId="117"/>
    <xf numFmtId="0" fontId="131" fillId="0" borderId="117"/>
    <xf numFmtId="0" fontId="134" fillId="79" borderId="120"/>
    <xf numFmtId="10" fontId="130" fillId="0" borderId="119" applyFont="0" applyAlignment="0">
      <protection locked="0"/>
    </xf>
    <xf numFmtId="0" fontId="115" fillId="83" borderId="117"/>
    <xf numFmtId="0" fontId="115" fillId="85" borderId="117"/>
    <xf numFmtId="0" fontId="122" fillId="83" borderId="117"/>
    <xf numFmtId="0" fontId="115" fillId="0" borderId="117"/>
    <xf numFmtId="0" fontId="122" fillId="83" borderId="117"/>
    <xf numFmtId="10" fontId="130" fillId="0" borderId="119" applyFont="0" applyAlignment="0">
      <protection locked="0"/>
    </xf>
    <xf numFmtId="0" fontId="131" fillId="0" borderId="117"/>
    <xf numFmtId="0" fontId="115" fillId="83" borderId="117"/>
    <xf numFmtId="0" fontId="131" fillId="0" borderId="117"/>
    <xf numFmtId="0" fontId="134" fillId="79" borderId="120"/>
    <xf numFmtId="0" fontId="122" fillId="83" borderId="117"/>
    <xf numFmtId="0" fontId="31" fillId="24" borderId="111" applyNumberFormat="0" applyAlignment="0" applyProtection="0"/>
    <xf numFmtId="0" fontId="37" fillId="11" borderId="111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37" fontId="111" fillId="24" borderId="118"/>
    <xf numFmtId="0" fontId="115" fillId="0" borderId="117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5" fillId="83" borderId="117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115" fillId="85" borderId="117"/>
    <xf numFmtId="2" fontId="4" fillId="0" borderId="116" applyNumberFormat="0" applyFont="0" applyFill="0" applyAlignment="0"/>
    <xf numFmtId="0" fontId="110" fillId="0" borderId="116"/>
    <xf numFmtId="0" fontId="134" fillId="79" borderId="120"/>
    <xf numFmtId="0" fontId="5" fillId="0" borderId="116">
      <alignment horizontal="left" vertical="center"/>
    </xf>
    <xf numFmtId="10" fontId="12" fillId="88" borderId="115" applyNumberFormat="0" applyBorder="0" applyAlignment="0" applyProtection="0"/>
    <xf numFmtId="0" fontId="115" fillId="92" borderId="117"/>
    <xf numFmtId="2" fontId="4" fillId="0" borderId="116" applyNumberFormat="0" applyFont="0" applyFill="0" applyAlignment="0"/>
    <xf numFmtId="0" fontId="110" fillId="0" borderId="116"/>
    <xf numFmtId="0" fontId="5" fillId="0" borderId="116">
      <alignment horizontal="left" vertical="center"/>
    </xf>
    <xf numFmtId="10" fontId="12" fillId="88" borderId="115" applyNumberFormat="0" applyBorder="0" applyAlignment="0" applyProtection="0"/>
    <xf numFmtId="37" fontId="111" fillId="24" borderId="118"/>
    <xf numFmtId="0" fontId="115" fillId="85" borderId="117"/>
    <xf numFmtId="10" fontId="130" fillId="0" borderId="119" applyFont="0" applyAlignment="0">
      <protection locked="0"/>
    </xf>
    <xf numFmtId="0" fontId="115" fillId="92" borderId="117"/>
    <xf numFmtId="0" fontId="115" fillId="0" borderId="117"/>
    <xf numFmtId="2" fontId="4" fillId="0" borderId="116" applyNumberFormat="0" applyFont="0" applyFill="0" applyAlignment="0"/>
    <xf numFmtId="0" fontId="110" fillId="0" borderId="116"/>
    <xf numFmtId="0" fontId="5" fillId="0" borderId="116">
      <alignment horizontal="left" vertical="center"/>
    </xf>
    <xf numFmtId="10" fontId="12" fillId="88" borderId="115" applyNumberFormat="0" applyBorder="0" applyAlignment="0" applyProtection="0"/>
    <xf numFmtId="37" fontId="111" fillId="24" borderId="118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2" fontId="4" fillId="0" borderId="116" applyNumberFormat="0" applyFont="0" applyFill="0" applyAlignment="0"/>
    <xf numFmtId="0" fontId="110" fillId="0" borderId="116"/>
    <xf numFmtId="0" fontId="115" fillId="0" borderId="117"/>
    <xf numFmtId="37" fontId="111" fillId="24" borderId="118"/>
    <xf numFmtId="0" fontId="122" fillId="83" borderId="117"/>
    <xf numFmtId="0" fontId="5" fillId="0" borderId="116">
      <alignment horizontal="left" vertical="center"/>
    </xf>
    <xf numFmtId="0" fontId="115" fillId="85" borderId="117"/>
    <xf numFmtId="0" fontId="115" fillId="83" borderId="117"/>
    <xf numFmtId="10" fontId="12" fillId="88" borderId="115" applyNumberFormat="0" applyBorder="0" applyAlignment="0" applyProtection="0"/>
    <xf numFmtId="10" fontId="130" fillId="0" borderId="119" applyFont="0" applyAlignment="0">
      <protection locked="0"/>
    </xf>
    <xf numFmtId="0" fontId="134" fillId="79" borderId="120"/>
    <xf numFmtId="0" fontId="131" fillId="0" borderId="117"/>
    <xf numFmtId="0" fontId="115" fillId="92" borderId="117"/>
    <xf numFmtId="0" fontId="115" fillId="92" borderId="117"/>
    <xf numFmtId="0" fontId="131" fillId="0" borderId="117"/>
    <xf numFmtId="0" fontId="134" fillId="79" borderId="120"/>
    <xf numFmtId="10" fontId="130" fillId="0" borderId="119" applyFont="0" applyAlignment="0">
      <protection locked="0"/>
    </xf>
    <xf numFmtId="0" fontId="115" fillId="83" borderId="117"/>
    <xf numFmtId="0" fontId="115" fillId="85" borderId="117"/>
    <xf numFmtId="0" fontId="122" fillId="83" borderId="117"/>
    <xf numFmtId="0" fontId="115" fillId="0" borderId="117"/>
    <xf numFmtId="0" fontId="122" fillId="83" borderId="117"/>
    <xf numFmtId="10" fontId="130" fillId="0" borderId="119" applyFont="0" applyAlignment="0">
      <protection locked="0"/>
    </xf>
    <xf numFmtId="0" fontId="131" fillId="0" borderId="117"/>
    <xf numFmtId="0" fontId="115" fillId="83" borderId="117"/>
    <xf numFmtId="0" fontId="131" fillId="0" borderId="117"/>
    <xf numFmtId="0" fontId="134" fillId="79" borderId="120"/>
    <xf numFmtId="0" fontId="122" fillId="83" borderId="117"/>
    <xf numFmtId="0" fontId="31" fillId="24" borderId="111" applyNumberFormat="0" applyAlignment="0" applyProtection="0"/>
    <xf numFmtId="0" fontId="37" fillId="11" borderId="111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37" fontId="111" fillId="24" borderId="118"/>
    <xf numFmtId="0" fontId="115" fillId="0" borderId="117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5" fillId="83" borderId="117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115" fillId="85" borderId="117"/>
    <xf numFmtId="2" fontId="4" fillId="0" borderId="116" applyNumberFormat="0" applyFont="0" applyFill="0" applyAlignment="0"/>
    <xf numFmtId="0" fontId="110" fillId="0" borderId="116"/>
    <xf numFmtId="0" fontId="134" fillId="79" borderId="120"/>
    <xf numFmtId="0" fontId="5" fillId="0" borderId="116">
      <alignment horizontal="left" vertical="center"/>
    </xf>
    <xf numFmtId="10" fontId="12" fillId="88" borderId="115" applyNumberFormat="0" applyBorder="0" applyAlignment="0" applyProtection="0"/>
    <xf numFmtId="0" fontId="115" fillId="92" borderId="117"/>
    <xf numFmtId="2" fontId="4" fillId="0" borderId="116" applyNumberFormat="0" applyFont="0" applyFill="0" applyAlignment="0"/>
    <xf numFmtId="0" fontId="110" fillId="0" borderId="116"/>
    <xf numFmtId="0" fontId="5" fillId="0" borderId="116">
      <alignment horizontal="left" vertical="center"/>
    </xf>
    <xf numFmtId="10" fontId="12" fillId="88" borderId="115" applyNumberFormat="0" applyBorder="0" applyAlignment="0" applyProtection="0"/>
    <xf numFmtId="37" fontId="111" fillId="24" borderId="118"/>
    <xf numFmtId="0" fontId="115" fillId="85" borderId="117"/>
    <xf numFmtId="10" fontId="130" fillId="0" borderId="119" applyFont="0" applyAlignment="0">
      <protection locked="0"/>
    </xf>
    <xf numFmtId="0" fontId="115" fillId="92" borderId="117"/>
    <xf numFmtId="0" fontId="115" fillId="0" borderId="117"/>
    <xf numFmtId="0" fontId="37" fillId="11" borderId="131" applyNumberFormat="0" applyAlignment="0" applyProtection="0"/>
    <xf numFmtId="0" fontId="5" fillId="0" borderId="136">
      <alignment horizontal="left" vertical="center"/>
    </xf>
    <xf numFmtId="0" fontId="11" fillId="0" borderId="144" applyNumberFormat="0" applyFill="0" applyAlignment="0" applyProtection="0"/>
    <xf numFmtId="0" fontId="110" fillId="0" borderId="146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11" fillId="0" borderId="134" applyNumberFormat="0" applyFill="0" applyAlignment="0" applyProtection="0"/>
    <xf numFmtId="0" fontId="37" fillId="11" borderId="131" applyNumberFormat="0" applyAlignment="0" applyProtection="0"/>
    <xf numFmtId="0" fontId="31" fillId="24" borderId="131" applyNumberFormat="0" applyAlignment="0" applyProtection="0"/>
    <xf numFmtId="0" fontId="134" fillId="79" borderId="150"/>
    <xf numFmtId="0" fontId="31" fillId="24" borderId="141" applyNumberFormat="0" applyAlignment="0" applyProtection="0"/>
    <xf numFmtId="10" fontId="130" fillId="0" borderId="139" applyFont="0" applyAlignment="0">
      <protection locked="0"/>
    </xf>
    <xf numFmtId="0" fontId="31" fillId="24" borderId="141" applyNumberFormat="0" applyAlignment="0" applyProtection="0"/>
    <xf numFmtId="0" fontId="131" fillId="0" borderId="137"/>
    <xf numFmtId="0" fontId="122" fillId="83" borderId="137"/>
    <xf numFmtId="0" fontId="37" fillId="11" borderId="13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2" fontId="4" fillId="0" borderId="136" applyNumberFormat="0" applyFont="0" applyFill="0" applyAlignment="0"/>
    <xf numFmtId="0" fontId="4" fillId="28" borderId="132" applyNumberFormat="0" applyFont="0" applyAlignment="0" applyProtection="0"/>
    <xf numFmtId="0" fontId="11" fillId="0" borderId="144" applyNumberFormat="0" applyFill="0" applyAlignment="0" applyProtection="0"/>
    <xf numFmtId="0" fontId="31" fillId="24" borderId="141" applyNumberFormat="0" applyAlignment="0" applyProtection="0"/>
    <xf numFmtId="0" fontId="40" fillId="24" borderId="133" applyNumberFormat="0" applyAlignment="0" applyProtection="0"/>
    <xf numFmtId="0" fontId="4" fillId="28" borderId="132" applyNumberFormat="0" applyFont="0" applyAlignment="0" applyProtection="0"/>
    <xf numFmtId="0" fontId="11" fillId="0" borderId="134" applyNumberFormat="0" applyFill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41" applyNumberFormat="0" applyAlignment="0" applyProtection="0"/>
    <xf numFmtId="0" fontId="31" fillId="24" borderId="131" applyNumberFormat="0" applyAlignment="0" applyProtection="0"/>
    <xf numFmtId="0" fontId="4" fillId="28" borderId="132" applyNumberFormat="0" applyFont="0" applyAlignment="0" applyProtection="0"/>
    <xf numFmtId="0" fontId="5" fillId="0" borderId="136">
      <alignment horizontal="left" vertical="center"/>
    </xf>
    <xf numFmtId="0" fontId="4" fillId="28" borderId="132" applyNumberFormat="0" applyFont="0" applyAlignment="0" applyProtection="0"/>
    <xf numFmtId="0" fontId="31" fillId="24" borderId="131" applyNumberFormat="0" applyAlignment="0" applyProtection="0"/>
    <xf numFmtId="0" fontId="4" fillId="28" borderId="132" applyNumberFormat="0" applyFon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5" fillId="85" borderId="137"/>
    <xf numFmtId="0" fontId="40" fillId="24" borderId="133" applyNumberForma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37" fillId="11" borderId="131" applyNumberFormat="0" applyAlignment="0" applyProtection="0"/>
    <xf numFmtId="0" fontId="31" fillId="24" borderId="131" applyNumberFormat="0" applyAlignment="0" applyProtection="0"/>
    <xf numFmtId="0" fontId="122" fillId="83" borderId="147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1" fillId="24" borderId="141" applyNumberFormat="0" applyAlignment="0" applyProtection="0"/>
    <xf numFmtId="0" fontId="110" fillId="0" borderId="146"/>
    <xf numFmtId="0" fontId="40" fillId="24" borderId="143" applyNumberFormat="0" applyAlignment="0" applyProtection="0"/>
    <xf numFmtId="0" fontId="4" fillId="28" borderId="142" applyNumberFormat="0" applyFon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40" fillId="24" borderId="143" applyNumberFormat="0" applyAlignment="0" applyProtection="0"/>
    <xf numFmtId="0" fontId="31" fillId="24" borderId="141" applyNumberFormat="0" applyAlignment="0" applyProtection="0"/>
    <xf numFmtId="0" fontId="11" fillId="0" borderId="134" applyNumberFormat="0" applyFill="0" applyAlignment="0" applyProtection="0"/>
    <xf numFmtId="2" fontId="4" fillId="0" borderId="146" applyNumberFormat="0" applyFont="0" applyFill="0" applyAlignment="0"/>
    <xf numFmtId="0" fontId="115" fillId="92" borderId="147"/>
    <xf numFmtId="0" fontId="31" fillId="24" borderId="141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31" fillId="24" borderId="141" applyNumberFormat="0" applyAlignment="0" applyProtection="0"/>
    <xf numFmtId="0" fontId="4" fillId="28" borderId="132" applyNumberFormat="0" applyFont="0" applyAlignment="0" applyProtection="0"/>
    <xf numFmtId="0" fontId="11" fillId="0" borderId="134" applyNumberFormat="0" applyFill="0" applyAlignment="0" applyProtection="0"/>
    <xf numFmtId="0" fontId="40" fillId="24" borderId="133" applyNumberFormat="0" applyAlignment="0" applyProtection="0"/>
    <xf numFmtId="0" fontId="31" fillId="24" borderId="131" applyNumberFormat="0" applyAlignment="0" applyProtection="0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11" fillId="0" borderId="144" applyNumberFormat="0" applyFill="0" applyAlignment="0" applyProtection="0"/>
    <xf numFmtId="2" fontId="4" fillId="0" borderId="146" applyNumberFormat="0" applyFont="0" applyFill="0" applyAlignment="0"/>
    <xf numFmtId="0" fontId="5" fillId="0" borderId="146">
      <alignment horizontal="left" vertical="center"/>
    </xf>
    <xf numFmtId="0" fontId="37" fillId="11" borderId="131" applyNumberFormat="0" applyAlignment="0" applyProtection="0"/>
    <xf numFmtId="0" fontId="11" fillId="0" borderId="134" applyNumberFormat="0" applyFill="0" applyAlignment="0" applyProtection="0"/>
    <xf numFmtId="0" fontId="40" fillId="24" borderId="133" applyNumberFormat="0" applyAlignment="0" applyProtection="0"/>
    <xf numFmtId="0" fontId="31" fillId="24" borderId="141" applyNumberFormat="0" applyAlignment="0" applyProtection="0"/>
    <xf numFmtId="0" fontId="122" fillId="83" borderId="137"/>
    <xf numFmtId="0" fontId="37" fillId="11" borderId="141" applyNumberFormat="0" applyAlignment="0" applyProtection="0"/>
    <xf numFmtId="0" fontId="115" fillId="92" borderId="137"/>
    <xf numFmtId="0" fontId="115" fillId="85" borderId="137"/>
    <xf numFmtId="0" fontId="115" fillId="92" borderId="147"/>
    <xf numFmtId="0" fontId="4" fillId="28" borderId="142" applyNumberFormat="0" applyFont="0" applyAlignment="0" applyProtection="0"/>
    <xf numFmtId="0" fontId="31" fillId="24" borderId="141" applyNumberFormat="0" applyAlignment="0" applyProtection="0"/>
    <xf numFmtId="0" fontId="122" fillId="83" borderId="147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0" fillId="24" borderId="133" applyNumberForma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2" fontId="4" fillId="0" borderId="126" applyNumberFormat="0" applyFont="0" applyFill="0" applyAlignment="0"/>
    <xf numFmtId="0" fontId="110" fillId="0" borderId="126"/>
    <xf numFmtId="0" fontId="5" fillId="0" borderId="126">
      <alignment horizontal="left" vertical="center"/>
    </xf>
    <xf numFmtId="37" fontId="111" fillId="24" borderId="128"/>
    <xf numFmtId="0" fontId="4" fillId="28" borderId="142" applyNumberFormat="0" applyFon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4" fillId="28" borderId="142" applyNumberFormat="0" applyFont="0" applyAlignment="0" applyProtection="0"/>
    <xf numFmtId="0" fontId="31" fillId="24" borderId="131" applyNumberFormat="0" applyAlignment="0" applyProtection="0"/>
    <xf numFmtId="0" fontId="40" fillId="24" borderId="133" applyNumberFormat="0" applyAlignment="0" applyProtection="0"/>
    <xf numFmtId="0" fontId="31" fillId="24" borderId="131" applyNumberFormat="0" applyAlignment="0" applyProtection="0"/>
    <xf numFmtId="0" fontId="4" fillId="28" borderId="132" applyNumberFormat="0" applyFont="0" applyAlignment="0" applyProtection="0"/>
    <xf numFmtId="0" fontId="11" fillId="0" borderId="134" applyNumberFormat="0" applyFill="0" applyAlignment="0" applyProtection="0"/>
    <xf numFmtId="0" fontId="40" fillId="24" borderId="133" applyNumberFormat="0" applyAlignment="0" applyProtection="0"/>
    <xf numFmtId="0" fontId="11" fillId="0" borderId="144" applyNumberFormat="0" applyFill="0" applyAlignment="0" applyProtection="0"/>
    <xf numFmtId="0" fontId="31" fillId="24" borderId="141" applyNumberFormat="0" applyAlignment="0" applyProtection="0"/>
    <xf numFmtId="0" fontId="37" fillId="11" borderId="131" applyNumberFormat="0" applyAlignment="0" applyProtection="0"/>
    <xf numFmtId="0" fontId="37" fillId="11" borderId="141" applyNumberFormat="0" applyAlignment="0" applyProtection="0"/>
    <xf numFmtId="0" fontId="11" fillId="0" borderId="134" applyNumberFormat="0" applyFill="0" applyAlignment="0" applyProtection="0"/>
    <xf numFmtId="0" fontId="131" fillId="0" borderId="137"/>
    <xf numFmtId="0" fontId="134" fillId="79" borderId="140"/>
    <xf numFmtId="0" fontId="115" fillId="83" borderId="137"/>
    <xf numFmtId="0" fontId="4" fillId="28" borderId="132" applyNumberFormat="0" applyFont="0" applyAlignment="0" applyProtection="0"/>
    <xf numFmtId="0" fontId="11" fillId="0" borderId="144" applyNumberFormat="0" applyFill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2" fontId="4" fillId="0" borderId="126" applyNumberFormat="0" applyFont="0" applyFill="0" applyAlignment="0"/>
    <xf numFmtId="0" fontId="110" fillId="0" borderId="126"/>
    <xf numFmtId="0" fontId="115" fillId="0" borderId="127"/>
    <xf numFmtId="37" fontId="111" fillId="24" borderId="128"/>
    <xf numFmtId="0" fontId="122" fillId="83" borderId="127"/>
    <xf numFmtId="0" fontId="5" fillId="0" borderId="126">
      <alignment horizontal="left" vertical="center"/>
    </xf>
    <xf numFmtId="0" fontId="115" fillId="85" borderId="127"/>
    <xf numFmtId="0" fontId="115" fillId="83" borderId="127"/>
    <xf numFmtId="10" fontId="130" fillId="0" borderId="129" applyFont="0" applyAlignment="0">
      <protection locked="0"/>
    </xf>
    <xf numFmtId="0" fontId="134" fillId="79" borderId="130"/>
    <xf numFmtId="0" fontId="131" fillId="0" borderId="127"/>
    <xf numFmtId="0" fontId="115" fillId="92" borderId="127"/>
    <xf numFmtId="0" fontId="115" fillId="92" borderId="127"/>
    <xf numFmtId="0" fontId="131" fillId="0" borderId="127"/>
    <xf numFmtId="0" fontId="134" fillId="79" borderId="130"/>
    <xf numFmtId="10" fontId="130" fillId="0" borderId="129" applyFont="0" applyAlignment="0">
      <protection locked="0"/>
    </xf>
    <xf numFmtId="0" fontId="115" fillId="83" borderId="127"/>
    <xf numFmtId="0" fontId="115" fillId="85" borderId="127"/>
    <xf numFmtId="0" fontId="122" fillId="83" borderId="127"/>
    <xf numFmtId="0" fontId="115" fillId="0" borderId="127"/>
    <xf numFmtId="0" fontId="122" fillId="83" borderId="127"/>
    <xf numFmtId="10" fontId="130" fillId="0" borderId="129" applyFont="0" applyAlignment="0">
      <protection locked="0"/>
    </xf>
    <xf numFmtId="0" fontId="131" fillId="0" borderId="127"/>
    <xf numFmtId="0" fontId="115" fillId="83" borderId="127"/>
    <xf numFmtId="0" fontId="131" fillId="0" borderId="127"/>
    <xf numFmtId="0" fontId="134" fillId="79" borderId="130"/>
    <xf numFmtId="0" fontId="122" fillId="83" borderId="127"/>
    <xf numFmtId="0" fontId="31" fillId="24" borderId="121" applyNumberFormat="0" applyAlignment="0" applyProtection="0"/>
    <xf numFmtId="0" fontId="37" fillId="11" borderId="121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37" fontId="111" fillId="24" borderId="128"/>
    <xf numFmtId="0" fontId="115" fillId="0" borderId="127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5" fillId="83" borderId="127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115" fillId="85" borderId="127"/>
    <xf numFmtId="2" fontId="4" fillId="0" borderId="126" applyNumberFormat="0" applyFont="0" applyFill="0" applyAlignment="0"/>
    <xf numFmtId="0" fontId="110" fillId="0" borderId="126"/>
    <xf numFmtId="0" fontId="134" fillId="79" borderId="130"/>
    <xf numFmtId="0" fontId="5" fillId="0" borderId="126">
      <alignment horizontal="left" vertical="center"/>
    </xf>
    <xf numFmtId="0" fontId="115" fillId="92" borderId="127"/>
    <xf numFmtId="2" fontId="4" fillId="0" borderId="126" applyNumberFormat="0" applyFont="0" applyFill="0" applyAlignment="0"/>
    <xf numFmtId="0" fontId="110" fillId="0" borderId="126"/>
    <xf numFmtId="0" fontId="5" fillId="0" borderId="126">
      <alignment horizontal="left" vertical="center"/>
    </xf>
    <xf numFmtId="37" fontId="111" fillId="24" borderId="128"/>
    <xf numFmtId="0" fontId="115" fillId="85" borderId="127"/>
    <xf numFmtId="10" fontId="130" fillId="0" borderId="129" applyFont="0" applyAlignment="0">
      <protection locked="0"/>
    </xf>
    <xf numFmtId="0" fontId="115" fillId="92" borderId="127"/>
    <xf numFmtId="0" fontId="115" fillId="0" borderId="127"/>
    <xf numFmtId="0" fontId="40" fillId="24" borderId="123" applyNumberFormat="0" applyAlignment="0" applyProtection="0"/>
    <xf numFmtId="0" fontId="37" fillId="11" borderId="121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37" fillId="11" borderId="121" applyNumberFormat="0" applyAlignment="0" applyProtection="0"/>
    <xf numFmtId="0" fontId="4" fillId="28" borderId="122" applyNumberFormat="0" applyFon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2" fontId="4" fillId="0" borderId="126" applyNumberFormat="0" applyFont="0" applyFill="0" applyAlignment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31" fillId="24" borderId="121" applyNumberFormat="0" applyAlignment="0" applyProtection="0"/>
    <xf numFmtId="0" fontId="110" fillId="0" borderId="126"/>
    <xf numFmtId="0" fontId="115" fillId="0" borderId="127"/>
    <xf numFmtId="0" fontId="31" fillId="24" borderId="121" applyNumberFormat="0" applyAlignment="0" applyProtection="0"/>
    <xf numFmtId="0" fontId="115" fillId="85" borderId="127"/>
    <xf numFmtId="0" fontId="115" fillId="92" borderId="127"/>
    <xf numFmtId="37" fontId="111" fillId="24" borderId="128"/>
    <xf numFmtId="0" fontId="122" fillId="83" borderId="127"/>
    <xf numFmtId="0" fontId="5" fillId="0" borderId="126">
      <alignment horizontal="left" vertical="center"/>
    </xf>
    <xf numFmtId="0" fontId="115" fillId="85" borderId="127"/>
    <xf numFmtId="0" fontId="115" fillId="83" borderId="127"/>
    <xf numFmtId="10" fontId="130" fillId="0" borderId="129" applyFont="0" applyAlignment="0">
      <protection locked="0"/>
    </xf>
    <xf numFmtId="0" fontId="134" fillId="79" borderId="130"/>
    <xf numFmtId="0" fontId="131" fillId="0" borderId="127"/>
    <xf numFmtId="0" fontId="4" fillId="28" borderId="122" applyNumberFormat="0" applyFon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40" fillId="24" borderId="123" applyNumberFormat="0" applyAlignment="0" applyProtection="0"/>
    <xf numFmtId="0" fontId="4" fillId="28" borderId="122" applyNumberFormat="0" applyFon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1" fillId="24" borderId="121" applyNumberFormat="0" applyAlignment="0" applyProtection="0"/>
    <xf numFmtId="0" fontId="115" fillId="83" borderId="127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" fillId="28" borderId="122" applyNumberFormat="0" applyFont="0" applyAlignment="0" applyProtection="0"/>
    <xf numFmtId="0" fontId="37" fillId="11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134" fillId="79" borderId="130"/>
    <xf numFmtId="0" fontId="131" fillId="0" borderId="127"/>
    <xf numFmtId="0" fontId="115" fillId="0" borderId="127"/>
    <xf numFmtId="10" fontId="130" fillId="0" borderId="129" applyFont="0" applyAlignment="0">
      <protection locked="0"/>
    </xf>
    <xf numFmtId="0" fontId="134" fillId="79" borderId="130"/>
    <xf numFmtId="0" fontId="131" fillId="0" borderId="127"/>
    <xf numFmtId="0" fontId="134" fillId="79" borderId="130"/>
    <xf numFmtId="0" fontId="131" fillId="0" borderId="127"/>
    <xf numFmtId="0" fontId="115" fillId="85" borderId="127"/>
    <xf numFmtId="0" fontId="5" fillId="0" borderId="126">
      <alignment horizontal="left" vertical="center"/>
    </xf>
    <xf numFmtId="0" fontId="115" fillId="0" borderId="127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115" fillId="92" borderId="127"/>
    <xf numFmtId="0" fontId="115" fillId="92" borderId="127"/>
    <xf numFmtId="0" fontId="131" fillId="0" borderId="127"/>
    <xf numFmtId="0" fontId="134" fillId="79" borderId="130"/>
    <xf numFmtId="10" fontId="130" fillId="0" borderId="129" applyFont="0" applyAlignment="0">
      <protection locked="0"/>
    </xf>
    <xf numFmtId="0" fontId="115" fillId="83" borderId="127"/>
    <xf numFmtId="0" fontId="115" fillId="85" borderId="127"/>
    <xf numFmtId="0" fontId="122" fillId="83" borderId="127"/>
    <xf numFmtId="0" fontId="115" fillId="0" borderId="127"/>
    <xf numFmtId="0" fontId="122" fillId="83" borderId="127"/>
    <xf numFmtId="10" fontId="130" fillId="0" borderId="129" applyFont="0" applyAlignment="0">
      <protection locked="0"/>
    </xf>
    <xf numFmtId="0" fontId="131" fillId="0" borderId="127"/>
    <xf numFmtId="0" fontId="115" fillId="83" borderId="127"/>
    <xf numFmtId="0" fontId="131" fillId="0" borderId="127"/>
    <xf numFmtId="0" fontId="134" fillId="79" borderId="130"/>
    <xf numFmtId="0" fontId="122" fillId="83" borderId="127"/>
    <xf numFmtId="0" fontId="31" fillId="24" borderId="121" applyNumberFormat="0" applyAlignment="0" applyProtection="0"/>
    <xf numFmtId="0" fontId="37" fillId="11" borderId="121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122" fillId="83" borderId="127"/>
    <xf numFmtId="0" fontId="110" fillId="0" borderId="126"/>
    <xf numFmtId="0" fontId="11" fillId="0" borderId="124" applyNumberFormat="0" applyFill="0" applyAlignment="0" applyProtection="0"/>
    <xf numFmtId="0" fontId="37" fillId="11" borderId="121" applyNumberFormat="0" applyAlignment="0" applyProtection="0"/>
    <xf numFmtId="37" fontId="111" fillId="24" borderId="128"/>
    <xf numFmtId="0" fontId="115" fillId="0" borderId="127"/>
    <xf numFmtId="0" fontId="40" fillId="24" borderId="123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5" fillId="83" borderId="127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31" fillId="24" borderId="121" applyNumberFormat="0" applyAlignment="0" applyProtection="0"/>
    <xf numFmtId="0" fontId="115" fillId="85" borderId="127"/>
    <xf numFmtId="2" fontId="4" fillId="0" borderId="126" applyNumberFormat="0" applyFont="0" applyFill="0" applyAlignment="0"/>
    <xf numFmtId="0" fontId="110" fillId="0" borderId="126"/>
    <xf numFmtId="0" fontId="134" fillId="79" borderId="130"/>
    <xf numFmtId="0" fontId="11" fillId="0" borderId="124" applyNumberFormat="0" applyFill="0" applyAlignment="0" applyProtection="0"/>
    <xf numFmtId="0" fontId="115" fillId="0" borderId="127"/>
    <xf numFmtId="0" fontId="5" fillId="0" borderId="126">
      <alignment horizontal="left" vertical="center"/>
    </xf>
    <xf numFmtId="0" fontId="5" fillId="0" borderId="126">
      <alignment horizontal="left" vertical="center"/>
    </xf>
    <xf numFmtId="0" fontId="134" fillId="79" borderId="13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40" fillId="24" borderId="123" applyNumberFormat="0" applyAlignment="0" applyProtection="0"/>
    <xf numFmtId="0" fontId="4" fillId="28" borderId="122" applyNumberFormat="0" applyFon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131" fillId="0" borderId="127"/>
    <xf numFmtId="10" fontId="130" fillId="0" borderId="129" applyFont="0" applyAlignment="0">
      <protection locked="0"/>
    </xf>
    <xf numFmtId="0" fontId="115" fillId="85" borderId="127"/>
    <xf numFmtId="37" fontId="111" fillId="24" borderId="128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115" fillId="92" borderId="127"/>
    <xf numFmtId="2" fontId="4" fillId="0" borderId="126" applyNumberFormat="0" applyFont="0" applyFill="0" applyAlignment="0"/>
    <xf numFmtId="0" fontId="110" fillId="0" borderId="126"/>
    <xf numFmtId="0" fontId="5" fillId="0" borderId="126">
      <alignment horizontal="left" vertical="center"/>
    </xf>
    <xf numFmtId="37" fontId="111" fillId="24" borderId="128"/>
    <xf numFmtId="0" fontId="115" fillId="85" borderId="127"/>
    <xf numFmtId="0" fontId="115" fillId="85" borderId="127"/>
    <xf numFmtId="10" fontId="130" fillId="0" borderId="129" applyFont="0" applyAlignment="0">
      <protection locked="0"/>
    </xf>
    <xf numFmtId="0" fontId="115" fillId="92" borderId="127"/>
    <xf numFmtId="0" fontId="115" fillId="0" borderId="127"/>
    <xf numFmtId="0" fontId="31" fillId="24" borderId="121" applyNumberFormat="0" applyAlignment="0" applyProtection="0"/>
    <xf numFmtId="0" fontId="37" fillId="11" borderId="121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37" fontId="111" fillId="24" borderId="128"/>
    <xf numFmtId="0" fontId="40" fillId="24" borderId="123" applyNumberFormat="0" applyAlignment="0" applyProtection="0"/>
    <xf numFmtId="0" fontId="37" fillId="11" borderId="121" applyNumberFormat="0" applyAlignment="0" applyProtection="0"/>
    <xf numFmtId="0" fontId="40" fillId="24" borderId="123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11" fillId="0" borderId="124" applyNumberFormat="0" applyFill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11" fillId="0" borderId="124" applyNumberFormat="0" applyFill="0" applyAlignment="0" applyProtection="0"/>
    <xf numFmtId="0" fontId="37" fillId="11" borderId="121" applyNumberFormat="0" applyAlignment="0" applyProtection="0"/>
    <xf numFmtId="10" fontId="130" fillId="0" borderId="129" applyFont="0" applyAlignment="0">
      <protection locked="0"/>
    </xf>
    <xf numFmtId="37" fontId="111" fillId="24" borderId="128"/>
    <xf numFmtId="2" fontId="4" fillId="0" borderId="126" applyNumberFormat="0" applyFont="0" applyFill="0" applyAlignment="0"/>
    <xf numFmtId="2" fontId="4" fillId="0" borderId="126" applyNumberFormat="0" applyFont="0" applyFill="0" applyAlignment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37" fillId="11" borderId="121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40" fillId="24" borderId="123" applyNumberForma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37" fontId="111" fillId="24" borderId="128"/>
    <xf numFmtId="0" fontId="122" fillId="83" borderId="127"/>
    <xf numFmtId="0" fontId="40" fillId="24" borderId="123" applyNumberFormat="0" applyAlignment="0" applyProtection="0"/>
    <xf numFmtId="0" fontId="122" fillId="83" borderId="127"/>
    <xf numFmtId="0" fontId="115" fillId="92" borderId="127"/>
    <xf numFmtId="0" fontId="115" fillId="83" borderId="127"/>
    <xf numFmtId="0" fontId="110" fillId="0" borderId="126"/>
    <xf numFmtId="2" fontId="4" fillId="0" borderId="126" applyNumberFormat="0" applyFont="0" applyFill="0" applyAlignment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2" fontId="4" fillId="0" borderId="126" applyNumberFormat="0" applyFont="0" applyFill="0" applyAlignment="0"/>
    <xf numFmtId="0" fontId="110" fillId="0" borderId="126"/>
    <xf numFmtId="0" fontId="5" fillId="0" borderId="126">
      <alignment horizontal="left" vertical="center"/>
    </xf>
    <xf numFmtId="37" fontId="111" fillId="24" borderId="128"/>
    <xf numFmtId="0" fontId="31" fillId="24" borderId="121" applyNumberFormat="0" applyAlignment="0" applyProtection="0"/>
    <xf numFmtId="0" fontId="37" fillId="11" borderId="121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2" fontId="4" fillId="0" borderId="126" applyNumberFormat="0" applyFont="0" applyFill="0" applyAlignment="0"/>
    <xf numFmtId="0" fontId="11" fillId="0" borderId="124" applyNumberFormat="0" applyFill="0" applyAlignment="0" applyProtection="0"/>
    <xf numFmtId="0" fontId="37" fillId="11" borderId="121" applyNumberFormat="0" applyAlignment="0" applyProtection="0"/>
    <xf numFmtId="0" fontId="40" fillId="24" borderId="123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11" fillId="0" borderId="124" applyNumberFormat="0" applyFill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31" fillId="24" borderId="121" applyNumberFormat="0" applyAlignment="0" applyProtection="0"/>
    <xf numFmtId="0" fontId="40" fillId="24" borderId="123" applyNumberFormat="0" applyAlignment="0" applyProtection="0"/>
    <xf numFmtId="0" fontId="115" fillId="92" borderId="127"/>
    <xf numFmtId="0" fontId="110" fillId="0" borderId="126"/>
    <xf numFmtId="0" fontId="110" fillId="0" borderId="126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37" fillId="11" borderId="121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40" fillId="24" borderId="123" applyNumberFormat="0" applyAlignment="0" applyProtection="0"/>
    <xf numFmtId="0" fontId="4" fillId="28" borderId="122" applyNumberFormat="0" applyFon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40" fillId="24" borderId="123" applyNumberForma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115" fillId="0" borderId="127"/>
    <xf numFmtId="0" fontId="31" fillId="24" borderId="121" applyNumberFormat="0" applyAlignment="0" applyProtection="0"/>
    <xf numFmtId="0" fontId="11" fillId="0" borderId="124" applyNumberFormat="0" applyFill="0" applyAlignment="0" applyProtection="0"/>
    <xf numFmtId="0" fontId="115" fillId="83" borderId="127"/>
    <xf numFmtId="0" fontId="122" fillId="83" borderId="127"/>
    <xf numFmtId="0" fontId="115" fillId="83" borderId="127"/>
    <xf numFmtId="0" fontId="115" fillId="92" borderId="127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2" fontId="4" fillId="0" borderId="126" applyNumberFormat="0" applyFont="0" applyFill="0" applyAlignment="0"/>
    <xf numFmtId="0" fontId="110" fillId="0" borderId="126"/>
    <xf numFmtId="0" fontId="5" fillId="0" borderId="126">
      <alignment horizontal="left" vertical="center"/>
    </xf>
    <xf numFmtId="37" fontId="111" fillId="24" borderId="128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2" fontId="4" fillId="0" borderId="126" applyNumberFormat="0" applyFont="0" applyFill="0" applyAlignment="0"/>
    <xf numFmtId="0" fontId="110" fillId="0" borderId="126"/>
    <xf numFmtId="0" fontId="115" fillId="0" borderId="127"/>
    <xf numFmtId="37" fontId="111" fillId="24" borderId="128"/>
    <xf numFmtId="0" fontId="122" fillId="83" borderId="127"/>
    <xf numFmtId="0" fontId="5" fillId="0" borderId="126">
      <alignment horizontal="left" vertical="center"/>
    </xf>
    <xf numFmtId="0" fontId="115" fillId="85" borderId="127"/>
    <xf numFmtId="0" fontId="115" fillId="83" borderId="127"/>
    <xf numFmtId="10" fontId="130" fillId="0" borderId="129" applyFont="0" applyAlignment="0">
      <protection locked="0"/>
    </xf>
    <xf numFmtId="0" fontId="134" fillId="79" borderId="130"/>
    <xf numFmtId="0" fontId="131" fillId="0" borderId="127"/>
    <xf numFmtId="0" fontId="115" fillId="92" borderId="127"/>
    <xf numFmtId="0" fontId="115" fillId="92" borderId="127"/>
    <xf numFmtId="0" fontId="131" fillId="0" borderId="127"/>
    <xf numFmtId="0" fontId="134" fillId="79" borderId="130"/>
    <xf numFmtId="10" fontId="130" fillId="0" borderId="129" applyFont="0" applyAlignment="0">
      <protection locked="0"/>
    </xf>
    <xf numFmtId="0" fontId="115" fillId="83" borderId="127"/>
    <xf numFmtId="0" fontId="115" fillId="85" borderId="127"/>
    <xf numFmtId="0" fontId="122" fillId="83" borderId="127"/>
    <xf numFmtId="0" fontId="115" fillId="0" borderId="127"/>
    <xf numFmtId="0" fontId="122" fillId="83" borderId="127"/>
    <xf numFmtId="10" fontId="130" fillId="0" borderId="129" applyFont="0" applyAlignment="0">
      <protection locked="0"/>
    </xf>
    <xf numFmtId="0" fontId="131" fillId="0" borderId="127"/>
    <xf numFmtId="0" fontId="115" fillId="83" borderId="127"/>
    <xf numFmtId="0" fontId="131" fillId="0" borderId="127"/>
    <xf numFmtId="0" fontId="134" fillId="79" borderId="130"/>
    <xf numFmtId="0" fontId="122" fillId="83" borderId="127"/>
    <xf numFmtId="0" fontId="31" fillId="24" borderId="121" applyNumberFormat="0" applyAlignment="0" applyProtection="0"/>
    <xf numFmtId="0" fontId="37" fillId="11" borderId="121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37" fontId="111" fillId="24" borderId="128"/>
    <xf numFmtId="0" fontId="115" fillId="0" borderId="127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5" fillId="83" borderId="127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115" fillId="85" borderId="127"/>
    <xf numFmtId="2" fontId="4" fillId="0" borderId="126" applyNumberFormat="0" applyFont="0" applyFill="0" applyAlignment="0"/>
    <xf numFmtId="0" fontId="110" fillId="0" borderId="126"/>
    <xf numFmtId="0" fontId="134" fillId="79" borderId="130"/>
    <xf numFmtId="0" fontId="5" fillId="0" borderId="126">
      <alignment horizontal="left" vertical="center"/>
    </xf>
    <xf numFmtId="0" fontId="115" fillId="92" borderId="127"/>
    <xf numFmtId="2" fontId="4" fillId="0" borderId="126" applyNumberFormat="0" applyFont="0" applyFill="0" applyAlignment="0"/>
    <xf numFmtId="0" fontId="110" fillId="0" borderId="126"/>
    <xf numFmtId="0" fontId="5" fillId="0" borderId="126">
      <alignment horizontal="left" vertical="center"/>
    </xf>
    <xf numFmtId="37" fontId="111" fillId="24" borderId="128"/>
    <xf numFmtId="0" fontId="115" fillId="85" borderId="127"/>
    <xf numFmtId="10" fontId="130" fillId="0" borderId="129" applyFont="0" applyAlignment="0">
      <protection locked="0"/>
    </xf>
    <xf numFmtId="0" fontId="115" fillId="92" borderId="127"/>
    <xf numFmtId="0" fontId="115" fillId="0" borderId="127"/>
    <xf numFmtId="2" fontId="4" fillId="0" borderId="126" applyNumberFormat="0" applyFont="0" applyFill="0" applyAlignment="0"/>
    <xf numFmtId="0" fontId="110" fillId="0" borderId="126"/>
    <xf numFmtId="0" fontId="5" fillId="0" borderId="126">
      <alignment horizontal="left" vertical="center"/>
    </xf>
    <xf numFmtId="37" fontId="111" fillId="24" borderId="128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2" fontId="4" fillId="0" borderId="126" applyNumberFormat="0" applyFont="0" applyFill="0" applyAlignment="0"/>
    <xf numFmtId="0" fontId="110" fillId="0" borderId="126"/>
    <xf numFmtId="0" fontId="115" fillId="0" borderId="127"/>
    <xf numFmtId="37" fontId="111" fillId="24" borderId="128"/>
    <xf numFmtId="0" fontId="122" fillId="83" borderId="127"/>
    <xf numFmtId="0" fontId="5" fillId="0" borderId="126">
      <alignment horizontal="left" vertical="center"/>
    </xf>
    <xf numFmtId="0" fontId="115" fillId="85" borderId="127"/>
    <xf numFmtId="0" fontId="115" fillId="83" borderId="127"/>
    <xf numFmtId="10" fontId="130" fillId="0" borderId="129" applyFont="0" applyAlignment="0">
      <protection locked="0"/>
    </xf>
    <xf numFmtId="0" fontId="134" fillId="79" borderId="130"/>
    <xf numFmtId="0" fontId="131" fillId="0" borderId="127"/>
    <xf numFmtId="0" fontId="115" fillId="92" borderId="127"/>
    <xf numFmtId="0" fontId="115" fillId="92" borderId="127"/>
    <xf numFmtId="0" fontId="131" fillId="0" borderId="127"/>
    <xf numFmtId="0" fontId="134" fillId="79" borderId="130"/>
    <xf numFmtId="10" fontId="130" fillId="0" borderId="129" applyFont="0" applyAlignment="0">
      <protection locked="0"/>
    </xf>
    <xf numFmtId="0" fontId="115" fillId="83" borderId="127"/>
    <xf numFmtId="0" fontId="115" fillId="85" borderId="127"/>
    <xf numFmtId="0" fontId="122" fillId="83" borderId="127"/>
    <xf numFmtId="0" fontId="115" fillId="0" borderId="127"/>
    <xf numFmtId="0" fontId="122" fillId="83" borderId="127"/>
    <xf numFmtId="10" fontId="130" fillId="0" borderId="129" applyFont="0" applyAlignment="0">
      <protection locked="0"/>
    </xf>
    <xf numFmtId="0" fontId="131" fillId="0" borderId="127"/>
    <xf numFmtId="0" fontId="115" fillId="83" borderId="127"/>
    <xf numFmtId="0" fontId="131" fillId="0" borderId="127"/>
    <xf numFmtId="0" fontId="134" fillId="79" borderId="130"/>
    <xf numFmtId="0" fontId="122" fillId="83" borderId="127"/>
    <xf numFmtId="0" fontId="31" fillId="24" borderId="121" applyNumberFormat="0" applyAlignment="0" applyProtection="0"/>
    <xf numFmtId="0" fontId="37" fillId="11" borderId="121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37" fontId="111" fillId="24" borderId="128"/>
    <xf numFmtId="0" fontId="115" fillId="0" borderId="127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5" fillId="83" borderId="127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115" fillId="85" borderId="127"/>
    <xf numFmtId="2" fontId="4" fillId="0" borderId="126" applyNumberFormat="0" applyFont="0" applyFill="0" applyAlignment="0"/>
    <xf numFmtId="0" fontId="110" fillId="0" borderId="126"/>
    <xf numFmtId="0" fontId="134" fillId="79" borderId="130"/>
    <xf numFmtId="0" fontId="5" fillId="0" borderId="126">
      <alignment horizontal="left" vertical="center"/>
    </xf>
    <xf numFmtId="0" fontId="115" fillId="92" borderId="127"/>
    <xf numFmtId="2" fontId="4" fillId="0" borderId="126" applyNumberFormat="0" applyFont="0" applyFill="0" applyAlignment="0"/>
    <xf numFmtId="0" fontId="110" fillId="0" borderId="126"/>
    <xf numFmtId="0" fontId="5" fillId="0" borderId="126">
      <alignment horizontal="left" vertical="center"/>
    </xf>
    <xf numFmtId="37" fontId="111" fillId="24" borderId="128"/>
    <xf numFmtId="0" fontId="115" fillId="85" borderId="127"/>
    <xf numFmtId="10" fontId="130" fillId="0" borderId="129" applyFont="0" applyAlignment="0">
      <protection locked="0"/>
    </xf>
    <xf numFmtId="0" fontId="115" fillId="92" borderId="127"/>
    <xf numFmtId="0" fontId="115" fillId="0" borderId="127"/>
    <xf numFmtId="0" fontId="40" fillId="24" borderId="143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37" fillId="11" borderId="141" applyNumberFormat="0" applyAlignment="0" applyProtection="0"/>
    <xf numFmtId="0" fontId="31" fillId="24" borderId="141" applyNumberFormat="0" applyAlignment="0" applyProtection="0"/>
    <xf numFmtId="0" fontId="115" fillId="83" borderId="147"/>
    <xf numFmtId="0" fontId="115" fillId="0" borderId="147"/>
    <xf numFmtId="0" fontId="115" fillId="83" borderId="147"/>
    <xf numFmtId="0" fontId="31" fillId="24" borderId="141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4" fillId="28" borderId="142" applyNumberFormat="0" applyFont="0" applyAlignment="0" applyProtection="0"/>
    <xf numFmtId="0" fontId="11" fillId="0" borderId="144" applyNumberFormat="0" applyFill="0" applyAlignment="0" applyProtection="0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5" fillId="85" borderId="147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11" fillId="0" borderId="144" applyNumberFormat="0" applyFill="0" applyAlignment="0" applyProtection="0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134" fillId="79" borderId="150"/>
    <xf numFmtId="0" fontId="11" fillId="0" borderId="144" applyNumberFormat="0" applyFill="0" applyAlignment="0" applyProtection="0"/>
    <xf numFmtId="0" fontId="40" fillId="24" borderId="143" applyNumberFormat="0" applyAlignment="0" applyProtection="0"/>
    <xf numFmtId="0" fontId="31" fillId="24" borderId="141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37" fillId="11" borderId="141" applyNumberFormat="0" applyAlignment="0" applyProtection="0"/>
    <xf numFmtId="2" fontId="4" fillId="0" borderId="146" applyNumberFormat="0" applyFont="0" applyFill="0" applyAlignment="0"/>
    <xf numFmtId="0" fontId="4" fillId="28" borderId="142" applyNumberFormat="0" applyFont="0" applyAlignment="0" applyProtection="0"/>
    <xf numFmtId="0" fontId="11" fillId="0" borderId="144" applyNumberFormat="0" applyFill="0" applyAlignment="0" applyProtection="0"/>
    <xf numFmtId="0" fontId="40" fillId="24" borderId="143" applyNumberForma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5" fillId="0" borderId="146">
      <alignment horizontal="left" vertical="center"/>
    </xf>
    <xf numFmtId="0" fontId="115" fillId="85" borderId="147"/>
    <xf numFmtId="0" fontId="4" fillId="28" borderId="142" applyNumberFormat="0" applyFont="0" applyAlignment="0" applyProtection="0"/>
    <xf numFmtId="0" fontId="11" fillId="0" borderId="144" applyNumberFormat="0" applyFill="0" applyAlignment="0" applyProtection="0"/>
    <xf numFmtId="0" fontId="40" fillId="24" borderId="143" applyNumberFormat="0" applyAlignment="0" applyProtection="0"/>
    <xf numFmtId="0" fontId="31" fillId="24" borderId="141" applyNumberFormat="0" applyAlignment="0" applyProtection="0"/>
    <xf numFmtId="0" fontId="40" fillId="24" borderId="143" applyNumberFormat="0" applyAlignment="0" applyProtection="0"/>
    <xf numFmtId="0" fontId="131" fillId="0" borderId="147"/>
    <xf numFmtId="10" fontId="130" fillId="0" borderId="149" applyFont="0" applyAlignment="0">
      <protection locked="0"/>
    </xf>
    <xf numFmtId="0" fontId="40" fillId="24" borderId="143" applyNumberFormat="0" applyAlignment="0" applyProtection="0"/>
    <xf numFmtId="2" fontId="4" fillId="0" borderId="136" applyNumberFormat="0" applyFont="0" applyFill="0" applyAlignment="0"/>
    <xf numFmtId="0" fontId="110" fillId="0" borderId="136"/>
    <xf numFmtId="0" fontId="5" fillId="0" borderId="136">
      <alignment horizontal="left" vertical="center"/>
    </xf>
    <xf numFmtId="37" fontId="111" fillId="24" borderId="138"/>
    <xf numFmtId="0" fontId="31" fillId="24" borderId="141" applyNumberFormat="0" applyAlignment="0" applyProtection="0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31" fillId="24" borderId="141" applyNumberFormat="0" applyAlignment="0" applyProtection="0"/>
    <xf numFmtId="0" fontId="40" fillId="24" borderId="143" applyNumberFormat="0" applyAlignment="0" applyProtection="0"/>
    <xf numFmtId="0" fontId="37" fillId="11" borderId="141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31" fillId="24" borderId="141" applyNumberFormat="0" applyAlignment="0" applyProtection="0"/>
    <xf numFmtId="0" fontId="134" fillId="79" borderId="150"/>
    <xf numFmtId="0" fontId="115" fillId="85" borderId="147"/>
    <xf numFmtId="0" fontId="134" fillId="79" borderId="150"/>
    <xf numFmtId="0" fontId="115" fillId="0" borderId="147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2" fontId="4" fillId="0" borderId="136" applyNumberFormat="0" applyFont="0" applyFill="0" applyAlignment="0"/>
    <xf numFmtId="0" fontId="110" fillId="0" borderId="136"/>
    <xf numFmtId="0" fontId="115" fillId="0" borderId="137"/>
    <xf numFmtId="37" fontId="111" fillId="24" borderId="138"/>
    <xf numFmtId="0" fontId="122" fillId="83" borderId="137"/>
    <xf numFmtId="0" fontId="5" fillId="0" borderId="136">
      <alignment horizontal="left" vertical="center"/>
    </xf>
    <xf numFmtId="0" fontId="115" fillId="85" borderId="137"/>
    <xf numFmtId="0" fontId="115" fillId="83" borderId="137"/>
    <xf numFmtId="10" fontId="130" fillId="0" borderId="139" applyFont="0" applyAlignment="0">
      <protection locked="0"/>
    </xf>
    <xf numFmtId="0" fontId="134" fillId="79" borderId="140"/>
    <xf numFmtId="0" fontId="131" fillId="0" borderId="137"/>
    <xf numFmtId="0" fontId="115" fillId="92" borderId="137"/>
    <xf numFmtId="0" fontId="115" fillId="92" borderId="137"/>
    <xf numFmtId="0" fontId="131" fillId="0" borderId="137"/>
    <xf numFmtId="0" fontId="134" fillId="79" borderId="140"/>
    <xf numFmtId="10" fontId="130" fillId="0" borderId="139" applyFont="0" applyAlignment="0">
      <protection locked="0"/>
    </xf>
    <xf numFmtId="0" fontId="115" fillId="83" borderId="137"/>
    <xf numFmtId="0" fontId="115" fillId="85" borderId="137"/>
    <xf numFmtId="0" fontId="122" fillId="83" borderId="137"/>
    <xf numFmtId="0" fontId="115" fillId="0" borderId="137"/>
    <xf numFmtId="0" fontId="122" fillId="83" borderId="137"/>
    <xf numFmtId="10" fontId="130" fillId="0" borderId="139" applyFont="0" applyAlignment="0">
      <protection locked="0"/>
    </xf>
    <xf numFmtId="0" fontId="131" fillId="0" borderId="137"/>
    <xf numFmtId="0" fontId="115" fillId="83" borderId="137"/>
    <xf numFmtId="0" fontId="131" fillId="0" borderId="137"/>
    <xf numFmtId="0" fontId="134" fillId="79" borderId="140"/>
    <xf numFmtId="0" fontId="122" fillId="83" borderId="137"/>
    <xf numFmtId="0" fontId="31" fillId="24" borderId="131" applyNumberFormat="0" applyAlignment="0" applyProtection="0"/>
    <xf numFmtId="0" fontId="37" fillId="11" borderId="131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37" fontId="111" fillId="24" borderId="138"/>
    <xf numFmtId="0" fontId="115" fillId="0" borderId="137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5" fillId="83" borderId="137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115" fillId="85" borderId="137"/>
    <xf numFmtId="2" fontId="4" fillId="0" borderId="136" applyNumberFormat="0" applyFont="0" applyFill="0" applyAlignment="0"/>
    <xf numFmtId="0" fontId="110" fillId="0" borderId="136"/>
    <xf numFmtId="0" fontId="134" fillId="79" borderId="140"/>
    <xf numFmtId="0" fontId="5" fillId="0" borderId="136">
      <alignment horizontal="left" vertical="center"/>
    </xf>
    <xf numFmtId="0" fontId="115" fillId="92" borderId="137"/>
    <xf numFmtId="2" fontId="4" fillId="0" borderId="136" applyNumberFormat="0" applyFont="0" applyFill="0" applyAlignment="0"/>
    <xf numFmtId="0" fontId="110" fillId="0" borderId="136"/>
    <xf numFmtId="0" fontId="5" fillId="0" borderId="136">
      <alignment horizontal="left" vertical="center"/>
    </xf>
    <xf numFmtId="37" fontId="111" fillId="24" borderId="138"/>
    <xf numFmtId="0" fontId="115" fillId="85" borderId="137"/>
    <xf numFmtId="10" fontId="130" fillId="0" borderId="139" applyFont="0" applyAlignment="0">
      <protection locked="0"/>
    </xf>
    <xf numFmtId="0" fontId="115" fillId="92" borderId="137"/>
    <xf numFmtId="0" fontId="115" fillId="0" borderId="137"/>
    <xf numFmtId="0" fontId="40" fillId="24" borderId="133" applyNumberFormat="0" applyAlignment="0" applyProtection="0"/>
    <xf numFmtId="0" fontId="37" fillId="11" borderId="131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37" fillId="11" borderId="131" applyNumberFormat="0" applyAlignment="0" applyProtection="0"/>
    <xf numFmtId="0" fontId="4" fillId="28" borderId="132" applyNumberFormat="0" applyFon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2" fontId="4" fillId="0" borderId="136" applyNumberFormat="0" applyFont="0" applyFill="0" applyAlignment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31" fillId="24" borderId="131" applyNumberFormat="0" applyAlignment="0" applyProtection="0"/>
    <xf numFmtId="0" fontId="110" fillId="0" borderId="136"/>
    <xf numFmtId="0" fontId="115" fillId="0" borderId="137"/>
    <xf numFmtId="0" fontId="31" fillId="24" borderId="131" applyNumberFormat="0" applyAlignment="0" applyProtection="0"/>
    <xf numFmtId="0" fontId="115" fillId="85" borderId="137"/>
    <xf numFmtId="0" fontId="115" fillId="92" borderId="137"/>
    <xf numFmtId="37" fontId="111" fillId="24" borderId="138"/>
    <xf numFmtId="0" fontId="122" fillId="83" borderId="137"/>
    <xf numFmtId="0" fontId="5" fillId="0" borderId="136">
      <alignment horizontal="left" vertical="center"/>
    </xf>
    <xf numFmtId="0" fontId="115" fillId="85" borderId="137"/>
    <xf numFmtId="0" fontId="115" fillId="83" borderId="137"/>
    <xf numFmtId="10" fontId="130" fillId="0" borderId="139" applyFont="0" applyAlignment="0">
      <protection locked="0"/>
    </xf>
    <xf numFmtId="0" fontId="134" fillId="79" borderId="140"/>
    <xf numFmtId="0" fontId="131" fillId="0" borderId="137"/>
    <xf numFmtId="0" fontId="4" fillId="28" borderId="132" applyNumberFormat="0" applyFon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40" fillId="24" borderId="133" applyNumberFormat="0" applyAlignment="0" applyProtection="0"/>
    <xf numFmtId="0" fontId="4" fillId="28" borderId="132" applyNumberFormat="0" applyFon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1" fillId="24" borderId="131" applyNumberFormat="0" applyAlignment="0" applyProtection="0"/>
    <xf numFmtId="0" fontId="115" fillId="83" borderId="137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" fillId="28" borderId="132" applyNumberFormat="0" applyFont="0" applyAlignment="0" applyProtection="0"/>
    <xf numFmtId="0" fontId="37" fillId="11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134" fillId="79" borderId="140"/>
    <xf numFmtId="0" fontId="131" fillId="0" borderId="137"/>
    <xf numFmtId="0" fontId="115" fillId="0" borderId="137"/>
    <xf numFmtId="10" fontId="130" fillId="0" borderId="139" applyFont="0" applyAlignment="0">
      <protection locked="0"/>
    </xf>
    <xf numFmtId="0" fontId="134" fillId="79" borderId="140"/>
    <xf numFmtId="0" fontId="131" fillId="0" borderId="137"/>
    <xf numFmtId="0" fontId="134" fillId="79" borderId="140"/>
    <xf numFmtId="0" fontId="131" fillId="0" borderId="137"/>
    <xf numFmtId="0" fontId="115" fillId="85" borderId="137"/>
    <xf numFmtId="0" fontId="5" fillId="0" borderId="136">
      <alignment horizontal="left" vertical="center"/>
    </xf>
    <xf numFmtId="0" fontId="115" fillId="0" borderId="137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115" fillId="92" borderId="137"/>
    <xf numFmtId="0" fontId="115" fillId="92" borderId="137"/>
    <xf numFmtId="0" fontId="131" fillId="0" borderId="137"/>
    <xf numFmtId="0" fontId="134" fillId="79" borderId="140"/>
    <xf numFmtId="10" fontId="130" fillId="0" borderId="139" applyFont="0" applyAlignment="0">
      <protection locked="0"/>
    </xf>
    <xf numFmtId="0" fontId="115" fillId="83" borderId="137"/>
    <xf numFmtId="0" fontId="115" fillId="85" borderId="137"/>
    <xf numFmtId="0" fontId="122" fillId="83" borderId="137"/>
    <xf numFmtId="0" fontId="115" fillId="0" borderId="137"/>
    <xf numFmtId="0" fontId="122" fillId="83" borderId="137"/>
    <xf numFmtId="10" fontId="130" fillId="0" borderId="139" applyFont="0" applyAlignment="0">
      <protection locked="0"/>
    </xf>
    <xf numFmtId="0" fontId="131" fillId="0" borderId="137"/>
    <xf numFmtId="0" fontId="115" fillId="83" borderId="137"/>
    <xf numFmtId="0" fontId="131" fillId="0" borderId="137"/>
    <xf numFmtId="0" fontId="134" fillId="79" borderId="140"/>
    <xf numFmtId="0" fontId="122" fillId="83" borderId="137"/>
    <xf numFmtId="0" fontId="31" fillId="24" borderId="131" applyNumberFormat="0" applyAlignment="0" applyProtection="0"/>
    <xf numFmtId="0" fontId="37" fillId="11" borderId="131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122" fillId="83" borderId="137"/>
    <xf numFmtId="0" fontId="110" fillId="0" borderId="136"/>
    <xf numFmtId="0" fontId="11" fillId="0" borderId="134" applyNumberFormat="0" applyFill="0" applyAlignment="0" applyProtection="0"/>
    <xf numFmtId="0" fontId="37" fillId="11" borderId="131" applyNumberFormat="0" applyAlignment="0" applyProtection="0"/>
    <xf numFmtId="37" fontId="111" fillId="24" borderId="138"/>
    <xf numFmtId="0" fontId="115" fillId="0" borderId="137"/>
    <xf numFmtId="0" fontId="40" fillId="24" borderId="133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5" fillId="83" borderId="137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1" fillId="24" borderId="131" applyNumberFormat="0" applyAlignment="0" applyProtection="0"/>
    <xf numFmtId="0" fontId="115" fillId="85" borderId="137"/>
    <xf numFmtId="2" fontId="4" fillId="0" borderId="136" applyNumberFormat="0" applyFont="0" applyFill="0" applyAlignment="0"/>
    <xf numFmtId="0" fontId="110" fillId="0" borderId="136"/>
    <xf numFmtId="0" fontId="134" fillId="79" borderId="140"/>
    <xf numFmtId="0" fontId="11" fillId="0" borderId="134" applyNumberFormat="0" applyFill="0" applyAlignment="0" applyProtection="0"/>
    <xf numFmtId="0" fontId="115" fillId="0" borderId="137"/>
    <xf numFmtId="0" fontId="5" fillId="0" borderId="136">
      <alignment horizontal="left" vertical="center"/>
    </xf>
    <xf numFmtId="0" fontId="5" fillId="0" borderId="136">
      <alignment horizontal="left" vertical="center"/>
    </xf>
    <xf numFmtId="0" fontId="134" fillId="79" borderId="14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40" fillId="24" borderId="133" applyNumberFormat="0" applyAlignment="0" applyProtection="0"/>
    <xf numFmtId="0" fontId="4" fillId="28" borderId="132" applyNumberFormat="0" applyFon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131" fillId="0" borderId="137"/>
    <xf numFmtId="10" fontId="130" fillId="0" borderId="139" applyFont="0" applyAlignment="0">
      <protection locked="0"/>
    </xf>
    <xf numFmtId="0" fontId="115" fillId="85" borderId="137"/>
    <xf numFmtId="37" fontId="111" fillId="24" borderId="138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115" fillId="92" borderId="137"/>
    <xf numFmtId="2" fontId="4" fillId="0" borderId="136" applyNumberFormat="0" applyFont="0" applyFill="0" applyAlignment="0"/>
    <xf numFmtId="0" fontId="110" fillId="0" borderId="136"/>
    <xf numFmtId="0" fontId="5" fillId="0" borderId="136">
      <alignment horizontal="left" vertical="center"/>
    </xf>
    <xf numFmtId="37" fontId="111" fillId="24" borderId="138"/>
    <xf numFmtId="0" fontId="115" fillId="85" borderId="137"/>
    <xf numFmtId="0" fontId="115" fillId="85" borderId="137"/>
    <xf numFmtId="10" fontId="130" fillId="0" borderId="139" applyFont="0" applyAlignment="0">
      <protection locked="0"/>
    </xf>
    <xf numFmtId="0" fontId="115" fillId="92" borderId="137"/>
    <xf numFmtId="0" fontId="115" fillId="0" borderId="137"/>
    <xf numFmtId="0" fontId="31" fillId="24" borderId="131" applyNumberFormat="0" applyAlignment="0" applyProtection="0"/>
    <xf numFmtId="0" fontId="37" fillId="11" borderId="131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37" fontId="111" fillId="24" borderId="138"/>
    <xf numFmtId="0" fontId="40" fillId="24" borderId="133" applyNumberFormat="0" applyAlignment="0" applyProtection="0"/>
    <xf numFmtId="0" fontId="37" fillId="11" borderId="131" applyNumberFormat="0" applyAlignment="0" applyProtection="0"/>
    <xf numFmtId="0" fontId="40" fillId="24" borderId="133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11" fillId="0" borderId="134" applyNumberFormat="0" applyFill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11" fillId="0" borderId="134" applyNumberFormat="0" applyFill="0" applyAlignment="0" applyProtection="0"/>
    <xf numFmtId="0" fontId="37" fillId="11" borderId="131" applyNumberFormat="0" applyAlignment="0" applyProtection="0"/>
    <xf numFmtId="10" fontId="130" fillId="0" borderId="139" applyFont="0" applyAlignment="0">
      <protection locked="0"/>
    </xf>
    <xf numFmtId="37" fontId="111" fillId="24" borderId="138"/>
    <xf numFmtId="2" fontId="4" fillId="0" borderId="136" applyNumberFormat="0" applyFont="0" applyFill="0" applyAlignment="0"/>
    <xf numFmtId="2" fontId="4" fillId="0" borderId="136" applyNumberFormat="0" applyFont="0" applyFill="0" applyAlignment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37" fillId="11" borderId="131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40" fillId="24" borderId="133" applyNumberForma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37" fontId="111" fillId="24" borderId="138"/>
    <xf numFmtId="0" fontId="122" fillId="83" borderId="137"/>
    <xf numFmtId="0" fontId="40" fillId="24" borderId="133" applyNumberFormat="0" applyAlignment="0" applyProtection="0"/>
    <xf numFmtId="0" fontId="122" fillId="83" borderId="137"/>
    <xf numFmtId="0" fontId="115" fillId="92" borderId="137"/>
    <xf numFmtId="0" fontId="115" fillId="83" borderId="137"/>
    <xf numFmtId="0" fontId="110" fillId="0" borderId="136"/>
    <xf numFmtId="2" fontId="4" fillId="0" borderId="136" applyNumberFormat="0" applyFont="0" applyFill="0" applyAlignment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2" fontId="4" fillId="0" borderId="136" applyNumberFormat="0" applyFont="0" applyFill="0" applyAlignment="0"/>
    <xf numFmtId="0" fontId="110" fillId="0" borderId="136"/>
    <xf numFmtId="0" fontId="5" fillId="0" borderId="136">
      <alignment horizontal="left" vertical="center"/>
    </xf>
    <xf numFmtId="37" fontId="111" fillId="24" borderId="138"/>
    <xf numFmtId="0" fontId="31" fillId="24" borderId="131" applyNumberFormat="0" applyAlignment="0" applyProtection="0"/>
    <xf numFmtId="0" fontId="37" fillId="11" borderId="131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2" fontId="4" fillId="0" borderId="136" applyNumberFormat="0" applyFont="0" applyFill="0" applyAlignment="0"/>
    <xf numFmtId="0" fontId="11" fillId="0" borderId="134" applyNumberFormat="0" applyFill="0" applyAlignment="0" applyProtection="0"/>
    <xf numFmtId="0" fontId="37" fillId="11" borderId="131" applyNumberFormat="0" applyAlignment="0" applyProtection="0"/>
    <xf numFmtId="0" fontId="40" fillId="24" borderId="133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11" fillId="0" borderId="134" applyNumberFormat="0" applyFill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1" fillId="24" borderId="131" applyNumberFormat="0" applyAlignment="0" applyProtection="0"/>
    <xf numFmtId="0" fontId="40" fillId="24" borderId="133" applyNumberFormat="0" applyAlignment="0" applyProtection="0"/>
    <xf numFmtId="0" fontId="115" fillId="92" borderId="137"/>
    <xf numFmtId="0" fontId="110" fillId="0" borderId="136"/>
    <xf numFmtId="0" fontId="110" fillId="0" borderId="136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37" fillId="11" borderId="131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40" fillId="24" borderId="133" applyNumberFormat="0" applyAlignment="0" applyProtection="0"/>
    <xf numFmtId="0" fontId="4" fillId="28" borderId="132" applyNumberFormat="0" applyFon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40" fillId="24" borderId="133" applyNumberForma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115" fillId="0" borderId="137"/>
    <xf numFmtId="0" fontId="31" fillId="24" borderId="131" applyNumberFormat="0" applyAlignment="0" applyProtection="0"/>
    <xf numFmtId="0" fontId="11" fillId="0" borderId="134" applyNumberFormat="0" applyFill="0" applyAlignment="0" applyProtection="0"/>
    <xf numFmtId="0" fontId="115" fillId="83" borderId="137"/>
    <xf numFmtId="0" fontId="122" fillId="83" borderId="137"/>
    <xf numFmtId="0" fontId="115" fillId="83" borderId="137"/>
    <xf numFmtId="0" fontId="115" fillId="92" borderId="137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2" fontId="4" fillId="0" borderId="136" applyNumberFormat="0" applyFont="0" applyFill="0" applyAlignment="0"/>
    <xf numFmtId="0" fontId="110" fillId="0" borderId="136"/>
    <xf numFmtId="0" fontId="5" fillId="0" borderId="136">
      <alignment horizontal="left" vertical="center"/>
    </xf>
    <xf numFmtId="37" fontId="111" fillId="24" borderId="138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2" fontId="4" fillId="0" borderId="136" applyNumberFormat="0" applyFont="0" applyFill="0" applyAlignment="0"/>
    <xf numFmtId="0" fontId="110" fillId="0" borderId="136"/>
    <xf numFmtId="0" fontId="115" fillId="0" borderId="137"/>
    <xf numFmtId="37" fontId="111" fillId="24" borderId="138"/>
    <xf numFmtId="0" fontId="122" fillId="83" borderId="137"/>
    <xf numFmtId="0" fontId="5" fillId="0" borderId="136">
      <alignment horizontal="left" vertical="center"/>
    </xf>
    <xf numFmtId="0" fontId="115" fillId="85" borderId="137"/>
    <xf numFmtId="0" fontId="115" fillId="83" borderId="137"/>
    <xf numFmtId="10" fontId="130" fillId="0" borderId="139" applyFont="0" applyAlignment="0">
      <protection locked="0"/>
    </xf>
    <xf numFmtId="0" fontId="134" fillId="79" borderId="140"/>
    <xf numFmtId="0" fontId="131" fillId="0" borderId="137"/>
    <xf numFmtId="0" fontId="115" fillId="92" borderId="137"/>
    <xf numFmtId="0" fontId="115" fillId="92" borderId="137"/>
    <xf numFmtId="0" fontId="131" fillId="0" borderId="137"/>
    <xf numFmtId="0" fontId="134" fillId="79" borderId="140"/>
    <xf numFmtId="10" fontId="130" fillId="0" borderId="139" applyFont="0" applyAlignment="0">
      <protection locked="0"/>
    </xf>
    <xf numFmtId="0" fontId="115" fillId="83" borderId="137"/>
    <xf numFmtId="0" fontId="115" fillId="85" borderId="137"/>
    <xf numFmtId="0" fontId="122" fillId="83" borderId="137"/>
    <xf numFmtId="0" fontId="115" fillId="0" borderId="137"/>
    <xf numFmtId="0" fontId="122" fillId="83" borderId="137"/>
    <xf numFmtId="10" fontId="130" fillId="0" borderId="139" applyFont="0" applyAlignment="0">
      <protection locked="0"/>
    </xf>
    <xf numFmtId="0" fontId="131" fillId="0" borderId="137"/>
    <xf numFmtId="0" fontId="115" fillId="83" borderId="137"/>
    <xf numFmtId="0" fontId="131" fillId="0" borderId="137"/>
    <xf numFmtId="0" fontId="134" fillId="79" borderId="140"/>
    <xf numFmtId="0" fontId="122" fillId="83" borderId="137"/>
    <xf numFmtId="0" fontId="31" fillId="24" borderId="131" applyNumberFormat="0" applyAlignment="0" applyProtection="0"/>
    <xf numFmtId="0" fontId="37" fillId="11" borderId="131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37" fontId="111" fillId="24" borderId="138"/>
    <xf numFmtId="0" fontId="115" fillId="0" borderId="137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5" fillId="83" borderId="137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115" fillId="85" borderId="137"/>
    <xf numFmtId="2" fontId="4" fillId="0" borderId="136" applyNumberFormat="0" applyFont="0" applyFill="0" applyAlignment="0"/>
    <xf numFmtId="0" fontId="110" fillId="0" borderId="136"/>
    <xf numFmtId="0" fontId="134" fillId="79" borderId="140"/>
    <xf numFmtId="0" fontId="5" fillId="0" borderId="136">
      <alignment horizontal="left" vertical="center"/>
    </xf>
    <xf numFmtId="0" fontId="115" fillId="92" borderId="137"/>
    <xf numFmtId="2" fontId="4" fillId="0" borderId="136" applyNumberFormat="0" applyFont="0" applyFill="0" applyAlignment="0"/>
    <xf numFmtId="0" fontId="110" fillId="0" borderId="136"/>
    <xf numFmtId="0" fontId="5" fillId="0" borderId="136">
      <alignment horizontal="left" vertical="center"/>
    </xf>
    <xf numFmtId="37" fontId="111" fillId="24" borderId="138"/>
    <xf numFmtId="0" fontId="115" fillId="85" borderId="137"/>
    <xf numFmtId="10" fontId="130" fillId="0" borderId="139" applyFont="0" applyAlignment="0">
      <protection locked="0"/>
    </xf>
    <xf numFmtId="0" fontId="115" fillId="92" borderId="137"/>
    <xf numFmtId="0" fontId="115" fillId="0" borderId="137"/>
    <xf numFmtId="2" fontId="4" fillId="0" borderId="136" applyNumberFormat="0" applyFont="0" applyFill="0" applyAlignment="0"/>
    <xf numFmtId="0" fontId="110" fillId="0" borderId="136"/>
    <xf numFmtId="0" fontId="5" fillId="0" borderId="136">
      <alignment horizontal="left" vertical="center"/>
    </xf>
    <xf numFmtId="37" fontId="111" fillId="24" borderId="138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2" fontId="4" fillId="0" borderId="136" applyNumberFormat="0" applyFont="0" applyFill="0" applyAlignment="0"/>
    <xf numFmtId="0" fontId="110" fillId="0" borderId="136"/>
    <xf numFmtId="0" fontId="115" fillId="0" borderId="137"/>
    <xf numFmtId="37" fontId="111" fillId="24" borderId="138"/>
    <xf numFmtId="0" fontId="122" fillId="83" borderId="137"/>
    <xf numFmtId="0" fontId="5" fillId="0" borderId="136">
      <alignment horizontal="left" vertical="center"/>
    </xf>
    <xf numFmtId="0" fontId="115" fillId="85" borderId="137"/>
    <xf numFmtId="0" fontId="115" fillId="83" borderId="137"/>
    <xf numFmtId="10" fontId="130" fillId="0" borderId="139" applyFont="0" applyAlignment="0">
      <protection locked="0"/>
    </xf>
    <xf numFmtId="0" fontId="134" fillId="79" borderId="140"/>
    <xf numFmtId="0" fontId="131" fillId="0" borderId="137"/>
    <xf numFmtId="0" fontId="115" fillId="92" borderId="137"/>
    <xf numFmtId="0" fontId="115" fillId="92" borderId="137"/>
    <xf numFmtId="0" fontId="131" fillId="0" borderId="137"/>
    <xf numFmtId="0" fontId="134" fillId="79" borderId="140"/>
    <xf numFmtId="10" fontId="130" fillId="0" borderId="139" applyFont="0" applyAlignment="0">
      <protection locked="0"/>
    </xf>
    <xf numFmtId="0" fontId="115" fillId="83" borderId="137"/>
    <xf numFmtId="0" fontId="115" fillId="85" borderId="137"/>
    <xf numFmtId="0" fontId="122" fillId="83" borderId="137"/>
    <xf numFmtId="0" fontId="115" fillId="0" borderId="137"/>
    <xf numFmtId="0" fontId="122" fillId="83" borderId="137"/>
    <xf numFmtId="10" fontId="130" fillId="0" borderId="139" applyFont="0" applyAlignment="0">
      <protection locked="0"/>
    </xf>
    <xf numFmtId="0" fontId="131" fillId="0" borderId="137"/>
    <xf numFmtId="0" fontId="115" fillId="83" borderId="137"/>
    <xf numFmtId="0" fontId="131" fillId="0" borderId="137"/>
    <xf numFmtId="0" fontId="134" fillId="79" borderId="140"/>
    <xf numFmtId="0" fontId="122" fillId="83" borderId="137"/>
    <xf numFmtId="0" fontId="31" fillId="24" borderId="131" applyNumberFormat="0" applyAlignment="0" applyProtection="0"/>
    <xf numFmtId="0" fontId="37" fillId="11" borderId="131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37" fontId="111" fillId="24" borderId="138"/>
    <xf numFmtId="0" fontId="115" fillId="0" borderId="137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5" fillId="83" borderId="137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115" fillId="85" borderId="137"/>
    <xf numFmtId="2" fontId="4" fillId="0" borderId="136" applyNumberFormat="0" applyFont="0" applyFill="0" applyAlignment="0"/>
    <xf numFmtId="0" fontId="110" fillId="0" borderId="136"/>
    <xf numFmtId="0" fontId="134" fillId="79" borderId="140"/>
    <xf numFmtId="0" fontId="5" fillId="0" borderId="136">
      <alignment horizontal="left" vertical="center"/>
    </xf>
    <xf numFmtId="0" fontId="115" fillId="92" borderId="137"/>
    <xf numFmtId="2" fontId="4" fillId="0" borderId="136" applyNumberFormat="0" applyFont="0" applyFill="0" applyAlignment="0"/>
    <xf numFmtId="0" fontId="110" fillId="0" borderId="136"/>
    <xf numFmtId="0" fontId="5" fillId="0" borderId="136">
      <alignment horizontal="left" vertical="center"/>
    </xf>
    <xf numFmtId="37" fontId="111" fillId="24" borderId="138"/>
    <xf numFmtId="0" fontId="115" fillId="85" borderId="137"/>
    <xf numFmtId="10" fontId="130" fillId="0" borderId="139" applyFont="0" applyAlignment="0">
      <protection locked="0"/>
    </xf>
    <xf numFmtId="0" fontId="115" fillId="92" borderId="137"/>
    <xf numFmtId="0" fontId="115" fillId="0" borderId="137"/>
    <xf numFmtId="2" fontId="4" fillId="0" borderId="146" applyNumberFormat="0" applyFont="0" applyFill="0" applyAlignment="0"/>
    <xf numFmtId="0" fontId="110" fillId="0" borderId="146"/>
    <xf numFmtId="0" fontId="5" fillId="0" borderId="146">
      <alignment horizontal="left" vertical="center"/>
    </xf>
    <xf numFmtId="37" fontId="111" fillId="24" borderId="148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2" fontId="4" fillId="0" borderId="146" applyNumberFormat="0" applyFont="0" applyFill="0" applyAlignment="0"/>
    <xf numFmtId="0" fontId="110" fillId="0" borderId="146"/>
    <xf numFmtId="0" fontId="115" fillId="0" borderId="147"/>
    <xf numFmtId="37" fontId="111" fillId="24" borderId="148"/>
    <xf numFmtId="0" fontId="122" fillId="83" borderId="147"/>
    <xf numFmtId="0" fontId="5" fillId="0" borderId="146">
      <alignment horizontal="left" vertical="center"/>
    </xf>
    <xf numFmtId="0" fontId="115" fillId="85" borderId="147"/>
    <xf numFmtId="0" fontId="115" fillId="83" borderId="147"/>
    <xf numFmtId="10" fontId="130" fillId="0" borderId="149" applyFont="0" applyAlignment="0">
      <protection locked="0"/>
    </xf>
    <xf numFmtId="0" fontId="134" fillId="79" borderId="150"/>
    <xf numFmtId="0" fontId="131" fillId="0" borderId="147"/>
    <xf numFmtId="0" fontId="115" fillId="92" borderId="147"/>
    <xf numFmtId="0" fontId="115" fillId="92" borderId="147"/>
    <xf numFmtId="0" fontId="131" fillId="0" borderId="147"/>
    <xf numFmtId="0" fontId="134" fillId="79" borderId="150"/>
    <xf numFmtId="10" fontId="130" fillId="0" borderId="149" applyFont="0" applyAlignment="0">
      <protection locked="0"/>
    </xf>
    <xf numFmtId="0" fontId="115" fillId="83" borderId="147"/>
    <xf numFmtId="0" fontId="115" fillId="85" borderId="147"/>
    <xf numFmtId="0" fontId="122" fillId="83" borderId="147"/>
    <xf numFmtId="0" fontId="115" fillId="0" borderId="147"/>
    <xf numFmtId="0" fontId="122" fillId="83" borderId="147"/>
    <xf numFmtId="10" fontId="130" fillId="0" borderId="149" applyFont="0" applyAlignment="0">
      <protection locked="0"/>
    </xf>
    <xf numFmtId="0" fontId="131" fillId="0" borderId="147"/>
    <xf numFmtId="0" fontId="115" fillId="83" borderId="147"/>
    <xf numFmtId="0" fontId="131" fillId="0" borderId="147"/>
    <xf numFmtId="0" fontId="134" fillId="79" borderId="150"/>
    <xf numFmtId="0" fontId="122" fillId="83" borderId="147"/>
    <xf numFmtId="0" fontId="31" fillId="24" borderId="141" applyNumberFormat="0" applyAlignment="0" applyProtection="0"/>
    <xf numFmtId="0" fontId="37" fillId="11" borderId="141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37" fontId="111" fillId="24" borderId="148"/>
    <xf numFmtId="0" fontId="115" fillId="0" borderId="147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5" fillId="83" borderId="147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115" fillId="85" borderId="147"/>
    <xf numFmtId="2" fontId="4" fillId="0" borderId="146" applyNumberFormat="0" applyFont="0" applyFill="0" applyAlignment="0"/>
    <xf numFmtId="0" fontId="110" fillId="0" borderId="146"/>
    <xf numFmtId="0" fontId="134" fillId="79" borderId="150"/>
    <xf numFmtId="0" fontId="5" fillId="0" borderId="146">
      <alignment horizontal="left" vertical="center"/>
    </xf>
    <xf numFmtId="0" fontId="115" fillId="92" borderId="147"/>
    <xf numFmtId="2" fontId="4" fillId="0" borderId="146" applyNumberFormat="0" applyFont="0" applyFill="0" applyAlignment="0"/>
    <xf numFmtId="0" fontId="110" fillId="0" borderId="146"/>
    <xf numFmtId="0" fontId="5" fillId="0" borderId="146">
      <alignment horizontal="left" vertical="center"/>
    </xf>
    <xf numFmtId="37" fontId="111" fillId="24" borderId="148"/>
    <xf numFmtId="0" fontId="115" fillId="85" borderId="147"/>
    <xf numFmtId="10" fontId="130" fillId="0" borderId="149" applyFont="0" applyAlignment="0">
      <protection locked="0"/>
    </xf>
    <xf numFmtId="0" fontId="115" fillId="92" borderId="147"/>
    <xf numFmtId="0" fontId="115" fillId="0" borderId="147"/>
    <xf numFmtId="0" fontId="40" fillId="24" borderId="143" applyNumberFormat="0" applyAlignment="0" applyProtection="0"/>
    <xf numFmtId="0" fontId="37" fillId="11" borderId="141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2" fontId="4" fillId="0" borderId="146" applyNumberFormat="0" applyFont="0" applyFill="0" applyAlignment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31" fillId="24" borderId="141" applyNumberFormat="0" applyAlignment="0" applyProtection="0"/>
    <xf numFmtId="0" fontId="110" fillId="0" borderId="146"/>
    <xf numFmtId="0" fontId="115" fillId="0" borderId="147"/>
    <xf numFmtId="0" fontId="31" fillId="24" borderId="141" applyNumberFormat="0" applyAlignment="0" applyProtection="0"/>
    <xf numFmtId="0" fontId="115" fillId="85" borderId="147"/>
    <xf numFmtId="0" fontId="115" fillId="92" borderId="147"/>
    <xf numFmtId="37" fontId="111" fillId="24" borderId="148"/>
    <xf numFmtId="0" fontId="122" fillId="83" borderId="147"/>
    <xf numFmtId="0" fontId="5" fillId="0" borderId="146">
      <alignment horizontal="left" vertical="center"/>
    </xf>
    <xf numFmtId="0" fontId="115" fillId="85" borderId="147"/>
    <xf numFmtId="0" fontId="115" fillId="83" borderId="147"/>
    <xf numFmtId="10" fontId="130" fillId="0" borderId="149" applyFont="0" applyAlignment="0">
      <protection locked="0"/>
    </xf>
    <xf numFmtId="0" fontId="134" fillId="79" borderId="150"/>
    <xf numFmtId="0" fontId="131" fillId="0" borderId="147"/>
    <xf numFmtId="0" fontId="4" fillId="28" borderId="142" applyNumberFormat="0" applyFon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40" fillId="24" borderId="143" applyNumberFormat="0" applyAlignment="0" applyProtection="0"/>
    <xf numFmtId="0" fontId="4" fillId="28" borderId="142" applyNumberFormat="0" applyFon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1" fillId="24" borderId="141" applyNumberFormat="0" applyAlignment="0" applyProtection="0"/>
    <xf numFmtId="0" fontId="115" fillId="83" borderId="147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" fillId="28" borderId="142" applyNumberFormat="0" applyFont="0" applyAlignment="0" applyProtection="0"/>
    <xf numFmtId="0" fontId="37" fillId="11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134" fillId="79" borderId="150"/>
    <xf numFmtId="0" fontId="131" fillId="0" borderId="147"/>
    <xf numFmtId="0" fontId="115" fillId="0" borderId="147"/>
    <xf numFmtId="10" fontId="130" fillId="0" borderId="149" applyFont="0" applyAlignment="0">
      <protection locked="0"/>
    </xf>
    <xf numFmtId="0" fontId="134" fillId="79" borderId="150"/>
    <xf numFmtId="0" fontId="131" fillId="0" borderId="147"/>
    <xf numFmtId="0" fontId="134" fillId="79" borderId="150"/>
    <xf numFmtId="0" fontId="131" fillId="0" borderId="147"/>
    <xf numFmtId="0" fontId="115" fillId="85" borderId="147"/>
    <xf numFmtId="0" fontId="5" fillId="0" borderId="146">
      <alignment horizontal="left" vertical="center"/>
    </xf>
    <xf numFmtId="0" fontId="115" fillId="0" borderId="147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115" fillId="92" borderId="147"/>
    <xf numFmtId="0" fontId="115" fillId="92" borderId="147"/>
    <xf numFmtId="0" fontId="131" fillId="0" borderId="147"/>
    <xf numFmtId="0" fontId="134" fillId="79" borderId="150"/>
    <xf numFmtId="10" fontId="130" fillId="0" borderId="149" applyFont="0" applyAlignment="0">
      <protection locked="0"/>
    </xf>
    <xf numFmtId="0" fontId="115" fillId="83" borderId="147"/>
    <xf numFmtId="0" fontId="115" fillId="85" borderId="147"/>
    <xf numFmtId="0" fontId="122" fillId="83" borderId="147"/>
    <xf numFmtId="0" fontId="115" fillId="0" borderId="147"/>
    <xf numFmtId="0" fontId="122" fillId="83" borderId="147"/>
    <xf numFmtId="10" fontId="130" fillId="0" borderId="149" applyFont="0" applyAlignment="0">
      <protection locked="0"/>
    </xf>
    <xf numFmtId="0" fontId="131" fillId="0" borderId="147"/>
    <xf numFmtId="0" fontId="115" fillId="83" borderId="147"/>
    <xf numFmtId="0" fontId="131" fillId="0" borderId="147"/>
    <xf numFmtId="0" fontId="134" fillId="79" borderId="150"/>
    <xf numFmtId="0" fontId="122" fillId="83" borderId="147"/>
    <xf numFmtId="0" fontId="31" fillId="24" borderId="141" applyNumberFormat="0" applyAlignment="0" applyProtection="0"/>
    <xf numFmtId="0" fontId="37" fillId="11" borderId="141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122" fillId="83" borderId="147"/>
    <xf numFmtId="0" fontId="110" fillId="0" borderId="146"/>
    <xf numFmtId="0" fontId="11" fillId="0" borderId="144" applyNumberFormat="0" applyFill="0" applyAlignment="0" applyProtection="0"/>
    <xf numFmtId="0" fontId="37" fillId="11" borderId="141" applyNumberFormat="0" applyAlignment="0" applyProtection="0"/>
    <xf numFmtId="37" fontId="111" fillId="24" borderId="148"/>
    <xf numFmtId="0" fontId="115" fillId="0" borderId="147"/>
    <xf numFmtId="0" fontId="40" fillId="24" borderId="143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5" fillId="83" borderId="147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1" fillId="24" borderId="141" applyNumberFormat="0" applyAlignment="0" applyProtection="0"/>
    <xf numFmtId="0" fontId="115" fillId="85" borderId="147"/>
    <xf numFmtId="2" fontId="4" fillId="0" borderId="146" applyNumberFormat="0" applyFont="0" applyFill="0" applyAlignment="0"/>
    <xf numFmtId="0" fontId="110" fillId="0" borderId="146"/>
    <xf numFmtId="0" fontId="134" fillId="79" borderId="150"/>
    <xf numFmtId="0" fontId="11" fillId="0" borderId="144" applyNumberFormat="0" applyFill="0" applyAlignment="0" applyProtection="0"/>
    <xf numFmtId="0" fontId="115" fillId="0" borderId="147"/>
    <xf numFmtId="0" fontId="5" fillId="0" borderId="146">
      <alignment horizontal="left" vertical="center"/>
    </xf>
    <xf numFmtId="0" fontId="5" fillId="0" borderId="146">
      <alignment horizontal="left" vertical="center"/>
    </xf>
    <xf numFmtId="0" fontId="134" fillId="79" borderId="15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40" fillId="24" borderId="143" applyNumberFormat="0" applyAlignment="0" applyProtection="0"/>
    <xf numFmtId="0" fontId="4" fillId="28" borderId="142" applyNumberFormat="0" applyFon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131" fillId="0" borderId="147"/>
    <xf numFmtId="10" fontId="130" fillId="0" borderId="149" applyFont="0" applyAlignment="0">
      <protection locked="0"/>
    </xf>
    <xf numFmtId="0" fontId="115" fillId="85" borderId="147"/>
    <xf numFmtId="37" fontId="111" fillId="24" borderId="148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115" fillId="92" borderId="147"/>
    <xf numFmtId="2" fontId="4" fillId="0" borderId="146" applyNumberFormat="0" applyFont="0" applyFill="0" applyAlignment="0"/>
    <xf numFmtId="0" fontId="110" fillId="0" borderId="146"/>
    <xf numFmtId="0" fontId="5" fillId="0" borderId="146">
      <alignment horizontal="left" vertical="center"/>
    </xf>
    <xf numFmtId="37" fontId="111" fillId="24" borderId="148"/>
    <xf numFmtId="0" fontId="115" fillId="85" borderId="147"/>
    <xf numFmtId="0" fontId="115" fillId="85" borderId="147"/>
    <xf numFmtId="10" fontId="130" fillId="0" borderId="149" applyFont="0" applyAlignment="0">
      <protection locked="0"/>
    </xf>
    <xf numFmtId="0" fontId="115" fillId="92" borderId="147"/>
    <xf numFmtId="0" fontId="115" fillId="0" borderId="147"/>
    <xf numFmtId="0" fontId="31" fillId="24" borderId="141" applyNumberFormat="0" applyAlignment="0" applyProtection="0"/>
    <xf numFmtId="0" fontId="37" fillId="11" borderId="141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37" fontId="111" fillId="24" borderId="148"/>
    <xf numFmtId="0" fontId="40" fillId="24" borderId="143" applyNumberFormat="0" applyAlignment="0" applyProtection="0"/>
    <xf numFmtId="0" fontId="37" fillId="11" borderId="141" applyNumberFormat="0" applyAlignment="0" applyProtection="0"/>
    <xf numFmtId="0" fontId="40" fillId="24" borderId="143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11" fillId="0" borderId="144" applyNumberFormat="0" applyFill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11" fillId="0" borderId="144" applyNumberFormat="0" applyFill="0" applyAlignment="0" applyProtection="0"/>
    <xf numFmtId="0" fontId="37" fillId="11" borderId="141" applyNumberFormat="0" applyAlignment="0" applyProtection="0"/>
    <xf numFmtId="10" fontId="130" fillId="0" borderId="149" applyFont="0" applyAlignment="0">
      <protection locked="0"/>
    </xf>
    <xf numFmtId="37" fontId="111" fillId="24" borderId="148"/>
    <xf numFmtId="2" fontId="4" fillId="0" borderId="146" applyNumberFormat="0" applyFont="0" applyFill="0" applyAlignment="0"/>
    <xf numFmtId="2" fontId="4" fillId="0" borderId="146" applyNumberFormat="0" applyFont="0" applyFill="0" applyAlignment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37" fillId="11" borderId="141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40" fillId="24" borderId="143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37" fontId="111" fillId="24" borderId="148"/>
    <xf numFmtId="0" fontId="122" fillId="83" borderId="147"/>
    <xf numFmtId="0" fontId="40" fillId="24" borderId="143" applyNumberFormat="0" applyAlignment="0" applyProtection="0"/>
    <xf numFmtId="0" fontId="122" fillId="83" borderId="147"/>
    <xf numFmtId="0" fontId="115" fillId="92" borderId="147"/>
    <xf numFmtId="0" fontId="115" fillId="83" borderId="147"/>
    <xf numFmtId="0" fontId="110" fillId="0" borderId="146"/>
    <xf numFmtId="2" fontId="4" fillId="0" borderId="146" applyNumberFormat="0" applyFont="0" applyFill="0" applyAlignment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2" fontId="4" fillId="0" borderId="146" applyNumberFormat="0" applyFont="0" applyFill="0" applyAlignment="0"/>
    <xf numFmtId="0" fontId="110" fillId="0" borderId="146"/>
    <xf numFmtId="0" fontId="5" fillId="0" borderId="146">
      <alignment horizontal="left" vertical="center"/>
    </xf>
    <xf numFmtId="37" fontId="111" fillId="24" borderId="148"/>
    <xf numFmtId="0" fontId="31" fillId="24" borderId="141" applyNumberFormat="0" applyAlignment="0" applyProtection="0"/>
    <xf numFmtId="0" fontId="37" fillId="11" borderId="141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2" fontId="4" fillId="0" borderId="146" applyNumberFormat="0" applyFont="0" applyFill="0" applyAlignment="0"/>
    <xf numFmtId="0" fontId="11" fillId="0" borderId="144" applyNumberFormat="0" applyFill="0" applyAlignment="0" applyProtection="0"/>
    <xf numFmtId="0" fontId="37" fillId="11" borderId="141" applyNumberFormat="0" applyAlignment="0" applyProtection="0"/>
    <xf numFmtId="0" fontId="40" fillId="24" borderId="143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11" fillId="0" borderId="144" applyNumberFormat="0" applyFill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1" fillId="24" borderId="141" applyNumberFormat="0" applyAlignment="0" applyProtection="0"/>
    <xf numFmtId="0" fontId="40" fillId="24" borderId="143" applyNumberFormat="0" applyAlignment="0" applyProtection="0"/>
    <xf numFmtId="0" fontId="115" fillId="92" borderId="147"/>
    <xf numFmtId="0" fontId="110" fillId="0" borderId="146"/>
    <xf numFmtId="0" fontId="110" fillId="0" borderId="146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37" fillId="11" borderId="141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40" fillId="24" borderId="143" applyNumberFormat="0" applyAlignment="0" applyProtection="0"/>
    <xf numFmtId="0" fontId="4" fillId="28" borderId="142" applyNumberFormat="0" applyFon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40" fillId="24" borderId="143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115" fillId="0" borderId="147"/>
    <xf numFmtId="0" fontId="31" fillId="24" borderId="141" applyNumberFormat="0" applyAlignment="0" applyProtection="0"/>
    <xf numFmtId="0" fontId="11" fillId="0" borderId="144" applyNumberFormat="0" applyFill="0" applyAlignment="0" applyProtection="0"/>
    <xf numFmtId="0" fontId="115" fillId="83" borderId="147"/>
    <xf numFmtId="0" fontId="122" fillId="83" borderId="147"/>
    <xf numFmtId="0" fontId="115" fillId="83" borderId="147"/>
    <xf numFmtId="0" fontId="115" fillId="92" borderId="147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2" fontId="4" fillId="0" borderId="146" applyNumberFormat="0" applyFont="0" applyFill="0" applyAlignment="0"/>
    <xf numFmtId="0" fontId="110" fillId="0" borderId="146"/>
    <xf numFmtId="0" fontId="5" fillId="0" borderId="146">
      <alignment horizontal="left" vertical="center"/>
    </xf>
    <xf numFmtId="37" fontId="111" fillId="24" borderId="148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2" fontId="4" fillId="0" borderId="146" applyNumberFormat="0" applyFont="0" applyFill="0" applyAlignment="0"/>
    <xf numFmtId="0" fontId="110" fillId="0" borderId="146"/>
    <xf numFmtId="0" fontId="115" fillId="0" borderId="147"/>
    <xf numFmtId="37" fontId="111" fillId="24" borderId="148"/>
    <xf numFmtId="0" fontId="122" fillId="83" borderId="147"/>
    <xf numFmtId="0" fontId="5" fillId="0" borderId="146">
      <alignment horizontal="left" vertical="center"/>
    </xf>
    <xf numFmtId="0" fontId="115" fillId="85" borderId="147"/>
    <xf numFmtId="0" fontId="115" fillId="83" borderId="147"/>
    <xf numFmtId="10" fontId="130" fillId="0" borderId="149" applyFont="0" applyAlignment="0">
      <protection locked="0"/>
    </xf>
    <xf numFmtId="0" fontId="134" fillId="79" borderId="150"/>
    <xf numFmtId="0" fontId="131" fillId="0" borderId="147"/>
    <xf numFmtId="0" fontId="115" fillId="92" borderId="147"/>
    <xf numFmtId="0" fontId="115" fillId="92" borderId="147"/>
    <xf numFmtId="0" fontId="131" fillId="0" borderId="147"/>
    <xf numFmtId="0" fontId="134" fillId="79" borderId="150"/>
    <xf numFmtId="10" fontId="130" fillId="0" borderId="149" applyFont="0" applyAlignment="0">
      <protection locked="0"/>
    </xf>
    <xf numFmtId="0" fontId="115" fillId="83" borderId="147"/>
    <xf numFmtId="0" fontId="115" fillId="85" borderId="147"/>
    <xf numFmtId="0" fontId="122" fillId="83" borderId="147"/>
    <xf numFmtId="0" fontId="115" fillId="0" borderId="147"/>
    <xf numFmtId="0" fontId="122" fillId="83" borderId="147"/>
    <xf numFmtId="10" fontId="130" fillId="0" borderId="149" applyFont="0" applyAlignment="0">
      <protection locked="0"/>
    </xf>
    <xf numFmtId="0" fontId="131" fillId="0" borderId="147"/>
    <xf numFmtId="0" fontId="115" fillId="83" borderId="147"/>
    <xf numFmtId="0" fontId="131" fillId="0" borderId="147"/>
    <xf numFmtId="0" fontId="134" fillId="79" borderId="150"/>
    <xf numFmtId="0" fontId="122" fillId="83" borderId="147"/>
    <xf numFmtId="0" fontId="31" fillId="24" borderId="141" applyNumberFormat="0" applyAlignment="0" applyProtection="0"/>
    <xf numFmtId="0" fontId="37" fillId="11" borderId="141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37" fontId="111" fillId="24" borderId="148"/>
    <xf numFmtId="0" fontId="115" fillId="0" borderId="147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5" fillId="83" borderId="147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115" fillId="85" borderId="147"/>
    <xf numFmtId="2" fontId="4" fillId="0" borderId="146" applyNumberFormat="0" applyFont="0" applyFill="0" applyAlignment="0"/>
    <xf numFmtId="0" fontId="110" fillId="0" borderId="146"/>
    <xf numFmtId="0" fontId="134" fillId="79" borderId="150"/>
    <xf numFmtId="0" fontId="5" fillId="0" borderId="146">
      <alignment horizontal="left" vertical="center"/>
    </xf>
    <xf numFmtId="0" fontId="115" fillId="92" borderId="147"/>
    <xf numFmtId="2" fontId="4" fillId="0" borderId="146" applyNumberFormat="0" applyFont="0" applyFill="0" applyAlignment="0"/>
    <xf numFmtId="0" fontId="110" fillId="0" borderId="146"/>
    <xf numFmtId="0" fontId="5" fillId="0" borderId="146">
      <alignment horizontal="left" vertical="center"/>
    </xf>
    <xf numFmtId="37" fontId="111" fillId="24" borderId="148"/>
    <xf numFmtId="0" fontId="115" fillId="85" borderId="147"/>
    <xf numFmtId="10" fontId="130" fillId="0" borderId="149" applyFont="0" applyAlignment="0">
      <protection locked="0"/>
    </xf>
    <xf numFmtId="0" fontId="115" fillId="92" borderId="147"/>
    <xf numFmtId="0" fontId="115" fillId="0" borderId="147"/>
    <xf numFmtId="2" fontId="4" fillId="0" borderId="146" applyNumberFormat="0" applyFont="0" applyFill="0" applyAlignment="0"/>
    <xf numFmtId="0" fontId="110" fillId="0" borderId="146"/>
    <xf numFmtId="0" fontId="5" fillId="0" borderId="146">
      <alignment horizontal="left" vertical="center"/>
    </xf>
    <xf numFmtId="37" fontId="111" fillId="24" borderId="148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2" fontId="4" fillId="0" borderId="146" applyNumberFormat="0" applyFont="0" applyFill="0" applyAlignment="0"/>
    <xf numFmtId="0" fontId="110" fillId="0" borderId="146"/>
    <xf numFmtId="0" fontId="115" fillId="0" borderId="147"/>
    <xf numFmtId="37" fontId="111" fillId="24" borderId="148"/>
    <xf numFmtId="0" fontId="122" fillId="83" borderId="147"/>
    <xf numFmtId="0" fontId="5" fillId="0" borderId="146">
      <alignment horizontal="left" vertical="center"/>
    </xf>
    <xf numFmtId="0" fontId="115" fillId="85" borderId="147"/>
    <xf numFmtId="0" fontId="115" fillId="83" borderId="147"/>
    <xf numFmtId="10" fontId="130" fillId="0" borderId="149" applyFont="0" applyAlignment="0">
      <protection locked="0"/>
    </xf>
    <xf numFmtId="0" fontId="134" fillId="79" borderId="150"/>
    <xf numFmtId="0" fontId="131" fillId="0" borderId="147"/>
    <xf numFmtId="0" fontId="115" fillId="92" borderId="147"/>
    <xf numFmtId="0" fontId="115" fillId="92" borderId="147"/>
    <xf numFmtId="0" fontId="131" fillId="0" borderId="147"/>
    <xf numFmtId="0" fontId="134" fillId="79" borderId="150"/>
    <xf numFmtId="10" fontId="130" fillId="0" borderId="149" applyFont="0" applyAlignment="0">
      <protection locked="0"/>
    </xf>
    <xf numFmtId="0" fontId="115" fillId="83" borderId="147"/>
    <xf numFmtId="0" fontId="115" fillId="85" borderId="147"/>
    <xf numFmtId="0" fontId="122" fillId="83" borderId="147"/>
    <xf numFmtId="0" fontId="115" fillId="0" borderId="147"/>
    <xf numFmtId="0" fontId="122" fillId="83" borderId="147"/>
    <xf numFmtId="10" fontId="130" fillId="0" borderId="149" applyFont="0" applyAlignment="0">
      <protection locked="0"/>
    </xf>
    <xf numFmtId="0" fontId="131" fillId="0" borderId="147"/>
    <xf numFmtId="0" fontId="115" fillId="83" borderId="147"/>
    <xf numFmtId="0" fontId="131" fillId="0" borderId="147"/>
    <xf numFmtId="0" fontId="134" fillId="79" borderId="150"/>
    <xf numFmtId="0" fontId="122" fillId="83" borderId="147"/>
    <xf numFmtId="0" fontId="31" fillId="24" borderId="141" applyNumberFormat="0" applyAlignment="0" applyProtection="0"/>
    <xf numFmtId="0" fontId="37" fillId="11" borderId="141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37" fontId="111" fillId="24" borderId="148"/>
    <xf numFmtId="0" fontId="115" fillId="0" borderId="147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5" fillId="83" borderId="147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115" fillId="85" borderId="147"/>
    <xf numFmtId="2" fontId="4" fillId="0" borderId="146" applyNumberFormat="0" applyFont="0" applyFill="0" applyAlignment="0"/>
    <xf numFmtId="0" fontId="110" fillId="0" borderId="146"/>
    <xf numFmtId="0" fontId="134" fillId="79" borderId="150"/>
    <xf numFmtId="0" fontId="5" fillId="0" borderId="146">
      <alignment horizontal="left" vertical="center"/>
    </xf>
    <xf numFmtId="0" fontId="115" fillId="92" borderId="147"/>
    <xf numFmtId="2" fontId="4" fillId="0" borderId="146" applyNumberFormat="0" applyFont="0" applyFill="0" applyAlignment="0"/>
    <xf numFmtId="0" fontId="110" fillId="0" borderId="146"/>
    <xf numFmtId="0" fontId="5" fillId="0" borderId="146">
      <alignment horizontal="left" vertical="center"/>
    </xf>
    <xf numFmtId="37" fontId="111" fillId="24" borderId="148"/>
    <xf numFmtId="0" fontId="115" fillId="85" borderId="147"/>
    <xf numFmtId="10" fontId="130" fillId="0" borderId="149" applyFont="0" applyAlignment="0">
      <protection locked="0"/>
    </xf>
    <xf numFmtId="0" fontId="115" fillId="92" borderId="147"/>
    <xf numFmtId="0" fontId="115" fillId="0" borderId="147"/>
    <xf numFmtId="0" fontId="1" fillId="0" borderId="0"/>
    <xf numFmtId="9" fontId="1" fillId="0" borderId="0" applyFont="0" applyFill="0" applyBorder="0" applyAlignment="0" applyProtection="0"/>
  </cellStyleXfs>
  <cellXfs count="1524">
    <xf numFmtId="0" fontId="0" fillId="0" borderId="0" xfId="0"/>
    <xf numFmtId="0" fontId="5" fillId="0" borderId="0" xfId="0" applyFont="1"/>
    <xf numFmtId="0" fontId="9" fillId="0" borderId="0" xfId="7" applyFont="1" applyAlignment="1" applyProtection="1"/>
    <xf numFmtId="0" fontId="0" fillId="0" borderId="0" xfId="0" applyBorder="1"/>
    <xf numFmtId="0" fontId="11" fillId="0" borderId="0" xfId="7" applyFont="1" applyFill="1" applyAlignment="1" applyProtection="1"/>
    <xf numFmtId="0" fontId="9" fillId="0" borderId="0" xfId="7" applyFont="1" applyAlignment="1"/>
    <xf numFmtId="0" fontId="9" fillId="0" borderId="0" xfId="7" applyFont="1" applyAlignment="1">
      <alignment horizontal="left"/>
    </xf>
    <xf numFmtId="0" fontId="9" fillId="0" borderId="0" xfId="7" applyFont="1" applyAlignment="1" applyProtection="1">
      <alignment horizontal="left"/>
    </xf>
    <xf numFmtId="0" fontId="9" fillId="0" borderId="0" xfId="7" applyFont="1" applyAlignment="1">
      <alignment horizontal="left" indent="1"/>
    </xf>
    <xf numFmtId="0" fontId="9" fillId="0" borderId="0" xfId="7" applyFont="1"/>
    <xf numFmtId="0" fontId="9" fillId="0" borderId="0" xfId="3" applyFont="1" applyAlignment="1">
      <alignment horizontal="left"/>
    </xf>
    <xf numFmtId="0" fontId="4" fillId="0" borderId="0" xfId="3" applyFont="1" applyAlignment="1">
      <alignment horizontal="centerContinuous"/>
    </xf>
    <xf numFmtId="0" fontId="4" fillId="0" borderId="0" xfId="3" applyFont="1"/>
    <xf numFmtId="171" fontId="4" fillId="0" borderId="0" xfId="12" applyNumberFormat="1" applyFont="1" applyAlignment="1"/>
    <xf numFmtId="0" fontId="4" fillId="0" borderId="0" xfId="3" applyFont="1" applyAlignment="1"/>
    <xf numFmtId="0" fontId="16" fillId="0" borderId="0" xfId="3" applyFont="1" applyAlignment="1">
      <alignment horizontal="left"/>
    </xf>
    <xf numFmtId="14" fontId="4" fillId="0" borderId="0" xfId="3" applyNumberFormat="1" applyFont="1" applyAlignment="1">
      <alignment horizontal="left"/>
    </xf>
    <xf numFmtId="14" fontId="4" fillId="0" borderId="0" xfId="3" applyNumberFormat="1" applyFont="1" applyAlignment="1"/>
    <xf numFmtId="0" fontId="9" fillId="0" borderId="0" xfId="3" applyFont="1" applyAlignment="1">
      <alignment horizontal="centerContinuous"/>
    </xf>
    <xf numFmtId="0" fontId="17" fillId="0" borderId="0" xfId="3" applyFont="1"/>
    <xf numFmtId="171" fontId="4" fillId="0" borderId="0" xfId="12" applyNumberFormat="1" applyFont="1" applyAlignment="1">
      <alignment horizontal="centerContinuous"/>
    </xf>
    <xf numFmtId="0" fontId="17" fillId="0" borderId="0" xfId="3" applyFont="1" applyBorder="1" applyAlignment="1">
      <alignment horizontal="center"/>
    </xf>
    <xf numFmtId="0" fontId="17" fillId="0" borderId="0" xfId="3" applyFont="1" applyAlignment="1">
      <alignment horizontal="center"/>
    </xf>
    <xf numFmtId="171" fontId="4" fillId="0" borderId="0" xfId="12" applyNumberFormat="1" applyFont="1"/>
    <xf numFmtId="0" fontId="9" fillId="0" borderId="0" xfId="3" applyFont="1" applyAlignment="1">
      <alignment horizontal="center"/>
    </xf>
    <xf numFmtId="0" fontId="9" fillId="0" borderId="0" xfId="3" applyFont="1"/>
    <xf numFmtId="171" fontId="9" fillId="0" borderId="0" xfId="12" applyNumberFormat="1" applyFont="1"/>
    <xf numFmtId="171" fontId="9" fillId="0" borderId="0" xfId="12" applyNumberFormat="1" applyFont="1" applyBorder="1"/>
    <xf numFmtId="171" fontId="4" fillId="0" borderId="0" xfId="12" applyNumberFormat="1" applyFont="1" applyBorder="1"/>
    <xf numFmtId="0" fontId="17" fillId="0" borderId="0" xfId="3" quotePrefix="1" applyFont="1" applyAlignment="1">
      <alignment horizontal="left"/>
    </xf>
    <xf numFmtId="167" fontId="4" fillId="0" borderId="0" xfId="1" applyNumberFormat="1" applyFont="1"/>
    <xf numFmtId="167" fontId="4" fillId="0" borderId="0" xfId="1" applyNumberFormat="1" applyFont="1" applyBorder="1"/>
    <xf numFmtId="0" fontId="9" fillId="0" borderId="0" xfId="3" applyFont="1" applyBorder="1" applyAlignment="1">
      <alignment horizontal="center"/>
    </xf>
    <xf numFmtId="168" fontId="4" fillId="0" borderId="0" xfId="3" applyNumberFormat="1" applyFont="1"/>
    <xf numFmtId="0" fontId="4" fillId="0" borderId="0" xfId="3" applyFont="1" applyAlignment="1">
      <alignment horizontal="center"/>
    </xf>
    <xf numFmtId="166" fontId="4" fillId="0" borderId="0" xfId="1" applyNumberFormat="1" applyFont="1" applyBorder="1"/>
    <xf numFmtId="0" fontId="4" fillId="0" borderId="0" xfId="3" quotePrefix="1" applyFont="1"/>
    <xf numFmtId="166" fontId="4" fillId="0" borderId="0" xfId="3" applyNumberFormat="1" applyFont="1"/>
    <xf numFmtId="166" fontId="4" fillId="0" borderId="0" xfId="1" applyNumberFormat="1" applyFont="1"/>
    <xf numFmtId="37" fontId="4" fillId="0" borderId="0" xfId="1" applyNumberFormat="1" applyFont="1"/>
    <xf numFmtId="43" fontId="4" fillId="0" borderId="0" xfId="1" applyFont="1"/>
    <xf numFmtId="37" fontId="4" fillId="0" borderId="3" xfId="3" applyNumberFormat="1" applyFont="1" applyBorder="1"/>
    <xf numFmtId="171" fontId="4" fillId="0" borderId="3" xfId="12" applyNumberFormat="1" applyFont="1" applyBorder="1"/>
    <xf numFmtId="37" fontId="4" fillId="0" borderId="0" xfId="3" applyNumberFormat="1" applyFont="1" applyBorder="1"/>
    <xf numFmtId="0" fontId="5" fillId="0" borderId="0" xfId="3" applyFont="1" applyAlignment="1">
      <alignment horizontal="left"/>
    </xf>
    <xf numFmtId="0" fontId="4" fillId="0" borderId="0" xfId="3" applyFont="1" applyBorder="1"/>
    <xf numFmtId="166" fontId="4" fillId="0" borderId="0" xfId="3" applyNumberFormat="1" applyFont="1" applyBorder="1"/>
    <xf numFmtId="0" fontId="4" fillId="0" borderId="0" xfId="3" applyFont="1" applyBorder="1" applyAlignment="1">
      <alignment horizontal="center"/>
    </xf>
    <xf numFmtId="0" fontId="17" fillId="0" borderId="0" xfId="3" applyFont="1" applyBorder="1"/>
    <xf numFmtId="166" fontId="4" fillId="0" borderId="3" xfId="1" applyNumberFormat="1" applyFont="1" applyBorder="1"/>
    <xf numFmtId="0" fontId="9" fillId="0" borderId="0" xfId="3" applyFont="1" applyBorder="1"/>
    <xf numFmtId="0" fontId="12" fillId="0" borderId="0" xfId="3"/>
    <xf numFmtId="0" fontId="22" fillId="0" borderId="0" xfId="3" applyFont="1" applyAlignment="1">
      <alignment horizontal="left"/>
    </xf>
    <xf numFmtId="49" fontId="9" fillId="0" borderId="0" xfId="4" applyNumberFormat="1" applyFont="1" applyAlignment="1">
      <alignment horizontal="left"/>
    </xf>
    <xf numFmtId="0" fontId="4" fillId="0" borderId="0" xfId="4"/>
    <xf numFmtId="49" fontId="4" fillId="0" borderId="0" xfId="4" applyNumberFormat="1"/>
    <xf numFmtId="37" fontId="4" fillId="0" borderId="0" xfId="4" applyNumberFormat="1"/>
    <xf numFmtId="49" fontId="9" fillId="0" borderId="0" xfId="4" applyNumberFormat="1" applyFont="1"/>
    <xf numFmtId="165" fontId="4" fillId="0" borderId="0" xfId="4" applyNumberFormat="1" applyFont="1" applyAlignment="1">
      <alignment horizontal="center"/>
    </xf>
    <xf numFmtId="0" fontId="4" fillId="0" borderId="0" xfId="4" applyAlignment="1">
      <alignment horizontal="center"/>
    </xf>
    <xf numFmtId="165" fontId="4" fillId="0" borderId="0" xfId="4" applyNumberFormat="1" applyAlignment="1">
      <alignment horizontal="center"/>
    </xf>
    <xf numFmtId="165" fontId="4" fillId="0" borderId="0" xfId="4" applyNumberFormat="1" applyAlignment="1">
      <alignment horizontal="center" wrapText="1"/>
    </xf>
    <xf numFmtId="49" fontId="4" fillId="0" borderId="0" xfId="4" applyNumberFormat="1" applyAlignment="1">
      <alignment horizontal="center"/>
    </xf>
    <xf numFmtId="0" fontId="4" fillId="0" borderId="0" xfId="4" applyFont="1" applyAlignment="1">
      <alignment horizontal="center"/>
    </xf>
    <xf numFmtId="37" fontId="4" fillId="0" borderId="0" xfId="4" applyNumberFormat="1" applyAlignment="1">
      <alignment horizontal="center"/>
    </xf>
    <xf numFmtId="49" fontId="4" fillId="0" borderId="1" xfId="4" applyNumberFormat="1" applyBorder="1" applyAlignment="1">
      <alignment horizontal="center"/>
    </xf>
    <xf numFmtId="0" fontId="4" fillId="0" borderId="1" xfId="4" applyBorder="1" applyAlignment="1">
      <alignment horizontal="center"/>
    </xf>
    <xf numFmtId="2" fontId="4" fillId="0" borderId="0" xfId="4" applyNumberFormat="1"/>
    <xf numFmtId="37" fontId="18" fillId="0" borderId="0" xfId="4" applyNumberFormat="1" applyFont="1"/>
    <xf numFmtId="178" fontId="18" fillId="0" borderId="0" xfId="4" applyNumberFormat="1" applyFont="1"/>
    <xf numFmtId="181" fontId="4" fillId="0" borderId="0" xfId="4" applyNumberFormat="1"/>
    <xf numFmtId="0" fontId="18" fillId="0" borderId="0" xfId="4" applyFont="1"/>
    <xf numFmtId="0" fontId="4" fillId="0" borderId="0" xfId="4" applyFont="1"/>
    <xf numFmtId="2" fontId="4" fillId="0" borderId="0" xfId="4" applyNumberFormat="1" applyAlignment="1">
      <alignment horizontal="center"/>
    </xf>
    <xf numFmtId="2" fontId="4" fillId="0" borderId="0" xfId="4" applyNumberFormat="1" applyAlignment="1">
      <alignment horizontal="center" wrapText="1"/>
    </xf>
    <xf numFmtId="37" fontId="4" fillId="0" borderId="0" xfId="4" applyNumberFormat="1" applyFont="1" applyAlignment="1">
      <alignment horizontal="center"/>
    </xf>
    <xf numFmtId="165" fontId="4" fillId="0" borderId="0" xfId="9" applyNumberFormat="1" applyFont="1" applyAlignment="1">
      <alignment horizontal="center"/>
    </xf>
    <xf numFmtId="165" fontId="4" fillId="0" borderId="0" xfId="10" applyNumberFormat="1" applyFont="1" applyAlignment="1">
      <alignment horizontal="center"/>
    </xf>
    <xf numFmtId="0" fontId="9" fillId="0" borderId="0" xfId="9" applyFont="1"/>
    <xf numFmtId="0" fontId="9" fillId="0" borderId="0" xfId="9" applyFont="1" applyAlignment="1">
      <alignment horizontal="center"/>
    </xf>
    <xf numFmtId="3" fontId="9" fillId="0" borderId="0" xfId="9" applyNumberFormat="1" applyFont="1" applyAlignment="1">
      <alignment horizontal="center"/>
    </xf>
    <xf numFmtId="177" fontId="9" fillId="0" borderId="0" xfId="9" applyNumberFormat="1" applyFont="1" applyAlignment="1">
      <alignment horizontal="center"/>
    </xf>
    <xf numFmtId="14" fontId="9" fillId="0" borderId="0" xfId="9" applyNumberFormat="1" applyFont="1" applyAlignment="1">
      <alignment horizontal="center"/>
    </xf>
    <xf numFmtId="2" fontId="9" fillId="0" borderId="0" xfId="9" applyNumberFormat="1" applyFont="1" applyAlignment="1">
      <alignment horizontal="center"/>
    </xf>
    <xf numFmtId="177" fontId="9" fillId="0" borderId="0" xfId="9" quotePrefix="1" applyNumberFormat="1" applyFont="1" applyAlignment="1">
      <alignment horizontal="center"/>
    </xf>
    <xf numFmtId="177" fontId="9" fillId="0" borderId="0" xfId="11" applyNumberFormat="1" applyFont="1" applyAlignment="1">
      <alignment horizontal="center"/>
    </xf>
    <xf numFmtId="14" fontId="4" fillId="0" borderId="0" xfId="11" applyNumberFormat="1" applyFont="1" applyAlignment="1"/>
    <xf numFmtId="177" fontId="5" fillId="0" borderId="0" xfId="9" quotePrefix="1" applyNumberFormat="1" applyFont="1" applyAlignment="1">
      <alignment horizontal="center"/>
    </xf>
    <xf numFmtId="0" fontId="16" fillId="0" borderId="0" xfId="9" applyFont="1"/>
    <xf numFmtId="0" fontId="24" fillId="0" borderId="0" xfId="9" applyFont="1"/>
    <xf numFmtId="1" fontId="24" fillId="0" borderId="0" xfId="9" applyNumberFormat="1" applyFont="1" applyAlignment="1"/>
    <xf numFmtId="0" fontId="4" fillId="0" borderId="0" xfId="9" applyAlignment="1">
      <alignment horizontal="center"/>
    </xf>
    <xf numFmtId="0" fontId="4" fillId="0" borderId="0" xfId="9"/>
    <xf numFmtId="0" fontId="15" fillId="0" borderId="0" xfId="9" applyFont="1"/>
    <xf numFmtId="3" fontId="4" fillId="0" borderId="0" xfId="9" applyNumberFormat="1" applyAlignment="1">
      <alignment horizontal="center"/>
    </xf>
    <xf numFmtId="177" fontId="4" fillId="0" borderId="0" xfId="9" applyNumberFormat="1" applyAlignment="1">
      <alignment horizontal="center"/>
    </xf>
    <xf numFmtId="2" fontId="4" fillId="0" borderId="0" xfId="9" applyNumberFormat="1" applyAlignment="1">
      <alignment horizontal="center"/>
    </xf>
    <xf numFmtId="14" fontId="4" fillId="0" borderId="0" xfId="9" applyNumberFormat="1" applyAlignment="1">
      <alignment horizontal="center"/>
    </xf>
    <xf numFmtId="14" fontId="4" fillId="0" borderId="0" xfId="9" applyNumberFormat="1"/>
    <xf numFmtId="0" fontId="4" fillId="0" borderId="0" xfId="3" applyFont="1" applyBorder="1" applyAlignment="1">
      <alignment horizontal="centerContinuous"/>
    </xf>
    <xf numFmtId="49" fontId="9" fillId="0" borderId="0" xfId="3" applyNumberFormat="1" applyFont="1" applyBorder="1" applyAlignment="1">
      <alignment horizontal="left"/>
    </xf>
    <xf numFmtId="49" fontId="4" fillId="0" borderId="0" xfId="3" applyNumberFormat="1" applyFont="1" applyBorder="1"/>
    <xf numFmtId="49" fontId="9" fillId="0" borderId="1" xfId="3" applyNumberFormat="1" applyFont="1" applyBorder="1" applyAlignment="1">
      <alignment horizontal="center"/>
    </xf>
    <xf numFmtId="49" fontId="9" fillId="0" borderId="0" xfId="3" applyNumberFormat="1" applyFont="1" applyBorder="1" applyAlignment="1">
      <alignment horizontal="center"/>
    </xf>
    <xf numFmtId="0" fontId="9" fillId="0" borderId="1" xfId="3" applyFont="1" applyBorder="1" applyAlignment="1">
      <alignment horizontal="center"/>
    </xf>
    <xf numFmtId="0" fontId="4" fillId="0" borderId="0" xfId="3" applyFont="1" applyBorder="1" applyAlignment="1">
      <alignment horizontal="left"/>
    </xf>
    <xf numFmtId="0" fontId="4" fillId="0" borderId="0" xfId="3" quotePrefix="1" applyFont="1" applyBorder="1" applyAlignment="1">
      <alignment horizontal="center"/>
    </xf>
    <xf numFmtId="49" fontId="4" fillId="0" borderId="0" xfId="3" applyNumberFormat="1" applyFont="1" applyBorder="1" applyAlignment="1">
      <alignment horizontal="center"/>
    </xf>
    <xf numFmtId="37" fontId="4" fillId="0" borderId="0" xfId="3" applyNumberFormat="1" applyFont="1" applyBorder="1" applyAlignment="1">
      <alignment horizontal="right"/>
    </xf>
    <xf numFmtId="179" fontId="4" fillId="0" borderId="0" xfId="3" applyNumberFormat="1" applyFont="1" applyBorder="1" applyAlignment="1">
      <alignment horizontal="right"/>
    </xf>
    <xf numFmtId="179" fontId="4" fillId="0" borderId="0" xfId="3" quotePrefix="1" applyNumberFormat="1" applyFont="1" applyBorder="1" applyAlignment="1">
      <alignment horizontal="right"/>
    </xf>
    <xf numFmtId="179" fontId="4" fillId="0" borderId="0" xfId="3" applyNumberFormat="1" applyFont="1" applyBorder="1"/>
    <xf numFmtId="37" fontId="4" fillId="0" borderId="3" xfId="3" applyNumberFormat="1" applyFont="1" applyBorder="1" applyAlignment="1">
      <alignment horizontal="right"/>
    </xf>
    <xf numFmtId="171" fontId="4" fillId="0" borderId="3" xfId="12" applyNumberFormat="1" applyFont="1" applyBorder="1" applyAlignment="1">
      <alignment horizontal="right"/>
    </xf>
    <xf numFmtId="168" fontId="4" fillId="0" borderId="0" xfId="3" applyNumberFormat="1" applyFont="1" applyBorder="1" applyAlignment="1">
      <alignment horizontal="right"/>
    </xf>
    <xf numFmtId="179" fontId="20" fillId="0" borderId="0" xfId="2" applyNumberFormat="1" applyFont="1" applyBorder="1" applyAlignment="1">
      <alignment horizontal="right"/>
    </xf>
    <xf numFmtId="179" fontId="4" fillId="0" borderId="0" xfId="2" applyNumberFormat="1" applyFont="1" applyBorder="1" applyAlignment="1">
      <alignment horizontal="right"/>
    </xf>
    <xf numFmtId="3" fontId="4" fillId="0" borderId="0" xfId="3" applyNumberFormat="1" applyFont="1" applyBorder="1" applyAlignment="1">
      <alignment horizontal="right"/>
    </xf>
    <xf numFmtId="3" fontId="4" fillId="0" borderId="0" xfId="3" quotePrefix="1" applyNumberFormat="1" applyFont="1" applyBorder="1" applyAlignment="1">
      <alignment horizontal="right"/>
    </xf>
    <xf numFmtId="3" fontId="20" fillId="0" borderId="0" xfId="2" applyNumberFormat="1" applyFont="1" applyBorder="1" applyAlignment="1">
      <alignment horizontal="right"/>
    </xf>
    <xf numFmtId="3" fontId="4" fillId="0" borderId="0" xfId="2" applyNumberFormat="1" applyFont="1" applyBorder="1" applyAlignment="1">
      <alignment horizontal="right"/>
    </xf>
    <xf numFmtId="3" fontId="4" fillId="0" borderId="0" xfId="3" applyNumberFormat="1" applyFont="1" applyBorder="1"/>
    <xf numFmtId="168" fontId="4" fillId="0" borderId="0" xfId="3" applyNumberFormat="1" applyFont="1" applyBorder="1"/>
    <xf numFmtId="0" fontId="9" fillId="0" borderId="0" xfId="3" quotePrefix="1" applyFont="1" applyBorder="1" applyAlignment="1">
      <alignment horizontal="center"/>
    </xf>
    <xf numFmtId="0" fontId="17" fillId="0" borderId="0" xfId="3" quotePrefix="1" applyFont="1" applyBorder="1" applyAlignment="1">
      <alignment horizontal="center"/>
    </xf>
    <xf numFmtId="49" fontId="17" fillId="0" borderId="0" xfId="3" applyNumberFormat="1" applyFont="1" applyBorder="1"/>
    <xf numFmtId="44" fontId="4" fillId="0" borderId="0" xfId="2" applyFont="1" applyBorder="1"/>
    <xf numFmtId="44" fontId="4" fillId="0" borderId="0" xfId="3" applyNumberFormat="1" applyFont="1" applyBorder="1"/>
    <xf numFmtId="171" fontId="4" fillId="0" borderId="0" xfId="3" applyNumberFormat="1" applyFont="1" applyBorder="1"/>
    <xf numFmtId="0" fontId="17" fillId="0" borderId="0" xfId="3" quotePrefix="1" applyFont="1" applyBorder="1" applyAlignment="1">
      <alignment horizontal="left"/>
    </xf>
    <xf numFmtId="0" fontId="9" fillId="0" borderId="0" xfId="3" quotePrefix="1" applyFont="1" applyBorder="1" applyAlignment="1">
      <alignment horizontal="left"/>
    </xf>
    <xf numFmtId="49" fontId="17" fillId="0" borderId="0" xfId="3" quotePrefix="1" applyNumberFormat="1" applyFont="1" applyBorder="1" applyAlignment="1">
      <alignment horizontal="left"/>
    </xf>
    <xf numFmtId="44" fontId="20" fillId="0" borderId="0" xfId="2" applyFont="1" applyBorder="1"/>
    <xf numFmtId="0" fontId="4" fillId="0" borderId="0" xfId="3" quotePrefix="1" applyFont="1" applyBorder="1" applyAlignment="1">
      <alignment horizontal="left"/>
    </xf>
    <xf numFmtId="171" fontId="9" fillId="0" borderId="0" xfId="3" applyNumberFormat="1" applyFont="1" applyBorder="1"/>
    <xf numFmtId="0" fontId="4" fillId="0" borderId="0" xfId="6" applyFont="1" applyAlignment="1">
      <alignment horizontal="right"/>
    </xf>
    <xf numFmtId="10" fontId="9" fillId="0" borderId="3" xfId="6" applyNumberFormat="1" applyFont="1" applyBorder="1"/>
    <xf numFmtId="14" fontId="4" fillId="0" borderId="0" xfId="3" applyNumberFormat="1" applyFont="1"/>
    <xf numFmtId="39" fontId="9" fillId="0" borderId="0" xfId="3" applyNumberFormat="1" applyFont="1" applyAlignment="1" applyProtection="1">
      <alignment horizontal="left"/>
    </xf>
    <xf numFmtId="0" fontId="9" fillId="0" borderId="0" xfId="3" applyFont="1" applyAlignment="1" applyProtection="1">
      <alignment horizontal="left"/>
    </xf>
    <xf numFmtId="39" fontId="9" fillId="0" borderId="0" xfId="3" applyNumberFormat="1" applyFont="1"/>
    <xf numFmtId="37" fontId="9" fillId="0" borderId="0" xfId="3" applyNumberFormat="1" applyFont="1" applyAlignment="1" applyProtection="1">
      <alignment horizontal="center"/>
    </xf>
    <xf numFmtId="37" fontId="9" fillId="0" borderId="0" xfId="3" applyNumberFormat="1" applyFont="1"/>
    <xf numFmtId="39" fontId="9" fillId="0" borderId="0" xfId="3" applyNumberFormat="1" applyFont="1" applyAlignment="1" applyProtection="1">
      <alignment horizontal="center"/>
    </xf>
    <xf numFmtId="0" fontId="9" fillId="0" borderId="0" xfId="3" applyFont="1" applyAlignment="1" applyProtection="1">
      <alignment horizontal="right"/>
    </xf>
    <xf numFmtId="39" fontId="9" fillId="0" borderId="1" xfId="3" applyNumberFormat="1" applyFont="1" applyBorder="1" applyAlignment="1" applyProtection="1">
      <alignment horizontal="center"/>
    </xf>
    <xf numFmtId="39" fontId="4" fillId="0" borderId="0" xfId="3" applyNumberFormat="1" applyFont="1"/>
    <xf numFmtId="0" fontId="4" fillId="0" borderId="0" xfId="3" applyFont="1" applyAlignment="1" applyProtection="1">
      <alignment horizontal="right"/>
    </xf>
    <xf numFmtId="0" fontId="4" fillId="0" borderId="0" xfId="3" applyFont="1" applyAlignment="1" applyProtection="1">
      <alignment horizontal="center"/>
    </xf>
    <xf numFmtId="37" fontId="4" fillId="0" borderId="0" xfId="3" applyNumberFormat="1" applyFont="1" applyProtection="1"/>
    <xf numFmtId="37" fontId="4" fillId="0" borderId="0" xfId="3" applyNumberFormat="1" applyFont="1" applyBorder="1" applyProtection="1"/>
    <xf numFmtId="39" fontId="4" fillId="0" borderId="0" xfId="3" applyNumberFormat="1" applyFont="1" applyBorder="1" applyProtection="1"/>
    <xf numFmtId="0" fontId="4" fillId="0" borderId="0" xfId="3" quotePrefix="1" applyFont="1" applyAlignment="1" applyProtection="1">
      <alignment horizontal="left"/>
    </xf>
    <xf numFmtId="49" fontId="15" fillId="0" borderId="0" xfId="3" applyNumberFormat="1" applyFont="1" applyAlignment="1" applyProtection="1">
      <alignment horizontal="right"/>
    </xf>
    <xf numFmtId="0" fontId="15" fillId="0" borderId="0" xfId="3" applyFont="1" applyAlignment="1" applyProtection="1">
      <alignment horizontal="center"/>
    </xf>
    <xf numFmtId="0" fontId="15" fillId="0" borderId="0" xfId="3" applyFont="1"/>
    <xf numFmtId="37" fontId="15" fillId="0" borderId="0" xfId="3" applyNumberFormat="1" applyFont="1"/>
    <xf numFmtId="39" fontId="15" fillId="0" borderId="0" xfId="3" applyNumberFormat="1" applyFont="1"/>
    <xf numFmtId="0" fontId="4" fillId="0" borderId="0" xfId="3" applyFont="1" applyBorder="1" applyProtection="1"/>
    <xf numFmtId="39" fontId="4" fillId="0" borderId="0" xfId="3" applyNumberFormat="1" applyFont="1" applyBorder="1"/>
    <xf numFmtId="37" fontId="4" fillId="0" borderId="0" xfId="3" applyNumberFormat="1" applyFont="1" applyAlignment="1" applyProtection="1">
      <alignment horizontal="right"/>
    </xf>
    <xf numFmtId="39" fontId="4" fillId="0" borderId="0" xfId="3" applyNumberFormat="1" applyFont="1" applyAlignment="1" applyProtection="1">
      <alignment horizontal="right"/>
    </xf>
    <xf numFmtId="37" fontId="4" fillId="0" borderId="3" xfId="3" applyNumberFormat="1" applyFont="1" applyBorder="1" applyProtection="1"/>
    <xf numFmtId="39" fontId="4" fillId="0" borderId="3" xfId="3" applyNumberFormat="1" applyFont="1" applyBorder="1" applyProtection="1"/>
    <xf numFmtId="37" fontId="4" fillId="0" borderId="9" xfId="3" applyNumberFormat="1" applyFont="1" applyBorder="1"/>
    <xf numFmtId="39" fontId="4" fillId="0" borderId="9" xfId="3" applyNumberFormat="1" applyFont="1" applyBorder="1" applyProtection="1"/>
    <xf numFmtId="0" fontId="4" fillId="0" borderId="9" xfId="3" applyFont="1" applyBorder="1"/>
    <xf numFmtId="49" fontId="9" fillId="0" borderId="0" xfId="3" applyNumberFormat="1" applyFont="1" applyBorder="1" applyAlignment="1">
      <alignment horizontal="center" wrapText="1"/>
    </xf>
    <xf numFmtId="37" fontId="9" fillId="0" borderId="1" xfId="1" applyNumberFormat="1" applyFont="1" applyBorder="1" applyAlignment="1">
      <alignment horizontal="center"/>
    </xf>
    <xf numFmtId="166" fontId="9" fillId="0" borderId="1" xfId="1" applyNumberFormat="1" applyFont="1" applyBorder="1" applyAlignment="1">
      <alignment horizontal="center"/>
    </xf>
    <xf numFmtId="37" fontId="9" fillId="0" borderId="0" xfId="1" applyNumberFormat="1" applyFont="1" applyBorder="1" applyAlignment="1">
      <alignment horizontal="center"/>
    </xf>
    <xf numFmtId="166" fontId="9" fillId="0" borderId="0" xfId="1" applyNumberFormat="1" applyFont="1" applyBorder="1" applyAlignment="1">
      <alignment horizontal="center"/>
    </xf>
    <xf numFmtId="0" fontId="4" fillId="0" borderId="0" xfId="3" applyFont="1" applyAlignment="1">
      <alignment horizontal="left"/>
    </xf>
    <xf numFmtId="39" fontId="4" fillId="0" borderId="0" xfId="1" applyNumberFormat="1" applyFont="1"/>
    <xf numFmtId="37" fontId="4" fillId="0" borderId="0" xfId="1" applyNumberFormat="1" applyFont="1" applyBorder="1"/>
    <xf numFmtId="0" fontId="26" fillId="0" borderId="0" xfId="3" applyFont="1" applyAlignment="1">
      <alignment horizontal="left"/>
    </xf>
    <xf numFmtId="39" fontId="4" fillId="0" borderId="3" xfId="3" applyNumberFormat="1" applyFont="1" applyBorder="1"/>
    <xf numFmtId="10" fontId="4" fillId="0" borderId="0" xfId="3" applyNumberFormat="1" applyFont="1"/>
    <xf numFmtId="4" fontId="4" fillId="0" borderId="0" xfId="3" applyNumberFormat="1" applyFont="1"/>
    <xf numFmtId="37" fontId="4" fillId="2" borderId="0" xfId="1" applyNumberFormat="1" applyFont="1" applyFill="1"/>
    <xf numFmtId="0" fontId="9" fillId="0" borderId="0" xfId="3" applyFont="1" applyAlignment="1">
      <alignment horizontal="center" wrapText="1"/>
    </xf>
    <xf numFmtId="171" fontId="4" fillId="0" borderId="1" xfId="12" applyNumberFormat="1" applyFont="1" applyBorder="1"/>
    <xf numFmtId="43" fontId="4" fillId="0" borderId="0" xfId="3" applyNumberFormat="1" applyFont="1"/>
    <xf numFmtId="171" fontId="4" fillId="0" borderId="0" xfId="3" applyNumberFormat="1" applyFont="1"/>
    <xf numFmtId="164" fontId="4" fillId="0" borderId="0" xfId="3" applyNumberFormat="1" applyFont="1"/>
    <xf numFmtId="171" fontId="4" fillId="0" borderId="3" xfId="3" applyNumberFormat="1" applyFont="1" applyBorder="1"/>
    <xf numFmtId="49" fontId="4" fillId="0" borderId="1" xfId="3" applyNumberFormat="1" applyFont="1" applyBorder="1" applyAlignment="1">
      <alignment horizontal="center" wrapText="1"/>
    </xf>
    <xf numFmtId="49" fontId="4" fillId="0" borderId="0" xfId="3" applyNumberFormat="1" applyFont="1" applyAlignment="1">
      <alignment wrapText="1"/>
    </xf>
    <xf numFmtId="0" fontId="9" fillId="0" borderId="0" xfId="8" applyFont="1" applyAlignment="1">
      <alignment horizontal="center"/>
    </xf>
    <xf numFmtId="0" fontId="9" fillId="0" borderId="0" xfId="8" applyFont="1"/>
    <xf numFmtId="4" fontId="9" fillId="0" borderId="0" xfId="8" applyNumberFormat="1" applyFont="1"/>
    <xf numFmtId="3" fontId="27" fillId="0" borderId="0" xfId="8" applyNumberFormat="1" applyFont="1" applyAlignment="1">
      <alignment horizontal="center"/>
    </xf>
    <xf numFmtId="4" fontId="27" fillId="0" borderId="0" xfId="8" applyNumberFormat="1" applyFont="1" applyAlignment="1">
      <alignment horizontal="center"/>
    </xf>
    <xf numFmtId="0" fontId="0" fillId="0" borderId="0" xfId="0" applyFont="1"/>
    <xf numFmtId="165" fontId="4" fillId="0" borderId="0" xfId="4" applyNumberFormat="1" applyAlignment="1">
      <alignment horizontal="center" wrapText="1"/>
    </xf>
    <xf numFmtId="177" fontId="9" fillId="0" borderId="0" xfId="11" applyNumberFormat="1" applyFont="1" applyAlignment="1">
      <alignment horizontal="center"/>
    </xf>
    <xf numFmtId="0" fontId="9" fillId="0" borderId="0" xfId="0" applyFont="1"/>
    <xf numFmtId="0" fontId="13" fillId="0" borderId="0" xfId="0" applyFont="1" applyFill="1"/>
    <xf numFmtId="0" fontId="29" fillId="0" borderId="0" xfId="3" applyFont="1" applyAlignment="1">
      <alignment horizontal="left"/>
    </xf>
    <xf numFmtId="2" fontId="9" fillId="0" borderId="0" xfId="9" applyNumberFormat="1" applyFont="1" applyAlignment="1">
      <alignment horizontal="left"/>
    </xf>
    <xf numFmtId="14" fontId="4" fillId="0" borderId="0" xfId="11" applyNumberFormat="1" applyFont="1" applyAlignment="1">
      <alignment horizontal="left"/>
    </xf>
    <xf numFmtId="49" fontId="4" fillId="0" borderId="0" xfId="4" applyNumberFormat="1" applyBorder="1" applyAlignment="1">
      <alignment horizontal="center"/>
    </xf>
    <xf numFmtId="0" fontId="4" fillId="0" borderId="0" xfId="4" applyBorder="1" applyAlignment="1">
      <alignment horizontal="center"/>
    </xf>
    <xf numFmtId="49" fontId="4" fillId="0" borderId="0" xfId="4" quotePrefix="1" applyNumberFormat="1"/>
    <xf numFmtId="177" fontId="9" fillId="0" borderId="0" xfId="11" applyNumberFormat="1" applyFont="1" applyAlignment="1">
      <alignment horizontal="center"/>
    </xf>
    <xf numFmtId="0" fontId="9" fillId="0" borderId="1" xfId="3" applyFont="1" applyBorder="1" applyAlignment="1">
      <alignment horizontal="center"/>
    </xf>
    <xf numFmtId="0" fontId="9" fillId="0" borderId="0" xfId="3" applyFont="1" applyAlignment="1" applyProtection="1">
      <alignment horizontal="center"/>
    </xf>
    <xf numFmtId="37" fontId="9" fillId="0" borderId="1" xfId="3" applyNumberFormat="1" applyFont="1" applyBorder="1" applyAlignment="1" applyProtection="1">
      <alignment horizontal="center"/>
    </xf>
    <xf numFmtId="0" fontId="9" fillId="0" borderId="1" xfId="3" applyFont="1" applyBorder="1" applyAlignment="1" applyProtection="1">
      <alignment horizontal="center"/>
    </xf>
    <xf numFmtId="0" fontId="9" fillId="0" borderId="0" xfId="3" applyFont="1" applyAlignment="1">
      <alignment horizontal="center"/>
    </xf>
    <xf numFmtId="37" fontId="4" fillId="0" borderId="0" xfId="3" applyNumberFormat="1" applyFont="1" applyFill="1" applyProtection="1"/>
    <xf numFmtId="0" fontId="4" fillId="0" borderId="0" xfId="3" applyFont="1" applyFill="1"/>
    <xf numFmtId="37" fontId="4" fillId="0" borderId="0" xfId="3" applyNumberFormat="1" applyFont="1" applyFill="1"/>
    <xf numFmtId="39" fontId="4" fillId="0" borderId="0" xfId="3" applyNumberFormat="1" applyFont="1" applyFill="1" applyProtection="1"/>
    <xf numFmtId="39" fontId="4" fillId="0" borderId="0" xfId="3" applyNumberFormat="1" applyFont="1" applyFill="1"/>
    <xf numFmtId="0" fontId="0" fillId="0" borderId="0" xfId="0"/>
    <xf numFmtId="0" fontId="4" fillId="0" borderId="0" xfId="3" applyFont="1"/>
    <xf numFmtId="37" fontId="4" fillId="0" borderId="0" xfId="3" applyNumberFormat="1" applyFont="1"/>
    <xf numFmtId="0" fontId="4" fillId="0" borderId="0" xfId="3" applyFont="1" applyAlignment="1" applyProtection="1">
      <alignment horizontal="left"/>
    </xf>
    <xf numFmtId="39" fontId="4" fillId="0" borderId="0" xfId="3" applyNumberFormat="1" applyFont="1" applyProtection="1"/>
    <xf numFmtId="0" fontId="4" fillId="0" borderId="0" xfId="3" applyFont="1" applyFill="1" applyAlignment="1" applyProtection="1">
      <alignment horizontal="right"/>
    </xf>
    <xf numFmtId="0" fontId="4" fillId="0" borderId="0" xfId="3" applyFont="1" applyFill="1" applyAlignment="1" applyProtection="1">
      <alignment horizontal="center"/>
    </xf>
    <xf numFmtId="37" fontId="18" fillId="0" borderId="0" xfId="3" applyNumberFormat="1" applyFont="1" applyFill="1" applyProtection="1">
      <protection locked="0"/>
    </xf>
    <xf numFmtId="39" fontId="18" fillId="0" borderId="0" xfId="3" applyNumberFormat="1" applyFont="1" applyFill="1" applyProtection="1">
      <protection locked="0"/>
    </xf>
    <xf numFmtId="0" fontId="9" fillId="0" borderId="0" xfId="5" applyFont="1" applyAlignment="1">
      <alignment horizontal="left"/>
    </xf>
    <xf numFmtId="49" fontId="4" fillId="0" borderId="1" xfId="3" applyNumberFormat="1" applyFont="1" applyBorder="1" applyAlignment="1">
      <alignment horizontal="center"/>
    </xf>
    <xf numFmtId="42" fontId="4" fillId="0" borderId="0" xfId="1" applyNumberFormat="1" applyFont="1"/>
    <xf numFmtId="185" fontId="4" fillId="0" borderId="0" xfId="1" applyNumberFormat="1" applyFont="1"/>
    <xf numFmtId="186" fontId="4" fillId="0" borderId="0" xfId="1" applyNumberFormat="1" applyFont="1" applyAlignment="1">
      <alignment horizontal="left"/>
    </xf>
    <xf numFmtId="49" fontId="4" fillId="0" borderId="1" xfId="3" applyNumberFormat="1" applyFont="1" applyBorder="1" applyAlignment="1">
      <alignment wrapText="1"/>
    </xf>
    <xf numFmtId="175" fontId="4" fillId="0" borderId="0" xfId="1" applyNumberFormat="1" applyFont="1"/>
    <xf numFmtId="175" fontId="4" fillId="0" borderId="3" xfId="1" applyNumberFormat="1" applyFont="1" applyBorder="1"/>
    <xf numFmtId="173" fontId="4" fillId="0" borderId="3" xfId="3" applyNumberFormat="1" applyFont="1" applyBorder="1"/>
    <xf numFmtId="37" fontId="9" fillId="0" borderId="0" xfId="3" applyNumberFormat="1" applyFont="1" applyAlignment="1" applyProtection="1">
      <alignment horizontal="left"/>
    </xf>
    <xf numFmtId="0" fontId="4" fillId="0" borderId="0" xfId="3" applyFont="1" applyFill="1" applyBorder="1"/>
    <xf numFmtId="37" fontId="9" fillId="0" borderId="0" xfId="3" applyNumberFormat="1" applyFont="1" applyAlignment="1">
      <alignment horizontal="left"/>
    </xf>
    <xf numFmtId="37" fontId="9" fillId="0" borderId="0" xfId="3" applyNumberFormat="1" applyFont="1" applyAlignment="1">
      <alignment horizontal="centerContinuous"/>
    </xf>
    <xf numFmtId="0" fontId="9" fillId="0" borderId="0" xfId="3" applyFont="1" applyBorder="1" applyAlignment="1">
      <alignment horizontal="left"/>
    </xf>
    <xf numFmtId="166" fontId="9" fillId="0" borderId="0" xfId="1" applyNumberFormat="1" applyFont="1" applyBorder="1"/>
    <xf numFmtId="37" fontId="9" fillId="0" borderId="0" xfId="1" applyNumberFormat="1" applyFont="1" applyBorder="1"/>
    <xf numFmtId="166" fontId="9" fillId="0" borderId="0" xfId="1" quotePrefix="1" applyNumberFormat="1" applyFont="1" applyBorder="1" applyAlignment="1">
      <alignment horizontal="center"/>
    </xf>
    <xf numFmtId="164" fontId="9" fillId="0" borderId="0" xfId="1" applyNumberFormat="1" applyFont="1" applyBorder="1"/>
    <xf numFmtId="166" fontId="4" fillId="0" borderId="0" xfId="1" quotePrefix="1" applyNumberFormat="1" applyFont="1" applyBorder="1" applyAlignment="1">
      <alignment horizontal="center"/>
    </xf>
    <xf numFmtId="0" fontId="14" fillId="3" borderId="0" xfId="3" applyFont="1" applyFill="1" applyAlignment="1">
      <alignment horizontal="left"/>
    </xf>
    <xf numFmtId="0" fontId="14" fillId="3" borderId="0" xfId="3" applyFont="1" applyFill="1"/>
    <xf numFmtId="0" fontId="14" fillId="3" borderId="0" xfId="3" applyFont="1" applyFill="1" applyAlignment="1">
      <alignment horizontal="right"/>
    </xf>
    <xf numFmtId="0" fontId="11" fillId="4" borderId="0" xfId="3" applyFont="1" applyFill="1" applyAlignment="1">
      <alignment horizontal="left"/>
    </xf>
    <xf numFmtId="3" fontId="4" fillId="0" borderId="0" xfId="3" applyNumberFormat="1" applyFont="1" applyAlignment="1">
      <alignment horizontal="right"/>
    </xf>
    <xf numFmtId="184" fontId="4" fillId="0" borderId="0" xfId="3" applyNumberFormat="1" applyFont="1" applyAlignment="1">
      <alignment horizontal="right"/>
    </xf>
    <xf numFmtId="3" fontId="11" fillId="4" borderId="0" xfId="3" applyNumberFormat="1" applyFont="1" applyFill="1" applyAlignment="1">
      <alignment horizontal="right"/>
    </xf>
    <xf numFmtId="184" fontId="11" fillId="4" borderId="0" xfId="3" applyNumberFormat="1" applyFont="1" applyFill="1" applyAlignment="1">
      <alignment horizontal="right"/>
    </xf>
    <xf numFmtId="3" fontId="14" fillId="3" borderId="0" xfId="3" applyNumberFormat="1" applyFont="1" applyFill="1" applyAlignment="1">
      <alignment horizontal="right"/>
    </xf>
    <xf numFmtId="184" fontId="14" fillId="3" borderId="0" xfId="3" applyNumberFormat="1" applyFont="1" applyFill="1" applyAlignment="1">
      <alignment horizontal="right"/>
    </xf>
    <xf numFmtId="0" fontId="4" fillId="0" borderId="0" xfId="6" applyFont="1"/>
    <xf numFmtId="0" fontId="4" fillId="0" borderId="0" xfId="6" applyFont="1" applyFill="1"/>
    <xf numFmtId="1" fontId="4" fillId="0" borderId="0" xfId="6" applyNumberFormat="1" applyFont="1"/>
    <xf numFmtId="0" fontId="16" fillId="0" borderId="0" xfId="3" applyFont="1" applyAlignment="1" applyProtection="1">
      <alignment horizontal="left"/>
    </xf>
    <xf numFmtId="0" fontId="9" fillId="0" borderId="0" xfId="3" applyFont="1" applyAlignment="1" applyProtection="1"/>
    <xf numFmtId="0" fontId="16" fillId="0" borderId="0" xfId="3" applyFont="1"/>
    <xf numFmtId="3" fontId="4" fillId="0" borderId="0" xfId="6" applyNumberFormat="1" applyFont="1"/>
    <xf numFmtId="185" fontId="4" fillId="0" borderId="1" xfId="6" applyNumberFormat="1" applyFont="1" applyBorder="1"/>
    <xf numFmtId="185" fontId="4" fillId="0" borderId="0" xfId="6" applyNumberFormat="1" applyFont="1"/>
    <xf numFmtId="0" fontId="4" fillId="0" borderId="8" xfId="3" applyFont="1" applyBorder="1"/>
    <xf numFmtId="0" fontId="44" fillId="0" borderId="8" xfId="3" applyFont="1" applyBorder="1"/>
    <xf numFmtId="0" fontId="4" fillId="0" borderId="8" xfId="3" applyFont="1" applyBorder="1" applyAlignment="1">
      <alignment horizontal="center"/>
    </xf>
    <xf numFmtId="0" fontId="4" fillId="0" borderId="0" xfId="3" applyFont="1" applyAlignment="1" applyProtection="1"/>
    <xf numFmtId="0" fontId="4" fillId="0" borderId="1" xfId="3" applyFont="1" applyBorder="1" applyAlignment="1" applyProtection="1">
      <alignment horizontal="right"/>
    </xf>
    <xf numFmtId="0" fontId="4" fillId="0" borderId="1" xfId="3" applyFont="1" applyBorder="1"/>
    <xf numFmtId="0" fontId="4" fillId="0" borderId="1" xfId="3" applyFont="1" applyBorder="1" applyAlignment="1" applyProtection="1">
      <alignment horizontal="center"/>
    </xf>
    <xf numFmtId="182" fontId="4" fillId="0" borderId="0" xfId="3" applyNumberFormat="1" applyFont="1" applyFill="1" applyAlignment="1">
      <alignment horizontal="right"/>
    </xf>
    <xf numFmtId="0" fontId="4" fillId="2" borderId="0" xfId="3" applyFont="1" applyFill="1" applyAlignment="1" applyProtection="1">
      <alignment horizontal="left"/>
    </xf>
    <xf numFmtId="0" fontId="4" fillId="2" borderId="0" xfId="3" applyFont="1" applyFill="1"/>
    <xf numFmtId="0" fontId="45" fillId="0" borderId="0" xfId="3" applyFont="1" applyFill="1" applyBorder="1" applyAlignment="1">
      <alignment horizontal="centerContinuous"/>
    </xf>
    <xf numFmtId="0" fontId="45" fillId="0" borderId="6" xfId="3" applyFont="1" applyFill="1" applyBorder="1" applyAlignment="1">
      <alignment horizontal="centerContinuous"/>
    </xf>
    <xf numFmtId="0" fontId="4" fillId="0" borderId="0" xfId="3" applyFont="1" applyFill="1" applyBorder="1" applyAlignment="1"/>
    <xf numFmtId="0" fontId="4" fillId="0" borderId="7" xfId="3" applyFont="1" applyFill="1" applyBorder="1" applyAlignment="1"/>
    <xf numFmtId="0" fontId="4" fillId="0" borderId="0" xfId="3" applyFont="1" applyFill="1" applyAlignment="1">
      <alignment horizontal="right"/>
    </xf>
    <xf numFmtId="0" fontId="45" fillId="0" borderId="6" xfId="3" applyFont="1" applyFill="1" applyBorder="1" applyAlignment="1">
      <alignment horizontal="center"/>
    </xf>
    <xf numFmtId="0" fontId="45" fillId="0" borderId="0" xfId="3" applyFont="1" applyFill="1" applyBorder="1" applyAlignment="1">
      <alignment horizontal="center"/>
    </xf>
    <xf numFmtId="0" fontId="4" fillId="0" borderId="1" xfId="3" applyFont="1" applyBorder="1" applyAlignment="1" applyProtection="1">
      <alignment horizontal="fill"/>
    </xf>
    <xf numFmtId="0" fontId="4" fillId="0" borderId="0" xfId="3" applyFont="1" applyAlignment="1">
      <alignment horizontal="right"/>
    </xf>
    <xf numFmtId="0" fontId="4" fillId="0" borderId="0" xfId="3" applyFont="1" applyProtection="1"/>
    <xf numFmtId="176" fontId="19" fillId="0" borderId="0" xfId="3" applyNumberFormat="1" applyFont="1" applyFill="1" applyAlignment="1" applyProtection="1">
      <alignment horizontal="center"/>
    </xf>
    <xf numFmtId="0" fontId="19" fillId="0" borderId="0" xfId="3" applyFont="1" applyFill="1" applyAlignment="1">
      <alignment horizontal="center"/>
    </xf>
    <xf numFmtId="9" fontId="19" fillId="0" borderId="0" xfId="3" applyNumberFormat="1" applyFont="1" applyFill="1" applyAlignment="1" applyProtection="1">
      <alignment horizontal="center"/>
    </xf>
    <xf numFmtId="171" fontId="19" fillId="0" borderId="0" xfId="3" applyNumberFormat="1" applyFont="1" applyFill="1" applyAlignment="1" applyProtection="1">
      <alignment horizontal="center"/>
    </xf>
    <xf numFmtId="37" fontId="4" fillId="0" borderId="0" xfId="4" applyNumberFormat="1" applyFont="1"/>
    <xf numFmtId="0" fontId="4" fillId="0" borderId="0" xfId="8" applyFont="1"/>
    <xf numFmtId="3" fontId="4" fillId="0" borderId="0" xfId="8" applyNumberFormat="1" applyFont="1"/>
    <xf numFmtId="4" fontId="4" fillId="0" borderId="0" xfId="8" applyNumberFormat="1" applyFont="1"/>
    <xf numFmtId="185" fontId="4" fillId="0" borderId="0" xfId="8" applyNumberFormat="1" applyFont="1"/>
    <xf numFmtId="3" fontId="4" fillId="0" borderId="3" xfId="8" applyNumberFormat="1" applyFont="1" applyBorder="1"/>
    <xf numFmtId="166" fontId="4" fillId="5" borderId="0" xfId="1" applyNumberFormat="1" applyFont="1" applyFill="1"/>
    <xf numFmtId="0" fontId="9" fillId="5" borderId="0" xfId="0" applyFont="1" applyFill="1" applyAlignment="1" applyProtection="1">
      <alignment horizontal="left"/>
      <protection locked="0"/>
    </xf>
    <xf numFmtId="37" fontId="27" fillId="0" borderId="0" xfId="4" applyNumberFormat="1" applyFont="1"/>
    <xf numFmtId="49" fontId="4" fillId="0" borderId="0" xfId="3" applyNumberFormat="1" applyFont="1" applyAlignment="1">
      <alignment horizontal="center" wrapText="1"/>
    </xf>
    <xf numFmtId="0" fontId="4" fillId="0" borderId="0" xfId="3" applyFont="1" applyAlignment="1">
      <alignment horizontal="center" wrapText="1"/>
    </xf>
    <xf numFmtId="0" fontId="4" fillId="0" borderId="1" xfId="3" applyFont="1" applyBorder="1" applyAlignment="1">
      <alignment horizontal="center"/>
    </xf>
    <xf numFmtId="49" fontId="4" fillId="0" borderId="0" xfId="3" applyNumberFormat="1" applyFont="1" applyBorder="1" applyAlignment="1">
      <alignment horizontal="center" wrapText="1"/>
    </xf>
    <xf numFmtId="49" fontId="4" fillId="0" borderId="0" xfId="3" applyNumberFormat="1" applyFont="1" applyAlignment="1">
      <alignment horizontal="center"/>
    </xf>
    <xf numFmtId="171" fontId="4" fillId="0" borderId="0" xfId="12" applyNumberFormat="1" applyFont="1" applyBorder="1" applyAlignment="1"/>
    <xf numFmtId="171" fontId="4" fillId="0" borderId="0" xfId="3" applyNumberFormat="1" applyFont="1" applyBorder="1" applyAlignment="1"/>
    <xf numFmtId="0" fontId="4" fillId="0" borderId="0" xfId="3" applyFont="1" applyAlignment="1">
      <alignment wrapText="1"/>
    </xf>
    <xf numFmtId="37" fontId="4" fillId="0" borderId="0" xfId="1" applyNumberFormat="1" applyFont="1" applyFill="1" applyAlignment="1">
      <alignment horizontal="right"/>
    </xf>
    <xf numFmtId="171" fontId="4" fillId="0" borderId="0" xfId="12" applyNumberFormat="1" applyFont="1" applyBorder="1" applyAlignment="1">
      <alignment horizontal="center"/>
    </xf>
    <xf numFmtId="166" fontId="4" fillId="0" borderId="3" xfId="3" applyNumberFormat="1" applyFont="1" applyBorder="1"/>
    <xf numFmtId="167" fontId="4" fillId="0" borderId="0" xfId="3" applyNumberFormat="1" applyFont="1"/>
    <xf numFmtId="171" fontId="4" fillId="0" borderId="0" xfId="12" applyNumberFormat="1" applyFont="1" applyAlignment="1">
      <alignment horizontal="center"/>
    </xf>
    <xf numFmtId="171" fontId="4" fillId="0" borderId="0" xfId="3" applyNumberFormat="1" applyFont="1" applyAlignment="1">
      <alignment horizontal="center"/>
    </xf>
    <xf numFmtId="166" fontId="4" fillId="0" borderId="0" xfId="1" applyNumberFormat="1" applyFont="1" applyFill="1"/>
    <xf numFmtId="167" fontId="4" fillId="0" borderId="0" xfId="1" applyNumberFormat="1" applyFont="1" applyBorder="1" applyAlignment="1">
      <alignment horizontal="center"/>
    </xf>
    <xf numFmtId="167" fontId="4" fillId="0" borderId="0" xfId="1" applyNumberFormat="1" applyFont="1" applyBorder="1" applyAlignment="1">
      <alignment horizontal="center" wrapText="1"/>
    </xf>
    <xf numFmtId="167" fontId="4" fillId="0" borderId="0" xfId="1" applyNumberFormat="1" applyFont="1" applyBorder="1" applyAlignment="1">
      <alignment wrapText="1"/>
    </xf>
    <xf numFmtId="49" fontId="4" fillId="0" borderId="0" xfId="3" applyNumberFormat="1" applyFont="1" applyBorder="1" applyAlignment="1">
      <alignment wrapText="1"/>
    </xf>
    <xf numFmtId="167" fontId="4" fillId="0" borderId="0" xfId="3" applyNumberFormat="1" applyFont="1" applyBorder="1"/>
    <xf numFmtId="168" fontId="4" fillId="0" borderId="0" xfId="1" applyNumberFormat="1" applyFont="1" applyBorder="1"/>
    <xf numFmtId="0" fontId="4" fillId="0" borderId="0" xfId="3" applyFont="1" applyBorder="1" applyAlignment="1">
      <alignment horizontal="center" wrapText="1"/>
    </xf>
    <xf numFmtId="171" fontId="4" fillId="0" borderId="0" xfId="3" applyNumberFormat="1" applyFont="1" applyBorder="1" applyAlignment="1">
      <alignment horizontal="center"/>
    </xf>
    <xf numFmtId="0" fontId="4" fillId="0" borderId="0" xfId="3" applyFont="1" applyAlignment="1">
      <alignment horizontal="left" indent="1"/>
    </xf>
    <xf numFmtId="171" fontId="4" fillId="0" borderId="0" xfId="12" applyNumberFormat="1" applyFont="1" applyBorder="1" applyAlignment="1">
      <alignment horizontal="right"/>
    </xf>
    <xf numFmtId="181" fontId="4" fillId="0" borderId="0" xfId="4" applyNumberFormat="1" applyAlignment="1">
      <alignment horizontal="center"/>
    </xf>
    <xf numFmtId="171" fontId="4" fillId="0" borderId="0" xfId="12" applyNumberFormat="1" applyFont="1" applyFill="1"/>
    <xf numFmtId="0" fontId="9" fillId="31" borderId="0" xfId="6" applyFont="1" applyFill="1" applyAlignment="1">
      <alignment horizontal="left"/>
    </xf>
    <xf numFmtId="0" fontId="9" fillId="31" borderId="0" xfId="6" applyFont="1" applyFill="1" applyAlignment="1">
      <alignment horizontal="right"/>
    </xf>
    <xf numFmtId="0" fontId="9" fillId="31" borderId="0" xfId="6" applyFont="1" applyFill="1" applyAlignment="1">
      <alignment horizontal="center"/>
    </xf>
    <xf numFmtId="3" fontId="9" fillId="31" borderId="0" xfId="6" applyNumberFormat="1" applyFont="1" applyFill="1" applyAlignment="1">
      <alignment horizontal="right"/>
    </xf>
    <xf numFmtId="44" fontId="9" fillId="31" borderId="0" xfId="6" applyNumberFormat="1" applyFont="1" applyFill="1" applyAlignment="1">
      <alignment horizontal="right"/>
    </xf>
    <xf numFmtId="184" fontId="9" fillId="31" borderId="0" xfId="6" applyNumberFormat="1" applyFont="1" applyFill="1" applyAlignment="1">
      <alignment horizontal="right"/>
    </xf>
    <xf numFmtId="0" fontId="4" fillId="0" borderId="0" xfId="3" applyFont="1" applyFill="1" applyAlignment="1">
      <alignment horizontal="left"/>
    </xf>
    <xf numFmtId="39" fontId="4" fillId="0" borderId="0" xfId="1" applyNumberFormat="1" applyFont="1" applyFill="1"/>
    <xf numFmtId="0" fontId="4" fillId="0" borderId="0" xfId="3" applyFont="1" applyFill="1" applyAlignment="1">
      <alignment horizontal="center"/>
    </xf>
    <xf numFmtId="171" fontId="4" fillId="0" borderId="0" xfId="12" applyNumberFormat="1" applyFont="1" applyFill="1" applyBorder="1"/>
    <xf numFmtId="0" fontId="4" fillId="0" borderId="0" xfId="0" applyFont="1"/>
    <xf numFmtId="0" fontId="4" fillId="0" borderId="0" xfId="0" applyFont="1" applyAlignment="1">
      <alignment horizontal="center"/>
    </xf>
    <xf numFmtId="0" fontId="4" fillId="0" borderId="1" xfId="0" applyFont="1" applyBorder="1" applyAlignment="1">
      <alignment horizontal="center"/>
    </xf>
    <xf numFmtId="37" fontId="4" fillId="0" borderId="0" xfId="0" applyNumberFormat="1" applyFont="1"/>
    <xf numFmtId="176" fontId="4" fillId="0" borderId="0" xfId="12" applyNumberFormat="1" applyFont="1"/>
    <xf numFmtId="3" fontId="4" fillId="0" borderId="0" xfId="0" applyNumberFormat="1" applyFont="1"/>
    <xf numFmtId="37" fontId="4" fillId="0" borderId="0" xfId="2" applyNumberFormat="1" applyFont="1"/>
    <xf numFmtId="0" fontId="4" fillId="0" borderId="2" xfId="0" applyFont="1" applyBorder="1"/>
    <xf numFmtId="0" fontId="27" fillId="0" borderId="0" xfId="0" applyFont="1"/>
    <xf numFmtId="0" fontId="4" fillId="0" borderId="5" xfId="0" applyFont="1" applyBorder="1"/>
    <xf numFmtId="0" fontId="9" fillId="0" borderId="0" xfId="0" applyFont="1" applyFill="1"/>
    <xf numFmtId="0" fontId="9" fillId="0" borderId="0" xfId="0" quotePrefix="1" applyFont="1"/>
    <xf numFmtId="0" fontId="9" fillId="0" borderId="0" xfId="0" applyFont="1" applyAlignment="1">
      <alignment horizontal="center"/>
    </xf>
    <xf numFmtId="0" fontId="9" fillId="0" borderId="1" xfId="0" applyFont="1" applyBorder="1"/>
    <xf numFmtId="0" fontId="9" fillId="0" borderId="1" xfId="0" applyFont="1" applyBorder="1" applyAlignment="1">
      <alignment horizontal="center"/>
    </xf>
    <xf numFmtId="37" fontId="4" fillId="0" borderId="0" xfId="0" applyNumberFormat="1" applyFont="1" applyProtection="1"/>
    <xf numFmtId="37" fontId="19" fillId="0" borderId="2" xfId="0" applyNumberFormat="1" applyFont="1" applyFill="1" applyBorder="1" applyProtection="1"/>
    <xf numFmtId="37" fontId="4" fillId="0" borderId="0" xfId="0" applyNumberFormat="1" applyFont="1" applyFill="1" applyProtection="1"/>
    <xf numFmtId="164" fontId="4" fillId="0" borderId="0" xfId="0" applyNumberFormat="1" applyFont="1" applyProtection="1"/>
    <xf numFmtId="170" fontId="4" fillId="0" borderId="0" xfId="0" applyNumberFormat="1" applyFont="1" applyProtection="1"/>
    <xf numFmtId="164" fontId="4" fillId="0" borderId="0" xfId="0" applyNumberFormat="1" applyFont="1"/>
    <xf numFmtId="0" fontId="4" fillId="0" borderId="0" xfId="0" applyFont="1" applyFill="1"/>
    <xf numFmtId="0" fontId="9" fillId="0" borderId="0" xfId="0" applyFont="1" applyFill="1" applyAlignment="1">
      <alignment horizontal="center"/>
    </xf>
    <xf numFmtId="0" fontId="9" fillId="0" borderId="1" xfId="0" applyFont="1" applyFill="1" applyBorder="1" applyAlignment="1">
      <alignment horizontal="center"/>
    </xf>
    <xf numFmtId="164" fontId="4" fillId="0" borderId="0" xfId="0" applyNumberFormat="1" applyFont="1" applyFill="1" applyProtection="1"/>
    <xf numFmtId="170" fontId="4" fillId="0" borderId="0" xfId="0" applyNumberFormat="1" applyFont="1" applyFill="1" applyProtection="1"/>
    <xf numFmtId="164" fontId="4" fillId="0" borderId="0" xfId="0" applyNumberFormat="1" applyFont="1" applyFill="1"/>
    <xf numFmtId="0" fontId="4" fillId="0" borderId="1" xfId="0" applyFont="1" applyBorder="1"/>
    <xf numFmtId="14" fontId="9" fillId="0" borderId="0" xfId="9" applyNumberFormat="1" applyFont="1" applyAlignment="1">
      <alignment horizontal="left"/>
    </xf>
    <xf numFmtId="0" fontId="9" fillId="0" borderId="0" xfId="0" applyFont="1" applyAlignment="1">
      <alignment horizontal="left"/>
    </xf>
    <xf numFmtId="49" fontId="9" fillId="0" borderId="1" xfId="0" applyNumberFormat="1" applyFont="1" applyBorder="1" applyAlignment="1">
      <alignment horizontal="center" wrapText="1"/>
    </xf>
    <xf numFmtId="166" fontId="18" fillId="0" borderId="0" xfId="1" applyNumberFormat="1" applyFont="1" applyBorder="1"/>
    <xf numFmtId="0" fontId="9" fillId="0" borderId="0" xfId="0" applyFont="1" applyBorder="1" applyAlignment="1">
      <alignment horizontal="center"/>
    </xf>
    <xf numFmtId="0" fontId="4" fillId="0" borderId="0" xfId="0" applyFont="1" applyBorder="1"/>
    <xf numFmtId="49" fontId="9" fillId="0" borderId="0" xfId="0" applyNumberFormat="1" applyFont="1" applyBorder="1" applyAlignment="1">
      <alignment horizontal="center" wrapText="1"/>
    </xf>
    <xf numFmtId="3" fontId="4" fillId="0" borderId="0" xfId="0" applyNumberFormat="1" applyFont="1" applyBorder="1"/>
    <xf numFmtId="0" fontId="9" fillId="0" borderId="0" xfId="0" applyFont="1" applyBorder="1"/>
    <xf numFmtId="172" fontId="4" fillId="0" borderId="0" xfId="0" applyNumberFormat="1" applyFont="1" applyBorder="1"/>
    <xf numFmtId="3" fontId="9" fillId="0" borderId="0" xfId="0" applyNumberFormat="1" applyFont="1" applyBorder="1"/>
    <xf numFmtId="173" fontId="4" fillId="0" borderId="0" xfId="0" applyNumberFormat="1" applyFont="1" applyBorder="1"/>
    <xf numFmtId="0" fontId="48" fillId="0" borderId="0" xfId="3" applyFont="1"/>
    <xf numFmtId="0" fontId="4" fillId="5" borderId="0" xfId="3" applyFont="1" applyFill="1"/>
    <xf numFmtId="0" fontId="9" fillId="0" borderId="0" xfId="3" applyFont="1" applyFill="1"/>
    <xf numFmtId="0" fontId="9" fillId="0" borderId="0" xfId="3" applyFont="1" applyFill="1" applyAlignment="1">
      <alignment horizontal="center"/>
    </xf>
    <xf numFmtId="166" fontId="4" fillId="0" borderId="2" xfId="1" applyNumberFormat="1" applyFont="1" applyFill="1" applyBorder="1"/>
    <xf numFmtId="171" fontId="9" fillId="0" borderId="2" xfId="12" applyNumberFormat="1" applyFont="1" applyFill="1" applyBorder="1"/>
    <xf numFmtId="0" fontId="4" fillId="0" borderId="0" xfId="3" applyFont="1" applyFill="1" applyAlignment="1">
      <alignment horizontal="centerContinuous"/>
    </xf>
    <xf numFmtId="0" fontId="17" fillId="0" borderId="0" xfId="3" applyFont="1" applyFill="1" applyBorder="1" applyAlignment="1">
      <alignment horizontal="center"/>
    </xf>
    <xf numFmtId="0" fontId="17" fillId="0" borderId="0" xfId="3" applyFont="1" applyFill="1" applyAlignment="1">
      <alignment horizontal="center"/>
    </xf>
    <xf numFmtId="167" fontId="4" fillId="0" borderId="0" xfId="1" applyNumberFormat="1" applyFont="1" applyFill="1" applyBorder="1"/>
    <xf numFmtId="171" fontId="9" fillId="0" borderId="0" xfId="12" applyNumberFormat="1" applyFont="1" applyFill="1" applyBorder="1"/>
    <xf numFmtId="171" fontId="9" fillId="0" borderId="0" xfId="12" applyNumberFormat="1" applyFont="1" applyFill="1"/>
    <xf numFmtId="43" fontId="9" fillId="0" borderId="0" xfId="1" applyFont="1" applyFill="1" applyBorder="1"/>
    <xf numFmtId="166" fontId="4" fillId="0" borderId="0" xfId="3" applyNumberFormat="1" applyFont="1" applyFill="1"/>
    <xf numFmtId="0" fontId="9" fillId="0" borderId="0" xfId="3" applyFont="1" applyFill="1" applyBorder="1" applyAlignment="1">
      <alignment horizontal="center"/>
    </xf>
    <xf numFmtId="171" fontId="9" fillId="0" borderId="0" xfId="12" applyNumberFormat="1" applyFont="1" applyFill="1" applyAlignment="1">
      <alignment horizontal="center"/>
    </xf>
    <xf numFmtId="171" fontId="17" fillId="0" borderId="0" xfId="12" applyNumberFormat="1" applyFont="1" applyFill="1" applyAlignment="1">
      <alignment horizontal="center"/>
    </xf>
    <xf numFmtId="174" fontId="4" fillId="0" borderId="0" xfId="1" applyNumberFormat="1" applyFont="1" applyFill="1"/>
    <xf numFmtId="37" fontId="4" fillId="0" borderId="0" xfId="1" applyNumberFormat="1" applyFont="1" applyFill="1"/>
    <xf numFmtId="37" fontId="4" fillId="0" borderId="1" xfId="1" applyNumberFormat="1" applyFont="1" applyFill="1" applyBorder="1"/>
    <xf numFmtId="166" fontId="4" fillId="0" borderId="0" xfId="1" applyNumberFormat="1" applyFont="1" applyFill="1" applyBorder="1"/>
    <xf numFmtId="171" fontId="4" fillId="0" borderId="2" xfId="12" applyNumberFormat="1" applyFont="1" applyFill="1" applyBorder="1"/>
    <xf numFmtId="0" fontId="9" fillId="0" borderId="0" xfId="3" applyFont="1" applyFill="1" applyAlignment="1">
      <alignment horizontal="left"/>
    </xf>
    <xf numFmtId="171" fontId="17" fillId="0" borderId="0" xfId="12" applyNumberFormat="1" applyFont="1" applyFill="1" applyBorder="1" applyAlignment="1">
      <alignment horizontal="center"/>
    </xf>
    <xf numFmtId="37" fontId="4" fillId="0" borderId="3" xfId="3" applyNumberFormat="1" applyFont="1" applyFill="1" applyBorder="1"/>
    <xf numFmtId="171" fontId="4" fillId="0" borderId="3" xfId="12" applyNumberFormat="1" applyFont="1" applyFill="1" applyBorder="1"/>
    <xf numFmtId="37" fontId="9" fillId="0" borderId="0" xfId="3" applyNumberFormat="1" applyFont="1" applyFill="1" applyAlignment="1">
      <alignment horizontal="center"/>
    </xf>
    <xf numFmtId="37" fontId="4" fillId="0" borderId="0" xfId="3" applyNumberFormat="1" applyFont="1" applyFill="1" applyBorder="1"/>
    <xf numFmtId="171" fontId="4" fillId="0" borderId="0" xfId="12" applyNumberFormat="1" applyFont="1" applyFill="1" applyAlignment="1"/>
    <xf numFmtId="0" fontId="4" fillId="0" borderId="0" xfId="3" applyFont="1" applyFill="1" applyAlignment="1"/>
    <xf numFmtId="166" fontId="19" fillId="0" borderId="0" xfId="1" applyNumberFormat="1" applyFont="1" applyFill="1" applyBorder="1"/>
    <xf numFmtId="166" fontId="19" fillId="0" borderId="0" xfId="1" applyNumberFormat="1" applyFont="1" applyFill="1"/>
    <xf numFmtId="43" fontId="4" fillId="0" borderId="0" xfId="1" applyFont="1" applyFill="1"/>
    <xf numFmtId="166" fontId="4" fillId="0" borderId="0" xfId="3" applyNumberFormat="1" applyFont="1" applyFill="1" applyBorder="1"/>
    <xf numFmtId="179" fontId="19" fillId="0" borderId="0" xfId="3" applyNumberFormat="1" applyFont="1" applyFill="1" applyBorder="1"/>
    <xf numFmtId="0" fontId="4" fillId="0" borderId="0" xfId="3" applyFont="1" applyFill="1" applyBorder="1" applyAlignment="1">
      <alignment horizontal="center"/>
    </xf>
    <xf numFmtId="4" fontId="19" fillId="0" borderId="0" xfId="3" applyNumberFormat="1" applyFont="1" applyFill="1" applyBorder="1"/>
    <xf numFmtId="166" fontId="4" fillId="0" borderId="3" xfId="1" applyNumberFormat="1" applyFont="1" applyFill="1" applyBorder="1"/>
    <xf numFmtId="179" fontId="20" fillId="0" borderId="0" xfId="3" applyNumberFormat="1" applyFont="1" applyFill="1" applyBorder="1"/>
    <xf numFmtId="9" fontId="4" fillId="0" borderId="0" xfId="3" applyNumberFormat="1" applyFont="1" applyFill="1" applyBorder="1"/>
    <xf numFmtId="166" fontId="9" fillId="0" borderId="0" xfId="3" applyNumberFormat="1" applyFont="1" applyFill="1" applyAlignment="1">
      <alignment horizontal="center"/>
    </xf>
    <xf numFmtId="179" fontId="17" fillId="0" borderId="0" xfId="3" applyNumberFormat="1" applyFont="1" applyFill="1" applyBorder="1" applyAlignment="1">
      <alignment horizontal="center"/>
    </xf>
    <xf numFmtId="167" fontId="4" fillId="0" borderId="0" xfId="1" applyNumberFormat="1" applyFont="1" applyFill="1"/>
    <xf numFmtId="171" fontId="4" fillId="0" borderId="0" xfId="12" applyNumberFormat="1" applyFont="1" applyFill="1" applyBorder="1" applyAlignment="1">
      <alignment horizontal="right"/>
    </xf>
    <xf numFmtId="171" fontId="4" fillId="0" borderId="0" xfId="3" applyNumberFormat="1" applyFont="1" applyFill="1"/>
    <xf numFmtId="49" fontId="9" fillId="0" borderId="0" xfId="4" applyNumberFormat="1" applyFont="1" applyFill="1"/>
    <xf numFmtId="0" fontId="4" fillId="0" borderId="0" xfId="4" applyFill="1"/>
    <xf numFmtId="166" fontId="4" fillId="0" borderId="0" xfId="1" applyNumberFormat="1" applyFont="1" applyFill="1" applyAlignment="1">
      <alignment horizontal="center"/>
    </xf>
    <xf numFmtId="37" fontId="4" fillId="0" borderId="0" xfId="4" applyNumberFormat="1" applyFill="1"/>
    <xf numFmtId="165" fontId="4" fillId="0" borderId="0" xfId="4" applyNumberFormat="1" applyFill="1"/>
    <xf numFmtId="37" fontId="4" fillId="0" borderId="0" xfId="4" applyNumberFormat="1" applyFill="1" applyAlignment="1">
      <alignment horizontal="center"/>
    </xf>
    <xf numFmtId="165" fontId="4" fillId="0" borderId="0" xfId="4" applyNumberFormat="1" applyFont="1" applyFill="1" applyAlignment="1">
      <alignment horizontal="center"/>
    </xf>
    <xf numFmtId="166" fontId="4" fillId="0" borderId="1" xfId="1" applyNumberFormat="1" applyFont="1" applyFill="1" applyBorder="1" applyAlignment="1">
      <alignment horizontal="center"/>
    </xf>
    <xf numFmtId="37" fontId="4" fillId="0" borderId="1" xfId="4" applyNumberFormat="1" applyFill="1" applyBorder="1" applyAlignment="1">
      <alignment horizontal="center"/>
    </xf>
    <xf numFmtId="165" fontId="4" fillId="0" borderId="1" xfId="4" applyNumberForma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37" fontId="4" fillId="0" borderId="0" xfId="4" applyNumberFormat="1" applyFill="1" applyBorder="1" applyAlignment="1">
      <alignment horizontal="center"/>
    </xf>
    <xf numFmtId="165" fontId="4" fillId="0" borderId="0" xfId="4" quotePrefix="1" applyNumberFormat="1" applyFill="1" applyBorder="1" applyAlignment="1">
      <alignment horizontal="center"/>
    </xf>
    <xf numFmtId="165" fontId="18" fillId="0" borderId="0" xfId="4" applyNumberFormat="1" applyFont="1" applyFill="1"/>
    <xf numFmtId="181" fontId="4" fillId="0" borderId="0" xfId="4" applyNumberFormat="1" applyFont="1" applyFill="1" applyAlignment="1">
      <alignment horizontal="center"/>
    </xf>
    <xf numFmtId="165" fontId="4" fillId="0" borderId="0" xfId="4" applyNumberFormat="1" applyAlignment="1">
      <alignment horizontal="left"/>
    </xf>
    <xf numFmtId="0" fontId="4" fillId="0" borderId="0" xfId="4" applyNumberFormat="1" applyFont="1" applyAlignment="1">
      <alignment horizontal="center"/>
    </xf>
    <xf numFmtId="187" fontId="4" fillId="0" borderId="0" xfId="4" applyNumberFormat="1" applyFont="1" applyFill="1" applyAlignment="1">
      <alignment horizontal="center"/>
    </xf>
    <xf numFmtId="49" fontId="4" fillId="0" borderId="0" xfId="4" applyNumberFormat="1" applyAlignment="1">
      <alignment horizontal="left"/>
    </xf>
    <xf numFmtId="43" fontId="4" fillId="0" borderId="0" xfId="1"/>
    <xf numFmtId="0" fontId="0" fillId="0" borderId="0" xfId="0" applyFill="1" applyBorder="1" applyAlignment="1"/>
    <xf numFmtId="0" fontId="0" fillId="0" borderId="7" xfId="0" applyFill="1" applyBorder="1" applyAlignment="1"/>
    <xf numFmtId="0" fontId="49" fillId="0" borderId="6" xfId="0" applyFont="1" applyFill="1" applyBorder="1" applyAlignment="1">
      <alignment horizontal="center"/>
    </xf>
    <xf numFmtId="0" fontId="49" fillId="0" borderId="6" xfId="0" applyFont="1" applyFill="1" applyBorder="1" applyAlignment="1">
      <alignment horizontal="centerContinuous"/>
    </xf>
    <xf numFmtId="0" fontId="25" fillId="3" borderId="0" xfId="3" applyFont="1" applyFill="1" applyAlignment="1">
      <alignment horizontal="center" vertical="top" wrapText="1"/>
    </xf>
    <xf numFmtId="0" fontId="4" fillId="33" borderId="0" xfId="3" applyFont="1" applyFill="1" applyAlignment="1">
      <alignment horizontal="center"/>
    </xf>
    <xf numFmtId="0" fontId="4" fillId="33" borderId="0" xfId="3" applyFont="1" applyFill="1"/>
    <xf numFmtId="166" fontId="18" fillId="30" borderId="3" xfId="1" applyNumberFormat="1" applyFont="1" applyFill="1" applyBorder="1"/>
    <xf numFmtId="42" fontId="44" fillId="0" borderId="0" xfId="3" applyNumberFormat="1" applyFont="1" applyFill="1"/>
    <xf numFmtId="166" fontId="44" fillId="0" borderId="0" xfId="1" applyNumberFormat="1" applyFont="1" applyFill="1" applyAlignment="1">
      <alignment horizontal="left"/>
    </xf>
    <xf numFmtId="166" fontId="4" fillId="2" borderId="0" xfId="1" applyNumberFormat="1" applyFont="1" applyFill="1" applyAlignment="1">
      <alignment horizontal="left"/>
    </xf>
    <xf numFmtId="4" fontId="4" fillId="0" borderId="0" xfId="3" applyNumberFormat="1" applyFont="1" applyAlignment="1">
      <alignment horizontal="center"/>
    </xf>
    <xf numFmtId="0" fontId="4" fillId="0" borderId="0" xfId="4" applyBorder="1"/>
    <xf numFmtId="0" fontId="9" fillId="35" borderId="0" xfId="0" applyFont="1" applyFill="1"/>
    <xf numFmtId="0" fontId="4" fillId="35" borderId="0" xfId="0" applyFont="1" applyFill="1"/>
    <xf numFmtId="37" fontId="4" fillId="35" borderId="0" xfId="0" applyNumberFormat="1" applyFont="1" applyFill="1" applyBorder="1"/>
    <xf numFmtId="37" fontId="4" fillId="35" borderId="21" xfId="0" applyNumberFormat="1" applyFont="1" applyFill="1" applyBorder="1"/>
    <xf numFmtId="0" fontId="9" fillId="5" borderId="0" xfId="0" applyFont="1" applyFill="1"/>
    <xf numFmtId="0" fontId="9" fillId="34" borderId="1" xfId="0" applyFont="1" applyFill="1" applyBorder="1" applyAlignment="1">
      <alignment horizontal="center"/>
    </xf>
    <xf numFmtId="37" fontId="19" fillId="34" borderId="2" xfId="0" applyNumberFormat="1" applyFont="1" applyFill="1" applyBorder="1" applyProtection="1"/>
    <xf numFmtId="0" fontId="9" fillId="34" borderId="22" xfId="0" applyFont="1" applyFill="1" applyBorder="1" applyAlignment="1" applyProtection="1">
      <alignment horizontal="centerContinuous"/>
      <protection locked="0"/>
    </xf>
    <xf numFmtId="0" fontId="9" fillId="34" borderId="2" xfId="0" applyFont="1" applyFill="1" applyBorder="1" applyAlignment="1" applyProtection="1">
      <alignment horizontal="centerContinuous"/>
      <protection locked="0"/>
    </xf>
    <xf numFmtId="0" fontId="9" fillId="34" borderId="23" xfId="0" applyFont="1" applyFill="1" applyBorder="1" applyAlignment="1" applyProtection="1">
      <alignment horizontal="centerContinuous"/>
      <protection locked="0"/>
    </xf>
    <xf numFmtId="0" fontId="9" fillId="34" borderId="24" xfId="0" applyFont="1" applyFill="1" applyBorder="1" applyAlignment="1">
      <alignment horizontal="center"/>
    </xf>
    <xf numFmtId="0" fontId="9" fillId="34" borderId="25" xfId="0" applyFont="1" applyFill="1" applyBorder="1" applyAlignment="1">
      <alignment horizontal="center"/>
    </xf>
    <xf numFmtId="0" fontId="4" fillId="34" borderId="26" xfId="0" applyFont="1" applyFill="1" applyBorder="1"/>
    <xf numFmtId="0" fontId="4" fillId="34" borderId="0" xfId="0" applyFont="1" applyFill="1" applyBorder="1"/>
    <xf numFmtId="0" fontId="4" fillId="34" borderId="27" xfId="0" applyFont="1" applyFill="1" applyBorder="1"/>
    <xf numFmtId="37" fontId="4" fillId="34" borderId="26" xfId="0" applyNumberFormat="1" applyFont="1" applyFill="1" applyBorder="1" applyProtection="1"/>
    <xf numFmtId="37" fontId="4" fillId="34" borderId="0" xfId="0" applyNumberFormat="1" applyFont="1" applyFill="1" applyBorder="1" applyProtection="1"/>
    <xf numFmtId="37" fontId="4" fillId="34" borderId="27" xfId="0" applyNumberFormat="1" applyFont="1" applyFill="1" applyBorder="1" applyProtection="1"/>
    <xf numFmtId="37" fontId="19" fillId="34" borderId="22" xfId="0" applyNumberFormat="1" applyFont="1" applyFill="1" applyBorder="1" applyProtection="1"/>
    <xf numFmtId="37" fontId="19" fillId="34" borderId="23" xfId="0" applyNumberFormat="1" applyFont="1" applyFill="1" applyBorder="1" applyProtection="1"/>
    <xf numFmtId="164" fontId="4" fillId="34" borderId="26" xfId="0" applyNumberFormat="1" applyFont="1" applyFill="1" applyBorder="1" applyProtection="1"/>
    <xf numFmtId="164" fontId="4" fillId="34" borderId="0" xfId="0" applyNumberFormat="1" applyFont="1" applyFill="1" applyBorder="1" applyProtection="1"/>
    <xf numFmtId="164" fontId="4" fillId="34" borderId="27" xfId="0" applyNumberFormat="1" applyFont="1" applyFill="1" applyBorder="1" applyProtection="1"/>
    <xf numFmtId="0" fontId="9" fillId="34" borderId="19" xfId="0" applyFont="1" applyFill="1" applyBorder="1" applyAlignment="1" applyProtection="1">
      <alignment horizontal="centerContinuous"/>
      <protection locked="0"/>
    </xf>
    <xf numFmtId="0" fontId="9" fillId="34" borderId="4" xfId="0" applyFont="1" applyFill="1" applyBorder="1" applyAlignment="1" applyProtection="1">
      <alignment horizontal="centerContinuous"/>
      <protection locked="0"/>
    </xf>
    <xf numFmtId="0" fontId="9" fillId="34" borderId="20" xfId="0" applyFont="1" applyFill="1" applyBorder="1" applyAlignment="1" applyProtection="1">
      <alignment horizontal="centerContinuous"/>
      <protection locked="0"/>
    </xf>
    <xf numFmtId="37" fontId="18" fillId="0" borderId="0" xfId="0" applyNumberFormat="1" applyFont="1" applyFill="1" applyProtection="1">
      <protection locked="0"/>
    </xf>
    <xf numFmtId="37" fontId="4" fillId="0" borderId="0" xfId="0" applyNumberFormat="1" applyFont="1" applyProtection="1">
      <protection locked="0"/>
    </xf>
    <xf numFmtId="37" fontId="15" fillId="0" borderId="0" xfId="0" applyNumberFormat="1" applyFont="1" applyFill="1" applyProtection="1"/>
    <xf numFmtId="37" fontId="4" fillId="0" borderId="0" xfId="0" applyNumberFormat="1" applyFont="1" applyFill="1" applyProtection="1">
      <protection locked="0"/>
    </xf>
    <xf numFmtId="37" fontId="4" fillId="0" borderId="2" xfId="0" applyNumberFormat="1" applyFont="1" applyFill="1" applyBorder="1" applyProtection="1"/>
    <xf numFmtId="0" fontId="9" fillId="34" borderId="0" xfId="0" applyFont="1" applyFill="1" applyBorder="1" applyAlignment="1" applyProtection="1">
      <alignment horizontal="center"/>
      <protection locked="0"/>
    </xf>
    <xf numFmtId="0" fontId="9" fillId="34" borderId="26" xfId="0" applyFont="1" applyFill="1" applyBorder="1" applyAlignment="1" applyProtection="1">
      <alignment horizontal="center"/>
      <protection locked="0"/>
    </xf>
    <xf numFmtId="0" fontId="9" fillId="34" borderId="27" xfId="0" applyFont="1" applyFill="1" applyBorder="1" applyAlignment="1" applyProtection="1">
      <alignment horizontal="center"/>
      <protection locked="0"/>
    </xf>
    <xf numFmtId="37" fontId="4" fillId="34" borderId="24" xfId="0" applyNumberFormat="1" applyFont="1" applyFill="1" applyBorder="1" applyProtection="1"/>
    <xf numFmtId="37" fontId="4" fillId="34" borderId="1" xfId="0" applyNumberFormat="1" applyFont="1" applyFill="1" applyBorder="1" applyProtection="1"/>
    <xf numFmtId="37" fontId="4" fillId="34" borderId="25" xfId="0" applyNumberFormat="1" applyFont="1" applyFill="1" applyBorder="1" applyProtection="1"/>
    <xf numFmtId="37" fontId="15" fillId="0" borderId="0" xfId="0" applyNumberFormat="1" applyFont="1" applyProtection="1"/>
    <xf numFmtId="0" fontId="9" fillId="0" borderId="0" xfId="0" applyFont="1" applyAlignment="1" applyProtection="1">
      <alignment horizontal="left"/>
      <protection locked="0"/>
    </xf>
    <xf numFmtId="0" fontId="4" fillId="0" borderId="0" xfId="0" quotePrefix="1" applyFont="1"/>
    <xf numFmtId="0" fontId="19" fillId="0" borderId="0" xfId="0" applyFont="1" applyFill="1" applyBorder="1"/>
    <xf numFmtId="0" fontId="50" fillId="0" borderId="0" xfId="0" applyFont="1" applyFill="1" applyBorder="1"/>
    <xf numFmtId="37" fontId="44" fillId="0" borderId="0" xfId="0" applyNumberFormat="1" applyFont="1" applyFill="1" applyProtection="1">
      <protection locked="0"/>
    </xf>
    <xf numFmtId="37" fontId="44" fillId="0" borderId="0" xfId="0" applyNumberFormat="1" applyFont="1" applyProtection="1"/>
    <xf numFmtId="37" fontId="44" fillId="0" borderId="0" xfId="0" applyNumberFormat="1" applyFont="1" applyProtection="1">
      <protection locked="0"/>
    </xf>
    <xf numFmtId="37" fontId="4" fillId="34" borderId="1" xfId="0" applyNumberFormat="1" applyFont="1" applyFill="1" applyBorder="1" applyProtection="1">
      <protection locked="0"/>
    </xf>
    <xf numFmtId="37" fontId="4" fillId="34" borderId="25" xfId="0" applyNumberFormat="1" applyFont="1" applyFill="1" applyBorder="1" applyProtection="1">
      <protection locked="0"/>
    </xf>
    <xf numFmtId="0" fontId="9" fillId="0" borderId="0" xfId="0" applyFont="1" applyProtection="1"/>
    <xf numFmtId="37" fontId="19" fillId="34" borderId="19" xfId="0" applyNumberFormat="1" applyFont="1" applyFill="1" applyBorder="1" applyProtection="1"/>
    <xf numFmtId="37" fontId="19" fillId="34" borderId="4" xfId="0" applyNumberFormat="1" applyFont="1" applyFill="1" applyBorder="1" applyProtection="1"/>
    <xf numFmtId="37" fontId="19" fillId="34" borderId="20" xfId="0" applyNumberFormat="1" applyFont="1" applyFill="1" applyBorder="1" applyProtection="1"/>
    <xf numFmtId="37" fontId="4" fillId="0" borderId="0" xfId="0" applyNumberFormat="1" applyFont="1" applyFill="1" applyBorder="1" applyProtection="1">
      <protection locked="0"/>
    </xf>
    <xf numFmtId="37" fontId="4" fillId="0" borderId="1" xfId="0" applyNumberFormat="1" applyFont="1" applyBorder="1" applyProtection="1"/>
    <xf numFmtId="37" fontId="4" fillId="0" borderId="2" xfId="0" applyNumberFormat="1" applyFont="1" applyBorder="1" applyProtection="1">
      <protection locked="0"/>
    </xf>
    <xf numFmtId="37" fontId="4" fillId="34" borderId="2" xfId="0" applyNumberFormat="1" applyFont="1" applyFill="1" applyBorder="1" applyProtection="1">
      <protection locked="0"/>
    </xf>
    <xf numFmtId="37" fontId="4" fillId="34" borderId="26" xfId="0" applyNumberFormat="1" applyFont="1" applyFill="1" applyBorder="1" applyProtection="1">
      <protection locked="0"/>
    </xf>
    <xf numFmtId="37" fontId="4" fillId="34" borderId="0" xfId="0" applyNumberFormat="1" applyFont="1" applyFill="1" applyBorder="1" applyProtection="1">
      <protection locked="0"/>
    </xf>
    <xf numFmtId="37" fontId="4" fillId="34" borderId="27" xfId="0" applyNumberFormat="1" applyFont="1" applyFill="1" applyBorder="1" applyProtection="1">
      <protection locked="0"/>
    </xf>
    <xf numFmtId="37" fontId="4" fillId="34" borderId="22" xfId="0" applyNumberFormat="1" applyFont="1" applyFill="1" applyBorder="1" applyProtection="1">
      <protection locked="0"/>
    </xf>
    <xf numFmtId="37" fontId="4" fillId="34" borderId="23" xfId="0" applyNumberFormat="1" applyFont="1" applyFill="1" applyBorder="1" applyProtection="1">
      <protection locked="0"/>
    </xf>
    <xf numFmtId="37" fontId="19" fillId="0" borderId="0" xfId="0" applyNumberFormat="1" applyFont="1" applyFill="1" applyBorder="1" applyProtection="1"/>
    <xf numFmtId="0" fontId="4" fillId="0" borderId="1" xfId="0" applyFont="1" applyFill="1" applyBorder="1"/>
    <xf numFmtId="37" fontId="4" fillId="0" borderId="0" xfId="0" applyNumberFormat="1" applyFont="1" applyBorder="1" applyProtection="1"/>
    <xf numFmtId="37" fontId="50" fillId="0" borderId="0" xfId="0" applyNumberFormat="1" applyFont="1" applyBorder="1" applyProtection="1"/>
    <xf numFmtId="37" fontId="51" fillId="0" borderId="0" xfId="0" applyNumberFormat="1" applyFont="1" applyFill="1" applyProtection="1"/>
    <xf numFmtId="37" fontId="51" fillId="0" borderId="0" xfId="0" applyNumberFormat="1" applyFont="1" applyProtection="1"/>
    <xf numFmtId="37" fontId="19" fillId="34" borderId="0" xfId="0" applyNumberFormat="1" applyFont="1" applyFill="1" applyBorder="1" applyProtection="1"/>
    <xf numFmtId="37" fontId="19" fillId="34" borderId="26" xfId="0" applyNumberFormat="1" applyFont="1" applyFill="1" applyBorder="1" applyProtection="1"/>
    <xf numFmtId="37" fontId="19" fillId="34" borderId="27" xfId="0" applyNumberFormat="1" applyFont="1" applyFill="1" applyBorder="1" applyProtection="1"/>
    <xf numFmtId="0" fontId="27" fillId="0" borderId="0" xfId="0" applyFont="1" applyAlignment="1">
      <alignment horizontal="center"/>
    </xf>
    <xf numFmtId="165" fontId="4" fillId="0" borderId="0" xfId="0" applyNumberFormat="1" applyFont="1" applyProtection="1"/>
    <xf numFmtId="165" fontId="19" fillId="0" borderId="2" xfId="0" applyNumberFormat="1" applyFont="1" applyFill="1" applyBorder="1" applyProtection="1"/>
    <xf numFmtId="164" fontId="18" fillId="0" borderId="0" xfId="0" applyNumberFormat="1" applyFont="1" applyFill="1" applyProtection="1">
      <protection locked="0"/>
    </xf>
    <xf numFmtId="165" fontId="4" fillId="0" borderId="2" xfId="0" applyNumberFormat="1" applyFont="1" applyFill="1" applyBorder="1" applyProtection="1"/>
    <xf numFmtId="165" fontId="4" fillId="0" borderId="0" xfId="0" applyNumberFormat="1" applyFont="1" applyFill="1" applyBorder="1" applyProtection="1"/>
    <xf numFmtId="164" fontId="19" fillId="0" borderId="0" xfId="0" applyNumberFormat="1" applyFont="1" applyFill="1" applyBorder="1" applyProtection="1">
      <protection locked="0"/>
    </xf>
    <xf numFmtId="164" fontId="4" fillId="34" borderId="24" xfId="0" applyNumberFormat="1" applyFont="1" applyFill="1" applyBorder="1" applyProtection="1"/>
    <xf numFmtId="164" fontId="4" fillId="34" borderId="1" xfId="0" applyNumberFormat="1" applyFont="1" applyFill="1" applyBorder="1" applyProtection="1"/>
    <xf numFmtId="164" fontId="4" fillId="34" borderId="25" xfId="0" applyNumberFormat="1" applyFont="1" applyFill="1" applyBorder="1" applyProtection="1"/>
    <xf numFmtId="0" fontId="9" fillId="34" borderId="19" xfId="0" applyFont="1" applyFill="1" applyBorder="1" applyAlignment="1">
      <alignment horizontal="center"/>
    </xf>
    <xf numFmtId="0" fontId="9" fillId="34" borderId="4" xfId="0" applyFont="1" applyFill="1" applyBorder="1" applyAlignment="1">
      <alignment horizontal="center"/>
    </xf>
    <xf numFmtId="0" fontId="9" fillId="34" borderId="20" xfId="0" applyFont="1" applyFill="1" applyBorder="1" applyAlignment="1">
      <alignment horizontal="center"/>
    </xf>
    <xf numFmtId="0" fontId="4" fillId="0" borderId="0" xfId="0" applyFont="1" applyFill="1" applyBorder="1"/>
    <xf numFmtId="0" fontId="9" fillId="31" borderId="4" xfId="0" applyFont="1" applyFill="1" applyBorder="1" applyAlignment="1" applyProtection="1">
      <alignment horizontal="centerContinuous"/>
      <protection locked="0"/>
    </xf>
    <xf numFmtId="0" fontId="9" fillId="31" borderId="20" xfId="0" applyFont="1" applyFill="1" applyBorder="1" applyAlignment="1" applyProtection="1">
      <alignment horizontal="centerContinuous"/>
      <protection locked="0"/>
    </xf>
    <xf numFmtId="0" fontId="9" fillId="31" borderId="1" xfId="0" applyFont="1" applyFill="1" applyBorder="1" applyAlignment="1">
      <alignment horizontal="center"/>
    </xf>
    <xf numFmtId="0" fontId="9" fillId="31" borderId="25" xfId="0" applyFont="1" applyFill="1" applyBorder="1" applyAlignment="1">
      <alignment horizontal="center"/>
    </xf>
    <xf numFmtId="0" fontId="4" fillId="31" borderId="0" xfId="0" applyFont="1" applyFill="1" applyBorder="1"/>
    <xf numFmtId="0" fontId="4" fillId="31" borderId="27" xfId="0" applyFont="1" applyFill="1" applyBorder="1"/>
    <xf numFmtId="37" fontId="4" fillId="31" borderId="0" xfId="0" applyNumberFormat="1" applyFont="1" applyFill="1" applyBorder="1" applyProtection="1"/>
    <xf numFmtId="37" fontId="4" fillId="31" borderId="27" xfId="0" applyNumberFormat="1" applyFont="1" applyFill="1" applyBorder="1" applyProtection="1"/>
    <xf numFmtId="37" fontId="19" fillId="31" borderId="2" xfId="0" applyNumberFormat="1" applyFont="1" applyFill="1" applyBorder="1" applyProtection="1"/>
    <xf numFmtId="37" fontId="19" fillId="31" borderId="23" xfId="0" applyNumberFormat="1" applyFont="1" applyFill="1" applyBorder="1" applyProtection="1"/>
    <xf numFmtId="37" fontId="4" fillId="31" borderId="1" xfId="0" applyNumberFormat="1" applyFont="1" applyFill="1" applyBorder="1" applyProtection="1"/>
    <xf numFmtId="37" fontId="4" fillId="31" borderId="25" xfId="0" applyNumberFormat="1" applyFont="1" applyFill="1" applyBorder="1" applyProtection="1"/>
    <xf numFmtId="0" fontId="9" fillId="31" borderId="19" xfId="0" applyFont="1" applyFill="1" applyBorder="1" applyAlignment="1">
      <alignment horizontal="centerContinuous"/>
    </xf>
    <xf numFmtId="0" fontId="9" fillId="31" borderId="24" xfId="0" applyFont="1" applyFill="1" applyBorder="1" applyAlignment="1">
      <alignment horizontal="center"/>
    </xf>
    <xf numFmtId="0" fontId="4" fillId="31" borderId="26" xfId="0" applyFont="1" applyFill="1" applyBorder="1"/>
    <xf numFmtId="37" fontId="4" fillId="31" borderId="26" xfId="0" applyNumberFormat="1" applyFont="1" applyFill="1" applyBorder="1" applyProtection="1"/>
    <xf numFmtId="37" fontId="19" fillId="31" borderId="22" xfId="0" applyNumberFormat="1" applyFont="1" applyFill="1" applyBorder="1" applyProtection="1"/>
    <xf numFmtId="37" fontId="4" fillId="31" borderId="24" xfId="0" applyNumberFormat="1" applyFont="1" applyFill="1" applyBorder="1" applyProtection="1"/>
    <xf numFmtId="0" fontId="4" fillId="31" borderId="22" xfId="0" applyFont="1" applyFill="1" applyBorder="1"/>
    <xf numFmtId="0" fontId="4" fillId="31" borderId="2" xfId="0" applyFont="1" applyFill="1" applyBorder="1"/>
    <xf numFmtId="0" fontId="4" fillId="31" borderId="23" xfId="0" applyFont="1" applyFill="1" applyBorder="1"/>
    <xf numFmtId="37" fontId="4" fillId="31" borderId="24" xfId="0" applyNumberFormat="1" applyFont="1" applyFill="1" applyBorder="1" applyProtection="1">
      <protection locked="0"/>
    </xf>
    <xf numFmtId="37" fontId="4" fillId="31" borderId="1" xfId="0" applyNumberFormat="1" applyFont="1" applyFill="1" applyBorder="1" applyProtection="1">
      <protection locked="0"/>
    </xf>
    <xf numFmtId="37" fontId="4" fillId="31" borderId="25" xfId="0" applyNumberFormat="1" applyFont="1" applyFill="1" applyBorder="1" applyProtection="1">
      <protection locked="0"/>
    </xf>
    <xf numFmtId="37" fontId="19" fillId="31" borderId="19" xfId="0" applyNumberFormat="1" applyFont="1" applyFill="1" applyBorder="1" applyProtection="1"/>
    <xf numFmtId="37" fontId="19" fillId="31" borderId="4" xfId="0" applyNumberFormat="1" applyFont="1" applyFill="1" applyBorder="1" applyProtection="1"/>
    <xf numFmtId="37" fontId="19" fillId="31" borderId="20" xfId="0" applyNumberFormat="1" applyFont="1" applyFill="1" applyBorder="1" applyProtection="1"/>
    <xf numFmtId="37" fontId="4" fillId="31" borderId="26" xfId="0" applyNumberFormat="1" applyFont="1" applyFill="1" applyBorder="1" applyProtection="1">
      <protection locked="0"/>
    </xf>
    <xf numFmtId="37" fontId="4" fillId="31" borderId="0" xfId="0" applyNumberFormat="1" applyFont="1" applyFill="1" applyBorder="1" applyProtection="1">
      <protection locked="0"/>
    </xf>
    <xf numFmtId="37" fontId="4" fillId="31" borderId="27" xfId="0" applyNumberFormat="1" applyFont="1" applyFill="1" applyBorder="1" applyProtection="1">
      <protection locked="0"/>
    </xf>
    <xf numFmtId="37" fontId="4" fillId="31" borderId="22" xfId="0" applyNumberFormat="1" applyFont="1" applyFill="1" applyBorder="1" applyProtection="1">
      <protection locked="0"/>
    </xf>
    <xf numFmtId="37" fontId="4" fillId="31" borderId="2" xfId="0" applyNumberFormat="1" applyFont="1" applyFill="1" applyBorder="1" applyProtection="1">
      <protection locked="0"/>
    </xf>
    <xf numFmtId="37" fontId="4" fillId="31" borderId="23" xfId="0" applyNumberFormat="1" applyFont="1" applyFill="1" applyBorder="1" applyProtection="1">
      <protection locked="0"/>
    </xf>
    <xf numFmtId="164" fontId="4" fillId="31" borderId="26" xfId="0" applyNumberFormat="1" applyFont="1" applyFill="1" applyBorder="1" applyProtection="1"/>
    <xf numFmtId="164" fontId="4" fillId="31" borderId="0" xfId="0" applyNumberFormat="1" applyFont="1" applyFill="1" applyBorder="1" applyProtection="1"/>
    <xf numFmtId="164" fontId="4" fillId="31" borderId="27" xfId="0" applyNumberFormat="1" applyFont="1" applyFill="1" applyBorder="1" applyProtection="1"/>
    <xf numFmtId="0" fontId="4" fillId="31" borderId="24" xfId="0" applyFont="1" applyFill="1" applyBorder="1"/>
    <xf numFmtId="0" fontId="4" fillId="31" borderId="1" xfId="0" applyFont="1" applyFill="1" applyBorder="1"/>
    <xf numFmtId="0" fontId="4" fillId="31" borderId="25" xfId="0" applyFont="1" applyFill="1" applyBorder="1"/>
    <xf numFmtId="37" fontId="19" fillId="31" borderId="26" xfId="0" applyNumberFormat="1" applyFont="1" applyFill="1" applyBorder="1" applyProtection="1"/>
    <xf numFmtId="37" fontId="19" fillId="31" borderId="0" xfId="0" applyNumberFormat="1" applyFont="1" applyFill="1" applyBorder="1" applyProtection="1"/>
    <xf numFmtId="37" fontId="19" fillId="31" borderId="27" xfId="0" applyNumberFormat="1" applyFont="1" applyFill="1" applyBorder="1" applyProtection="1"/>
    <xf numFmtId="164" fontId="4" fillId="31" borderId="24" xfId="0" applyNumberFormat="1" applyFont="1" applyFill="1" applyBorder="1" applyProtection="1"/>
    <xf numFmtId="164" fontId="4" fillId="31" borderId="1" xfId="0" applyNumberFormat="1" applyFont="1" applyFill="1" applyBorder="1" applyProtection="1"/>
    <xf numFmtId="164" fontId="4" fillId="31" borderId="25" xfId="0" applyNumberFormat="1" applyFont="1" applyFill="1" applyBorder="1" applyProtection="1"/>
    <xf numFmtId="0" fontId="9" fillId="0" borderId="0" xfId="0" applyFont="1" applyAlignment="1">
      <alignment horizontal="right"/>
    </xf>
    <xf numFmtId="37" fontId="4" fillId="0" borderId="2" xfId="0" applyNumberFormat="1" applyFont="1" applyBorder="1" applyProtection="1"/>
    <xf numFmtId="37" fontId="4" fillId="31" borderId="22" xfId="0" applyNumberFormat="1" applyFont="1" applyFill="1" applyBorder="1" applyProtection="1"/>
    <xf numFmtId="37" fontId="4" fillId="31" borderId="2" xfId="0" applyNumberFormat="1" applyFont="1" applyFill="1" applyBorder="1" applyProtection="1"/>
    <xf numFmtId="37" fontId="4" fillId="31" borderId="23" xfId="0" applyNumberFormat="1" applyFont="1" applyFill="1" applyBorder="1" applyProtection="1"/>
    <xf numFmtId="0" fontId="29" fillId="0" borderId="0" xfId="0" applyFont="1"/>
    <xf numFmtId="0" fontId="9" fillId="0" borderId="0" xfId="0" applyFont="1" applyFill="1" applyBorder="1"/>
    <xf numFmtId="0" fontId="9" fillId="0" borderId="0" xfId="0" applyFont="1" applyBorder="1" applyAlignment="1">
      <alignment horizontal="center"/>
    </xf>
    <xf numFmtId="164" fontId="4" fillId="0" borderId="0" xfId="0" applyNumberFormat="1" applyFont="1" applyFill="1" applyProtection="1">
      <protection locked="0"/>
    </xf>
    <xf numFmtId="0" fontId="9" fillId="0" borderId="0" xfId="0" applyFont="1" applyAlignment="1" applyProtection="1">
      <alignment horizontal="left"/>
    </xf>
    <xf numFmtId="0" fontId="9" fillId="0" borderId="0" xfId="0" applyFont="1" applyFill="1" applyAlignment="1" applyProtection="1">
      <alignment horizont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9" fillId="0" borderId="1" xfId="0" applyFont="1" applyBorder="1" applyAlignment="1" applyProtection="1">
      <alignment horizontal="left"/>
    </xf>
    <xf numFmtId="0" fontId="9" fillId="0" borderId="1" xfId="0" applyFont="1" applyBorder="1" applyAlignment="1" applyProtection="1">
      <alignment horizontal="center"/>
    </xf>
    <xf numFmtId="0" fontId="9" fillId="0" borderId="1" xfId="0" applyFont="1" applyBorder="1" applyAlignment="1" applyProtection="1">
      <alignment horizontal="center"/>
      <protection locked="0"/>
    </xf>
    <xf numFmtId="0" fontId="9" fillId="0" borderId="1" xfId="0" applyFont="1" applyFill="1" applyBorder="1" applyAlignment="1" applyProtection="1">
      <alignment horizontal="center"/>
      <protection locked="0"/>
    </xf>
    <xf numFmtId="0" fontId="9" fillId="0" borderId="0" xfId="0" applyFont="1" applyBorder="1" applyAlignment="1" applyProtection="1">
      <alignment horizontal="left"/>
    </xf>
    <xf numFmtId="0" fontId="9" fillId="0" borderId="0" xfId="0" applyFont="1" applyFill="1" applyBorder="1" applyAlignment="1" applyProtection="1">
      <alignment horizontal="center"/>
      <protection locked="0"/>
    </xf>
    <xf numFmtId="0" fontId="9" fillId="0" borderId="0" xfId="0" applyFont="1" applyBorder="1" applyAlignment="1" applyProtection="1">
      <alignment horizontal="center"/>
      <protection locked="0"/>
    </xf>
    <xf numFmtId="0" fontId="11" fillId="0" borderId="0" xfId="0" applyFont="1" applyFill="1" applyBorder="1" applyAlignment="1" applyProtection="1"/>
    <xf numFmtId="0" fontId="21" fillId="0" borderId="0" xfId="0" applyFont="1" applyAlignment="1" applyProtection="1">
      <alignment horizontal="left"/>
      <protection locked="0"/>
    </xf>
    <xf numFmtId="0" fontId="21" fillId="0" borderId="0" xfId="0" applyFont="1"/>
    <xf numFmtId="37" fontId="44" fillId="34" borderId="0" xfId="0" applyNumberFormat="1" applyFont="1" applyFill="1" applyBorder="1" applyProtection="1">
      <protection locked="0"/>
    </xf>
    <xf numFmtId="37" fontId="44" fillId="34" borderId="27" xfId="0" applyNumberFormat="1" applyFont="1" applyFill="1" applyBorder="1" applyProtection="1">
      <protection locked="0"/>
    </xf>
    <xf numFmtId="37" fontId="44" fillId="34" borderId="26" xfId="0" applyNumberFormat="1" applyFont="1" applyFill="1" applyBorder="1" applyProtection="1">
      <protection locked="0"/>
    </xf>
    <xf numFmtId="164" fontId="4" fillId="34" borderId="27" xfId="0" applyNumberFormat="1" applyFont="1" applyFill="1" applyBorder="1" applyProtection="1">
      <protection locked="0"/>
    </xf>
    <xf numFmtId="164" fontId="44" fillId="0" borderId="0" xfId="0" applyNumberFormat="1" applyFont="1" applyFill="1" applyProtection="1">
      <protection locked="0"/>
    </xf>
    <xf numFmtId="0" fontId="52" fillId="0" borderId="0" xfId="0" applyFont="1"/>
    <xf numFmtId="0" fontId="50" fillId="0" borderId="0" xfId="0" applyFont="1"/>
    <xf numFmtId="39" fontId="4" fillId="0" borderId="0" xfId="0" applyNumberFormat="1" applyFont="1" applyFill="1" applyProtection="1"/>
    <xf numFmtId="0" fontId="21" fillId="5" borderId="0" xfId="0" applyFont="1" applyFill="1" applyAlignment="1" applyProtection="1">
      <alignment horizontal="left"/>
      <protection locked="0"/>
    </xf>
    <xf numFmtId="169" fontId="4" fillId="0" borderId="0" xfId="0" applyNumberFormat="1" applyFont="1" applyFill="1" applyProtection="1">
      <protection locked="0"/>
    </xf>
    <xf numFmtId="169" fontId="4" fillId="0" borderId="0" xfId="0" applyNumberFormat="1" applyFont="1" applyFill="1" applyProtection="1"/>
    <xf numFmtId="0" fontId="9" fillId="34" borderId="24" xfId="0" applyFont="1" applyFill="1" applyBorder="1" applyAlignment="1" applyProtection="1">
      <alignment horizontal="center"/>
      <protection locked="0"/>
    </xf>
    <xf numFmtId="0" fontId="9" fillId="34" borderId="1" xfId="0" applyFont="1" applyFill="1" applyBorder="1" applyAlignment="1" applyProtection="1">
      <alignment horizontal="center"/>
      <protection locked="0"/>
    </xf>
    <xf numFmtId="0" fontId="9" fillId="34" borderId="25" xfId="0" applyFont="1" applyFill="1" applyBorder="1" applyAlignment="1" applyProtection="1">
      <alignment horizontal="center"/>
      <protection locked="0"/>
    </xf>
    <xf numFmtId="37" fontId="44" fillId="0" borderId="0" xfId="0" applyNumberFormat="1" applyFont="1" applyFill="1" applyProtection="1"/>
    <xf numFmtId="37" fontId="4" fillId="5" borderId="0" xfId="0" applyNumberFormat="1" applyFont="1" applyFill="1" applyProtection="1"/>
    <xf numFmtId="0" fontId="48" fillId="0" borderId="0" xfId="0" applyFont="1" applyProtection="1">
      <protection locked="0"/>
    </xf>
    <xf numFmtId="0" fontId="9" fillId="5" borderId="0" xfId="0" applyFont="1" applyFill="1" applyAlignment="1" applyProtection="1">
      <alignment horizontal="left"/>
    </xf>
    <xf numFmtId="0" fontId="4" fillId="5" borderId="0" xfId="0" applyFont="1" applyFill="1"/>
    <xf numFmtId="0" fontId="19" fillId="5" borderId="2" xfId="0" applyFont="1" applyFill="1" applyBorder="1"/>
    <xf numFmtId="0" fontId="11" fillId="5" borderId="2" xfId="0" applyFont="1" applyFill="1" applyBorder="1" applyAlignment="1" applyProtection="1">
      <protection locked="0"/>
    </xf>
    <xf numFmtId="164" fontId="18" fillId="0" borderId="0" xfId="0" applyNumberFormat="1" applyFont="1" applyProtection="1"/>
    <xf numFmtId="164" fontId="18" fillId="34" borderId="26" xfId="0" applyNumberFormat="1" applyFont="1" applyFill="1" applyBorder="1" applyProtection="1"/>
    <xf numFmtId="164" fontId="18" fillId="34" borderId="0" xfId="0" applyNumberFormat="1" applyFont="1" applyFill="1" applyBorder="1" applyProtection="1"/>
    <xf numFmtId="164" fontId="18" fillId="34" borderId="27" xfId="0" applyNumberFormat="1" applyFont="1" applyFill="1" applyBorder="1" applyProtection="1"/>
    <xf numFmtId="164" fontId="18" fillId="0" borderId="0" xfId="0" applyNumberFormat="1" applyFont="1" applyFill="1" applyProtection="1"/>
    <xf numFmtId="37" fontId="4" fillId="0" borderId="1" xfId="0" applyNumberFormat="1" applyFont="1" applyFill="1" applyBorder="1" applyProtection="1"/>
    <xf numFmtId="0" fontId="4" fillId="0" borderId="0" xfId="0" applyFont="1" applyAlignment="1" applyProtection="1">
      <alignment horizontal="center"/>
      <protection locked="0"/>
    </xf>
    <xf numFmtId="0" fontId="4" fillId="34" borderId="26" xfId="0" applyFont="1" applyFill="1" applyBorder="1" applyAlignment="1" applyProtection="1">
      <alignment horizontal="center"/>
      <protection locked="0"/>
    </xf>
    <xf numFmtId="0" fontId="4" fillId="34" borderId="0" xfId="0" applyFont="1" applyFill="1" applyBorder="1" applyAlignment="1" applyProtection="1">
      <alignment horizontal="center"/>
      <protection locked="0"/>
    </xf>
    <xf numFmtId="0" fontId="4" fillId="34" borderId="27" xfId="0" applyFont="1" applyFill="1" applyBorder="1" applyAlignment="1" applyProtection="1">
      <alignment horizontal="center"/>
      <protection locked="0"/>
    </xf>
    <xf numFmtId="37" fontId="9" fillId="0" borderId="0" xfId="0" applyNumberFormat="1" applyFont="1" applyAlignment="1" applyProtection="1">
      <alignment horizontal="left"/>
    </xf>
    <xf numFmtId="0" fontId="4" fillId="0" borderId="0" xfId="0" applyFont="1" applyBorder="1" applyAlignment="1" applyProtection="1">
      <alignment horizontal="center"/>
      <protection locked="0"/>
    </xf>
    <xf numFmtId="0" fontId="4" fillId="0" borderId="0" xfId="0" applyFont="1" applyFill="1" applyBorder="1" applyAlignment="1" applyProtection="1">
      <alignment horizontal="center"/>
      <protection locked="0"/>
    </xf>
    <xf numFmtId="0" fontId="11" fillId="0" borderId="0" xfId="0" applyFont="1" applyFill="1" applyBorder="1"/>
    <xf numFmtId="37" fontId="9" fillId="0" borderId="0" xfId="0" applyNumberFormat="1" applyFont="1" applyBorder="1" applyProtection="1"/>
    <xf numFmtId="0" fontId="4" fillId="0" borderId="0" xfId="0" applyFont="1" applyBorder="1" applyAlignment="1" applyProtection="1">
      <alignment horizontal="right"/>
      <protection locked="0"/>
    </xf>
    <xf numFmtId="0" fontId="4" fillId="0" borderId="0" xfId="0" applyFont="1" applyFill="1" applyBorder="1" applyAlignment="1" applyProtection="1">
      <alignment horizontal="right"/>
      <protection locked="0"/>
    </xf>
    <xf numFmtId="164" fontId="19" fillId="34" borderId="26" xfId="0" applyNumberFormat="1" applyFont="1" applyFill="1" applyBorder="1" applyProtection="1"/>
    <xf numFmtId="164" fontId="19" fillId="34" borderId="0" xfId="0" applyNumberFormat="1" applyFont="1" applyFill="1" applyBorder="1" applyProtection="1"/>
    <xf numFmtId="164" fontId="19" fillId="34" borderId="27" xfId="0" applyNumberFormat="1" applyFont="1" applyFill="1" applyBorder="1" applyProtection="1"/>
    <xf numFmtId="164" fontId="19" fillId="0" borderId="0" xfId="0" applyNumberFormat="1" applyFont="1" applyFill="1" applyBorder="1" applyProtection="1"/>
    <xf numFmtId="164" fontId="9" fillId="0" borderId="0" xfId="0" applyNumberFormat="1" applyFont="1" applyProtection="1"/>
    <xf numFmtId="164" fontId="9" fillId="0" borderId="0" xfId="0" applyNumberFormat="1" applyFont="1" applyFill="1" applyProtection="1"/>
    <xf numFmtId="37" fontId="18" fillId="34" borderId="27" xfId="0" applyNumberFormat="1" applyFont="1" applyFill="1" applyBorder="1" applyProtection="1">
      <protection locked="0"/>
    </xf>
    <xf numFmtId="164" fontId="44" fillId="34" borderId="26" xfId="0" applyNumberFormat="1" applyFont="1" applyFill="1" applyBorder="1" applyProtection="1"/>
    <xf numFmtId="164" fontId="44" fillId="34" borderId="0" xfId="0" applyNumberFormat="1" applyFont="1" applyFill="1" applyBorder="1" applyProtection="1"/>
    <xf numFmtId="164" fontId="44" fillId="34" borderId="27" xfId="0" applyNumberFormat="1" applyFont="1" applyFill="1" applyBorder="1" applyProtection="1"/>
    <xf numFmtId="164" fontId="44" fillId="0" borderId="0" xfId="0" applyNumberFormat="1" applyFont="1" applyProtection="1"/>
    <xf numFmtId="164" fontId="44" fillId="0" borderId="0" xfId="0" applyNumberFormat="1" applyFont="1" applyFill="1" applyProtection="1"/>
    <xf numFmtId="0" fontId="44" fillId="0" borderId="0" xfId="0" applyFont="1" applyBorder="1" applyAlignment="1" applyProtection="1">
      <alignment horizontal="right"/>
      <protection locked="0"/>
    </xf>
    <xf numFmtId="164" fontId="44" fillId="0" borderId="0" xfId="0" applyNumberFormat="1" applyFont="1" applyFill="1" applyBorder="1" applyProtection="1"/>
    <xf numFmtId="0" fontId="44" fillId="0" borderId="0" xfId="0" applyFont="1"/>
    <xf numFmtId="0" fontId="9" fillId="31" borderId="1" xfId="0" applyFont="1" applyFill="1" applyBorder="1" applyAlignment="1" applyProtection="1">
      <alignment horizontal="centerContinuous"/>
      <protection locked="0"/>
    </xf>
    <xf numFmtId="0" fontId="9" fillId="31" borderId="25" xfId="0" applyFont="1" applyFill="1" applyBorder="1" applyAlignment="1" applyProtection="1">
      <alignment horizontal="centerContinuous"/>
      <protection locked="0"/>
    </xf>
    <xf numFmtId="0" fontId="9" fillId="31" borderId="1" xfId="0" applyFont="1" applyFill="1" applyBorder="1" applyAlignment="1" applyProtection="1">
      <alignment horizontal="center"/>
      <protection locked="0"/>
    </xf>
    <xf numFmtId="0" fontId="9" fillId="31" borderId="25" xfId="0" applyFont="1" applyFill="1" applyBorder="1" applyAlignment="1" applyProtection="1">
      <alignment horizontal="center"/>
      <protection locked="0"/>
    </xf>
    <xf numFmtId="0" fontId="9" fillId="31" borderId="24" xfId="0" applyFont="1" applyFill="1" applyBorder="1" applyAlignment="1">
      <alignment horizontal="centerContinuous"/>
    </xf>
    <xf numFmtId="0" fontId="9" fillId="31" borderId="24" xfId="0" applyFont="1" applyFill="1" applyBorder="1" applyAlignment="1" applyProtection="1">
      <alignment horizontal="center"/>
      <protection locked="0"/>
    </xf>
    <xf numFmtId="0" fontId="48" fillId="0" borderId="0" xfId="0" applyFont="1"/>
    <xf numFmtId="0" fontId="48" fillId="0" borderId="0" xfId="0" applyFont="1" applyAlignment="1" applyProtection="1">
      <alignment horizontal="left"/>
      <protection locked="0"/>
    </xf>
    <xf numFmtId="0" fontId="9" fillId="36" borderId="28" xfId="0" applyFont="1" applyFill="1" applyBorder="1" applyAlignment="1">
      <alignment horizontal="center"/>
    </xf>
    <xf numFmtId="0" fontId="9" fillId="36" borderId="29" xfId="0" applyFont="1" applyFill="1" applyBorder="1" applyAlignment="1">
      <alignment horizontal="center"/>
    </xf>
    <xf numFmtId="0" fontId="9" fillId="36" borderId="29" xfId="0" applyFont="1" applyFill="1" applyBorder="1"/>
    <xf numFmtId="0" fontId="4" fillId="36" borderId="29" xfId="0" applyFont="1" applyFill="1" applyBorder="1"/>
    <xf numFmtId="164" fontId="9" fillId="36" borderId="29" xfId="0" applyNumberFormat="1" applyFont="1" applyFill="1" applyBorder="1"/>
    <xf numFmtId="0" fontId="50" fillId="36" borderId="29" xfId="0" applyFont="1" applyFill="1" applyBorder="1"/>
    <xf numFmtId="0" fontId="52" fillId="36" borderId="29" xfId="0" applyFont="1" applyFill="1" applyBorder="1"/>
    <xf numFmtId="0" fontId="21" fillId="36" borderId="29" xfId="0" applyFont="1" applyFill="1" applyBorder="1"/>
    <xf numFmtId="0" fontId="21" fillId="0" borderId="0" xfId="0" applyFont="1" applyFill="1" applyAlignment="1" applyProtection="1">
      <alignment horizontal="left"/>
      <protection locked="0"/>
    </xf>
    <xf numFmtId="37" fontId="4" fillId="0" borderId="0" xfId="0" applyNumberFormat="1" applyFont="1" applyFill="1" applyBorder="1" applyProtection="1"/>
    <xf numFmtId="0" fontId="9" fillId="37" borderId="19" xfId="0" applyFont="1" applyFill="1" applyBorder="1" applyAlignment="1">
      <alignment horizontal="centerContinuous"/>
    </xf>
    <xf numFmtId="0" fontId="9" fillId="37" borderId="4" xfId="0" applyFont="1" applyFill="1" applyBorder="1" applyAlignment="1" applyProtection="1">
      <alignment horizontal="centerContinuous"/>
      <protection locked="0"/>
    </xf>
    <xf numFmtId="0" fontId="9" fillId="37" borderId="20" xfId="0" applyFont="1" applyFill="1" applyBorder="1" applyAlignment="1" applyProtection="1">
      <alignment horizontal="centerContinuous"/>
      <protection locked="0"/>
    </xf>
    <xf numFmtId="0" fontId="9" fillId="37" borderId="26" xfId="0" applyFont="1" applyFill="1" applyBorder="1" applyAlignment="1" applyProtection="1">
      <alignment horizontal="center"/>
      <protection locked="0"/>
    </xf>
    <xf numFmtId="0" fontId="9" fillId="37" borderId="0" xfId="0" applyFont="1" applyFill="1" applyBorder="1" applyAlignment="1" applyProtection="1">
      <alignment horizontal="center"/>
      <protection locked="0"/>
    </xf>
    <xf numFmtId="0" fontId="9" fillId="37" borderId="27" xfId="0" applyFont="1" applyFill="1" applyBorder="1" applyAlignment="1" applyProtection="1">
      <alignment horizontal="center"/>
      <protection locked="0"/>
    </xf>
    <xf numFmtId="37" fontId="19" fillId="37" borderId="26" xfId="0" applyNumberFormat="1" applyFont="1" applyFill="1" applyBorder="1" applyProtection="1"/>
    <xf numFmtId="37" fontId="19" fillId="37" borderId="0" xfId="0" applyNumberFormat="1" applyFont="1" applyFill="1" applyBorder="1" applyProtection="1"/>
    <xf numFmtId="37" fontId="19" fillId="37" borderId="27" xfId="0" applyNumberFormat="1" applyFont="1" applyFill="1" applyBorder="1" applyProtection="1"/>
    <xf numFmtId="37" fontId="4" fillId="37" borderId="26" xfId="0" applyNumberFormat="1" applyFont="1" applyFill="1" applyBorder="1" applyProtection="1">
      <protection locked="0"/>
    </xf>
    <xf numFmtId="37" fontId="44" fillId="37" borderId="0" xfId="0" applyNumberFormat="1" applyFont="1" applyFill="1" applyBorder="1" applyProtection="1">
      <protection locked="0"/>
    </xf>
    <xf numFmtId="37" fontId="44" fillId="37" borderId="27" xfId="0" applyNumberFormat="1" applyFont="1" applyFill="1" applyBorder="1" applyProtection="1">
      <protection locked="0"/>
    </xf>
    <xf numFmtId="164" fontId="4" fillId="37" borderId="26" xfId="0" applyNumberFormat="1" applyFont="1" applyFill="1" applyBorder="1" applyProtection="1"/>
    <xf numFmtId="164" fontId="4" fillId="37" borderId="0" xfId="0" applyNumberFormat="1" applyFont="1" applyFill="1" applyBorder="1" applyProtection="1"/>
    <xf numFmtId="164" fontId="4" fillId="37" borderId="27" xfId="0" applyNumberFormat="1" applyFont="1" applyFill="1" applyBorder="1" applyProtection="1"/>
    <xf numFmtId="37" fontId="44" fillId="37" borderId="26" xfId="0" applyNumberFormat="1" applyFont="1" applyFill="1" applyBorder="1" applyProtection="1">
      <protection locked="0"/>
    </xf>
    <xf numFmtId="37" fontId="4" fillId="37" borderId="0" xfId="0" applyNumberFormat="1" applyFont="1" applyFill="1" applyBorder="1" applyProtection="1">
      <protection locked="0"/>
    </xf>
    <xf numFmtId="37" fontId="4" fillId="37" borderId="27" xfId="0" applyNumberFormat="1" applyFont="1" applyFill="1" applyBorder="1" applyProtection="1">
      <protection locked="0"/>
    </xf>
    <xf numFmtId="37" fontId="18" fillId="37" borderId="26" xfId="0" applyNumberFormat="1" applyFont="1" applyFill="1" applyBorder="1" applyProtection="1">
      <protection locked="0"/>
    </xf>
    <xf numFmtId="0" fontId="4" fillId="37" borderId="26" xfId="0" applyFont="1" applyFill="1" applyBorder="1"/>
    <xf numFmtId="0" fontId="4" fillId="37" borderId="0" xfId="0" applyFont="1" applyFill="1" applyBorder="1"/>
    <xf numFmtId="0" fontId="4" fillId="37" borderId="27" xfId="0" applyFont="1" applyFill="1" applyBorder="1"/>
    <xf numFmtId="164" fontId="18" fillId="37" borderId="26" xfId="0" applyNumberFormat="1" applyFont="1" applyFill="1" applyBorder="1" applyProtection="1"/>
    <xf numFmtId="164" fontId="18" fillId="37" borderId="0" xfId="0" applyNumberFormat="1" applyFont="1" applyFill="1" applyBorder="1" applyProtection="1"/>
    <xf numFmtId="164" fontId="18" fillId="37" borderId="27" xfId="0" applyNumberFormat="1" applyFont="1" applyFill="1" applyBorder="1" applyProtection="1"/>
    <xf numFmtId="37" fontId="4" fillId="37" borderId="26" xfId="0" applyNumberFormat="1" applyFont="1" applyFill="1" applyBorder="1" applyProtection="1"/>
    <xf numFmtId="37" fontId="4" fillId="37" borderId="0" xfId="0" applyNumberFormat="1" applyFont="1" applyFill="1" applyBorder="1" applyProtection="1"/>
    <xf numFmtId="37" fontId="4" fillId="37" borderId="27" xfId="0" applyNumberFormat="1" applyFont="1" applyFill="1" applyBorder="1" applyProtection="1"/>
    <xf numFmtId="37" fontId="4" fillId="37" borderId="24" xfId="0" applyNumberFormat="1" applyFont="1" applyFill="1" applyBorder="1" applyProtection="1"/>
    <xf numFmtId="37" fontId="4" fillId="37" borderId="1" xfId="0" applyNumberFormat="1" applyFont="1" applyFill="1" applyBorder="1" applyProtection="1"/>
    <xf numFmtId="37" fontId="4" fillId="37" borderId="25" xfId="0" applyNumberFormat="1" applyFont="1" applyFill="1" applyBorder="1" applyProtection="1"/>
    <xf numFmtId="0" fontId="4" fillId="37" borderId="0" xfId="0" applyFont="1" applyFill="1" applyBorder="1" applyAlignment="1" applyProtection="1">
      <alignment horizontal="center"/>
      <protection locked="0"/>
    </xf>
    <xf numFmtId="0" fontId="4" fillId="37" borderId="27" xfId="0" applyFont="1" applyFill="1" applyBorder="1" applyAlignment="1" applyProtection="1">
      <alignment horizontal="center"/>
      <protection locked="0"/>
    </xf>
    <xf numFmtId="164" fontId="4" fillId="37" borderId="1" xfId="0" applyNumberFormat="1" applyFont="1" applyFill="1" applyBorder="1" applyProtection="1"/>
    <xf numFmtId="164" fontId="4" fillId="37" borderId="25" xfId="0" applyNumberFormat="1" applyFont="1" applyFill="1" applyBorder="1" applyProtection="1"/>
    <xf numFmtId="0" fontId="4" fillId="37" borderId="26" xfId="0" applyFont="1" applyFill="1" applyBorder="1" applyAlignment="1" applyProtection="1">
      <alignment horizontal="center"/>
      <protection locked="0"/>
    </xf>
    <xf numFmtId="164" fontId="4" fillId="37" borderId="24" xfId="0" applyNumberFormat="1" applyFont="1" applyFill="1" applyBorder="1" applyProtection="1"/>
    <xf numFmtId="0" fontId="53" fillId="0" borderId="0" xfId="0" applyFont="1" applyFill="1" applyBorder="1" applyAlignment="1" applyProtection="1">
      <protection locked="0"/>
    </xf>
    <xf numFmtId="0" fontId="48" fillId="0" borderId="0" xfId="0" applyFont="1" applyFill="1" applyBorder="1" applyProtection="1">
      <protection locked="0"/>
    </xf>
    <xf numFmtId="0" fontId="48" fillId="0" borderId="0" xfId="0" applyFont="1" applyAlignment="1" applyProtection="1">
      <alignment horizontal="left"/>
    </xf>
    <xf numFmtId="0" fontId="53" fillId="0" borderId="0" xfId="0" applyFont="1" applyAlignment="1" applyProtection="1">
      <alignment horizontal="left"/>
      <protection locked="0"/>
    </xf>
    <xf numFmtId="0" fontId="19" fillId="0" borderId="0" xfId="0" applyFont="1" applyFill="1" applyBorder="1" applyAlignment="1">
      <alignment horizontal="center"/>
    </xf>
    <xf numFmtId="0" fontId="21" fillId="0" borderId="0" xfId="0" applyFont="1" applyAlignment="1">
      <alignment horizontal="center"/>
    </xf>
    <xf numFmtId="0" fontId="9" fillId="0" borderId="0" xfId="0" applyFont="1" applyAlignment="1" applyProtection="1">
      <alignment horizontal="center"/>
    </xf>
    <xf numFmtId="0" fontId="21" fillId="0" borderId="0" xfId="0" applyFont="1" applyAlignment="1" applyProtection="1">
      <alignment horizontal="center"/>
    </xf>
    <xf numFmtId="0" fontId="52" fillId="0" borderId="0" xfId="0" applyFont="1" applyAlignment="1">
      <alignment horizontal="center"/>
    </xf>
    <xf numFmtId="37" fontId="21" fillId="0" borderId="0" xfId="0" applyNumberFormat="1" applyFont="1" applyAlignment="1" applyProtection="1">
      <alignment horizontal="center"/>
    </xf>
    <xf numFmtId="0" fontId="9" fillId="0" borderId="0" xfId="0" applyFont="1" applyBorder="1" applyAlignment="1" applyProtection="1">
      <alignment horizontal="center"/>
    </xf>
    <xf numFmtId="0" fontId="11" fillId="0" borderId="0" xfId="0" applyFont="1" applyFill="1" applyBorder="1" applyAlignment="1">
      <alignment horizontal="center"/>
    </xf>
    <xf numFmtId="0" fontId="4" fillId="5" borderId="0" xfId="0" applyFont="1" applyFill="1" applyAlignment="1">
      <alignment horizontal="center"/>
    </xf>
    <xf numFmtId="0" fontId="11" fillId="5" borderId="0" xfId="0" applyFont="1" applyFill="1" applyBorder="1" applyAlignment="1" applyProtection="1">
      <alignment horizontal="center"/>
      <protection locked="0"/>
    </xf>
    <xf numFmtId="0" fontId="9" fillId="5" borderId="0" xfId="0" applyFont="1" applyFill="1" applyAlignment="1" applyProtection="1">
      <alignment horizontal="center"/>
      <protection locked="0"/>
    </xf>
    <xf numFmtId="0" fontId="21" fillId="0" borderId="0" xfId="0" applyFont="1" applyAlignment="1" applyProtection="1">
      <alignment horizontal="center"/>
      <protection locked="0"/>
    </xf>
    <xf numFmtId="0" fontId="4" fillId="0" borderId="0" xfId="0" applyFont="1" applyBorder="1" applyAlignment="1">
      <alignment horizontal="center"/>
    </xf>
    <xf numFmtId="0" fontId="48" fillId="0" borderId="0" xfId="0" applyFont="1" applyAlignment="1">
      <alignment horizontal="center"/>
    </xf>
    <xf numFmtId="0" fontId="21" fillId="0" borderId="0" xfId="0" applyFont="1" applyFill="1" applyBorder="1" applyAlignment="1" applyProtection="1">
      <alignment horizontal="center"/>
      <protection locked="0"/>
    </xf>
    <xf numFmtId="0" fontId="4" fillId="5" borderId="0" xfId="0" applyFont="1" applyFill="1" applyAlignment="1" applyProtection="1">
      <alignment horizontal="center"/>
      <protection locked="0"/>
    </xf>
    <xf numFmtId="0" fontId="11" fillId="5" borderId="2" xfId="0" applyFont="1" applyFill="1" applyBorder="1" applyAlignment="1" applyProtection="1">
      <alignment horizontal="center"/>
      <protection locked="0"/>
    </xf>
    <xf numFmtId="0" fontId="29" fillId="0" borderId="0" xfId="0" applyFont="1" applyAlignment="1">
      <alignment horizontal="center"/>
    </xf>
    <xf numFmtId="0" fontId="29" fillId="0" borderId="0" xfId="0" applyFont="1" applyAlignment="1" applyProtection="1">
      <alignment horizontal="center"/>
      <protection locked="0"/>
    </xf>
    <xf numFmtId="0" fontId="29" fillId="0" borderId="0" xfId="0" applyFont="1" applyFill="1" applyAlignment="1" applyProtection="1">
      <alignment horizontal="center"/>
      <protection locked="0"/>
    </xf>
    <xf numFmtId="0" fontId="29" fillId="0" borderId="0" xfId="0" applyFont="1" applyFill="1" applyAlignment="1">
      <alignment horizontal="center"/>
    </xf>
    <xf numFmtId="0" fontId="29" fillId="5" borderId="0" xfId="0" applyFont="1" applyFill="1" applyAlignment="1">
      <alignment horizontal="center"/>
    </xf>
    <xf numFmtId="0" fontId="29" fillId="0" borderId="0" xfId="0" applyFont="1" applyAlignment="1" applyProtection="1">
      <alignment horizontal="center"/>
    </xf>
    <xf numFmtId="0" fontId="5" fillId="0" borderId="0" xfId="0" applyFont="1" applyAlignment="1">
      <alignment horizontal="center"/>
    </xf>
    <xf numFmtId="0" fontId="9" fillId="0" borderId="0" xfId="0" applyFont="1" applyFill="1" applyBorder="1" applyAlignment="1">
      <alignment horizontal="center"/>
    </xf>
    <xf numFmtId="164" fontId="4" fillId="0" borderId="0" xfId="0" applyNumberFormat="1" applyFont="1" applyFill="1" applyBorder="1" applyProtection="1"/>
    <xf numFmtId="37" fontId="4" fillId="0" borderId="26" xfId="0" applyNumberFormat="1" applyFont="1" applyFill="1" applyBorder="1" applyProtection="1">
      <protection locked="0"/>
    </xf>
    <xf numFmtId="164" fontId="4" fillId="0" borderId="26" xfId="0" applyNumberFormat="1" applyFont="1" applyFill="1" applyBorder="1" applyProtection="1"/>
    <xf numFmtId="37" fontId="44" fillId="0" borderId="26" xfId="0" applyNumberFormat="1" applyFont="1" applyFill="1" applyBorder="1" applyProtection="1">
      <protection locked="0"/>
    </xf>
    <xf numFmtId="0" fontId="4" fillId="0" borderId="26" xfId="0" applyFont="1" applyFill="1" applyBorder="1"/>
    <xf numFmtId="37" fontId="4" fillId="0" borderId="26" xfId="0" applyNumberFormat="1" applyFont="1" applyFill="1" applyBorder="1" applyProtection="1"/>
    <xf numFmtId="37" fontId="44" fillId="0" borderId="0" xfId="0" applyNumberFormat="1" applyFont="1" applyFill="1" applyBorder="1" applyProtection="1">
      <protection locked="0"/>
    </xf>
    <xf numFmtId="164" fontId="18" fillId="0" borderId="0" xfId="0" applyNumberFormat="1" applyFont="1" applyFill="1" applyBorder="1" applyProtection="1"/>
    <xf numFmtId="0" fontId="29" fillId="0" borderId="0" xfId="0" applyFont="1" applyFill="1" applyBorder="1" applyAlignment="1">
      <alignment horizontal="center"/>
    </xf>
    <xf numFmtId="0" fontId="44" fillId="0" borderId="0" xfId="0" applyFont="1" applyAlignment="1">
      <alignment horizontal="center"/>
    </xf>
    <xf numFmtId="37" fontId="29" fillId="0" borderId="0" xfId="0" applyNumberFormat="1" applyFont="1" applyAlignment="1" applyProtection="1">
      <alignment horizontal="center"/>
    </xf>
    <xf numFmtId="0" fontId="29" fillId="0" borderId="0" xfId="0" applyFont="1" applyBorder="1" applyAlignment="1" applyProtection="1">
      <alignment horizontal="center"/>
    </xf>
    <xf numFmtId="0" fontId="29" fillId="0" borderId="0" xfId="0" applyFont="1" applyBorder="1" applyAlignment="1">
      <alignment horizontal="center"/>
    </xf>
    <xf numFmtId="164" fontId="4" fillId="37" borderId="26" xfId="0" applyNumberFormat="1" applyFont="1" applyFill="1" applyBorder="1" applyProtection="1">
      <protection locked="0"/>
    </xf>
    <xf numFmtId="0" fontId="9" fillId="36" borderId="31" xfId="0" applyFont="1" applyFill="1" applyBorder="1" applyAlignment="1">
      <alignment horizontal="center"/>
    </xf>
    <xf numFmtId="0" fontId="9" fillId="36" borderId="32" xfId="0" applyFont="1" applyFill="1" applyBorder="1" applyAlignment="1">
      <alignment horizontal="center"/>
    </xf>
    <xf numFmtId="0" fontId="9" fillId="36" borderId="32" xfId="0" applyFont="1" applyFill="1" applyBorder="1"/>
    <xf numFmtId="0" fontId="4" fillId="36" borderId="32" xfId="0" applyFont="1" applyFill="1" applyBorder="1"/>
    <xf numFmtId="164" fontId="9" fillId="36" borderId="32" xfId="0" applyNumberFormat="1" applyFont="1" applyFill="1" applyBorder="1"/>
    <xf numFmtId="0" fontId="52" fillId="36" borderId="32" xfId="0" applyFont="1" applyFill="1" applyBorder="1"/>
    <xf numFmtId="0" fontId="50" fillId="36" borderId="32" xfId="0" applyFont="1" applyFill="1" applyBorder="1"/>
    <xf numFmtId="0" fontId="4" fillId="0" borderId="32" xfId="0" applyFont="1" applyBorder="1"/>
    <xf numFmtId="0" fontId="21" fillId="36" borderId="32" xfId="0" applyFont="1" applyFill="1" applyBorder="1"/>
    <xf numFmtId="164" fontId="9" fillId="36" borderId="33" xfId="0" applyNumberFormat="1" applyFont="1" applyFill="1" applyBorder="1"/>
    <xf numFmtId="0" fontId="4" fillId="0" borderId="21" xfId="0" applyFont="1" applyBorder="1"/>
    <xf numFmtId="37" fontId="19" fillId="0" borderId="21" xfId="0" applyNumberFormat="1" applyFont="1" applyFill="1" applyBorder="1" applyProtection="1"/>
    <xf numFmtId="0" fontId="50" fillId="0" borderId="21" xfId="0" applyFont="1" applyFill="1" applyBorder="1"/>
    <xf numFmtId="37" fontId="4" fillId="0" borderId="21" xfId="0" applyNumberFormat="1" applyFont="1" applyBorder="1" applyProtection="1"/>
    <xf numFmtId="37" fontId="4" fillId="0" borderId="21" xfId="0" applyNumberFormat="1" applyFont="1" applyFill="1" applyBorder="1" applyProtection="1"/>
    <xf numFmtId="164" fontId="18" fillId="0" borderId="0" xfId="0" applyNumberFormat="1" applyFont="1" applyFill="1" applyBorder="1" applyProtection="1">
      <protection locked="0"/>
    </xf>
    <xf numFmtId="3" fontId="29" fillId="0" borderId="0" xfId="3" applyNumberFormat="1" applyFont="1" applyAlignment="1">
      <alignment horizontal="right"/>
    </xf>
    <xf numFmtId="184" fontId="29" fillId="0" borderId="0" xfId="3" applyNumberFormat="1" applyFont="1" applyAlignment="1">
      <alignment horizontal="right"/>
    </xf>
    <xf numFmtId="44" fontId="4" fillId="0" borderId="3" xfId="3" applyNumberFormat="1" applyFont="1" applyBorder="1" applyProtection="1"/>
    <xf numFmtId="44" fontId="4" fillId="0" borderId="9" xfId="3" applyNumberFormat="1" applyFont="1" applyBorder="1"/>
    <xf numFmtId="37" fontId="4" fillId="0" borderId="0" xfId="6" applyNumberFormat="1" applyFont="1"/>
    <xf numFmtId="39" fontId="4" fillId="0" borderId="0" xfId="6" applyNumberFormat="1" applyFont="1"/>
    <xf numFmtId="3" fontId="4" fillId="0" borderId="8" xfId="3" applyNumberFormat="1" applyFont="1" applyBorder="1"/>
    <xf numFmtId="184" fontId="4" fillId="0" borderId="8" xfId="3" applyNumberFormat="1" applyFont="1" applyBorder="1"/>
    <xf numFmtId="0" fontId="29" fillId="29" borderId="0" xfId="0" applyFont="1" applyFill="1" applyAlignment="1">
      <alignment horizontal="center"/>
    </xf>
    <xf numFmtId="37" fontId="4" fillId="32" borderId="0" xfId="0" applyNumberFormat="1" applyFont="1" applyFill="1" applyBorder="1" applyProtection="1"/>
    <xf numFmtId="37" fontId="4" fillId="32" borderId="27" xfId="0" applyNumberFormat="1" applyFont="1" applyFill="1" applyBorder="1" applyProtection="1"/>
    <xf numFmtId="0" fontId="49" fillId="0" borderId="0" xfId="0" applyFont="1" applyFill="1" applyBorder="1" applyAlignment="1">
      <alignment horizontal="centerContinuous"/>
    </xf>
    <xf numFmtId="0" fontId="49" fillId="0" borderId="0" xfId="0" applyFont="1" applyFill="1" applyBorder="1" applyAlignment="1">
      <alignment horizontal="center"/>
    </xf>
    <xf numFmtId="0" fontId="4" fillId="5" borderId="0" xfId="6" applyFont="1" applyFill="1"/>
    <xf numFmtId="0" fontId="4" fillId="32" borderId="1" xfId="0" applyFont="1" applyFill="1" applyBorder="1"/>
    <xf numFmtId="37" fontId="44" fillId="39" borderId="0" xfId="0" applyNumberFormat="1" applyFont="1" applyFill="1" applyProtection="1"/>
    <xf numFmtId="37" fontId="44" fillId="39" borderId="0" xfId="0" applyNumberFormat="1" applyFont="1" applyFill="1" applyProtection="1">
      <protection locked="0"/>
    </xf>
    <xf numFmtId="37" fontId="4" fillId="34" borderId="34" xfId="0" applyNumberFormat="1" applyFont="1" applyFill="1" applyBorder="1" applyProtection="1"/>
    <xf numFmtId="0" fontId="44" fillId="39" borderId="26" xfId="0" applyFont="1" applyFill="1" applyBorder="1" applyAlignment="1" applyProtection="1">
      <alignment horizontal="center"/>
      <protection locked="0"/>
    </xf>
    <xf numFmtId="0" fontId="44" fillId="39" borderId="0" xfId="0" applyFont="1" applyFill="1" applyBorder="1" applyAlignment="1" applyProtection="1">
      <alignment horizontal="center"/>
      <protection locked="0"/>
    </xf>
    <xf numFmtId="0" fontId="44" fillId="39" borderId="27" xfId="0" applyFont="1" applyFill="1" applyBorder="1" applyAlignment="1" applyProtection="1">
      <alignment horizontal="center"/>
      <protection locked="0"/>
    </xf>
    <xf numFmtId="0" fontId="4" fillId="39" borderId="0" xfId="0" applyFont="1" applyFill="1" applyBorder="1" applyAlignment="1" applyProtection="1">
      <alignment horizontal="center"/>
      <protection locked="0"/>
    </xf>
    <xf numFmtId="0" fontId="29" fillId="39" borderId="0" xfId="0" applyFont="1" applyFill="1" applyBorder="1" applyAlignment="1" applyProtection="1">
      <alignment horizontal="center"/>
      <protection locked="0"/>
    </xf>
    <xf numFmtId="0" fontId="4" fillId="34" borderId="22" xfId="0" applyFont="1" applyFill="1" applyBorder="1" applyAlignment="1" applyProtection="1">
      <alignment horizontal="center"/>
      <protection locked="0"/>
    </xf>
    <xf numFmtId="0" fontId="4" fillId="34" borderId="21" xfId="0" applyFont="1" applyFill="1" applyBorder="1" applyAlignment="1" applyProtection="1">
      <alignment horizontal="center"/>
      <protection locked="0"/>
    </xf>
    <xf numFmtId="0" fontId="4" fillId="34" borderId="35" xfId="0" applyFont="1" applyFill="1" applyBorder="1" applyAlignment="1" applyProtection="1">
      <alignment horizontal="center"/>
      <protection locked="0"/>
    </xf>
    <xf numFmtId="37" fontId="18" fillId="39" borderId="0" xfId="0" applyNumberFormat="1" applyFont="1" applyFill="1" applyProtection="1">
      <protection locked="0"/>
    </xf>
    <xf numFmtId="37" fontId="4" fillId="39" borderId="0" xfId="0" applyNumberFormat="1" applyFont="1" applyFill="1" applyProtection="1">
      <protection locked="0"/>
    </xf>
    <xf numFmtId="37" fontId="18" fillId="39" borderId="0" xfId="0" applyNumberFormat="1" applyFont="1" applyFill="1" applyProtection="1"/>
    <xf numFmtId="164" fontId="18" fillId="39" borderId="0" xfId="0" applyNumberFormat="1" applyFont="1" applyFill="1" applyProtection="1">
      <protection locked="0"/>
    </xf>
    <xf numFmtId="0" fontId="9" fillId="31" borderId="26" xfId="0" applyFont="1" applyFill="1" applyBorder="1" applyAlignment="1" applyProtection="1">
      <alignment horizontal="center"/>
      <protection locked="0"/>
    </xf>
    <xf numFmtId="0" fontId="9" fillId="31" borderId="0" xfId="0" applyFont="1" applyFill="1" applyBorder="1" applyAlignment="1" applyProtection="1">
      <alignment horizontal="center"/>
      <protection locked="0"/>
    </xf>
    <xf numFmtId="0" fontId="9" fillId="31" borderId="27" xfId="0" applyFont="1" applyFill="1" applyBorder="1" applyAlignment="1" applyProtection="1">
      <alignment horizontal="center"/>
      <protection locked="0"/>
    </xf>
    <xf numFmtId="0" fontId="4" fillId="31" borderId="26" xfId="0" applyFont="1" applyFill="1" applyBorder="1" applyAlignment="1" applyProtection="1">
      <alignment horizontal="center"/>
      <protection locked="0"/>
    </xf>
    <xf numFmtId="0" fontId="4" fillId="31" borderId="0" xfId="0" applyFont="1" applyFill="1" applyBorder="1" applyAlignment="1" applyProtection="1">
      <alignment horizontal="center"/>
      <protection locked="0"/>
    </xf>
    <xf numFmtId="0" fontId="4" fillId="31" borderId="27" xfId="0" applyFont="1" applyFill="1" applyBorder="1" applyAlignment="1" applyProtection="1">
      <alignment horizontal="center"/>
      <protection locked="0"/>
    </xf>
    <xf numFmtId="37" fontId="44" fillId="31" borderId="26" xfId="0" applyNumberFormat="1" applyFont="1" applyFill="1" applyBorder="1" applyProtection="1">
      <protection locked="0"/>
    </xf>
    <xf numFmtId="37" fontId="44" fillId="31" borderId="27" xfId="0" applyNumberFormat="1" applyFont="1" applyFill="1" applyBorder="1" applyProtection="1">
      <protection locked="0"/>
    </xf>
    <xf numFmtId="164" fontId="4" fillId="31" borderId="0" xfId="0" applyNumberFormat="1" applyFont="1" applyFill="1" applyBorder="1" applyProtection="1">
      <protection locked="0"/>
    </xf>
    <xf numFmtId="37" fontId="18" fillId="31" borderId="26" xfId="0" applyNumberFormat="1" applyFont="1" applyFill="1" applyBorder="1" applyProtection="1">
      <protection locked="0"/>
    </xf>
    <xf numFmtId="37" fontId="44" fillId="31" borderId="0" xfId="0" applyNumberFormat="1" applyFont="1" applyFill="1" applyBorder="1" applyProtection="1">
      <protection locked="0"/>
    </xf>
    <xf numFmtId="164" fontId="18" fillId="31" borderId="26" xfId="0" applyNumberFormat="1" applyFont="1" applyFill="1" applyBorder="1" applyProtection="1"/>
    <xf numFmtId="164" fontId="18" fillId="31" borderId="0" xfId="0" applyNumberFormat="1" applyFont="1" applyFill="1" applyBorder="1" applyProtection="1"/>
    <xf numFmtId="164" fontId="18" fillId="31" borderId="27" xfId="0" applyNumberFormat="1" applyFont="1" applyFill="1" applyBorder="1" applyProtection="1"/>
    <xf numFmtId="164" fontId="44" fillId="31" borderId="26" xfId="0" applyNumberFormat="1" applyFont="1" applyFill="1" applyBorder="1" applyProtection="1"/>
    <xf numFmtId="164" fontId="44" fillId="31" borderId="0" xfId="0" applyNumberFormat="1" applyFont="1" applyFill="1" applyBorder="1" applyProtection="1"/>
    <xf numFmtId="164" fontId="44" fillId="31" borderId="27" xfId="0" applyNumberFormat="1" applyFont="1" applyFill="1" applyBorder="1" applyProtection="1"/>
    <xf numFmtId="0" fontId="4" fillId="31" borderId="26" xfId="0" applyFont="1" applyFill="1" applyBorder="1" applyAlignment="1" applyProtection="1">
      <alignment horizontal="right"/>
      <protection locked="0"/>
    </xf>
    <xf numFmtId="0" fontId="4" fillId="31" borderId="0" xfId="0" applyFont="1" applyFill="1" applyBorder="1" applyAlignment="1" applyProtection="1">
      <alignment horizontal="right"/>
      <protection locked="0"/>
    </xf>
    <xf numFmtId="0" fontId="4" fillId="31" borderId="27" xfId="0" applyFont="1" applyFill="1" applyBorder="1" applyAlignment="1" applyProtection="1">
      <alignment horizontal="right"/>
      <protection locked="0"/>
    </xf>
    <xf numFmtId="164" fontId="19" fillId="31" borderId="26" xfId="0" applyNumberFormat="1" applyFont="1" applyFill="1" applyBorder="1" applyProtection="1"/>
    <xf numFmtId="164" fontId="19" fillId="31" borderId="0" xfId="0" applyNumberFormat="1" applyFont="1" applyFill="1" applyBorder="1" applyProtection="1"/>
    <xf numFmtId="164" fontId="19" fillId="31" borderId="27" xfId="0" applyNumberFormat="1" applyFont="1" applyFill="1" applyBorder="1" applyProtection="1"/>
    <xf numFmtId="0" fontId="4" fillId="0" borderId="21" xfId="0" applyFont="1" applyFill="1" applyBorder="1" applyAlignment="1" applyProtection="1">
      <alignment horizontal="center"/>
      <protection locked="0"/>
    </xf>
    <xf numFmtId="0" fontId="44" fillId="0" borderId="0" xfId="0" applyFont="1" applyFill="1" applyBorder="1" applyAlignment="1" applyProtection="1">
      <alignment horizontal="center"/>
      <protection locked="0"/>
    </xf>
    <xf numFmtId="0" fontId="44" fillId="0" borderId="21" xfId="0" applyFont="1" applyFill="1" applyBorder="1" applyAlignment="1" applyProtection="1">
      <alignment horizontal="center"/>
      <protection locked="0"/>
    </xf>
    <xf numFmtId="0" fontId="4" fillId="31" borderId="22" xfId="0" applyFont="1" applyFill="1" applyBorder="1" applyAlignment="1" applyProtection="1">
      <alignment horizontal="center"/>
      <protection locked="0"/>
    </xf>
    <xf numFmtId="0" fontId="4" fillId="31" borderId="21" xfId="0" applyFont="1" applyFill="1" applyBorder="1" applyAlignment="1" applyProtection="1">
      <alignment horizontal="center"/>
      <protection locked="0"/>
    </xf>
    <xf numFmtId="0" fontId="4" fillId="31" borderId="35" xfId="0" applyFont="1" applyFill="1" applyBorder="1" applyAlignment="1" applyProtection="1">
      <alignment horizontal="center"/>
      <protection locked="0"/>
    </xf>
    <xf numFmtId="0" fontId="9" fillId="0" borderId="1" xfId="0" applyFont="1" applyFill="1" applyBorder="1" applyAlignment="1" applyProtection="1">
      <alignment horizontal="center"/>
    </xf>
    <xf numFmtId="0" fontId="4" fillId="39" borderId="21" xfId="0" applyFont="1" applyFill="1" applyBorder="1" applyAlignment="1" applyProtection="1">
      <alignment horizontal="center"/>
      <protection locked="0"/>
    </xf>
    <xf numFmtId="0" fontId="29" fillId="39" borderId="0" xfId="0" applyFont="1" applyFill="1" applyAlignment="1">
      <alignment horizontal="center"/>
    </xf>
    <xf numFmtId="0" fontId="29" fillId="39" borderId="1" xfId="0" applyFont="1" applyFill="1" applyBorder="1" applyAlignment="1">
      <alignment horizontal="center"/>
    </xf>
    <xf numFmtId="0" fontId="44" fillId="39" borderId="21" xfId="0" applyFont="1" applyFill="1" applyBorder="1" applyAlignment="1" applyProtection="1">
      <alignment horizontal="center"/>
      <protection locked="0"/>
    </xf>
    <xf numFmtId="0" fontId="4" fillId="32" borderId="22" xfId="0" applyFont="1" applyFill="1" applyBorder="1" applyAlignment="1">
      <alignment horizontal="center"/>
    </xf>
    <xf numFmtId="0" fontId="4" fillId="32" borderId="21" xfId="0" applyFont="1" applyFill="1" applyBorder="1"/>
    <xf numFmtId="0" fontId="4" fillId="32" borderId="35" xfId="0" applyFont="1" applyFill="1" applyBorder="1"/>
    <xf numFmtId="0" fontId="4" fillId="32" borderId="26" xfId="0" applyFont="1" applyFill="1" applyBorder="1" applyAlignment="1">
      <alignment horizontal="center"/>
    </xf>
    <xf numFmtId="0" fontId="4" fillId="32" borderId="0" xfId="0" applyFont="1" applyFill="1" applyBorder="1"/>
    <xf numFmtId="0" fontId="9" fillId="32" borderId="0" xfId="0" applyFont="1" applyFill="1" applyBorder="1"/>
    <xf numFmtId="164" fontId="4" fillId="32" borderId="0" xfId="0" applyNumberFormat="1" applyFont="1" applyFill="1" applyBorder="1" applyProtection="1"/>
    <xf numFmtId="0" fontId="4" fillId="32" borderId="24" xfId="0" applyFont="1" applyFill="1" applyBorder="1" applyAlignment="1">
      <alignment horizontal="center"/>
    </xf>
    <xf numFmtId="0" fontId="9" fillId="32" borderId="1" xfId="0" applyFont="1" applyFill="1" applyBorder="1"/>
    <xf numFmtId="37" fontId="4" fillId="32" borderId="1" xfId="0" applyNumberFormat="1" applyFont="1" applyFill="1" applyBorder="1" applyProtection="1"/>
    <xf numFmtId="37" fontId="4" fillId="32" borderId="25" xfId="0" applyNumberFormat="1" applyFont="1" applyFill="1" applyBorder="1" applyProtection="1"/>
    <xf numFmtId="0" fontId="54" fillId="32" borderId="21" xfId="62" applyFont="1" applyFill="1" applyBorder="1"/>
    <xf numFmtId="10" fontId="44" fillId="39" borderId="0" xfId="12" applyNumberFormat="1" applyFont="1" applyFill="1" applyAlignment="1">
      <alignment horizontal="center"/>
    </xf>
    <xf numFmtId="37" fontId="4" fillId="0" borderId="21" xfId="0" applyNumberFormat="1" applyFont="1" applyBorder="1"/>
    <xf numFmtId="0" fontId="9" fillId="0" borderId="0" xfId="0" applyFont="1" applyBorder="1" applyAlignment="1">
      <alignment horizontal="right"/>
    </xf>
    <xf numFmtId="37" fontId="9" fillId="0" borderId="0" xfId="0" applyNumberFormat="1" applyFont="1" applyBorder="1" applyAlignment="1" applyProtection="1">
      <alignment horizontal="right"/>
    </xf>
    <xf numFmtId="0" fontId="9" fillId="38" borderId="30" xfId="0" applyFont="1" applyFill="1" applyBorder="1" applyAlignment="1">
      <alignment horizontal="center"/>
    </xf>
    <xf numFmtId="0" fontId="44" fillId="38" borderId="0" xfId="0" applyFont="1" applyFill="1" applyBorder="1"/>
    <xf numFmtId="0" fontId="4" fillId="38" borderId="0" xfId="0" applyFont="1" applyFill="1" applyBorder="1"/>
    <xf numFmtId="0" fontId="44" fillId="38" borderId="0" xfId="0" applyFont="1" applyFill="1" applyBorder="1" applyAlignment="1">
      <alignment horizontal="center"/>
    </xf>
    <xf numFmtId="0" fontId="15" fillId="38" borderId="0" xfId="0" applyFont="1" applyFill="1" applyBorder="1" applyAlignment="1">
      <alignment horizontal="center"/>
    </xf>
    <xf numFmtId="0" fontId="13" fillId="38" borderId="0" xfId="0" applyFont="1" applyFill="1" applyBorder="1"/>
    <xf numFmtId="0" fontId="15" fillId="38" borderId="0" xfId="0" applyFont="1" applyFill="1" applyBorder="1"/>
    <xf numFmtId="0" fontId="9" fillId="38" borderId="0" xfId="0" applyFont="1" applyFill="1" applyBorder="1"/>
    <xf numFmtId="0" fontId="9" fillId="38" borderId="0" xfId="0" applyFont="1" applyFill="1" applyBorder="1" applyAlignment="1">
      <alignment horizontal="center"/>
    </xf>
    <xf numFmtId="0" fontId="4" fillId="38" borderId="0" xfId="0" quotePrefix="1" applyFont="1" applyFill="1" applyBorder="1"/>
    <xf numFmtId="0" fontId="9" fillId="38" borderId="19" xfId="0" applyFont="1" applyFill="1" applyBorder="1"/>
    <xf numFmtId="0" fontId="4" fillId="38" borderId="4" xfId="0" applyFont="1" applyFill="1" applyBorder="1"/>
    <xf numFmtId="0" fontId="29" fillId="38" borderId="0" xfId="0" applyFont="1" applyFill="1" applyBorder="1" applyAlignment="1">
      <alignment horizontal="center"/>
    </xf>
    <xf numFmtId="0" fontId="55" fillId="38" borderId="0" xfId="62" applyFont="1" applyFill="1" applyBorder="1" applyAlignment="1">
      <alignment horizontal="centerContinuous"/>
    </xf>
    <xf numFmtId="0" fontId="55" fillId="38" borderId="0" xfId="0" applyFont="1" applyFill="1" applyBorder="1" applyAlignment="1">
      <alignment horizontal="center"/>
    </xf>
    <xf numFmtId="0" fontId="4" fillId="35" borderId="26" xfId="0" applyFont="1" applyFill="1" applyBorder="1"/>
    <xf numFmtId="0" fontId="4" fillId="35" borderId="0" xfId="0" applyFont="1" applyFill="1" applyBorder="1"/>
    <xf numFmtId="0" fontId="4" fillId="35" borderId="27" xfId="0" applyFont="1" applyFill="1" applyBorder="1"/>
    <xf numFmtId="37" fontId="4" fillId="35" borderId="27" xfId="0" applyNumberFormat="1" applyFont="1" applyFill="1" applyBorder="1"/>
    <xf numFmtId="0" fontId="4" fillId="35" borderId="26" xfId="0" applyFont="1" applyFill="1" applyBorder="1" applyAlignment="1">
      <alignment horizontal="center"/>
    </xf>
    <xf numFmtId="37" fontId="44" fillId="35" borderId="0" xfId="0" applyNumberFormat="1" applyFont="1" applyFill="1" applyBorder="1"/>
    <xf numFmtId="37" fontId="4" fillId="35" borderId="1" xfId="4" applyNumberFormat="1" applyFont="1" applyFill="1" applyBorder="1"/>
    <xf numFmtId="37" fontId="4" fillId="35" borderId="25" xfId="4" applyNumberFormat="1" applyFont="1" applyFill="1" applyBorder="1"/>
    <xf numFmtId="0" fontId="9" fillId="35" borderId="0" xfId="4" applyFont="1" applyFill="1"/>
    <xf numFmtId="0" fontId="4" fillId="35" borderId="0" xfId="4" applyFont="1" applyFill="1"/>
    <xf numFmtId="37" fontId="4" fillId="0" borderId="0" xfId="4" applyNumberFormat="1" applyFont="1" applyFill="1"/>
    <xf numFmtId="0" fontId="27" fillId="0" borderId="0" xfId="105" applyFont="1" applyFill="1" applyBorder="1" applyAlignment="1">
      <alignment horizontal="center" vertical="center"/>
    </xf>
    <xf numFmtId="0" fontId="57" fillId="0" borderId="38" xfId="0" applyFont="1" applyFill="1" applyBorder="1" applyAlignment="1">
      <alignment horizontal="center" vertical="center" wrapText="1"/>
    </xf>
    <xf numFmtId="0" fontId="57" fillId="0" borderId="39" xfId="0" applyFont="1" applyFill="1" applyBorder="1" applyAlignment="1">
      <alignment horizontal="center" vertical="center" wrapText="1"/>
    </xf>
    <xf numFmtId="0" fontId="57" fillId="0" borderId="0" xfId="0" applyFont="1" applyFill="1" applyBorder="1" applyAlignment="1">
      <alignment horizontal="center" vertical="center" wrapText="1"/>
    </xf>
    <xf numFmtId="0" fontId="57" fillId="0" borderId="40" xfId="0" applyFont="1" applyFill="1" applyBorder="1" applyAlignment="1">
      <alignment horizontal="center" vertical="center" wrapText="1"/>
    </xf>
    <xf numFmtId="0" fontId="57" fillId="0" borderId="41" xfId="0" applyFont="1" applyFill="1" applyBorder="1" applyAlignment="1">
      <alignment horizontal="center" vertical="center" wrapText="1"/>
    </xf>
    <xf numFmtId="0" fontId="57" fillId="0" borderId="42" xfId="0" applyFont="1" applyFill="1" applyBorder="1" applyAlignment="1">
      <alignment horizontal="center" vertical="center" wrapText="1"/>
    </xf>
    <xf numFmtId="0" fontId="57" fillId="0" borderId="28" xfId="0" applyFont="1" applyFill="1" applyBorder="1" applyAlignment="1">
      <alignment horizontal="center" vertical="center" wrapText="1"/>
    </xf>
    <xf numFmtId="0" fontId="57" fillId="0" borderId="43" xfId="0" applyFont="1" applyFill="1" applyBorder="1" applyAlignment="1">
      <alignment horizontal="right" vertical="center"/>
    </xf>
    <xf numFmtId="0" fontId="3" fillId="0" borderId="0" xfId="0" applyFont="1" applyFill="1" applyBorder="1" applyAlignment="1">
      <alignment horizontal="right" vertical="center"/>
    </xf>
    <xf numFmtId="0" fontId="57" fillId="0" borderId="44" xfId="0" applyFont="1" applyFill="1" applyBorder="1" applyAlignment="1">
      <alignment horizontal="center" vertical="center" wrapText="1"/>
    </xf>
    <xf numFmtId="0" fontId="57" fillId="0" borderId="45" xfId="0" applyFont="1" applyFill="1" applyBorder="1" applyAlignment="1">
      <alignment horizontal="center" vertical="center" wrapText="1"/>
    </xf>
    <xf numFmtId="0" fontId="57" fillId="0" borderId="46" xfId="0" applyFont="1" applyFill="1" applyBorder="1" applyAlignment="1">
      <alignment horizontal="center" vertical="center" wrapText="1"/>
    </xf>
    <xf numFmtId="0" fontId="57" fillId="0" borderId="26" xfId="0" applyFont="1" applyFill="1" applyBorder="1" applyAlignment="1">
      <alignment horizontal="center" vertical="center" wrapText="1"/>
    </xf>
    <xf numFmtId="0" fontId="57" fillId="0" borderId="27" xfId="0" applyFont="1" applyFill="1" applyBorder="1" applyAlignment="1">
      <alignment horizontal="center" vertical="center" wrapText="1"/>
    </xf>
    <xf numFmtId="0" fontId="57" fillId="0" borderId="29" xfId="0" applyFont="1" applyFill="1" applyBorder="1" applyAlignment="1">
      <alignment horizontal="center" vertical="center" wrapText="1"/>
    </xf>
    <xf numFmtId="0" fontId="3" fillId="0" borderId="43" xfId="0" applyFont="1" applyFill="1" applyBorder="1" applyAlignment="1">
      <alignment horizontal="left" vertical="center" wrapText="1"/>
    </xf>
    <xf numFmtId="0" fontId="3" fillId="0" borderId="44" xfId="0" applyFont="1" applyFill="1" applyBorder="1" applyAlignment="1">
      <alignment horizontal="center" vertical="center" wrapText="1"/>
    </xf>
    <xf numFmtId="0" fontId="3" fillId="0" borderId="45" xfId="0" quotePrefix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46" xfId="0" applyFont="1" applyFill="1" applyBorder="1" applyAlignment="1">
      <alignment horizontal="center" vertical="center" wrapText="1"/>
    </xf>
    <xf numFmtId="0" fontId="3" fillId="0" borderId="26" xfId="0" quotePrefix="1" applyFont="1" applyFill="1" applyBorder="1" applyAlignment="1">
      <alignment horizontal="center" vertical="center" wrapText="1"/>
    </xf>
    <xf numFmtId="0" fontId="3" fillId="0" borderId="27" xfId="0" applyFont="1" applyFill="1" applyBorder="1" applyAlignment="1">
      <alignment horizontal="center" vertical="center" wrapText="1"/>
    </xf>
    <xf numFmtId="0" fontId="3" fillId="0" borderId="29" xfId="0" applyFont="1" applyFill="1" applyBorder="1" applyAlignment="1">
      <alignment horizontal="center" vertical="center" wrapText="1"/>
    </xf>
    <xf numFmtId="0" fontId="3" fillId="0" borderId="27" xfId="0" quotePrefix="1" applyFont="1" applyFill="1" applyBorder="1" applyAlignment="1">
      <alignment horizontal="center" vertical="center" wrapText="1"/>
    </xf>
    <xf numFmtId="0" fontId="3" fillId="0" borderId="29" xfId="0" quotePrefix="1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left" vertical="center" wrapText="1"/>
    </xf>
    <xf numFmtId="0" fontId="3" fillId="0" borderId="7" xfId="0" applyFont="1" applyFill="1" applyBorder="1" applyAlignment="1">
      <alignment horizontal="left" vertical="center"/>
    </xf>
    <xf numFmtId="0" fontId="57" fillId="0" borderId="48" xfId="0" applyFont="1" applyFill="1" applyBorder="1" applyAlignment="1">
      <alignment horizontal="center" vertical="center" wrapText="1"/>
    </xf>
    <xf numFmtId="0" fontId="57" fillId="0" borderId="49" xfId="0" applyFont="1" applyFill="1" applyBorder="1" applyAlignment="1">
      <alignment horizontal="center" vertical="center" wrapText="1"/>
    </xf>
    <xf numFmtId="0" fontId="57" fillId="0" borderId="50" xfId="0" applyFont="1" applyFill="1" applyBorder="1" applyAlignment="1">
      <alignment horizontal="center" vertical="center" wrapText="1"/>
    </xf>
    <xf numFmtId="0" fontId="57" fillId="0" borderId="51" xfId="0" applyFont="1" applyFill="1" applyBorder="1" applyAlignment="1">
      <alignment horizontal="center" vertical="center" wrapText="1"/>
    </xf>
    <xf numFmtId="0" fontId="57" fillId="0" borderId="52" xfId="0" applyFont="1" applyFill="1" applyBorder="1" applyAlignment="1">
      <alignment horizontal="center" vertical="center" wrapText="1"/>
    </xf>
    <xf numFmtId="0" fontId="57" fillId="0" borderId="53" xfId="0" applyFont="1" applyFill="1" applyBorder="1" applyAlignment="1">
      <alignment horizontal="center" vertical="center" wrapText="1"/>
    </xf>
    <xf numFmtId="17" fontId="57" fillId="0" borderId="43" xfId="0" applyNumberFormat="1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37" fontId="3" fillId="0" borderId="44" xfId="0" applyNumberFormat="1" applyFont="1" applyFill="1" applyBorder="1"/>
    <xf numFmtId="166" fontId="3" fillId="0" borderId="44" xfId="0" applyNumberFormat="1" applyFont="1" applyFill="1" applyBorder="1"/>
    <xf numFmtId="169" fontId="3" fillId="0" borderId="45" xfId="0" applyNumberFormat="1" applyFont="1" applyFill="1" applyBorder="1"/>
    <xf numFmtId="169" fontId="3" fillId="0" borderId="0" xfId="0" applyNumberFormat="1" applyFont="1" applyFill="1" applyBorder="1"/>
    <xf numFmtId="169" fontId="3" fillId="0" borderId="46" xfId="0" applyNumberFormat="1" applyFont="1" applyFill="1" applyBorder="1"/>
    <xf numFmtId="169" fontId="3" fillId="0" borderId="26" xfId="0" applyNumberFormat="1" applyFont="1" applyFill="1" applyBorder="1"/>
    <xf numFmtId="187" fontId="3" fillId="0" borderId="27" xfId="0" applyNumberFormat="1" applyFont="1" applyFill="1" applyBorder="1"/>
    <xf numFmtId="188" fontId="3" fillId="0" borderId="26" xfId="0" applyNumberFormat="1" applyFont="1" applyFill="1" applyBorder="1"/>
    <xf numFmtId="187" fontId="3" fillId="0" borderId="29" xfId="0" applyNumberFormat="1" applyFont="1" applyFill="1" applyBorder="1"/>
    <xf numFmtId="189" fontId="3" fillId="0" borderId="46" xfId="0" applyNumberFormat="1" applyFont="1" applyBorder="1"/>
    <xf numFmtId="189" fontId="3" fillId="0" borderId="26" xfId="0" applyNumberFormat="1" applyFont="1" applyBorder="1"/>
    <xf numFmtId="189" fontId="3" fillId="0" borderId="27" xfId="0" applyNumberFormat="1" applyFont="1" applyBorder="1"/>
    <xf numFmtId="189" fontId="3" fillId="0" borderId="29" xfId="0" applyNumberFormat="1" applyFont="1" applyBorder="1"/>
    <xf numFmtId="17" fontId="57" fillId="0" borderId="47" xfId="0" applyNumberFormat="1" applyFont="1" applyFill="1" applyBorder="1" applyAlignment="1">
      <alignment horizontal="left"/>
    </xf>
    <xf numFmtId="0" fontId="3" fillId="0" borderId="7" xfId="0" applyFont="1" applyFill="1" applyBorder="1" applyAlignment="1">
      <alignment horizontal="left"/>
    </xf>
    <xf numFmtId="37" fontId="3" fillId="0" borderId="48" xfId="0" applyNumberFormat="1" applyFont="1" applyFill="1" applyBorder="1"/>
    <xf numFmtId="169" fontId="3" fillId="0" borderId="49" xfId="0" applyNumberFormat="1" applyFont="1" applyFill="1" applyBorder="1"/>
    <xf numFmtId="169" fontId="3" fillId="0" borderId="50" xfId="0" applyNumberFormat="1" applyFont="1" applyFill="1" applyBorder="1"/>
    <xf numFmtId="169" fontId="3" fillId="0" borderId="51" xfId="0" applyNumberFormat="1" applyFont="1" applyFill="1" applyBorder="1"/>
    <xf numFmtId="187" fontId="3" fillId="0" borderId="52" xfId="0" applyNumberFormat="1" applyFont="1" applyFill="1" applyBorder="1"/>
    <xf numFmtId="187" fontId="3" fillId="0" borderId="53" xfId="0" applyNumberFormat="1" applyFont="1" applyFill="1" applyBorder="1"/>
    <xf numFmtId="189" fontId="3" fillId="0" borderId="50" xfId="0" applyNumberFormat="1" applyFont="1" applyBorder="1"/>
    <xf numFmtId="189" fontId="3" fillId="0" borderId="51" xfId="0" applyNumberFormat="1" applyFont="1" applyBorder="1"/>
    <xf numFmtId="189" fontId="3" fillId="0" borderId="52" xfId="0" applyNumberFormat="1" applyFont="1" applyBorder="1"/>
    <xf numFmtId="189" fontId="3" fillId="0" borderId="53" xfId="0" applyNumberFormat="1" applyFont="1" applyBorder="1"/>
    <xf numFmtId="0" fontId="57" fillId="0" borderId="0" xfId="0" applyFont="1"/>
    <xf numFmtId="0" fontId="3" fillId="0" borderId="0" xfId="0" applyFont="1" applyAlignment="1">
      <alignment horizontal="right"/>
    </xf>
    <xf numFmtId="37" fontId="3" fillId="0" borderId="0" xfId="0" applyNumberFormat="1" applyFont="1"/>
    <xf numFmtId="169" fontId="3" fillId="0" borderId="0" xfId="0" applyNumberFormat="1" applyFont="1"/>
    <xf numFmtId="169" fontId="3" fillId="0" borderId="0" xfId="0" applyNumberFormat="1" applyFont="1" applyFill="1"/>
    <xf numFmtId="187" fontId="3" fillId="0" borderId="0" xfId="0" applyNumberFormat="1" applyFont="1" applyFill="1"/>
    <xf numFmtId="187" fontId="3" fillId="0" borderId="0" xfId="0" applyNumberFormat="1" applyFont="1"/>
    <xf numFmtId="189" fontId="3" fillId="0" borderId="0" xfId="0" applyNumberFormat="1" applyFont="1"/>
    <xf numFmtId="17" fontId="57" fillId="0" borderId="0" xfId="0" applyNumberFormat="1" applyFont="1" applyFill="1" applyBorder="1" applyAlignment="1">
      <alignment horizontal="left"/>
    </xf>
    <xf numFmtId="0" fontId="3" fillId="0" borderId="0" xfId="0" applyFont="1" applyFill="1" applyBorder="1" applyAlignment="1">
      <alignment horizontal="right"/>
    </xf>
    <xf numFmtId="37" fontId="3" fillId="0" borderId="0" xfId="0" applyNumberFormat="1" applyFont="1" applyFill="1" applyBorder="1"/>
    <xf numFmtId="0" fontId="56" fillId="0" borderId="0" xfId="0" applyFont="1" applyFill="1"/>
    <xf numFmtId="17" fontId="48" fillId="0" borderId="0" xfId="0" applyNumberFormat="1" applyFont="1" applyFill="1" applyBorder="1" applyAlignment="1">
      <alignment horizontal="left"/>
    </xf>
    <xf numFmtId="187" fontId="56" fillId="0" borderId="0" xfId="0" applyNumberFormat="1" applyFont="1" applyFill="1"/>
    <xf numFmtId="0" fontId="57" fillId="0" borderId="0" xfId="105" applyFont="1" applyFill="1" applyBorder="1"/>
    <xf numFmtId="0" fontId="3" fillId="0" borderId="0" xfId="0" applyFont="1" applyFill="1" applyBorder="1"/>
    <xf numFmtId="0" fontId="3" fillId="0" borderId="0" xfId="0" applyFont="1" applyBorder="1"/>
    <xf numFmtId="0" fontId="3" fillId="0" borderId="0" xfId="0" applyFont="1" applyFill="1"/>
    <xf numFmtId="0" fontId="3" fillId="0" borderId="0" xfId="0" applyFont="1"/>
    <xf numFmtId="0" fontId="57" fillId="0" borderId="0" xfId="0" applyFont="1" applyFill="1" applyBorder="1" applyAlignment="1">
      <alignment horizontal="centerContinuous"/>
    </xf>
    <xf numFmtId="0" fontId="57" fillId="0" borderId="0" xfId="0" applyFont="1" applyFill="1" applyBorder="1" applyAlignment="1">
      <alignment horizontal="center"/>
    </xf>
    <xf numFmtId="0" fontId="9" fillId="0" borderId="36" xfId="0" applyFont="1" applyFill="1" applyBorder="1" applyAlignment="1">
      <alignment horizontal="left" vertical="center"/>
    </xf>
    <xf numFmtId="0" fontId="9" fillId="0" borderId="37" xfId="0" applyFont="1" applyFill="1" applyBorder="1" applyAlignment="1">
      <alignment horizontal="right" vertical="center"/>
    </xf>
    <xf numFmtId="0" fontId="60" fillId="0" borderId="0" xfId="0" applyFont="1" applyFill="1" applyBorder="1" applyAlignment="1">
      <alignment horizontal="centerContinuous"/>
    </xf>
    <xf numFmtId="0" fontId="4" fillId="0" borderId="0" xfId="9" applyFill="1"/>
    <xf numFmtId="49" fontId="44" fillId="0" borderId="0" xfId="4" applyNumberFormat="1" applyFont="1" applyFill="1"/>
    <xf numFmtId="0" fontId="44" fillId="0" borderId="0" xfId="4" applyFont="1" applyFill="1" applyAlignment="1">
      <alignment horizontal="center"/>
    </xf>
    <xf numFmtId="165" fontId="4" fillId="0" borderId="0" xfId="4" applyNumberFormat="1" applyFont="1" applyFill="1"/>
    <xf numFmtId="178" fontId="4" fillId="0" borderId="0" xfId="4" applyNumberFormat="1" applyFont="1" applyFill="1"/>
    <xf numFmtId="165" fontId="4" fillId="0" borderId="0" xfId="4" applyNumberFormat="1" applyFont="1" applyFill="1" applyAlignment="1">
      <alignment wrapText="1"/>
    </xf>
    <xf numFmtId="165" fontId="4" fillId="0" borderId="0" xfId="4" applyNumberFormat="1" applyFont="1" applyFill="1" applyAlignment="1"/>
    <xf numFmtId="0" fontId="21" fillId="0" borderId="0" xfId="62" applyFont="1" applyAlignment="1">
      <alignment horizontal="center"/>
    </xf>
    <xf numFmtId="0" fontId="4" fillId="0" borderId="0" xfId="62" applyFont="1" applyAlignment="1">
      <alignment horizontal="center"/>
    </xf>
    <xf numFmtId="37" fontId="4" fillId="0" borderId="9" xfId="0" applyNumberFormat="1" applyFont="1" applyBorder="1"/>
    <xf numFmtId="0" fontId="4" fillId="0" borderId="0" xfId="62" applyFont="1" applyFill="1" applyAlignment="1">
      <alignment horizontal="center"/>
    </xf>
    <xf numFmtId="0" fontId="4" fillId="0" borderId="1" xfId="62" quotePrefix="1" applyFont="1" applyFill="1" applyBorder="1" applyAlignment="1">
      <alignment horizontal="center"/>
    </xf>
    <xf numFmtId="0" fontId="4" fillId="0" borderId="0" xfId="62" quotePrefix="1" applyFont="1" applyFill="1" applyBorder="1" applyAlignment="1">
      <alignment horizontal="center"/>
    </xf>
    <xf numFmtId="0" fontId="4" fillId="0" borderId="0" xfId="62" applyFont="1" applyBorder="1" applyAlignment="1">
      <alignment horizontal="center" wrapText="1"/>
    </xf>
    <xf numFmtId="0" fontId="4" fillId="0" borderId="0" xfId="62" applyFont="1" applyFill="1" applyBorder="1" applyAlignment="1">
      <alignment horizontal="center"/>
    </xf>
    <xf numFmtId="0" fontId="4" fillId="0" borderId="0" xfId="62" applyFont="1" applyFill="1" applyBorder="1" applyAlignment="1">
      <alignment horizontal="center" wrapText="1"/>
    </xf>
    <xf numFmtId="0" fontId="4" fillId="0" borderId="0" xfId="62" quotePrefix="1" applyFont="1" applyBorder="1" applyAlignment="1">
      <alignment horizontal="center"/>
    </xf>
    <xf numFmtId="176" fontId="4" fillId="0" borderId="0" xfId="96" applyNumberFormat="1" applyFont="1"/>
    <xf numFmtId="191" fontId="4" fillId="0" borderId="0" xfId="96" applyNumberFormat="1" applyFont="1"/>
    <xf numFmtId="190" fontId="4" fillId="0" borderId="3" xfId="106" applyNumberFormat="1" applyFont="1" applyBorder="1"/>
    <xf numFmtId="176" fontId="4" fillId="0" borderId="3" xfId="96" applyNumberFormat="1" applyFont="1" applyBorder="1"/>
    <xf numFmtId="190" fontId="4" fillId="0" borderId="3" xfId="106" applyNumberFormat="1" applyFont="1" applyFill="1" applyBorder="1"/>
    <xf numFmtId="41" fontId="4" fillId="0" borderId="0" xfId="95" applyNumberFormat="1" applyFont="1"/>
    <xf numFmtId="42" fontId="4" fillId="0" borderId="0" xfId="95" applyNumberFormat="1" applyFont="1" applyAlignment="1">
      <alignment horizontal="right"/>
    </xf>
    <xf numFmtId="41" fontId="4" fillId="0" borderId="0" xfId="95" applyNumberFormat="1" applyFont="1" applyAlignment="1">
      <alignment horizontal="right"/>
    </xf>
    <xf numFmtId="0" fontId="4" fillId="0" borderId="0" xfId="62" applyFont="1" applyBorder="1"/>
    <xf numFmtId="0" fontId="4" fillId="0" borderId="0" xfId="62" applyFont="1" applyAlignment="1"/>
    <xf numFmtId="171" fontId="4" fillId="0" borderId="3" xfId="96" applyNumberFormat="1" applyFont="1" applyBorder="1"/>
    <xf numFmtId="0" fontId="29" fillId="0" borderId="0" xfId="62" applyFont="1" applyAlignment="1">
      <alignment horizontal="centerContinuous"/>
    </xf>
    <xf numFmtId="0" fontId="29" fillId="0" borderId="0" xfId="62" applyFont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Continuous"/>
    </xf>
    <xf numFmtId="0" fontId="61" fillId="0" borderId="0" xfId="0" applyFont="1"/>
    <xf numFmtId="42" fontId="0" fillId="0" borderId="0" xfId="0" applyNumberFormat="1"/>
    <xf numFmtId="42" fontId="0" fillId="0" borderId="1" xfId="0" applyNumberFormat="1" applyBorder="1"/>
    <xf numFmtId="41" fontId="0" fillId="0" borderId="0" xfId="0" applyNumberFormat="1"/>
    <xf numFmtId="44" fontId="0" fillId="0" borderId="0" xfId="0" applyNumberFormat="1"/>
    <xf numFmtId="44" fontId="0" fillId="0" borderId="9" xfId="0" applyNumberFormat="1" applyBorder="1"/>
    <xf numFmtId="0" fontId="4" fillId="38" borderId="0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21" xfId="0" applyBorder="1"/>
    <xf numFmtId="42" fontId="0" fillId="0" borderId="0" xfId="0" applyNumberFormat="1" applyBorder="1"/>
    <xf numFmtId="41" fontId="0" fillId="0" borderId="0" xfId="0" applyNumberFormat="1" applyBorder="1"/>
    <xf numFmtId="44" fontId="0" fillId="0" borderId="0" xfId="0" applyNumberFormat="1" applyBorder="1"/>
    <xf numFmtId="0" fontId="61" fillId="0" borderId="21" xfId="0" applyFont="1" applyBorder="1"/>
    <xf numFmtId="0" fontId="61" fillId="0" borderId="21" xfId="0" applyFont="1" applyFill="1" applyBorder="1"/>
    <xf numFmtId="0" fontId="61" fillId="0" borderId="21" xfId="0" applyFont="1" applyBorder="1" applyAlignment="1">
      <alignment horizontal="center"/>
    </xf>
    <xf numFmtId="0" fontId="61" fillId="0" borderId="0" xfId="0" applyFont="1" applyFill="1" applyAlignment="1">
      <alignment horizontal="center"/>
    </xf>
    <xf numFmtId="0" fontId="61" fillId="0" borderId="1" xfId="0" applyFont="1" applyFill="1" applyBorder="1" applyAlignment="1">
      <alignment horizontal="center"/>
    </xf>
    <xf numFmtId="4" fontId="4" fillId="0" borderId="0" xfId="8" applyNumberFormat="1" applyFont="1" applyAlignment="1">
      <alignment horizontal="center"/>
    </xf>
    <xf numFmtId="49" fontId="4" fillId="0" borderId="0" xfId="3" applyNumberFormat="1" applyFont="1" applyBorder="1" applyAlignment="1">
      <alignment horizontal="left"/>
    </xf>
    <xf numFmtId="0" fontId="4" fillId="0" borderId="1" xfId="3" applyFont="1" applyFill="1" applyBorder="1" applyAlignment="1">
      <alignment horizontal="center"/>
    </xf>
    <xf numFmtId="0" fontId="4" fillId="0" borderId="0" xfId="8" applyFont="1" applyFill="1"/>
    <xf numFmtId="166" fontId="4" fillId="0" borderId="1" xfId="1" applyNumberFormat="1" applyFont="1" applyFill="1" applyBorder="1"/>
    <xf numFmtId="166" fontId="4" fillId="0" borderId="9" xfId="1" applyNumberFormat="1" applyFont="1" applyBorder="1"/>
    <xf numFmtId="171" fontId="4" fillId="0" borderId="9" xfId="12" applyNumberFormat="1" applyFont="1" applyBorder="1"/>
    <xf numFmtId="166" fontId="4" fillId="0" borderId="1" xfId="1" applyNumberFormat="1" applyFont="1" applyBorder="1"/>
    <xf numFmtId="0" fontId="4" fillId="0" borderId="0" xfId="3" quotePrefix="1" applyFont="1" applyFill="1" applyAlignment="1">
      <alignment horizontal="left"/>
    </xf>
    <xf numFmtId="185" fontId="4" fillId="0" borderId="0" xfId="8" applyNumberFormat="1" applyFont="1" applyFill="1"/>
    <xf numFmtId="0" fontId="4" fillId="0" borderId="3" xfId="8" applyFont="1" applyBorder="1"/>
    <xf numFmtId="0" fontId="17" fillId="0" borderId="0" xfId="8" applyFont="1" applyAlignment="1">
      <alignment horizontal="center"/>
    </xf>
    <xf numFmtId="37" fontId="4" fillId="0" borderId="0" xfId="3" applyNumberFormat="1" applyFont="1" applyFill="1" applyAlignment="1">
      <alignment horizontal="right"/>
    </xf>
    <xf numFmtId="37" fontId="4" fillId="0" borderId="1" xfId="3" applyNumberFormat="1" applyFont="1" applyFill="1" applyBorder="1" applyAlignment="1">
      <alignment horizontal="right"/>
    </xf>
    <xf numFmtId="166" fontId="18" fillId="30" borderId="0" xfId="1" applyNumberFormat="1" applyFont="1" applyFill="1"/>
    <xf numFmtId="166" fontId="4" fillId="30" borderId="0" xfId="1" applyNumberFormat="1" applyFont="1" applyFill="1"/>
    <xf numFmtId="0" fontId="4" fillId="41" borderId="0" xfId="0" applyFont="1" applyFill="1"/>
    <xf numFmtId="37" fontId="4" fillId="0" borderId="34" xfId="0" applyNumberFormat="1" applyFont="1" applyBorder="1" applyProtection="1">
      <protection locked="0"/>
    </xf>
    <xf numFmtId="37" fontId="18" fillId="5" borderId="0" xfId="0" applyNumberFormat="1" applyFont="1" applyFill="1" applyProtection="1">
      <protection locked="0"/>
    </xf>
    <xf numFmtId="37" fontId="4" fillId="0" borderId="0" xfId="7" applyNumberFormat="1" applyFont="1"/>
    <xf numFmtId="37" fontId="9" fillId="0" borderId="0" xfId="7" applyNumberFormat="1" applyFont="1"/>
    <xf numFmtId="37" fontId="4" fillId="0" borderId="0" xfId="7" applyNumberFormat="1" applyFont="1" applyFill="1" applyBorder="1"/>
    <xf numFmtId="166" fontId="3" fillId="0" borderId="48" xfId="0" applyNumberFormat="1" applyFont="1" applyFill="1" applyBorder="1"/>
    <xf numFmtId="188" fontId="3" fillId="0" borderId="51" xfId="0" applyNumberFormat="1" applyFont="1" applyFill="1" applyBorder="1"/>
    <xf numFmtId="166" fontId="44" fillId="30" borderId="0" xfId="1" applyNumberFormat="1" applyFont="1" applyFill="1"/>
    <xf numFmtId="0" fontId="17" fillId="0" borderId="0" xfId="7" applyFont="1"/>
    <xf numFmtId="37" fontId="27" fillId="0" borderId="0" xfId="7" applyNumberFormat="1" applyFont="1"/>
    <xf numFmtId="0" fontId="4" fillId="43" borderId="0" xfId="0" applyFont="1" applyFill="1"/>
    <xf numFmtId="37" fontId="44" fillId="39" borderId="0" xfId="3" applyNumberFormat="1" applyFont="1" applyFill="1" applyBorder="1" applyAlignment="1">
      <alignment horizontal="right"/>
    </xf>
    <xf numFmtId="0" fontId="4" fillId="0" borderId="0" xfId="3" applyFont="1" applyBorder="1" applyAlignment="1"/>
    <xf numFmtId="37" fontId="18" fillId="29" borderId="0" xfId="0" applyNumberFormat="1" applyFont="1" applyFill="1" applyProtection="1"/>
    <xf numFmtId="0" fontId="16" fillId="0" borderId="0" xfId="62" applyFont="1" applyAlignment="1" applyProtection="1">
      <alignment horizontal="center"/>
    </xf>
    <xf numFmtId="37" fontId="18" fillId="31" borderId="0" xfId="0" applyNumberFormat="1" applyFont="1" applyFill="1" applyProtection="1">
      <protection locked="0"/>
    </xf>
    <xf numFmtId="37" fontId="44" fillId="31" borderId="0" xfId="0" applyNumberFormat="1" applyFont="1" applyFill="1" applyProtection="1">
      <protection locked="0"/>
    </xf>
    <xf numFmtId="37" fontId="4" fillId="38" borderId="0" xfId="0" applyNumberFormat="1" applyFont="1" applyFill="1" applyProtection="1"/>
    <xf numFmtId="37" fontId="4" fillId="5" borderId="0" xfId="0" applyNumberFormat="1" applyFont="1" applyFill="1" applyProtection="1">
      <protection locked="0"/>
    </xf>
    <xf numFmtId="166" fontId="4" fillId="5" borderId="0" xfId="3" applyNumberFormat="1" applyFont="1" applyFill="1"/>
    <xf numFmtId="191" fontId="4" fillId="0" borderId="3" xfId="96" applyNumberFormat="1" applyFont="1" applyBorder="1"/>
    <xf numFmtId="37" fontId="27" fillId="0" borderId="0" xfId="3" applyNumberFormat="1" applyFont="1"/>
    <xf numFmtId="193" fontId="4" fillId="0" borderId="0" xfId="3" applyNumberFormat="1" applyFont="1"/>
    <xf numFmtId="193" fontId="27" fillId="0" borderId="0" xfId="3" applyNumberFormat="1" applyFont="1"/>
    <xf numFmtId="0" fontId="4" fillId="0" borderId="0" xfId="107" applyFont="1" applyFill="1" applyAlignment="1" applyProtection="1">
      <alignment horizontal="left"/>
    </xf>
    <xf numFmtId="0" fontId="4" fillId="0" borderId="0" xfId="107" applyFont="1" applyFill="1" applyAlignment="1" applyProtection="1">
      <alignment horizontal="fill"/>
    </xf>
    <xf numFmtId="0" fontId="27" fillId="0" borderId="0" xfId="107" applyFont="1" applyFill="1" applyAlignment="1" applyProtection="1">
      <alignment horizontal="left"/>
    </xf>
    <xf numFmtId="192" fontId="62" fillId="0" borderId="0" xfId="107" quotePrefix="1" applyNumberFormat="1" applyFont="1" applyFill="1" applyAlignment="1" applyProtection="1">
      <alignment horizontal="center"/>
      <protection locked="0"/>
    </xf>
    <xf numFmtId="0" fontId="4" fillId="0" borderId="0" xfId="107" applyFont="1" applyFill="1" applyAlignment="1" applyProtection="1">
      <alignment horizontal="center"/>
    </xf>
    <xf numFmtId="193" fontId="18" fillId="0" borderId="0" xfId="107" applyNumberFormat="1" applyFont="1" applyFill="1" applyProtection="1">
      <protection locked="0"/>
    </xf>
    <xf numFmtId="193" fontId="46" fillId="0" borderId="0" xfId="107" applyNumberFormat="1" applyFont="1" applyFill="1" applyProtection="1">
      <protection locked="0"/>
    </xf>
    <xf numFmtId="193" fontId="63" fillId="0" borderId="0" xfId="107" applyNumberFormat="1" applyFont="1" applyFill="1" applyProtection="1">
      <protection locked="0"/>
    </xf>
    <xf numFmtId="0" fontId="4" fillId="0" borderId="0" xfId="107" applyFont="1" applyFill="1"/>
    <xf numFmtId="193" fontId="64" fillId="0" borderId="0" xfId="107" applyNumberFormat="1" applyFont="1" applyFill="1" applyProtection="1"/>
    <xf numFmtId="0" fontId="4" fillId="0" borderId="0" xfId="107" applyFont="1" applyFill="1" applyAlignment="1" applyProtection="1">
      <alignment horizontal="left" indent="1"/>
    </xf>
    <xf numFmtId="0" fontId="4" fillId="35" borderId="34" xfId="0" applyFont="1" applyFill="1" applyBorder="1"/>
    <xf numFmtId="17" fontId="4" fillId="35" borderId="54" xfId="0" applyNumberFormat="1" applyFont="1" applyFill="1" applyBorder="1" applyAlignment="1">
      <alignment horizontal="center"/>
    </xf>
    <xf numFmtId="17" fontId="4" fillId="35" borderId="21" xfId="0" applyNumberFormat="1" applyFont="1" applyFill="1" applyBorder="1" applyAlignment="1">
      <alignment horizontal="center"/>
    </xf>
    <xf numFmtId="0" fontId="4" fillId="35" borderId="35" xfId="0" applyFont="1" applyFill="1" applyBorder="1" applyAlignment="1">
      <alignment horizontal="center"/>
    </xf>
    <xf numFmtId="37" fontId="4" fillId="35" borderId="0" xfId="4" applyNumberFormat="1" applyFont="1" applyFill="1" applyBorder="1"/>
    <xf numFmtId="0" fontId="4" fillId="35" borderId="21" xfId="0" applyFont="1" applyFill="1" applyBorder="1"/>
    <xf numFmtId="0" fontId="4" fillId="35" borderId="35" xfId="0" applyFont="1" applyFill="1" applyBorder="1"/>
    <xf numFmtId="37" fontId="4" fillId="35" borderId="1" xfId="0" applyNumberFormat="1" applyFont="1" applyFill="1" applyBorder="1"/>
    <xf numFmtId="37" fontId="4" fillId="35" borderId="25" xfId="0" applyNumberFormat="1" applyFont="1" applyFill="1" applyBorder="1"/>
    <xf numFmtId="0" fontId="4" fillId="35" borderId="26" xfId="4" applyFill="1" applyBorder="1"/>
    <xf numFmtId="0" fontId="4" fillId="35" borderId="24" xfId="4" applyFill="1" applyBorder="1"/>
    <xf numFmtId="37" fontId="4" fillId="44" borderId="27" xfId="0" applyNumberFormat="1" applyFont="1" applyFill="1" applyBorder="1"/>
    <xf numFmtId="37" fontId="4" fillId="45" borderId="27" xfId="0" applyNumberFormat="1" applyFont="1" applyFill="1" applyBorder="1"/>
    <xf numFmtId="37" fontId="4" fillId="42" borderId="27" xfId="0" applyNumberFormat="1" applyFont="1" applyFill="1" applyBorder="1"/>
    <xf numFmtId="37" fontId="4" fillId="5" borderId="27" xfId="0" applyNumberFormat="1" applyFont="1" applyFill="1" applyBorder="1"/>
    <xf numFmtId="37" fontId="4" fillId="46" borderId="25" xfId="0" applyNumberFormat="1" applyFont="1" applyFill="1" applyBorder="1"/>
    <xf numFmtId="37" fontId="4" fillId="46" borderId="27" xfId="0" applyNumberFormat="1" applyFont="1" applyFill="1" applyBorder="1"/>
    <xf numFmtId="37" fontId="4" fillId="5" borderId="0" xfId="4" applyNumberFormat="1" applyFont="1" applyFill="1" applyBorder="1"/>
    <xf numFmtId="164" fontId="4" fillId="34" borderId="26" xfId="0" applyNumberFormat="1" applyFont="1" applyFill="1" applyBorder="1" applyProtection="1">
      <protection locked="0"/>
    </xf>
    <xf numFmtId="0" fontId="4" fillId="0" borderId="0" xfId="3" applyFont="1" applyFill="1" applyAlignment="1">
      <alignment horizontal="center" wrapText="1"/>
    </xf>
    <xf numFmtId="49" fontId="4" fillId="0" borderId="0" xfId="3" applyNumberFormat="1" applyFont="1" applyFill="1" applyAlignment="1">
      <alignment horizontal="center"/>
    </xf>
    <xf numFmtId="171" fontId="4" fillId="0" borderId="3" xfId="3" applyNumberFormat="1" applyFont="1" applyFill="1" applyBorder="1"/>
    <xf numFmtId="164" fontId="4" fillId="47" borderId="0" xfId="0" applyNumberFormat="1" applyFont="1" applyFill="1" applyProtection="1"/>
    <xf numFmtId="164" fontId="44" fillId="47" borderId="0" xfId="0" applyNumberFormat="1" applyFont="1" applyFill="1" applyProtection="1"/>
    <xf numFmtId="0" fontId="4" fillId="40" borderId="0" xfId="62" applyFont="1" applyFill="1" applyBorder="1"/>
    <xf numFmtId="190" fontId="4" fillId="40" borderId="0" xfId="106" applyNumberFormat="1" applyFont="1" applyFill="1" applyBorder="1"/>
    <xf numFmtId="166" fontId="4" fillId="40" borderId="0" xfId="62" applyNumberFormat="1" applyFont="1" applyFill="1" applyBorder="1"/>
    <xf numFmtId="190" fontId="4" fillId="40" borderId="3" xfId="106" applyNumberFormat="1" applyFont="1" applyFill="1" applyBorder="1"/>
    <xf numFmtId="0" fontId="4" fillId="40" borderId="7" xfId="62" applyFont="1" applyFill="1" applyBorder="1"/>
    <xf numFmtId="37" fontId="44" fillId="0" borderId="1" xfId="62" applyNumberFormat="1" applyFont="1" applyFill="1" applyBorder="1" applyProtection="1"/>
    <xf numFmtId="0" fontId="4" fillId="0" borderId="0" xfId="62" applyFont="1" applyFill="1" applyBorder="1" applyProtection="1"/>
    <xf numFmtId="0" fontId="4" fillId="0" borderId="0" xfId="62" applyFont="1" applyFill="1" applyProtection="1">
      <protection locked="0"/>
    </xf>
    <xf numFmtId="0" fontId="4" fillId="0" borderId="58" xfId="62" applyFont="1" applyFill="1" applyBorder="1" applyProtection="1"/>
    <xf numFmtId="10" fontId="9" fillId="0" borderId="0" xfId="0" applyNumberFormat="1" applyFont="1" applyFill="1" applyAlignment="1">
      <alignment horizontal="center"/>
    </xf>
    <xf numFmtId="0" fontId="27" fillId="40" borderId="0" xfId="62" quotePrefix="1" applyFont="1" applyFill="1" applyBorder="1" applyAlignment="1">
      <alignment horizontal="center"/>
    </xf>
    <xf numFmtId="190" fontId="4" fillId="34" borderId="0" xfId="106" applyNumberFormat="1" applyFont="1" applyFill="1" applyBorder="1"/>
    <xf numFmtId="166" fontId="4" fillId="34" borderId="0" xfId="62" applyNumberFormat="1" applyFont="1" applyFill="1" applyBorder="1"/>
    <xf numFmtId="0" fontId="4" fillId="40" borderId="1" xfId="62" applyFont="1" applyFill="1" applyBorder="1" applyAlignment="1">
      <alignment horizontal="centerContinuous"/>
    </xf>
    <xf numFmtId="0" fontId="4" fillId="34" borderId="1" xfId="0" applyFont="1" applyFill="1" applyBorder="1" applyAlignment="1">
      <alignment horizontal="centerContinuous"/>
    </xf>
    <xf numFmtId="190" fontId="4" fillId="34" borderId="3" xfId="106" applyNumberFormat="1" applyFont="1" applyFill="1" applyBorder="1"/>
    <xf numFmtId="0" fontId="27" fillId="34" borderId="0" xfId="0" applyFont="1" applyFill="1" applyBorder="1" applyAlignment="1">
      <alignment horizontal="center"/>
    </xf>
    <xf numFmtId="0" fontId="4" fillId="34" borderId="55" xfId="0" applyFont="1" applyFill="1" applyBorder="1" applyAlignment="1">
      <alignment horizontal="centerContinuous"/>
    </xf>
    <xf numFmtId="0" fontId="27" fillId="34" borderId="29" xfId="0" applyFont="1" applyFill="1" applyBorder="1" applyAlignment="1">
      <alignment horizontal="center"/>
    </xf>
    <xf numFmtId="0" fontId="4" fillId="34" borderId="29" xfId="0" applyFont="1" applyFill="1" applyBorder="1"/>
    <xf numFmtId="166" fontId="4" fillId="34" borderId="29" xfId="62" applyNumberFormat="1" applyFont="1" applyFill="1" applyBorder="1"/>
    <xf numFmtId="190" fontId="4" fillId="34" borderId="57" xfId="106" applyNumberFormat="1" applyFont="1" applyFill="1" applyBorder="1"/>
    <xf numFmtId="0" fontId="4" fillId="34" borderId="7" xfId="0" applyFont="1" applyFill="1" applyBorder="1"/>
    <xf numFmtId="0" fontId="4" fillId="34" borderId="53" xfId="0" applyFont="1" applyFill="1" applyBorder="1"/>
    <xf numFmtId="0" fontId="21" fillId="47" borderId="61" xfId="62" applyFont="1" applyFill="1" applyBorder="1" applyAlignment="1">
      <alignment horizontal="centerContinuous"/>
    </xf>
    <xf numFmtId="0" fontId="4" fillId="47" borderId="62" xfId="62" applyFont="1" applyFill="1" applyBorder="1" applyAlignment="1">
      <alignment horizontal="centerContinuous"/>
    </xf>
    <xf numFmtId="0" fontId="4" fillId="47" borderId="62" xfId="0" applyFont="1" applyFill="1" applyBorder="1" applyAlignment="1">
      <alignment horizontal="centerContinuous"/>
    </xf>
    <xf numFmtId="0" fontId="4" fillId="47" borderId="63" xfId="0" applyFont="1" applyFill="1" applyBorder="1" applyAlignment="1">
      <alignment horizontal="centerContinuous"/>
    </xf>
    <xf numFmtId="0" fontId="4" fillId="41" borderId="0" xfId="0" applyFont="1" applyFill="1" applyAlignment="1">
      <alignment horizontal="center"/>
    </xf>
    <xf numFmtId="37" fontId="44" fillId="41" borderId="1" xfId="62" applyNumberFormat="1" applyFont="1" applyFill="1" applyBorder="1" applyProtection="1"/>
    <xf numFmtId="0" fontId="4" fillId="41" borderId="1" xfId="0" applyFont="1" applyFill="1" applyBorder="1"/>
    <xf numFmtId="10" fontId="9" fillId="41" borderId="0" xfId="0" applyNumberFormat="1" applyFont="1" applyFill="1" applyAlignment="1">
      <alignment horizontal="center"/>
    </xf>
    <xf numFmtId="0" fontId="9" fillId="41" borderId="0" xfId="0" applyFont="1" applyFill="1"/>
    <xf numFmtId="37" fontId="4" fillId="41" borderId="1" xfId="0" applyNumberFormat="1" applyFont="1" applyFill="1" applyBorder="1"/>
    <xf numFmtId="0" fontId="4" fillId="41" borderId="24" xfId="0" applyFont="1" applyFill="1" applyBorder="1"/>
    <xf numFmtId="0" fontId="4" fillId="41" borderId="25" xfId="0" applyFont="1" applyFill="1" applyBorder="1"/>
    <xf numFmtId="37" fontId="4" fillId="41" borderId="1" xfId="0" applyNumberFormat="1" applyFont="1" applyFill="1" applyBorder="1" applyProtection="1"/>
    <xf numFmtId="0" fontId="4" fillId="41" borderId="0" xfId="62" applyFont="1" applyFill="1" applyBorder="1" applyProtection="1"/>
    <xf numFmtId="0" fontId="9" fillId="41" borderId="0" xfId="0" applyFont="1" applyFill="1" applyAlignment="1">
      <alignment horizontal="center"/>
    </xf>
    <xf numFmtId="37" fontId="4" fillId="41" borderId="0" xfId="0" applyNumberFormat="1" applyFont="1" applyFill="1"/>
    <xf numFmtId="37" fontId="4" fillId="41" borderId="26" xfId="0" applyNumberFormat="1" applyFont="1" applyFill="1" applyBorder="1" applyProtection="1"/>
    <xf numFmtId="37" fontId="4" fillId="41" borderId="0" xfId="0" applyNumberFormat="1" applyFont="1" applyFill="1" applyBorder="1" applyProtection="1"/>
    <xf numFmtId="37" fontId="4" fillId="41" borderId="27" xfId="0" applyNumberFormat="1" applyFont="1" applyFill="1" applyBorder="1" applyProtection="1"/>
    <xf numFmtId="37" fontId="4" fillId="41" borderId="0" xfId="0" applyNumberFormat="1" applyFont="1" applyFill="1" applyProtection="1"/>
    <xf numFmtId="0" fontId="4" fillId="41" borderId="0" xfId="62" applyFont="1" applyFill="1" applyProtection="1">
      <protection locked="0"/>
    </xf>
    <xf numFmtId="0" fontId="4" fillId="41" borderId="58" xfId="62" applyFont="1" applyFill="1" applyBorder="1" applyProtection="1"/>
    <xf numFmtId="37" fontId="4" fillId="41" borderId="21" xfId="0" applyNumberFormat="1" applyFont="1" applyFill="1" applyBorder="1" applyProtection="1"/>
    <xf numFmtId="37" fontId="19" fillId="41" borderId="22" xfId="0" applyNumberFormat="1" applyFont="1" applyFill="1" applyBorder="1" applyProtection="1"/>
    <xf numFmtId="37" fontId="19" fillId="41" borderId="2" xfId="0" applyNumberFormat="1" applyFont="1" applyFill="1" applyBorder="1" applyProtection="1"/>
    <xf numFmtId="37" fontId="19" fillId="41" borderId="23" xfId="0" applyNumberFormat="1" applyFont="1" applyFill="1" applyBorder="1" applyProtection="1"/>
    <xf numFmtId="0" fontId="4" fillId="41" borderId="26" xfId="0" applyFont="1" applyFill="1" applyBorder="1"/>
    <xf numFmtId="0" fontId="4" fillId="41" borderId="0" xfId="0" applyFont="1" applyFill="1" applyBorder="1"/>
    <xf numFmtId="0" fontId="4" fillId="41" borderId="27" xfId="0" applyFont="1" applyFill="1" applyBorder="1"/>
    <xf numFmtId="164" fontId="4" fillId="41" borderId="0" xfId="0" applyNumberFormat="1" applyFont="1" applyFill="1" applyProtection="1"/>
    <xf numFmtId="164" fontId="4" fillId="41" borderId="26" xfId="0" applyNumberFormat="1" applyFont="1" applyFill="1" applyBorder="1" applyProtection="1"/>
    <xf numFmtId="164" fontId="4" fillId="41" borderId="0" xfId="0" applyNumberFormat="1" applyFont="1" applyFill="1" applyBorder="1" applyProtection="1"/>
    <xf numFmtId="164" fontId="4" fillId="41" borderId="27" xfId="0" applyNumberFormat="1" applyFont="1" applyFill="1" applyBorder="1" applyProtection="1"/>
    <xf numFmtId="164" fontId="4" fillId="41" borderId="0" xfId="0" applyNumberFormat="1" applyFont="1" applyFill="1"/>
    <xf numFmtId="164" fontId="4" fillId="41" borderId="26" xfId="0" applyNumberFormat="1" applyFont="1" applyFill="1" applyBorder="1"/>
    <xf numFmtId="164" fontId="4" fillId="41" borderId="0" xfId="0" applyNumberFormat="1" applyFont="1" applyFill="1" applyBorder="1"/>
    <xf numFmtId="164" fontId="4" fillId="41" borderId="27" xfId="0" applyNumberFormat="1" applyFont="1" applyFill="1" applyBorder="1"/>
    <xf numFmtId="164" fontId="4" fillId="41" borderId="24" xfId="0" applyNumberFormat="1" applyFont="1" applyFill="1" applyBorder="1"/>
    <xf numFmtId="164" fontId="4" fillId="41" borderId="1" xfId="0" applyNumberFormat="1" applyFont="1" applyFill="1" applyBorder="1"/>
    <xf numFmtId="164" fontId="4" fillId="41" borderId="25" xfId="0" applyNumberFormat="1" applyFont="1" applyFill="1" applyBorder="1"/>
    <xf numFmtId="37" fontId="4" fillId="41" borderId="0" xfId="0" applyNumberFormat="1" applyFont="1" applyFill="1" applyProtection="1">
      <protection locked="0"/>
    </xf>
    <xf numFmtId="37" fontId="4" fillId="41" borderId="24" xfId="0" applyNumberFormat="1" applyFont="1" applyFill="1" applyBorder="1"/>
    <xf numFmtId="37" fontId="4" fillId="41" borderId="25" xfId="0" applyNumberFormat="1" applyFont="1" applyFill="1" applyBorder="1"/>
    <xf numFmtId="37" fontId="19" fillId="41" borderId="34" xfId="0" applyNumberFormat="1" applyFont="1" applyFill="1" applyBorder="1" applyProtection="1"/>
    <xf numFmtId="37" fontId="19" fillId="41" borderId="60" xfId="0" applyNumberFormat="1" applyFont="1" applyFill="1" applyBorder="1" applyProtection="1"/>
    <xf numFmtId="37" fontId="19" fillId="34" borderId="34" xfId="0" applyNumberFormat="1" applyFont="1" applyFill="1" applyBorder="1" applyProtection="1"/>
    <xf numFmtId="37" fontId="19" fillId="34" borderId="59" xfId="0" applyNumberFormat="1" applyFont="1" applyFill="1" applyBorder="1" applyProtection="1"/>
    <xf numFmtId="37" fontId="19" fillId="34" borderId="60" xfId="0" applyNumberFormat="1" applyFont="1" applyFill="1" applyBorder="1" applyProtection="1"/>
    <xf numFmtId="37" fontId="4" fillId="34" borderId="59" xfId="0" applyNumberFormat="1" applyFont="1" applyFill="1" applyBorder="1" applyProtection="1"/>
    <xf numFmtId="37" fontId="4" fillId="34" borderId="60" xfId="0" applyNumberFormat="1" applyFont="1" applyFill="1" applyBorder="1" applyProtection="1"/>
    <xf numFmtId="0" fontId="4" fillId="47" borderId="43" xfId="62" applyFont="1" applyFill="1" applyBorder="1"/>
    <xf numFmtId="0" fontId="27" fillId="47" borderId="43" xfId="62" quotePrefix="1" applyFont="1" applyFill="1" applyBorder="1" applyAlignment="1">
      <alignment horizontal="center"/>
    </xf>
    <xf numFmtId="190" fontId="4" fillId="47" borderId="43" xfId="106" applyNumberFormat="1" applyFont="1" applyFill="1" applyBorder="1"/>
    <xf numFmtId="166" fontId="4" fillId="47" borderId="43" xfId="62" applyNumberFormat="1" applyFont="1" applyFill="1" applyBorder="1"/>
    <xf numFmtId="190" fontId="4" fillId="47" borderId="56" xfId="106" applyNumberFormat="1" applyFont="1" applyFill="1" applyBorder="1"/>
    <xf numFmtId="0" fontId="4" fillId="47" borderId="47" xfId="62" applyFont="1" applyFill="1" applyBorder="1"/>
    <xf numFmtId="0" fontId="18" fillId="34" borderId="0" xfId="62" applyFont="1" applyFill="1" applyBorder="1" applyAlignment="1" applyProtection="1">
      <alignment horizontal="center"/>
      <protection locked="0"/>
    </xf>
    <xf numFmtId="0" fontId="27" fillId="40" borderId="0" xfId="62" applyFont="1" applyFill="1" applyBorder="1" applyAlignment="1">
      <alignment horizontal="center"/>
    </xf>
    <xf numFmtId="37" fontId="44" fillId="41" borderId="24" xfId="0" applyNumberFormat="1" applyFont="1" applyFill="1" applyBorder="1"/>
    <xf numFmtId="37" fontId="44" fillId="41" borderId="1" xfId="0" applyNumberFormat="1" applyFont="1" applyFill="1" applyBorder="1"/>
    <xf numFmtId="37" fontId="44" fillId="41" borderId="25" xfId="0" applyNumberFormat="1" applyFont="1" applyFill="1" applyBorder="1"/>
    <xf numFmtId="37" fontId="19" fillId="41" borderId="59" xfId="0" applyNumberFormat="1" applyFont="1" applyFill="1" applyBorder="1" applyProtection="1"/>
    <xf numFmtId="0" fontId="4" fillId="34" borderId="0" xfId="0" applyFont="1" applyFill="1" applyBorder="1" applyAlignment="1">
      <alignment horizontal="center" wrapText="1"/>
    </xf>
    <xf numFmtId="37" fontId="4" fillId="41" borderId="26" xfId="0" applyNumberFormat="1" applyFont="1" applyFill="1" applyBorder="1"/>
    <xf numFmtId="37" fontId="4" fillId="41" borderId="0" xfId="0" applyNumberFormat="1" applyFont="1" applyFill="1" applyBorder="1"/>
    <xf numFmtId="37" fontId="4" fillId="41" borderId="27" xfId="0" applyNumberFormat="1" applyFont="1" applyFill="1" applyBorder="1"/>
    <xf numFmtId="0" fontId="4" fillId="0" borderId="0" xfId="0" applyFont="1" applyFill="1" applyAlignment="1">
      <alignment horizontal="center"/>
    </xf>
    <xf numFmtId="37" fontId="19" fillId="0" borderId="19" xfId="0" applyNumberFormat="1" applyFont="1" applyFill="1" applyBorder="1" applyProtection="1"/>
    <xf numFmtId="37" fontId="19" fillId="0" borderId="4" xfId="0" applyNumberFormat="1" applyFont="1" applyFill="1" applyBorder="1" applyProtection="1"/>
    <xf numFmtId="37" fontId="19" fillId="0" borderId="20" xfId="0" applyNumberFormat="1" applyFont="1" applyFill="1" applyBorder="1" applyProtection="1"/>
    <xf numFmtId="37" fontId="4" fillId="41" borderId="24" xfId="0" applyNumberFormat="1" applyFont="1" applyFill="1" applyBorder="1" applyProtection="1"/>
    <xf numFmtId="37" fontId="4" fillId="41" borderId="25" xfId="0" applyNumberFormat="1" applyFont="1" applyFill="1" applyBorder="1" applyProtection="1"/>
    <xf numFmtId="37" fontId="4" fillId="41" borderId="59" xfId="0" applyNumberFormat="1" applyFont="1" applyFill="1" applyBorder="1"/>
    <xf numFmtId="37" fontId="4" fillId="41" borderId="60" xfId="0" applyNumberFormat="1" applyFont="1" applyFill="1" applyBorder="1"/>
    <xf numFmtId="37" fontId="4" fillId="41" borderId="34" xfId="0" applyNumberFormat="1" applyFont="1" applyFill="1" applyBorder="1"/>
    <xf numFmtId="0" fontId="4" fillId="40" borderId="55" xfId="62" applyFont="1" applyFill="1" applyBorder="1" applyAlignment="1">
      <alignment horizontal="centerContinuous"/>
    </xf>
    <xf numFmtId="0" fontId="27" fillId="40" borderId="29" xfId="62" quotePrefix="1" applyFont="1" applyFill="1" applyBorder="1" applyAlignment="1">
      <alignment horizontal="center"/>
    </xf>
    <xf numFmtId="0" fontId="4" fillId="40" borderId="29" xfId="62" applyFont="1" applyFill="1" applyBorder="1"/>
    <xf numFmtId="190" fontId="4" fillId="40" borderId="29" xfId="106" applyNumberFormat="1" applyFont="1" applyFill="1" applyBorder="1"/>
    <xf numFmtId="166" fontId="4" fillId="40" borderId="29" xfId="62" applyNumberFormat="1" applyFont="1" applyFill="1" applyBorder="1"/>
    <xf numFmtId="190" fontId="4" fillId="40" borderId="57" xfId="106" applyNumberFormat="1" applyFont="1" applyFill="1" applyBorder="1"/>
    <xf numFmtId="0" fontId="4" fillId="40" borderId="0" xfId="0" applyFont="1" applyFill="1" applyBorder="1"/>
    <xf numFmtId="0" fontId="4" fillId="40" borderId="53" xfId="62" applyFont="1" applyFill="1" applyBorder="1"/>
    <xf numFmtId="190" fontId="4" fillId="40" borderId="43" xfId="106" applyNumberFormat="1" applyFont="1" applyFill="1" applyBorder="1"/>
    <xf numFmtId="0" fontId="65" fillId="0" borderId="0" xfId="0" applyFont="1"/>
    <xf numFmtId="0" fontId="9" fillId="0" borderId="1" xfId="3" applyFont="1" applyBorder="1" applyAlignment="1">
      <alignment horizontal="center"/>
    </xf>
    <xf numFmtId="0" fontId="9" fillId="0" borderId="0" xfId="3" applyFont="1" applyAlignment="1">
      <alignment horizontal="center"/>
    </xf>
    <xf numFmtId="0" fontId="29" fillId="0" borderId="0" xfId="0" applyFont="1" applyAlignment="1">
      <alignment horizontal="left"/>
    </xf>
    <xf numFmtId="166" fontId="18" fillId="0" borderId="0" xfId="1" applyNumberFormat="1" applyFont="1" applyFill="1"/>
    <xf numFmtId="166" fontId="46" fillId="0" borderId="0" xfId="1" applyNumberFormat="1" applyFont="1" applyFill="1"/>
    <xf numFmtId="49" fontId="9" fillId="0" borderId="0" xfId="4" applyNumberFormat="1" applyFont="1" applyFill="1" applyAlignment="1">
      <alignment horizontal="left"/>
    </xf>
    <xf numFmtId="2" fontId="9" fillId="0" borderId="0" xfId="9" applyNumberFormat="1" applyFont="1" applyFill="1" applyAlignment="1">
      <alignment horizontal="left"/>
    </xf>
    <xf numFmtId="180" fontId="4" fillId="0" borderId="0" xfId="4" applyNumberFormat="1" applyFont="1" applyFill="1" applyAlignment="1">
      <alignment horizontal="left"/>
    </xf>
    <xf numFmtId="166" fontId="4" fillId="0" borderId="0" xfId="1" applyNumberFormat="1" applyFill="1"/>
    <xf numFmtId="0" fontId="4" fillId="0" borderId="0" xfId="4" applyFill="1" applyAlignment="1">
      <alignment horizontal="center"/>
    </xf>
    <xf numFmtId="165" fontId="4" fillId="0" borderId="0" xfId="4" applyNumberFormat="1" applyFill="1" applyAlignment="1">
      <alignment horizontal="center"/>
    </xf>
    <xf numFmtId="0" fontId="4" fillId="0" borderId="1" xfId="4" applyFill="1" applyBorder="1" applyAlignment="1">
      <alignment horizontal="center"/>
    </xf>
    <xf numFmtId="0" fontId="4" fillId="0" borderId="0" xfId="4" applyFill="1" applyBorder="1" applyAlignment="1">
      <alignment horizontal="center"/>
    </xf>
    <xf numFmtId="0" fontId="4" fillId="0" borderId="0" xfId="4" quotePrefix="1" applyFill="1" applyBorder="1" applyAlignment="1">
      <alignment horizontal="center"/>
    </xf>
    <xf numFmtId="37" fontId="27" fillId="0" borderId="0" xfId="4" applyNumberFormat="1" applyFont="1" applyFill="1"/>
    <xf numFmtId="0" fontId="4" fillId="0" borderId="0" xfId="4" applyFont="1" applyFill="1"/>
    <xf numFmtId="37" fontId="18" fillId="0" borderId="0" xfId="4" applyNumberFormat="1" applyFont="1" applyFill="1"/>
    <xf numFmtId="165" fontId="18" fillId="0" borderId="0" xfId="4" applyNumberFormat="1" applyFont="1" applyFill="1" applyAlignment="1">
      <alignment horizontal="center"/>
    </xf>
    <xf numFmtId="0" fontId="18" fillId="0" borderId="0" xfId="4" applyFont="1" applyFill="1"/>
    <xf numFmtId="10" fontId="4" fillId="0" borderId="0" xfId="12" applyNumberFormat="1" applyFont="1" applyFill="1"/>
    <xf numFmtId="166" fontId="27" fillId="0" borderId="0" xfId="1" applyNumberFormat="1" applyFont="1" applyFill="1"/>
    <xf numFmtId="0" fontId="29" fillId="0" borderId="0" xfId="3" applyFont="1" applyBorder="1" applyAlignment="1">
      <alignment horizontal="left" indent="1"/>
    </xf>
    <xf numFmtId="183" fontId="4" fillId="0" borderId="0" xfId="3" applyNumberFormat="1" applyFont="1" applyFill="1" applyProtection="1">
      <protection locked="0"/>
    </xf>
    <xf numFmtId="184" fontId="4" fillId="0" borderId="0" xfId="6" applyNumberFormat="1" applyFont="1" applyFill="1"/>
    <xf numFmtId="3" fontId="44" fillId="0" borderId="8" xfId="3" applyNumberFormat="1" applyFont="1" applyFill="1" applyBorder="1"/>
    <xf numFmtId="184" fontId="44" fillId="0" borderId="8" xfId="3" applyNumberFormat="1" applyFont="1" applyFill="1" applyBorder="1"/>
    <xf numFmtId="184" fontId="44" fillId="0" borderId="0" xfId="3" applyNumberFormat="1" applyFont="1" applyFill="1" applyBorder="1"/>
    <xf numFmtId="184" fontId="4" fillId="0" borderId="0" xfId="3" applyNumberFormat="1" applyFont="1" applyBorder="1"/>
    <xf numFmtId="37" fontId="4" fillId="0" borderId="0" xfId="3" quotePrefix="1" applyNumberFormat="1" applyFont="1" applyFill="1" applyProtection="1">
      <protection locked="0"/>
    </xf>
    <xf numFmtId="44" fontId="4" fillId="0" borderId="0" xfId="3" quotePrefix="1" applyNumberFormat="1" applyFont="1" applyFill="1" applyProtection="1">
      <protection locked="0"/>
    </xf>
    <xf numFmtId="39" fontId="4" fillId="0" borderId="0" xfId="3" quotePrefix="1" applyNumberFormat="1" applyFont="1" applyFill="1" applyProtection="1">
      <protection locked="0"/>
    </xf>
    <xf numFmtId="37" fontId="18" fillId="0" borderId="21" xfId="3" applyNumberFormat="1" applyFont="1" applyFill="1" applyBorder="1" applyAlignment="1" applyProtection="1">
      <alignment horizontal="right"/>
    </xf>
    <xf numFmtId="39" fontId="18" fillId="0" borderId="21" xfId="3" applyNumberFormat="1" applyFont="1" applyFill="1" applyBorder="1" applyAlignment="1" applyProtection="1">
      <alignment horizontal="right"/>
    </xf>
    <xf numFmtId="37" fontId="4" fillId="0" borderId="1" xfId="3" applyNumberFormat="1" applyFont="1" applyFill="1" applyBorder="1" applyProtection="1"/>
    <xf numFmtId="44" fontId="4" fillId="0" borderId="1" xfId="3" applyNumberFormat="1" applyFont="1" applyFill="1" applyBorder="1" applyProtection="1"/>
    <xf numFmtId="37" fontId="18" fillId="0" borderId="0" xfId="3" applyNumberFormat="1" applyFont="1" applyFill="1"/>
    <xf numFmtId="39" fontId="18" fillId="0" borderId="0" xfId="3" applyNumberFormat="1" applyFont="1" applyFill="1"/>
    <xf numFmtId="37" fontId="18" fillId="0" borderId="0" xfId="3" applyNumberFormat="1" applyFont="1" applyFill="1" applyAlignment="1" applyProtection="1">
      <alignment horizontal="right"/>
    </xf>
    <xf numFmtId="39" fontId="18" fillId="0" borderId="0" xfId="3" applyNumberFormat="1" applyFont="1" applyFill="1" applyAlignment="1" applyProtection="1">
      <alignment horizontal="right"/>
    </xf>
    <xf numFmtId="37" fontId="9" fillId="0" borderId="0" xfId="3" applyNumberFormat="1" applyFont="1" applyFill="1" applyAlignment="1" applyProtection="1">
      <alignment horizontal="left"/>
    </xf>
    <xf numFmtId="39" fontId="9" fillId="0" borderId="0" xfId="3" applyNumberFormat="1" applyFont="1" applyFill="1" applyAlignment="1" applyProtection="1">
      <alignment horizontal="left"/>
    </xf>
    <xf numFmtId="0" fontId="9" fillId="0" borderId="0" xfId="3" applyFont="1" applyFill="1" applyAlignment="1" applyProtection="1">
      <alignment horizontal="left"/>
    </xf>
    <xf numFmtId="37" fontId="9" fillId="0" borderId="0" xfId="3" applyNumberFormat="1" applyFont="1" applyFill="1"/>
    <xf numFmtId="39" fontId="9" fillId="0" borderId="0" xfId="3" applyNumberFormat="1" applyFont="1" applyFill="1"/>
    <xf numFmtId="37" fontId="9" fillId="0" borderId="0" xfId="3" applyNumberFormat="1" applyFont="1" applyFill="1" applyAlignment="1" applyProtection="1">
      <alignment horizontal="center"/>
    </xf>
    <xf numFmtId="39" fontId="9" fillId="0" borderId="0" xfId="3" applyNumberFormat="1" applyFont="1" applyFill="1" applyAlignment="1" applyProtection="1">
      <alignment horizontal="center"/>
    </xf>
    <xf numFmtId="37" fontId="9" fillId="0" borderId="1" xfId="3" applyNumberFormat="1" applyFont="1" applyFill="1" applyBorder="1" applyAlignment="1" applyProtection="1">
      <alignment horizontal="center"/>
    </xf>
    <xf numFmtId="39" fontId="9" fillId="0" borderId="1" xfId="3" applyNumberFormat="1" applyFont="1" applyFill="1" applyBorder="1" applyAlignment="1" applyProtection="1">
      <alignment horizontal="center"/>
    </xf>
    <xf numFmtId="3" fontId="4" fillId="0" borderId="0" xfId="8" applyNumberFormat="1" applyFont="1" applyFill="1"/>
    <xf numFmtId="42" fontId="4" fillId="0" borderId="0" xfId="8" applyNumberFormat="1" applyFont="1" applyFill="1"/>
    <xf numFmtId="42" fontId="4" fillId="0" borderId="3" xfId="8" applyNumberFormat="1" applyFont="1" applyFill="1" applyBorder="1"/>
    <xf numFmtId="4" fontId="4" fillId="0" borderId="0" xfId="8" applyNumberFormat="1" applyFont="1" applyFill="1"/>
    <xf numFmtId="49" fontId="4" fillId="0" borderId="1" xfId="3" applyNumberFormat="1" applyFont="1" applyFill="1" applyBorder="1" applyAlignment="1">
      <alignment horizontal="center"/>
    </xf>
    <xf numFmtId="49" fontId="4" fillId="0" borderId="1" xfId="3" applyNumberFormat="1" applyFont="1" applyFill="1" applyBorder="1" applyAlignment="1">
      <alignment horizontal="center" wrapText="1"/>
    </xf>
    <xf numFmtId="42" fontId="4" fillId="0" borderId="0" xfId="1" applyNumberFormat="1" applyFont="1" applyFill="1"/>
    <xf numFmtId="37" fontId="44" fillId="0" borderId="0" xfId="3" applyNumberFormat="1" applyFont="1" applyFill="1"/>
    <xf numFmtId="185" fontId="4" fillId="0" borderId="0" xfId="3" applyNumberFormat="1" applyFont="1" applyFill="1"/>
    <xf numFmtId="185" fontId="4" fillId="0" borderId="0" xfId="1" applyNumberFormat="1" applyFont="1" applyFill="1"/>
    <xf numFmtId="166" fontId="18" fillId="0" borderId="1" xfId="1" applyNumberFormat="1" applyFont="1" applyFill="1" applyBorder="1"/>
    <xf numFmtId="0" fontId="4" fillId="0" borderId="1" xfId="0" quotePrefix="1" applyFont="1" applyFill="1" applyBorder="1" applyAlignment="1">
      <alignment horizontal="left"/>
    </xf>
    <xf numFmtId="0" fontId="18" fillId="0" borderId="0" xfId="62" applyFont="1" applyAlignment="1">
      <alignment horizontal="center"/>
    </xf>
    <xf numFmtId="0" fontId="44" fillId="0" borderId="0" xfId="62" applyFont="1" applyAlignment="1">
      <alignment horizontal="centerContinuous"/>
    </xf>
    <xf numFmtId="0" fontId="44" fillId="0" borderId="0" xfId="62" applyFont="1" applyAlignment="1">
      <alignment horizontal="center"/>
    </xf>
    <xf numFmtId="164" fontId="4" fillId="0" borderId="0" xfId="0" applyNumberFormat="1" applyFont="1" applyBorder="1" applyProtection="1"/>
    <xf numFmtId="171" fontId="9" fillId="0" borderId="0" xfId="12" applyNumberFormat="1" applyFont="1" applyFill="1" applyBorder="1" applyAlignment="1">
      <alignment horizontal="center"/>
    </xf>
    <xf numFmtId="0" fontId="17" fillId="0" borderId="0" xfId="3" applyFont="1" applyFill="1"/>
    <xf numFmtId="0" fontId="17" fillId="0" borderId="0" xfId="3" applyFont="1" applyAlignment="1">
      <alignment horizontal="left"/>
    </xf>
    <xf numFmtId="0" fontId="4" fillId="5" borderId="0" xfId="3" applyFont="1" applyFill="1" applyAlignment="1" applyProtection="1">
      <alignment horizontal="center"/>
    </xf>
    <xf numFmtId="0" fontId="4" fillId="5" borderId="1" xfId="3" applyFont="1" applyFill="1" applyBorder="1" applyAlignment="1" applyProtection="1">
      <alignment horizontal="center"/>
    </xf>
    <xf numFmtId="2" fontId="4" fillId="5" borderId="0" xfId="3" applyNumberFormat="1" applyFont="1" applyFill="1" applyAlignment="1" applyProtection="1">
      <alignment horizontal="center"/>
    </xf>
    <xf numFmtId="39" fontId="44" fillId="5" borderId="0" xfId="3" applyNumberFormat="1" applyFont="1" applyFill="1" applyProtection="1"/>
    <xf numFmtId="0" fontId="4" fillId="5" borderId="0" xfId="3" applyFont="1" applyFill="1" applyProtection="1"/>
    <xf numFmtId="2" fontId="4" fillId="5" borderId="0" xfId="3" applyNumberFormat="1" applyFont="1" applyFill="1" applyAlignment="1">
      <alignment horizontal="center"/>
    </xf>
    <xf numFmtId="39" fontId="4" fillId="5" borderId="0" xfId="3" applyNumberFormat="1" applyFont="1" applyFill="1" applyProtection="1"/>
    <xf numFmtId="37" fontId="4" fillId="5" borderId="0" xfId="3" applyNumberFormat="1" applyFont="1" applyFill="1" applyAlignment="1" applyProtection="1">
      <alignment horizontal="right"/>
    </xf>
    <xf numFmtId="0" fontId="4" fillId="5" borderId="0" xfId="3" applyFont="1" applyFill="1" applyAlignment="1" applyProtection="1">
      <alignment horizontal="left"/>
    </xf>
    <xf numFmtId="0" fontId="4" fillId="0" borderId="0" xfId="6" applyFont="1" applyAlignment="1">
      <alignment horizontal="left"/>
    </xf>
    <xf numFmtId="3" fontId="4" fillId="0" borderId="0" xfId="6" applyNumberFormat="1" applyFont="1" applyAlignment="1">
      <alignment horizontal="right"/>
    </xf>
    <xf numFmtId="44" fontId="4" fillId="0" borderId="0" xfId="6" applyNumberFormat="1" applyFont="1" applyFill="1" applyAlignment="1">
      <alignment horizontal="right"/>
    </xf>
    <xf numFmtId="184" fontId="4" fillId="0" borderId="0" xfId="6" applyNumberFormat="1" applyFont="1" applyAlignment="1">
      <alignment horizontal="right"/>
    </xf>
    <xf numFmtId="37" fontId="9" fillId="0" borderId="0" xfId="1" applyNumberFormat="1" applyFont="1" applyAlignment="1">
      <alignment horizontal="center"/>
    </xf>
    <xf numFmtId="166" fontId="9" fillId="0" borderId="0" xfId="1" applyNumberFormat="1" applyFont="1" applyAlignment="1">
      <alignment horizontal="center"/>
    </xf>
    <xf numFmtId="0" fontId="17" fillId="0" borderId="0" xfId="3" applyFont="1" applyAlignment="1">
      <alignment horizontal="left" indent="1"/>
    </xf>
    <xf numFmtId="0" fontId="29" fillId="0" borderId="0" xfId="8" applyFont="1" applyAlignment="1">
      <alignment horizontal="left"/>
    </xf>
    <xf numFmtId="37" fontId="4" fillId="5" borderId="1" xfId="0" applyNumberFormat="1" applyFont="1" applyFill="1" applyBorder="1" applyProtection="1">
      <protection locked="0"/>
    </xf>
    <xf numFmtId="194" fontId="4" fillId="31" borderId="26" xfId="0" applyNumberFormat="1" applyFont="1" applyFill="1" applyBorder="1" applyProtection="1"/>
    <xf numFmtId="194" fontId="4" fillId="31" borderId="0" xfId="0" applyNumberFormat="1" applyFont="1" applyFill="1" applyBorder="1" applyProtection="1"/>
    <xf numFmtId="194" fontId="4" fillId="31" borderId="27" xfId="0" applyNumberFormat="1" applyFont="1" applyFill="1" applyBorder="1" applyProtection="1"/>
    <xf numFmtId="194" fontId="4" fillId="34" borderId="26" xfId="0" applyNumberFormat="1" applyFont="1" applyFill="1" applyBorder="1" applyProtection="1"/>
    <xf numFmtId="194" fontId="4" fillId="34" borderId="0" xfId="0" applyNumberFormat="1" applyFont="1" applyFill="1" applyBorder="1" applyProtection="1"/>
    <xf numFmtId="194" fontId="4" fillId="34" borderId="27" xfId="0" applyNumberFormat="1" applyFont="1" applyFill="1" applyBorder="1" applyProtection="1"/>
    <xf numFmtId="194" fontId="4" fillId="0" borderId="0" xfId="0" applyNumberFormat="1" applyFont="1" applyProtection="1"/>
    <xf numFmtId="14" fontId="9" fillId="0" borderId="0" xfId="3" applyNumberFormat="1" applyFont="1" applyAlignment="1">
      <alignment horizontal="left"/>
    </xf>
    <xf numFmtId="14" fontId="9" fillId="0" borderId="0" xfId="3" applyNumberFormat="1" applyFont="1" applyFill="1" applyAlignment="1">
      <alignment horizontal="left"/>
    </xf>
    <xf numFmtId="180" fontId="9" fillId="0" borderId="0" xfId="4" applyNumberFormat="1" applyFont="1" applyFill="1" applyAlignment="1">
      <alignment horizontal="left"/>
    </xf>
    <xf numFmtId="14" fontId="9" fillId="0" borderId="0" xfId="11" applyNumberFormat="1" applyFont="1" applyAlignment="1">
      <alignment horizontal="left"/>
    </xf>
    <xf numFmtId="39" fontId="4" fillId="0" borderId="0" xfId="0" applyNumberFormat="1" applyFont="1" applyFill="1" applyProtection="1">
      <protection locked="0"/>
    </xf>
    <xf numFmtId="39" fontId="19" fillId="0" borderId="2" xfId="0" applyNumberFormat="1" applyFont="1" applyFill="1" applyBorder="1" applyProtection="1"/>
    <xf numFmtId="37" fontId="4" fillId="0" borderId="0" xfId="0" applyNumberFormat="1" applyFont="1" applyFill="1"/>
    <xf numFmtId="37" fontId="4" fillId="34" borderId="26" xfId="0" applyNumberFormat="1" applyFont="1" applyFill="1" applyBorder="1"/>
    <xf numFmtId="37" fontId="4" fillId="34" borderId="0" xfId="0" applyNumberFormat="1" applyFont="1" applyFill="1" applyBorder="1"/>
    <xf numFmtId="37" fontId="4" fillId="34" borderId="27" xfId="0" applyNumberFormat="1" applyFont="1" applyFill="1" applyBorder="1"/>
    <xf numFmtId="0" fontId="59" fillId="0" borderId="0" xfId="0" applyFont="1"/>
    <xf numFmtId="0" fontId="59" fillId="0" borderId="0" xfId="3" applyFont="1"/>
    <xf numFmtId="0" fontId="59" fillId="0" borderId="0" xfId="3" applyFont="1" applyAlignment="1"/>
    <xf numFmtId="0" fontId="66" fillId="0" borderId="19" xfId="62" applyFont="1" applyBorder="1" applyAlignment="1">
      <alignment horizontal="centerContinuous" vertical="top"/>
    </xf>
    <xf numFmtId="0" fontId="66" fillId="0" borderId="4" xfId="62" applyFont="1" applyBorder="1" applyAlignment="1">
      <alignment horizontal="centerContinuous" vertical="top"/>
    </xf>
    <xf numFmtId="0" fontId="66" fillId="0" borderId="20" xfId="62" applyFont="1" applyBorder="1" applyAlignment="1">
      <alignment horizontal="centerContinuous" vertical="top" wrapText="1"/>
    </xf>
    <xf numFmtId="0" fontId="67" fillId="0" borderId="0" xfId="3" applyFont="1" applyAlignment="1">
      <alignment horizontal="center"/>
    </xf>
    <xf numFmtId="0" fontId="67" fillId="0" borderId="0" xfId="62" applyFont="1" applyAlignment="1">
      <alignment horizontal="center" vertical="top"/>
    </xf>
    <xf numFmtId="0" fontId="67" fillId="0" borderId="0" xfId="62" applyFont="1" applyAlignment="1">
      <alignment horizontal="center" vertical="top" wrapText="1"/>
    </xf>
    <xf numFmtId="0" fontId="67" fillId="0" borderId="0" xfId="3" applyFont="1" applyAlignment="1">
      <alignment horizontal="left"/>
    </xf>
    <xf numFmtId="0" fontId="59" fillId="0" borderId="0" xfId="3" applyFont="1" applyAlignment="1">
      <alignment horizontal="left" wrapText="1"/>
    </xf>
    <xf numFmtId="0" fontId="59" fillId="0" borderId="0" xfId="3" applyFont="1" applyAlignment="1">
      <alignment wrapText="1"/>
    </xf>
    <xf numFmtId="0" fontId="59" fillId="0" borderId="0" xfId="3" applyFont="1" applyAlignment="1">
      <alignment horizontal="left"/>
    </xf>
    <xf numFmtId="0" fontId="59" fillId="0" borderId="0" xfId="3" applyFont="1" applyFill="1" applyAlignment="1">
      <alignment wrapText="1"/>
    </xf>
    <xf numFmtId="0" fontId="59" fillId="0" borderId="0" xfId="3" applyFont="1" applyFill="1" applyAlignment="1"/>
    <xf numFmtId="0" fontId="59" fillId="0" borderId="0" xfId="62" applyFont="1" applyAlignment="1">
      <alignment vertical="top"/>
    </xf>
    <xf numFmtId="0" fontId="59" fillId="0" borderId="0" xfId="62" applyFont="1" applyAlignment="1">
      <alignment vertical="top" wrapText="1"/>
    </xf>
    <xf numFmtId="0" fontId="59" fillId="0" borderId="0" xfId="62" applyFont="1" applyAlignment="1"/>
    <xf numFmtId="0" fontId="59" fillId="0" borderId="0" xfId="62" applyFont="1" applyFill="1" applyAlignment="1" applyProtection="1">
      <alignment horizontal="left" vertical="top" wrapText="1"/>
      <protection locked="0"/>
    </xf>
    <xf numFmtId="0" fontId="59" fillId="0" borderId="0" xfId="62" applyFont="1"/>
    <xf numFmtId="0" fontId="59" fillId="0" borderId="0" xfId="62" applyFont="1" applyFill="1"/>
    <xf numFmtId="0" fontId="68" fillId="0" borderId="0" xfId="3" applyFont="1" applyAlignment="1"/>
    <xf numFmtId="0" fontId="59" fillId="0" borderId="0" xfId="13" applyFont="1"/>
    <xf numFmtId="0" fontId="66" fillId="0" borderId="0" xfId="62" applyFont="1" applyAlignment="1">
      <alignment vertical="top"/>
    </xf>
    <xf numFmtId="0" fontId="66" fillId="0" borderId="0" xfId="62" applyFont="1" applyAlignment="1"/>
    <xf numFmtId="0" fontId="66" fillId="0" borderId="0" xfId="62" applyFont="1" applyFill="1" applyAlignment="1"/>
    <xf numFmtId="0" fontId="59" fillId="5" borderId="0" xfId="3" applyFont="1" applyFill="1" applyAlignment="1"/>
    <xf numFmtId="0" fontId="29" fillId="0" borderId="0" xfId="400" applyFont="1"/>
    <xf numFmtId="0" fontId="29" fillId="0" borderId="0" xfId="400" applyFont="1"/>
    <xf numFmtId="0" fontId="29" fillId="0" borderId="0" xfId="400" applyFont="1"/>
    <xf numFmtId="0" fontId="29" fillId="0" borderId="0" xfId="400" applyFont="1"/>
    <xf numFmtId="0" fontId="29" fillId="0" borderId="0" xfId="400" applyFont="1"/>
    <xf numFmtId="0" fontId="4" fillId="0" borderId="0" xfId="0" applyFont="1" applyFill="1" applyAlignment="1">
      <alignment horizontal="right"/>
    </xf>
    <xf numFmtId="0" fontId="9" fillId="0" borderId="0" xfId="0" applyFont="1" applyFill="1" applyAlignment="1" applyProtection="1">
      <alignment horizontal="left"/>
    </xf>
    <xf numFmtId="0" fontId="4" fillId="0" borderId="0" xfId="0" applyFont="1" applyFill="1" applyAlignment="1" applyProtection="1">
      <alignment horizontal="center"/>
      <protection locked="0"/>
    </xf>
    <xf numFmtId="0" fontId="19" fillId="0" borderId="2" xfId="0" applyFont="1" applyFill="1" applyBorder="1"/>
    <xf numFmtId="0" fontId="11" fillId="0" borderId="2" xfId="0" applyFont="1" applyFill="1" applyBorder="1" applyAlignment="1" applyProtection="1">
      <protection locked="0"/>
    </xf>
    <xf numFmtId="0" fontId="11" fillId="0" borderId="2" xfId="0" applyFont="1" applyFill="1" applyBorder="1" applyAlignment="1" applyProtection="1">
      <alignment horizontal="center"/>
      <protection locked="0"/>
    </xf>
    <xf numFmtId="0" fontId="29" fillId="0" borderId="0" xfId="0" applyFont="1" applyFill="1" applyBorder="1" applyAlignment="1" applyProtection="1">
      <alignment horizontal="center"/>
      <protection locked="0"/>
    </xf>
    <xf numFmtId="0" fontId="9" fillId="0" borderId="0" xfId="0" applyFont="1" applyFill="1" applyAlignment="1" applyProtection="1">
      <alignment horizontal="left"/>
      <protection locked="0"/>
    </xf>
    <xf numFmtId="0" fontId="4" fillId="0" borderId="0" xfId="7" applyFont="1" applyFill="1" applyAlignment="1">
      <alignment horizontal="center"/>
    </xf>
    <xf numFmtId="37" fontId="4" fillId="0" borderId="0" xfId="7" applyNumberFormat="1" applyFont="1" applyFill="1"/>
    <xf numFmtId="37" fontId="4" fillId="0" borderId="3" xfId="7" applyNumberFormat="1" applyFont="1" applyFill="1" applyBorder="1"/>
    <xf numFmtId="37" fontId="18" fillId="0" borderId="0" xfId="7" applyNumberFormat="1" applyFont="1" applyFill="1"/>
    <xf numFmtId="37" fontId="44" fillId="0" borderId="0" xfId="7" applyNumberFormat="1" applyFont="1" applyFill="1"/>
    <xf numFmtId="37" fontId="4" fillId="0" borderId="1" xfId="7" applyNumberFormat="1" applyFont="1" applyFill="1" applyBorder="1"/>
    <xf numFmtId="0" fontId="45" fillId="0" borderId="0" xfId="0" applyFont="1" applyFill="1"/>
    <xf numFmtId="0" fontId="4" fillId="0" borderId="0" xfId="7" applyFont="1" applyFill="1"/>
    <xf numFmtId="37" fontId="4" fillId="0" borderId="21" xfId="7" applyNumberFormat="1" applyFont="1" applyFill="1" applyBorder="1"/>
    <xf numFmtId="37" fontId="4" fillId="0" borderId="2" xfId="7" applyNumberFormat="1" applyFont="1" applyFill="1" applyBorder="1"/>
    <xf numFmtId="37" fontId="4" fillId="0" borderId="3" xfId="7" applyNumberFormat="1" applyFont="1" applyFill="1" applyBorder="1" applyAlignment="1"/>
    <xf numFmtId="37" fontId="4" fillId="0" borderId="4" xfId="7" applyNumberFormat="1" applyFont="1" applyFill="1" applyBorder="1"/>
    <xf numFmtId="37" fontId="27" fillId="0" borderId="0" xfId="7" applyNumberFormat="1" applyFont="1" applyFill="1"/>
    <xf numFmtId="37" fontId="4" fillId="43" borderId="0" xfId="7" applyNumberFormat="1" applyFont="1" applyFill="1"/>
    <xf numFmtId="0" fontId="9" fillId="0" borderId="1" xfId="3" applyFont="1" applyBorder="1" applyAlignment="1">
      <alignment horizontal="center"/>
    </xf>
    <xf numFmtId="0" fontId="9" fillId="0" borderId="0" xfId="3" applyFont="1" applyAlignment="1">
      <alignment horizontal="center"/>
    </xf>
    <xf numFmtId="37" fontId="4" fillId="5" borderId="0" xfId="7" applyNumberFormat="1" applyFont="1" applyFill="1"/>
    <xf numFmtId="0" fontId="83" fillId="0" borderId="0" xfId="0" applyFont="1"/>
    <xf numFmtId="3" fontId="0" fillId="0" borderId="0" xfId="0" applyNumberFormat="1"/>
    <xf numFmtId="185" fontId="0" fillId="0" borderId="0" xfId="0" applyNumberFormat="1"/>
    <xf numFmtId="0" fontId="83" fillId="0" borderId="151" xfId="0" applyFont="1" applyBorder="1"/>
    <xf numFmtId="0" fontId="83" fillId="0" borderId="152" xfId="0" applyFont="1" applyBorder="1"/>
    <xf numFmtId="3" fontId="83" fillId="0" borderId="152" xfId="0" applyNumberFormat="1" applyFont="1" applyBorder="1"/>
    <xf numFmtId="185" fontId="83" fillId="0" borderId="152" xfId="0" applyNumberFormat="1" applyFont="1" applyBorder="1"/>
    <xf numFmtId="0" fontId="83" fillId="0" borderId="0" xfId="0" applyFont="1" applyBorder="1"/>
    <xf numFmtId="0" fontId="83" fillId="93" borderId="153" xfId="0" applyFont="1" applyFill="1" applyBorder="1"/>
    <xf numFmtId="3" fontId="83" fillId="93" borderId="153" xfId="0" applyNumberFormat="1" applyFont="1" applyFill="1" applyBorder="1"/>
    <xf numFmtId="185" fontId="83" fillId="93" borderId="153" xfId="0" applyNumberFormat="1" applyFont="1" applyFill="1" applyBorder="1"/>
    <xf numFmtId="44" fontId="4" fillId="5" borderId="0" xfId="3" applyNumberFormat="1" applyFont="1" applyFill="1" applyAlignment="1">
      <alignment horizontal="right"/>
    </xf>
    <xf numFmtId="44" fontId="4" fillId="5" borderId="0" xfId="3" applyNumberFormat="1" applyFont="1" applyFill="1" applyAlignment="1">
      <alignment horizontal="center"/>
    </xf>
    <xf numFmtId="39" fontId="4" fillId="5" borderId="0" xfId="3" applyNumberFormat="1" applyFont="1" applyFill="1" applyAlignment="1">
      <alignment horizontal="right"/>
    </xf>
    <xf numFmtId="39" fontId="4" fillId="5" borderId="0" xfId="3" applyNumberFormat="1" applyFont="1" applyFill="1"/>
    <xf numFmtId="44" fontId="4" fillId="5" borderId="3" xfId="3" quotePrefix="1" applyNumberFormat="1" applyFont="1" applyFill="1" applyBorder="1"/>
    <xf numFmtId="44" fontId="4" fillId="5" borderId="3" xfId="3" applyNumberFormat="1" applyFont="1" applyFill="1" applyBorder="1"/>
    <xf numFmtId="10" fontId="4" fillId="5" borderId="0" xfId="3" applyNumberFormat="1" applyFont="1" applyFill="1"/>
    <xf numFmtId="10" fontId="4" fillId="5" borderId="0" xfId="12" applyNumberFormat="1" applyFont="1" applyFill="1"/>
    <xf numFmtId="2" fontId="4" fillId="5" borderId="0" xfId="3" applyNumberFormat="1" applyFont="1" applyFill="1"/>
    <xf numFmtId="37" fontId="4" fillId="5" borderId="0" xfId="3" applyNumberFormat="1" applyFont="1" applyFill="1" applyAlignment="1">
      <alignment horizontal="right"/>
    </xf>
    <xf numFmtId="3" fontId="4" fillId="5" borderId="0" xfId="3" applyNumberFormat="1" applyFont="1" applyFill="1"/>
    <xf numFmtId="37" fontId="4" fillId="5" borderId="0" xfId="3" applyNumberFormat="1" applyFont="1" applyFill="1"/>
    <xf numFmtId="37" fontId="4" fillId="5" borderId="3" xfId="3" quotePrefix="1" applyNumberFormat="1" applyFont="1" applyFill="1" applyBorder="1"/>
    <xf numFmtId="37" fontId="4" fillId="5" borderId="3" xfId="3" applyNumberFormat="1" applyFont="1" applyFill="1" applyBorder="1"/>
    <xf numFmtId="49" fontId="4" fillId="5" borderId="0" xfId="3" applyNumberFormat="1" applyFont="1" applyFill="1"/>
    <xf numFmtId="44" fontId="4" fillId="5" borderId="0" xfId="3" applyNumberFormat="1" applyFont="1" applyFill="1"/>
    <xf numFmtId="4" fontId="4" fillId="5" borderId="0" xfId="3" applyNumberFormat="1" applyFont="1" applyFill="1"/>
    <xf numFmtId="39" fontId="4" fillId="5" borderId="9" xfId="3" applyNumberFormat="1" applyFont="1" applyFill="1" applyBorder="1"/>
    <xf numFmtId="49" fontId="9" fillId="5" borderId="1" xfId="3" applyNumberFormat="1" applyFont="1" applyFill="1" applyBorder="1" applyAlignment="1">
      <alignment horizontal="center" wrapText="1"/>
    </xf>
    <xf numFmtId="4" fontId="4" fillId="5" borderId="0" xfId="3" applyNumberFormat="1" applyFont="1" applyFill="1" applyAlignment="1">
      <alignment horizontal="center"/>
    </xf>
    <xf numFmtId="37" fontId="4" fillId="5" borderId="0" xfId="3" applyNumberFormat="1" applyFont="1" applyFill="1" applyBorder="1"/>
    <xf numFmtId="171" fontId="4" fillId="5" borderId="0" xfId="12" applyNumberFormat="1" applyFont="1" applyFill="1"/>
    <xf numFmtId="37" fontId="4" fillId="5" borderId="4" xfId="3" applyNumberFormat="1" applyFont="1" applyFill="1" applyBorder="1"/>
    <xf numFmtId="171" fontId="4" fillId="5" borderId="4" xfId="12" applyNumberFormat="1" applyFont="1" applyFill="1" applyBorder="1"/>
    <xf numFmtId="37" fontId="9" fillId="0" borderId="1" xfId="3" applyNumberFormat="1" applyFont="1" applyBorder="1" applyAlignment="1" applyProtection="1">
      <alignment horizontal="center"/>
    </xf>
    <xf numFmtId="0" fontId="9" fillId="0" borderId="1" xfId="3" applyFont="1" applyBorder="1" applyAlignment="1" applyProtection="1">
      <alignment horizontal="center"/>
    </xf>
    <xf numFmtId="3" fontId="4" fillId="5" borderId="0" xfId="3" applyNumberFormat="1" applyFont="1" applyFill="1" applyAlignment="1">
      <alignment horizontal="right"/>
    </xf>
    <xf numFmtId="0" fontId="0" fillId="0" borderId="0" xfId="0" applyAlignment="1">
      <alignment horizontal="left"/>
    </xf>
    <xf numFmtId="0" fontId="29" fillId="0" borderId="0" xfId="400" applyFont="1" applyFill="1"/>
    <xf numFmtId="0" fontId="4" fillId="0" borderId="0" xfId="62" applyFont="1" applyFill="1" applyProtection="1"/>
    <xf numFmtId="0" fontId="9" fillId="34" borderId="146" xfId="0" applyFont="1" applyFill="1" applyBorder="1" applyAlignment="1" applyProtection="1">
      <alignment horizontal="centerContinuous"/>
      <protection locked="0"/>
    </xf>
    <xf numFmtId="0" fontId="9" fillId="0" borderId="1" xfId="62" applyFont="1" applyBorder="1"/>
    <xf numFmtId="0" fontId="4" fillId="0" borderId="154" xfId="62" applyFont="1" applyFill="1" applyBorder="1" applyAlignment="1" applyProtection="1">
      <alignment horizontal="center"/>
    </xf>
    <xf numFmtId="0" fontId="4" fillId="0" borderId="154" xfId="62" applyFont="1" applyFill="1" applyBorder="1" applyAlignment="1" applyProtection="1">
      <alignment horizontal="center"/>
      <protection locked="0"/>
    </xf>
    <xf numFmtId="0" fontId="9" fillId="0" borderId="1" xfId="0" applyFont="1" applyFill="1" applyBorder="1"/>
    <xf numFmtId="0" fontId="10" fillId="0" borderId="0" xfId="62"/>
    <xf numFmtId="0" fontId="9" fillId="0" borderId="0" xfId="175" applyFont="1" applyFill="1" applyBorder="1" applyProtection="1"/>
    <xf numFmtId="0" fontId="9" fillId="0" borderId="0" xfId="175" applyFont="1" applyFill="1" applyAlignment="1" applyProtection="1">
      <alignment horizontal="right"/>
    </xf>
    <xf numFmtId="0" fontId="10" fillId="0" borderId="0" xfId="62" applyFill="1"/>
    <xf numFmtId="0" fontId="4" fillId="34" borderId="155" xfId="0" applyFont="1" applyFill="1" applyBorder="1" applyAlignment="1" applyProtection="1">
      <alignment horizontal="center"/>
    </xf>
    <xf numFmtId="0" fontId="4" fillId="34" borderId="21" xfId="0" applyFont="1" applyFill="1" applyBorder="1" applyAlignment="1" applyProtection="1">
      <alignment horizontal="center"/>
    </xf>
    <xf numFmtId="0" fontId="4" fillId="34" borderId="35" xfId="0" applyFont="1" applyFill="1" applyBorder="1" applyAlignment="1" applyProtection="1">
      <alignment horizontal="center"/>
    </xf>
    <xf numFmtId="0" fontId="27" fillId="0" borderId="0" xfId="62" applyFont="1" applyFill="1" applyBorder="1" applyProtection="1"/>
    <xf numFmtId="0" fontId="9" fillId="34" borderId="26" xfId="0" applyFont="1" applyFill="1" applyBorder="1"/>
    <xf numFmtId="0" fontId="9" fillId="34" borderId="0" xfId="0" applyFont="1" applyFill="1" applyBorder="1"/>
    <xf numFmtId="0" fontId="9" fillId="34" borderId="27" xfId="0" applyFont="1" applyFill="1" applyBorder="1"/>
    <xf numFmtId="0" fontId="18" fillId="0" borderId="0" xfId="62" applyFont="1" applyFill="1" applyProtection="1">
      <protection locked="0"/>
    </xf>
    <xf numFmtId="0" fontId="18" fillId="0" borderId="0" xfId="62" applyFont="1" applyFill="1" applyAlignment="1" applyProtection="1">
      <alignment horizontal="center"/>
      <protection locked="0"/>
    </xf>
    <xf numFmtId="0" fontId="4" fillId="0" borderId="1" xfId="62" applyFont="1" applyFill="1" applyBorder="1" applyProtection="1"/>
    <xf numFmtId="37" fontId="44" fillId="0" borderId="1" xfId="0" applyNumberFormat="1" applyFont="1" applyFill="1" applyBorder="1" applyProtection="1">
      <protection locked="0"/>
    </xf>
    <xf numFmtId="0" fontId="4" fillId="0" borderId="148" xfId="62" applyFont="1" applyFill="1" applyBorder="1" applyProtection="1"/>
    <xf numFmtId="0" fontId="4" fillId="0" borderId="0" xfId="62" applyFont="1" applyFill="1" applyAlignment="1" applyProtection="1">
      <alignment horizontal="center"/>
    </xf>
    <xf numFmtId="0" fontId="10" fillId="0" borderId="0" xfId="62" applyFont="1" applyFill="1" applyAlignment="1">
      <alignment horizontal="center"/>
    </xf>
    <xf numFmtId="0" fontId="9" fillId="0" borderId="0" xfId="62" applyFont="1" applyFill="1" applyProtection="1"/>
    <xf numFmtId="0" fontId="27" fillId="0" borderId="0" xfId="62" applyFont="1" applyFill="1" applyProtection="1"/>
    <xf numFmtId="0" fontId="18" fillId="0" borderId="0" xfId="62" applyFont="1" applyFill="1"/>
    <xf numFmtId="0" fontId="9" fillId="0" borderId="0" xfId="175" applyFont="1" applyFill="1" applyProtection="1"/>
    <xf numFmtId="0" fontId="4" fillId="0" borderId="0" xfId="175" applyFont="1" applyFill="1" applyProtection="1"/>
    <xf numFmtId="0" fontId="4" fillId="0" borderId="0" xfId="175" applyFont="1" applyFill="1" applyAlignment="1" applyProtection="1">
      <alignment horizontal="center"/>
    </xf>
    <xf numFmtId="37" fontId="9" fillId="0" borderId="0" xfId="62" applyNumberFormat="1" applyFont="1" applyFill="1" applyBorder="1" applyProtection="1"/>
    <xf numFmtId="0" fontId="4" fillId="0" borderId="0" xfId="62" applyFont="1" applyFill="1"/>
    <xf numFmtId="37" fontId="4" fillId="0" borderId="1" xfId="0" applyNumberFormat="1" applyFont="1" applyFill="1" applyBorder="1"/>
    <xf numFmtId="37" fontId="4" fillId="34" borderId="24" xfId="0" applyNumberFormat="1" applyFont="1" applyFill="1" applyBorder="1"/>
    <xf numFmtId="37" fontId="4" fillId="34" borderId="1" xfId="0" applyNumberFormat="1" applyFont="1" applyFill="1" applyBorder="1"/>
    <xf numFmtId="37" fontId="4" fillId="34" borderId="25" xfId="0" applyNumberFormat="1" applyFont="1" applyFill="1" applyBorder="1"/>
    <xf numFmtId="37" fontId="4" fillId="0" borderId="1" xfId="0" applyNumberFormat="1" applyFont="1" applyBorder="1"/>
    <xf numFmtId="209" fontId="4" fillId="0" borderId="0" xfId="62" applyNumberFormat="1" applyFont="1" applyFill="1" applyProtection="1"/>
    <xf numFmtId="209" fontId="4" fillId="34" borderId="26" xfId="62" applyNumberFormat="1" applyFont="1" applyFill="1" applyBorder="1" applyProtection="1"/>
    <xf numFmtId="209" fontId="4" fillId="34" borderId="0" xfId="62" applyNumberFormat="1" applyFont="1" applyFill="1" applyBorder="1" applyProtection="1"/>
    <xf numFmtId="209" fontId="4" fillId="34" borderId="27" xfId="62" applyNumberFormat="1" applyFont="1" applyFill="1" applyBorder="1" applyProtection="1"/>
    <xf numFmtId="0" fontId="48" fillId="0" borderId="0" xfId="62" applyFont="1" applyFill="1" applyAlignment="1" applyProtection="1">
      <alignment horizontal="left"/>
    </xf>
    <xf numFmtId="37" fontId="4" fillId="0" borderId="0" xfId="62" applyNumberFormat="1" applyFont="1" applyFill="1" applyProtection="1"/>
    <xf numFmtId="37" fontId="9" fillId="0" borderId="0" xfId="0" applyNumberFormat="1" applyFont="1" applyFill="1"/>
    <xf numFmtId="37" fontId="4" fillId="34" borderId="26" xfId="62" applyNumberFormat="1" applyFont="1" applyFill="1" applyBorder="1" applyProtection="1"/>
    <xf numFmtId="37" fontId="4" fillId="34" borderId="0" xfId="62" applyNumberFormat="1" applyFont="1" applyFill="1" applyBorder="1" applyProtection="1"/>
    <xf numFmtId="37" fontId="4" fillId="34" borderId="27" xfId="62" applyNumberFormat="1" applyFont="1" applyFill="1" applyBorder="1" applyProtection="1"/>
    <xf numFmtId="37" fontId="4" fillId="0" borderId="148" xfId="62" applyNumberFormat="1" applyFont="1" applyFill="1" applyBorder="1" applyProtection="1"/>
    <xf numFmtId="37" fontId="4" fillId="34" borderId="156" xfId="62" applyNumberFormat="1" applyFont="1" applyFill="1" applyBorder="1" applyProtection="1"/>
    <xf numFmtId="37" fontId="4" fillId="34" borderId="148" xfId="62" applyNumberFormat="1" applyFont="1" applyFill="1" applyBorder="1" applyProtection="1"/>
    <xf numFmtId="37" fontId="4" fillId="34" borderId="157" xfId="62" applyNumberFormat="1" applyFont="1" applyFill="1" applyBorder="1" applyProtection="1"/>
    <xf numFmtId="170" fontId="4" fillId="0" borderId="0" xfId="62" quotePrefix="1" applyNumberFormat="1" applyFont="1" applyFill="1" applyBorder="1" applyProtection="1"/>
    <xf numFmtId="170" fontId="4" fillId="34" borderId="24" xfId="62" quotePrefix="1" applyNumberFormat="1" applyFont="1" applyFill="1" applyBorder="1" applyProtection="1"/>
    <xf numFmtId="170" fontId="4" fillId="34" borderId="1" xfId="62" quotePrefix="1" applyNumberFormat="1" applyFont="1" applyFill="1" applyBorder="1" applyProtection="1"/>
    <xf numFmtId="170" fontId="4" fillId="34" borderId="25" xfId="62" quotePrefix="1" applyNumberFormat="1" applyFont="1" applyFill="1" applyBorder="1" applyProtection="1"/>
    <xf numFmtId="0" fontId="4" fillId="31" borderId="155" xfId="0" applyFont="1" applyFill="1" applyBorder="1" applyAlignment="1" applyProtection="1">
      <alignment horizontal="center"/>
    </xf>
    <xf numFmtId="0" fontId="4" fillId="31" borderId="21" xfId="0" applyFont="1" applyFill="1" applyBorder="1" applyAlignment="1" applyProtection="1">
      <alignment horizontal="center"/>
    </xf>
    <xf numFmtId="0" fontId="4" fillId="31" borderId="35" xfId="0" applyFont="1" applyFill="1" applyBorder="1" applyAlignment="1" applyProtection="1">
      <alignment horizontal="center"/>
    </xf>
    <xf numFmtId="0" fontId="9" fillId="31" borderId="26" xfId="0" applyFont="1" applyFill="1" applyBorder="1"/>
    <xf numFmtId="0" fontId="9" fillId="31" borderId="0" xfId="0" applyFont="1" applyFill="1" applyBorder="1"/>
    <xf numFmtId="0" fontId="9" fillId="31" borderId="27" xfId="0" applyFont="1" applyFill="1" applyBorder="1"/>
    <xf numFmtId="37" fontId="4" fillId="31" borderId="26" xfId="0" applyNumberFormat="1" applyFont="1" applyFill="1" applyBorder="1"/>
    <xf numFmtId="37" fontId="4" fillId="31" borderId="0" xfId="0" applyNumberFormat="1" applyFont="1" applyFill="1" applyBorder="1"/>
    <xf numFmtId="37" fontId="4" fillId="31" borderId="27" xfId="0" applyNumberFormat="1" applyFont="1" applyFill="1" applyBorder="1"/>
    <xf numFmtId="37" fontId="4" fillId="31" borderId="24" xfId="0" applyNumberFormat="1" applyFont="1" applyFill="1" applyBorder="1"/>
    <xf numFmtId="37" fontId="4" fillId="31" borderId="1" xfId="0" applyNumberFormat="1" applyFont="1" applyFill="1" applyBorder="1"/>
    <xf numFmtId="37" fontId="4" fillId="31" borderId="25" xfId="0" applyNumberFormat="1" applyFont="1" applyFill="1" applyBorder="1"/>
    <xf numFmtId="209" fontId="4" fillId="31" borderId="26" xfId="62" applyNumberFormat="1" applyFont="1" applyFill="1" applyBorder="1" applyProtection="1"/>
    <xf numFmtId="209" fontId="4" fillId="31" borderId="0" xfId="62" applyNumberFormat="1" applyFont="1" applyFill="1" applyBorder="1" applyProtection="1"/>
    <xf numFmtId="209" fontId="4" fillId="31" borderId="27" xfId="62" applyNumberFormat="1" applyFont="1" applyFill="1" applyBorder="1" applyProtection="1"/>
    <xf numFmtId="37" fontId="4" fillId="31" borderId="26" xfId="62" applyNumberFormat="1" applyFont="1" applyFill="1" applyBorder="1" applyProtection="1"/>
    <xf numFmtId="37" fontId="4" fillId="31" borderId="0" xfId="62" applyNumberFormat="1" applyFont="1" applyFill="1" applyBorder="1" applyProtection="1"/>
    <xf numFmtId="37" fontId="4" fillId="31" borderId="27" xfId="62" applyNumberFormat="1" applyFont="1" applyFill="1" applyBorder="1" applyProtection="1"/>
    <xf numFmtId="37" fontId="4" fillId="31" borderId="156" xfId="62" applyNumberFormat="1" applyFont="1" applyFill="1" applyBorder="1" applyProtection="1"/>
    <xf numFmtId="37" fontId="4" fillId="31" borderId="148" xfId="62" applyNumberFormat="1" applyFont="1" applyFill="1" applyBorder="1" applyProtection="1"/>
    <xf numFmtId="37" fontId="4" fillId="31" borderId="157" xfId="62" applyNumberFormat="1" applyFont="1" applyFill="1" applyBorder="1" applyProtection="1"/>
    <xf numFmtId="170" fontId="4" fillId="31" borderId="24" xfId="62" quotePrefix="1" applyNumberFormat="1" applyFont="1" applyFill="1" applyBorder="1" applyProtection="1"/>
    <xf numFmtId="170" fontId="4" fillId="31" borderId="1" xfId="62" quotePrefix="1" applyNumberFormat="1" applyFont="1" applyFill="1" applyBorder="1" applyProtection="1"/>
    <xf numFmtId="170" fontId="4" fillId="31" borderId="25" xfId="62" quotePrefix="1" applyNumberFormat="1" applyFont="1" applyFill="1" applyBorder="1" applyProtection="1"/>
    <xf numFmtId="37" fontId="4" fillId="0" borderId="1" xfId="0" applyNumberFormat="1" applyFont="1" applyFill="1" applyBorder="1" applyProtection="1">
      <protection locked="0"/>
    </xf>
    <xf numFmtId="0" fontId="9" fillId="5" borderId="0" xfId="0" applyFont="1" applyFill="1" applyAlignment="1">
      <alignment horizontal="center"/>
    </xf>
    <xf numFmtId="0" fontId="4" fillId="5" borderId="24" xfId="0" applyFont="1" applyFill="1" applyBorder="1"/>
    <xf numFmtId="0" fontId="4" fillId="5" borderId="1" xfId="0" applyFont="1" applyFill="1" applyBorder="1"/>
    <xf numFmtId="0" fontId="4" fillId="5" borderId="25" xfId="0" applyFont="1" applyFill="1" applyBorder="1"/>
    <xf numFmtId="37" fontId="4" fillId="5" borderId="24" xfId="0" applyNumberFormat="1" applyFont="1" applyFill="1" applyBorder="1" applyProtection="1"/>
    <xf numFmtId="37" fontId="4" fillId="5" borderId="1" xfId="0" applyNumberFormat="1" applyFont="1" applyFill="1" applyBorder="1" applyProtection="1"/>
    <xf numFmtId="37" fontId="4" fillId="5" borderId="25" xfId="0" applyNumberFormat="1" applyFont="1" applyFill="1" applyBorder="1" applyProtection="1"/>
    <xf numFmtId="0" fontId="17" fillId="0" borderId="0" xfId="7" applyFont="1" applyAlignment="1"/>
    <xf numFmtId="0" fontId="4" fillId="0" borderId="0" xfId="7" applyFont="1"/>
    <xf numFmtId="0" fontId="4" fillId="0" borderId="0" xfId="7" applyFont="1" applyAlignment="1">
      <alignment horizontal="left"/>
    </xf>
    <xf numFmtId="0" fontId="4" fillId="0" borderId="0" xfId="7" applyFont="1" applyAlignment="1">
      <alignment horizontal="left" indent="1"/>
    </xf>
    <xf numFmtId="0" fontId="45" fillId="0" borderId="0" xfId="0" applyFont="1"/>
    <xf numFmtId="0" fontId="27" fillId="0" borderId="0" xfId="7" applyFont="1"/>
    <xf numFmtId="0" fontId="4" fillId="5" borderId="0" xfId="7" applyFont="1" applyFill="1"/>
    <xf numFmtId="37" fontId="4" fillId="94" borderId="0" xfId="7" applyNumberFormat="1" applyFont="1" applyFill="1"/>
    <xf numFmtId="164" fontId="4" fillId="0" borderId="2" xfId="0" applyNumberFormat="1" applyFont="1" applyFill="1" applyBorder="1" applyProtection="1"/>
    <xf numFmtId="164" fontId="19" fillId="0" borderId="2" xfId="0" applyNumberFormat="1" applyFont="1" applyFill="1" applyBorder="1" applyProtection="1"/>
    <xf numFmtId="37" fontId="4" fillId="31" borderId="0" xfId="0" applyNumberFormat="1" applyFont="1" applyFill="1" applyProtection="1">
      <protection locked="0"/>
    </xf>
    <xf numFmtId="37" fontId="4" fillId="39" borderId="0" xfId="0" applyNumberFormat="1" applyFont="1" applyFill="1" applyBorder="1" applyProtection="1">
      <protection locked="0"/>
    </xf>
    <xf numFmtId="0" fontId="4" fillId="0" borderId="158" xfId="0" applyFont="1" applyBorder="1"/>
    <xf numFmtId="0" fontId="4" fillId="0" borderId="158" xfId="0" applyFont="1" applyFill="1" applyBorder="1"/>
    <xf numFmtId="37" fontId="4" fillId="0" borderId="158" xfId="0" applyNumberFormat="1" applyFont="1" applyFill="1" applyBorder="1" applyProtection="1"/>
    <xf numFmtId="37" fontId="4" fillId="0" borderId="158" xfId="0" applyNumberFormat="1" applyFont="1" applyBorder="1" applyProtection="1"/>
    <xf numFmtId="37" fontId="4" fillId="0" borderId="158" xfId="0" applyNumberFormat="1" applyFont="1" applyFill="1" applyBorder="1" applyProtection="1">
      <protection locked="0"/>
    </xf>
    <xf numFmtId="37" fontId="9" fillId="5" borderId="0" xfId="0" applyNumberFormat="1" applyFont="1" applyFill="1" applyProtection="1"/>
    <xf numFmtId="37" fontId="9" fillId="0" borderId="0" xfId="0" applyNumberFormat="1" applyFont="1"/>
    <xf numFmtId="37" fontId="4" fillId="0" borderId="158" xfId="0" applyNumberFormat="1" applyFont="1" applyBorder="1"/>
    <xf numFmtId="166" fontId="4" fillId="0" borderId="158" xfId="1" applyNumberFormat="1" applyFont="1" applyBorder="1"/>
    <xf numFmtId="166" fontId="4" fillId="0" borderId="158" xfId="1" applyNumberFormat="1" applyFont="1" applyFill="1" applyBorder="1"/>
    <xf numFmtId="0" fontId="1" fillId="0" borderId="0" xfId="20269"/>
    <xf numFmtId="0" fontId="83" fillId="93" borderId="151" xfId="20269" applyFont="1" applyFill="1" applyBorder="1" applyAlignment="1">
      <alignment horizontal="right"/>
    </xf>
    <xf numFmtId="0" fontId="1" fillId="0" borderId="0" xfId="20269" applyAlignment="1">
      <alignment horizontal="left"/>
    </xf>
    <xf numFmtId="8" fontId="1" fillId="0" borderId="0" xfId="20269" applyNumberFormat="1"/>
    <xf numFmtId="3" fontId="1" fillId="0" borderId="0" xfId="20269" applyNumberFormat="1"/>
    <xf numFmtId="0" fontId="1" fillId="0" borderId="0" xfId="20269" applyAlignment="1">
      <alignment horizontal="left" indent="1"/>
    </xf>
    <xf numFmtId="10" fontId="4" fillId="0" borderId="0" xfId="20270" applyNumberFormat="1" applyFont="1"/>
    <xf numFmtId="10" fontId="4" fillId="0" borderId="3" xfId="20270" applyNumberFormat="1" applyFont="1" applyBorder="1"/>
    <xf numFmtId="190" fontId="4" fillId="0" borderId="0" xfId="0" applyNumberFormat="1" applyFont="1"/>
    <xf numFmtId="42" fontId="4" fillId="0" borderId="0" xfId="95" applyNumberFormat="1" applyFont="1" applyFill="1" applyAlignment="1">
      <alignment horizontal="right"/>
    </xf>
    <xf numFmtId="41" fontId="4" fillId="0" borderId="0" xfId="95" applyNumberFormat="1" applyFont="1" applyFill="1" applyAlignment="1">
      <alignment horizontal="right"/>
    </xf>
    <xf numFmtId="41" fontId="4" fillId="0" borderId="0" xfId="95" applyNumberFormat="1" applyFont="1" applyFill="1"/>
    <xf numFmtId="37" fontId="4" fillId="0" borderId="21" xfId="0" applyNumberFormat="1" applyFont="1" applyFill="1" applyBorder="1"/>
    <xf numFmtId="37" fontId="4" fillId="0" borderId="9" xfId="0" applyNumberFormat="1" applyFont="1" applyFill="1" applyBorder="1"/>
    <xf numFmtId="37" fontId="44" fillId="0" borderId="0" xfId="0" applyNumberFormat="1" applyFont="1" applyFill="1"/>
    <xf numFmtId="210" fontId="4" fillId="5" borderId="0" xfId="0" applyNumberFormat="1" applyFont="1" applyFill="1"/>
    <xf numFmtId="211" fontId="4" fillId="0" borderId="0" xfId="62" quotePrefix="1" applyNumberFormat="1" applyFont="1" applyFill="1" applyBorder="1" applyProtection="1"/>
    <xf numFmtId="0" fontId="9" fillId="0" borderId="1" xfId="3" applyFont="1" applyBorder="1" applyAlignment="1">
      <alignment horizontal="center"/>
    </xf>
    <xf numFmtId="0" fontId="9" fillId="0" borderId="0" xfId="3" applyFont="1" applyAlignment="1" applyProtection="1">
      <alignment horizontal="center"/>
    </xf>
    <xf numFmtId="37" fontId="9" fillId="0" borderId="1" xfId="3" applyNumberFormat="1" applyFont="1" applyBorder="1" applyAlignment="1" applyProtection="1">
      <alignment horizontal="center"/>
    </xf>
    <xf numFmtId="0" fontId="9" fillId="0" borderId="1" xfId="3" applyFont="1" applyBorder="1" applyAlignment="1" applyProtection="1">
      <alignment horizontal="center"/>
    </xf>
    <xf numFmtId="0" fontId="9" fillId="0" borderId="0" xfId="3" applyFont="1" applyAlignment="1">
      <alignment horizontal="center"/>
    </xf>
    <xf numFmtId="0" fontId="9" fillId="0" borderId="0" xfId="0" applyFont="1" applyBorder="1" applyAlignment="1">
      <alignment horizontal="center"/>
    </xf>
  </cellXfs>
  <cellStyles count="20271">
    <cellStyle name="20% - Accent1" xfId="125" builtinId="30" customBuiltin="1"/>
    <cellStyle name="20% - Accent1 10" xfId="2726"/>
    <cellStyle name="20% - Accent1 10 2" xfId="5128"/>
    <cellStyle name="20% - Accent1 10 2 2" xfId="10224"/>
    <cellStyle name="20% - Accent1 10 3" xfId="7829"/>
    <cellStyle name="20% - Accent1 11" xfId="3587"/>
    <cellStyle name="20% - Accent1 11 2" xfId="8690"/>
    <cellStyle name="20% - Accent1 12" xfId="6541"/>
    <cellStyle name="20% - Accent1 2" xfId="14"/>
    <cellStyle name="20% - Accent1 2 2" xfId="790"/>
    <cellStyle name="20% - Accent1 2 2 2" xfId="596"/>
    <cellStyle name="20% - Accent1 2 2 2 2" xfId="1163"/>
    <cellStyle name="20% - Accent1 2 2 2 2 2" xfId="2747"/>
    <cellStyle name="20% - Accent1 2 2 2 2 2 2" xfId="5149"/>
    <cellStyle name="20% - Accent1 2 2 2 2 2 2 2" xfId="10245"/>
    <cellStyle name="20% - Accent1 2 2 2 2 2 3" xfId="7850"/>
    <cellStyle name="20% - Accent1 2 2 2 2 3" xfId="3957"/>
    <cellStyle name="20% - Accent1 2 2 2 2 3 2" xfId="9053"/>
    <cellStyle name="20% - Accent1 2 2 2 2 4" xfId="6562"/>
    <cellStyle name="20% - Accent1 2 2 2 3" xfId="2402"/>
    <cellStyle name="20% - Accent1 2 2 2 3 2" xfId="4849"/>
    <cellStyle name="20% - Accent1 2 2 2 3 2 2" xfId="9945"/>
    <cellStyle name="20% - Accent1 2 2 2 3 3" xfId="7506"/>
    <cellStyle name="20% - Accent1 2 2 2 4" xfId="3666"/>
    <cellStyle name="20% - Accent1 2 2 2 4 2" xfId="8765"/>
    <cellStyle name="20% - Accent1 2 2 2 5" xfId="6246"/>
    <cellStyle name="20% - Accent1 2 2 3" xfId="1162"/>
    <cellStyle name="20% - Accent1 2 2 3 2" xfId="2746"/>
    <cellStyle name="20% - Accent1 2 2 3 2 2" xfId="5148"/>
    <cellStyle name="20% - Accent1 2 2 3 2 2 2" xfId="10244"/>
    <cellStyle name="20% - Accent1 2 2 3 2 3" xfId="7849"/>
    <cellStyle name="20% - Accent1 2 2 3 3" xfId="3956"/>
    <cellStyle name="20% - Accent1 2 2 3 3 2" xfId="9052"/>
    <cellStyle name="20% - Accent1 2 2 3 4" xfId="6561"/>
    <cellStyle name="20% - Accent1 2 3" xfId="623"/>
    <cellStyle name="20% - Accent1 2 3 2" xfId="1164"/>
    <cellStyle name="20% - Accent1 2 3 2 2" xfId="2748"/>
    <cellStyle name="20% - Accent1 2 3 2 2 2" xfId="5150"/>
    <cellStyle name="20% - Accent1 2 3 2 2 2 2" xfId="10246"/>
    <cellStyle name="20% - Accent1 2 3 2 2 3" xfId="7851"/>
    <cellStyle name="20% - Accent1 2 3 2 3" xfId="3958"/>
    <cellStyle name="20% - Accent1 2 3 2 3 2" xfId="9054"/>
    <cellStyle name="20% - Accent1 2 3 2 4" xfId="6563"/>
    <cellStyle name="20% - Accent1 2 3 3" xfId="2429"/>
    <cellStyle name="20% - Accent1 2 3 3 2" xfId="4876"/>
    <cellStyle name="20% - Accent1 2 3 3 2 2" xfId="9972"/>
    <cellStyle name="20% - Accent1 2 3 3 3" xfId="7533"/>
    <cellStyle name="20% - Accent1 2 3 4" xfId="3693"/>
    <cellStyle name="20% - Accent1 2 3 4 2" xfId="8792"/>
    <cellStyle name="20% - Accent1 2 3 5" xfId="6273"/>
    <cellStyle name="20% - Accent1 2 4" xfId="654"/>
    <cellStyle name="20% - Accent1 2 4 2" xfId="1165"/>
    <cellStyle name="20% - Accent1 2 4 2 2" xfId="2749"/>
    <cellStyle name="20% - Accent1 2 4 2 2 2" xfId="5151"/>
    <cellStyle name="20% - Accent1 2 4 2 2 2 2" xfId="10247"/>
    <cellStyle name="20% - Accent1 2 4 2 2 3" xfId="7852"/>
    <cellStyle name="20% - Accent1 2 4 2 3" xfId="3959"/>
    <cellStyle name="20% - Accent1 2 4 2 3 2" xfId="9055"/>
    <cellStyle name="20% - Accent1 2 4 2 4" xfId="6564"/>
    <cellStyle name="20% - Accent1 2 4 3" xfId="2458"/>
    <cellStyle name="20% - Accent1 2 4 3 2" xfId="4905"/>
    <cellStyle name="20% - Accent1 2 4 3 2 2" xfId="10001"/>
    <cellStyle name="20% - Accent1 2 4 3 3" xfId="7562"/>
    <cellStyle name="20% - Accent1 2 4 4" xfId="3722"/>
    <cellStyle name="20% - Accent1 2 4 4 2" xfId="8821"/>
    <cellStyle name="20% - Accent1 2 4 5" xfId="6302"/>
    <cellStyle name="20% - Accent1 2 5" xfId="907"/>
    <cellStyle name="20% - Accent1 2 5 2" xfId="2608"/>
    <cellStyle name="20% - Accent1 2 5 2 2" xfId="5052"/>
    <cellStyle name="20% - Accent1 2 5 2 2 2" xfId="10148"/>
    <cellStyle name="20% - Accent1 2 5 2 3" xfId="7711"/>
    <cellStyle name="20% - Accent1 2 5 3" xfId="3869"/>
    <cellStyle name="20% - Accent1 2 5 3 2" xfId="8968"/>
    <cellStyle name="20% - Accent1 2 5 4" xfId="6454"/>
    <cellStyle name="20% - Accent1 2 6" xfId="1161"/>
    <cellStyle name="20% - Accent1 2 6 2" xfId="2745"/>
    <cellStyle name="20% - Accent1 2 6 2 2" xfId="5147"/>
    <cellStyle name="20% - Accent1 2 6 2 2 2" xfId="10243"/>
    <cellStyle name="20% - Accent1 2 6 2 3" xfId="7848"/>
    <cellStyle name="20% - Accent1 2 6 3" xfId="3955"/>
    <cellStyle name="20% - Accent1 2 6 3 2" xfId="9051"/>
    <cellStyle name="20% - Accent1 2 6 4" xfId="6560"/>
    <cellStyle name="20% - Accent1 3" xfId="180"/>
    <cellStyle name="20% - Accent1 3 2" xfId="791"/>
    <cellStyle name="20% - Accent1 3 2 2" xfId="751"/>
    <cellStyle name="20% - Accent1 3 2 2 2" xfId="1168"/>
    <cellStyle name="20% - Accent1 3 2 2 2 2" xfId="2752"/>
    <cellStyle name="20% - Accent1 3 2 2 2 2 2" xfId="5154"/>
    <cellStyle name="20% - Accent1 3 2 2 2 2 2 2" xfId="10250"/>
    <cellStyle name="20% - Accent1 3 2 2 2 2 3" xfId="7855"/>
    <cellStyle name="20% - Accent1 3 2 2 2 3" xfId="3962"/>
    <cellStyle name="20% - Accent1 3 2 2 2 3 2" xfId="9058"/>
    <cellStyle name="20% - Accent1 3 2 2 2 4" xfId="6567"/>
    <cellStyle name="20% - Accent1 3 2 2 3" xfId="2535"/>
    <cellStyle name="20% - Accent1 3 2 2 3 2" xfId="4982"/>
    <cellStyle name="20% - Accent1 3 2 2 3 2 2" xfId="10078"/>
    <cellStyle name="20% - Accent1 3 2 2 3 3" xfId="7639"/>
    <cellStyle name="20% - Accent1 3 2 2 4" xfId="3799"/>
    <cellStyle name="20% - Accent1 3 2 2 4 2" xfId="8898"/>
    <cellStyle name="20% - Accent1 3 2 2 5" xfId="6379"/>
    <cellStyle name="20% - Accent1 3 2 3" xfId="1167"/>
    <cellStyle name="20% - Accent1 3 2 3 2" xfId="2751"/>
    <cellStyle name="20% - Accent1 3 2 3 2 2" xfId="5153"/>
    <cellStyle name="20% - Accent1 3 2 3 2 2 2" xfId="10249"/>
    <cellStyle name="20% - Accent1 3 2 3 2 3" xfId="7854"/>
    <cellStyle name="20% - Accent1 3 2 3 3" xfId="3961"/>
    <cellStyle name="20% - Accent1 3 2 3 3 2" xfId="9057"/>
    <cellStyle name="20% - Accent1 3 2 3 4" xfId="6566"/>
    <cellStyle name="20% - Accent1 3 3" xfId="875"/>
    <cellStyle name="20% - Accent1 3 3 2" xfId="1169"/>
    <cellStyle name="20% - Accent1 3 3 2 2" xfId="2753"/>
    <cellStyle name="20% - Accent1 3 3 2 2 2" xfId="5155"/>
    <cellStyle name="20% - Accent1 3 3 2 2 2 2" xfId="10251"/>
    <cellStyle name="20% - Accent1 3 3 2 2 3" xfId="7856"/>
    <cellStyle name="20% - Accent1 3 3 2 3" xfId="3963"/>
    <cellStyle name="20% - Accent1 3 3 2 3 2" xfId="9059"/>
    <cellStyle name="20% - Accent1 3 3 2 4" xfId="6568"/>
    <cellStyle name="20% - Accent1 3 3 3" xfId="2580"/>
    <cellStyle name="20% - Accent1 3 3 3 2" xfId="5024"/>
    <cellStyle name="20% - Accent1 3 3 3 2 2" xfId="10120"/>
    <cellStyle name="20% - Accent1 3 3 3 3" xfId="7683"/>
    <cellStyle name="20% - Accent1 3 3 4" xfId="3841"/>
    <cellStyle name="20% - Accent1 3 3 4 2" xfId="8940"/>
    <cellStyle name="20% - Accent1 3 3 5" xfId="6426"/>
    <cellStyle name="20% - Accent1 3 4" xfId="649"/>
    <cellStyle name="20% - Accent1 3 4 2" xfId="1170"/>
    <cellStyle name="20% - Accent1 3 4 2 2" xfId="2754"/>
    <cellStyle name="20% - Accent1 3 4 2 2 2" xfId="5156"/>
    <cellStyle name="20% - Accent1 3 4 2 2 2 2" xfId="10252"/>
    <cellStyle name="20% - Accent1 3 4 2 2 3" xfId="7857"/>
    <cellStyle name="20% - Accent1 3 4 2 3" xfId="3964"/>
    <cellStyle name="20% - Accent1 3 4 2 3 2" xfId="9060"/>
    <cellStyle name="20% - Accent1 3 4 2 4" xfId="6569"/>
    <cellStyle name="20% - Accent1 3 4 3" xfId="2453"/>
    <cellStyle name="20% - Accent1 3 4 3 2" xfId="4900"/>
    <cellStyle name="20% - Accent1 3 4 3 2 2" xfId="9996"/>
    <cellStyle name="20% - Accent1 3 4 3 3" xfId="7557"/>
    <cellStyle name="20% - Accent1 3 4 4" xfId="3717"/>
    <cellStyle name="20% - Accent1 3 4 4 2" xfId="8816"/>
    <cellStyle name="20% - Accent1 3 4 5" xfId="6297"/>
    <cellStyle name="20% - Accent1 3 5" xfId="700"/>
    <cellStyle name="20% - Accent1 3 5 2" xfId="2502"/>
    <cellStyle name="20% - Accent1 3 5 2 2" xfId="4949"/>
    <cellStyle name="20% - Accent1 3 5 2 2 2" xfId="10045"/>
    <cellStyle name="20% - Accent1 3 5 2 3" xfId="7606"/>
    <cellStyle name="20% - Accent1 3 5 3" xfId="3766"/>
    <cellStyle name="20% - Accent1 3 5 3 2" xfId="8865"/>
    <cellStyle name="20% - Accent1 3 5 4" xfId="6346"/>
    <cellStyle name="20% - Accent1 3 6" xfId="1166"/>
    <cellStyle name="20% - Accent1 3 6 2" xfId="2750"/>
    <cellStyle name="20% - Accent1 3 6 2 2" xfId="5152"/>
    <cellStyle name="20% - Accent1 3 6 2 2 2" xfId="10248"/>
    <cellStyle name="20% - Accent1 3 6 2 3" xfId="7853"/>
    <cellStyle name="20% - Accent1 3 6 3" xfId="3960"/>
    <cellStyle name="20% - Accent1 3 6 3 2" xfId="9056"/>
    <cellStyle name="20% - Accent1 3 6 4" xfId="6565"/>
    <cellStyle name="20% - Accent1 4" xfId="181"/>
    <cellStyle name="20% - Accent1 4 2" xfId="585"/>
    <cellStyle name="20% - Accent1 4 2 2" xfId="1172"/>
    <cellStyle name="20% - Accent1 4 2 3" xfId="2391"/>
    <cellStyle name="20% - Accent1 4 2 3 2" xfId="4838"/>
    <cellStyle name="20% - Accent1 4 2 3 2 2" xfId="9934"/>
    <cellStyle name="20% - Accent1 4 2 3 3" xfId="7495"/>
    <cellStyle name="20% - Accent1 4 2 4" xfId="3655"/>
    <cellStyle name="20% - Accent1 4 2 4 2" xfId="8754"/>
    <cellStyle name="20% - Accent1 4 2 5" xfId="6235"/>
    <cellStyle name="20% - Accent1 4 3" xfId="738"/>
    <cellStyle name="20% - Accent1 4 3 2" xfId="1173"/>
    <cellStyle name="20% - Accent1 4 3 2 2" xfId="2756"/>
    <cellStyle name="20% - Accent1 4 3 2 2 2" xfId="5158"/>
    <cellStyle name="20% - Accent1 4 3 2 2 2 2" xfId="10254"/>
    <cellStyle name="20% - Accent1 4 3 2 2 3" xfId="7859"/>
    <cellStyle name="20% - Accent1 4 3 2 3" xfId="3966"/>
    <cellStyle name="20% - Accent1 4 3 2 3 2" xfId="9062"/>
    <cellStyle name="20% - Accent1 4 3 2 4" xfId="6571"/>
    <cellStyle name="20% - Accent1 4 3 3" xfId="2524"/>
    <cellStyle name="20% - Accent1 4 3 3 2" xfId="4971"/>
    <cellStyle name="20% - Accent1 4 3 3 2 2" xfId="10067"/>
    <cellStyle name="20% - Accent1 4 3 3 3" xfId="7628"/>
    <cellStyle name="20% - Accent1 4 3 4" xfId="3788"/>
    <cellStyle name="20% - Accent1 4 3 4 2" xfId="8887"/>
    <cellStyle name="20% - Accent1 4 3 5" xfId="6368"/>
    <cellStyle name="20% - Accent1 4 4" xfId="641"/>
    <cellStyle name="20% - Accent1 4 4 2" xfId="2446"/>
    <cellStyle name="20% - Accent1 4 4 2 2" xfId="4893"/>
    <cellStyle name="20% - Accent1 4 4 2 2 2" xfId="9989"/>
    <cellStyle name="20% - Accent1 4 4 2 3" xfId="7550"/>
    <cellStyle name="20% - Accent1 4 4 3" xfId="3710"/>
    <cellStyle name="20% - Accent1 4 4 3 2" xfId="8809"/>
    <cellStyle name="20% - Accent1 4 4 4" xfId="6290"/>
    <cellStyle name="20% - Accent1 4 5" xfId="910"/>
    <cellStyle name="20% - Accent1 4 5 2" xfId="2611"/>
    <cellStyle name="20% - Accent1 4 5 2 2" xfId="5055"/>
    <cellStyle name="20% - Accent1 4 5 2 2 2" xfId="10151"/>
    <cellStyle name="20% - Accent1 4 5 2 3" xfId="7714"/>
    <cellStyle name="20% - Accent1 4 5 3" xfId="3872"/>
    <cellStyle name="20% - Accent1 4 5 3 2" xfId="8971"/>
    <cellStyle name="20% - Accent1 4 5 4" xfId="6457"/>
    <cellStyle name="20% - Accent1 4 6" xfId="1171"/>
    <cellStyle name="20% - Accent1 4 6 2" xfId="2755"/>
    <cellStyle name="20% - Accent1 4 6 2 2" xfId="5157"/>
    <cellStyle name="20% - Accent1 4 6 2 2 2" xfId="10253"/>
    <cellStyle name="20% - Accent1 4 6 2 3" xfId="7858"/>
    <cellStyle name="20% - Accent1 4 6 3" xfId="3965"/>
    <cellStyle name="20% - Accent1 4 6 3 2" xfId="9061"/>
    <cellStyle name="20% - Accent1 4 6 4" xfId="6570"/>
    <cellStyle name="20% - Accent1 5" xfId="182"/>
    <cellStyle name="20% - Accent1 5 2" xfId="635"/>
    <cellStyle name="20% - Accent1 5 2 2" xfId="2441"/>
    <cellStyle name="20% - Accent1 5 2 2 2" xfId="4888"/>
    <cellStyle name="20% - Accent1 5 2 2 2 2" xfId="9984"/>
    <cellStyle name="20% - Accent1 5 2 2 3" xfId="7545"/>
    <cellStyle name="20% - Accent1 5 2 3" xfId="3705"/>
    <cellStyle name="20% - Accent1 5 2 3 2" xfId="8804"/>
    <cellStyle name="20% - Accent1 5 2 4" xfId="6285"/>
    <cellStyle name="20% - Accent1 5 3" xfId="666"/>
    <cellStyle name="20% - Accent1 5 3 2" xfId="2470"/>
    <cellStyle name="20% - Accent1 5 3 2 2" xfId="4917"/>
    <cellStyle name="20% - Accent1 5 3 2 2 2" xfId="10013"/>
    <cellStyle name="20% - Accent1 5 3 2 3" xfId="7574"/>
    <cellStyle name="20% - Accent1 5 3 3" xfId="3734"/>
    <cellStyle name="20% - Accent1 5 3 3 2" xfId="8833"/>
    <cellStyle name="20% - Accent1 5 3 4" xfId="6314"/>
    <cellStyle name="20% - Accent1 5 4" xfId="1174"/>
    <cellStyle name="20% - Accent1 6" xfId="183"/>
    <cellStyle name="20% - Accent1 6 2" xfId="760"/>
    <cellStyle name="20% - Accent1 6 2 2" xfId="2541"/>
    <cellStyle name="20% - Accent1 6 2 2 2" xfId="4988"/>
    <cellStyle name="20% - Accent1 6 2 2 2 2" xfId="10084"/>
    <cellStyle name="20% - Accent1 6 2 2 3" xfId="7645"/>
    <cellStyle name="20% - Accent1 6 2 3" xfId="3805"/>
    <cellStyle name="20% - Accent1 6 2 3 2" xfId="8904"/>
    <cellStyle name="20% - Accent1 6 2 4" xfId="6385"/>
    <cellStyle name="20% - Accent1 6 3" xfId="1175"/>
    <cellStyle name="20% - Accent1 7" xfId="184"/>
    <cellStyle name="20% - Accent1 7 2" xfId="574"/>
    <cellStyle name="20% - Accent1 7 2 2" xfId="2380"/>
    <cellStyle name="20% - Accent1 7 2 2 2" xfId="4827"/>
    <cellStyle name="20% - Accent1 7 2 2 2 2" xfId="9923"/>
    <cellStyle name="20% - Accent1 7 2 2 3" xfId="7484"/>
    <cellStyle name="20% - Accent1 7 2 3" xfId="3644"/>
    <cellStyle name="20% - Accent1 7 2 3 2" xfId="8743"/>
    <cellStyle name="20% - Accent1 7 2 4" xfId="6224"/>
    <cellStyle name="20% - Accent1 7 3" xfId="1176"/>
    <cellStyle name="20% - Accent1 8" xfId="185"/>
    <cellStyle name="20% - Accent1 8 2" xfId="565"/>
    <cellStyle name="20% - Accent1 8 2 2" xfId="2371"/>
    <cellStyle name="20% - Accent1 8 2 2 2" xfId="4818"/>
    <cellStyle name="20% - Accent1 8 2 2 2 2" xfId="9914"/>
    <cellStyle name="20% - Accent1 8 2 2 3" xfId="7475"/>
    <cellStyle name="20% - Accent1 8 2 3" xfId="3635"/>
    <cellStyle name="20% - Accent1 8 2 3 2" xfId="8734"/>
    <cellStyle name="20% - Accent1 8 2 4" xfId="6215"/>
    <cellStyle name="20% - Accent1 8 3" xfId="1177"/>
    <cellStyle name="20% - Accent1 9" xfId="719"/>
    <cellStyle name="20% - Accent1 9 2" xfId="1043"/>
    <cellStyle name="20% - Accent1 9 2 2" xfId="2673"/>
    <cellStyle name="20% - Accent1 9 2 2 2" xfId="5082"/>
    <cellStyle name="20% - Accent1 9 2 2 2 2" xfId="10178"/>
    <cellStyle name="20% - Accent1 9 2 2 3" xfId="7776"/>
    <cellStyle name="20% - Accent1 9 2 3" xfId="3899"/>
    <cellStyle name="20% - Accent1 9 2 3 2" xfId="8998"/>
    <cellStyle name="20% - Accent1 9 2 4" xfId="6520"/>
    <cellStyle name="20% - Accent1 9 3" xfId="2514"/>
    <cellStyle name="20% - Accent1 9 3 2" xfId="4961"/>
    <cellStyle name="20% - Accent1 9 3 2 2" xfId="10057"/>
    <cellStyle name="20% - Accent1 9 3 3" xfId="7618"/>
    <cellStyle name="20% - Accent1 9 4" xfId="3778"/>
    <cellStyle name="20% - Accent1 9 4 2" xfId="8877"/>
    <cellStyle name="20% - Accent1 9 5" xfId="6358"/>
    <cellStyle name="20% - Accent2" xfId="129" builtinId="34" customBuiltin="1"/>
    <cellStyle name="20% - Accent2 10" xfId="2728"/>
    <cellStyle name="20% - Accent2 10 2" xfId="5130"/>
    <cellStyle name="20% - Accent2 10 2 2" xfId="10226"/>
    <cellStyle name="20% - Accent2 10 3" xfId="7831"/>
    <cellStyle name="20% - Accent2 11" xfId="3589"/>
    <cellStyle name="20% - Accent2 11 2" xfId="8692"/>
    <cellStyle name="20% - Accent2 12" xfId="6543"/>
    <cellStyle name="20% - Accent2 2" xfId="15"/>
    <cellStyle name="20% - Accent2 2 2" xfId="792"/>
    <cellStyle name="20% - Accent2 2 2 2" xfId="735"/>
    <cellStyle name="20% - Accent2 2 2 2 2" xfId="1180"/>
    <cellStyle name="20% - Accent2 2 2 2 2 2" xfId="2759"/>
    <cellStyle name="20% - Accent2 2 2 2 2 2 2" xfId="5161"/>
    <cellStyle name="20% - Accent2 2 2 2 2 2 2 2" xfId="10257"/>
    <cellStyle name="20% - Accent2 2 2 2 2 2 3" xfId="7862"/>
    <cellStyle name="20% - Accent2 2 2 2 2 3" xfId="3969"/>
    <cellStyle name="20% - Accent2 2 2 2 2 3 2" xfId="9065"/>
    <cellStyle name="20% - Accent2 2 2 2 2 4" xfId="6574"/>
    <cellStyle name="20% - Accent2 2 2 2 3" xfId="2521"/>
    <cellStyle name="20% - Accent2 2 2 2 3 2" xfId="4968"/>
    <cellStyle name="20% - Accent2 2 2 2 3 2 2" xfId="10064"/>
    <cellStyle name="20% - Accent2 2 2 2 3 3" xfId="7625"/>
    <cellStyle name="20% - Accent2 2 2 2 4" xfId="3785"/>
    <cellStyle name="20% - Accent2 2 2 2 4 2" xfId="8884"/>
    <cellStyle name="20% - Accent2 2 2 2 5" xfId="6365"/>
    <cellStyle name="20% - Accent2 2 2 3" xfId="1179"/>
    <cellStyle name="20% - Accent2 2 2 3 2" xfId="2758"/>
    <cellStyle name="20% - Accent2 2 2 3 2 2" xfId="5160"/>
    <cellStyle name="20% - Accent2 2 2 3 2 2 2" xfId="10256"/>
    <cellStyle name="20% - Accent2 2 2 3 2 3" xfId="7861"/>
    <cellStyle name="20% - Accent2 2 2 3 3" xfId="3968"/>
    <cellStyle name="20% - Accent2 2 2 3 3 2" xfId="9064"/>
    <cellStyle name="20% - Accent2 2 2 3 4" xfId="6573"/>
    <cellStyle name="20% - Accent2 2 3" xfId="622"/>
    <cellStyle name="20% - Accent2 2 3 2" xfId="1181"/>
    <cellStyle name="20% - Accent2 2 3 2 2" xfId="2760"/>
    <cellStyle name="20% - Accent2 2 3 2 2 2" xfId="5162"/>
    <cellStyle name="20% - Accent2 2 3 2 2 2 2" xfId="10258"/>
    <cellStyle name="20% - Accent2 2 3 2 2 3" xfId="7863"/>
    <cellStyle name="20% - Accent2 2 3 2 3" xfId="3970"/>
    <cellStyle name="20% - Accent2 2 3 2 3 2" xfId="9066"/>
    <cellStyle name="20% - Accent2 2 3 2 4" xfId="6575"/>
    <cellStyle name="20% - Accent2 2 3 3" xfId="2428"/>
    <cellStyle name="20% - Accent2 2 3 3 2" xfId="4875"/>
    <cellStyle name="20% - Accent2 2 3 3 2 2" xfId="9971"/>
    <cellStyle name="20% - Accent2 2 3 3 3" xfId="7532"/>
    <cellStyle name="20% - Accent2 2 3 4" xfId="3692"/>
    <cellStyle name="20% - Accent2 2 3 4 2" xfId="8791"/>
    <cellStyle name="20% - Accent2 2 3 5" xfId="6272"/>
    <cellStyle name="20% - Accent2 2 4" xfId="653"/>
    <cellStyle name="20% - Accent2 2 4 2" xfId="1182"/>
    <cellStyle name="20% - Accent2 2 4 2 2" xfId="2761"/>
    <cellStyle name="20% - Accent2 2 4 2 2 2" xfId="5163"/>
    <cellStyle name="20% - Accent2 2 4 2 2 2 2" xfId="10259"/>
    <cellStyle name="20% - Accent2 2 4 2 2 3" xfId="7864"/>
    <cellStyle name="20% - Accent2 2 4 2 3" xfId="3971"/>
    <cellStyle name="20% - Accent2 2 4 2 3 2" xfId="9067"/>
    <cellStyle name="20% - Accent2 2 4 2 4" xfId="6576"/>
    <cellStyle name="20% - Accent2 2 4 3" xfId="2457"/>
    <cellStyle name="20% - Accent2 2 4 3 2" xfId="4904"/>
    <cellStyle name="20% - Accent2 2 4 3 2 2" xfId="10000"/>
    <cellStyle name="20% - Accent2 2 4 3 3" xfId="7561"/>
    <cellStyle name="20% - Accent2 2 4 4" xfId="3721"/>
    <cellStyle name="20% - Accent2 2 4 4 2" xfId="8820"/>
    <cellStyle name="20% - Accent2 2 4 5" xfId="6301"/>
    <cellStyle name="20% - Accent2 2 5" xfId="687"/>
    <cellStyle name="20% - Accent2 2 5 2" xfId="2489"/>
    <cellStyle name="20% - Accent2 2 5 2 2" xfId="4936"/>
    <cellStyle name="20% - Accent2 2 5 2 2 2" xfId="10032"/>
    <cellStyle name="20% - Accent2 2 5 2 3" xfId="7593"/>
    <cellStyle name="20% - Accent2 2 5 3" xfId="3753"/>
    <cellStyle name="20% - Accent2 2 5 3 2" xfId="8852"/>
    <cellStyle name="20% - Accent2 2 5 4" xfId="6333"/>
    <cellStyle name="20% - Accent2 2 6" xfId="1178"/>
    <cellStyle name="20% - Accent2 2 6 2" xfId="2757"/>
    <cellStyle name="20% - Accent2 2 6 2 2" xfId="5159"/>
    <cellStyle name="20% - Accent2 2 6 2 2 2" xfId="10255"/>
    <cellStyle name="20% - Accent2 2 6 2 3" xfId="7860"/>
    <cellStyle name="20% - Accent2 2 6 3" xfId="3967"/>
    <cellStyle name="20% - Accent2 2 6 3 2" xfId="9063"/>
    <cellStyle name="20% - Accent2 2 6 4" xfId="6572"/>
    <cellStyle name="20% - Accent2 3" xfId="186"/>
    <cellStyle name="20% - Accent2 3 2" xfId="793"/>
    <cellStyle name="20% - Accent2 3 2 2" xfId="604"/>
    <cellStyle name="20% - Accent2 3 2 2 2" xfId="1185"/>
    <cellStyle name="20% - Accent2 3 2 2 2 2" xfId="2764"/>
    <cellStyle name="20% - Accent2 3 2 2 2 2 2" xfId="5166"/>
    <cellStyle name="20% - Accent2 3 2 2 2 2 2 2" xfId="10262"/>
    <cellStyle name="20% - Accent2 3 2 2 2 2 3" xfId="7867"/>
    <cellStyle name="20% - Accent2 3 2 2 2 3" xfId="3974"/>
    <cellStyle name="20% - Accent2 3 2 2 2 3 2" xfId="9070"/>
    <cellStyle name="20% - Accent2 3 2 2 2 4" xfId="6579"/>
    <cellStyle name="20% - Accent2 3 2 2 3" xfId="2410"/>
    <cellStyle name="20% - Accent2 3 2 2 3 2" xfId="4857"/>
    <cellStyle name="20% - Accent2 3 2 2 3 2 2" xfId="9953"/>
    <cellStyle name="20% - Accent2 3 2 2 3 3" xfId="7514"/>
    <cellStyle name="20% - Accent2 3 2 2 4" xfId="3674"/>
    <cellStyle name="20% - Accent2 3 2 2 4 2" xfId="8773"/>
    <cellStyle name="20% - Accent2 3 2 2 5" xfId="6254"/>
    <cellStyle name="20% - Accent2 3 2 3" xfId="1184"/>
    <cellStyle name="20% - Accent2 3 2 3 2" xfId="2763"/>
    <cellStyle name="20% - Accent2 3 2 3 2 2" xfId="5165"/>
    <cellStyle name="20% - Accent2 3 2 3 2 2 2" xfId="10261"/>
    <cellStyle name="20% - Accent2 3 2 3 2 3" xfId="7866"/>
    <cellStyle name="20% - Accent2 3 2 3 3" xfId="3973"/>
    <cellStyle name="20% - Accent2 3 2 3 3 2" xfId="9069"/>
    <cellStyle name="20% - Accent2 3 2 3 4" xfId="6578"/>
    <cellStyle name="20% - Accent2 3 3" xfId="629"/>
    <cellStyle name="20% - Accent2 3 3 2" xfId="1186"/>
    <cellStyle name="20% - Accent2 3 3 2 2" xfId="2765"/>
    <cellStyle name="20% - Accent2 3 3 2 2 2" xfId="5167"/>
    <cellStyle name="20% - Accent2 3 3 2 2 2 2" xfId="10263"/>
    <cellStyle name="20% - Accent2 3 3 2 2 3" xfId="7868"/>
    <cellStyle name="20% - Accent2 3 3 2 3" xfId="3975"/>
    <cellStyle name="20% - Accent2 3 3 2 3 2" xfId="9071"/>
    <cellStyle name="20% - Accent2 3 3 2 4" xfId="6580"/>
    <cellStyle name="20% - Accent2 3 3 3" xfId="2435"/>
    <cellStyle name="20% - Accent2 3 3 3 2" xfId="4882"/>
    <cellStyle name="20% - Accent2 3 3 3 2 2" xfId="9978"/>
    <cellStyle name="20% - Accent2 3 3 3 3" xfId="7539"/>
    <cellStyle name="20% - Accent2 3 3 4" xfId="3699"/>
    <cellStyle name="20% - Accent2 3 3 4 2" xfId="8798"/>
    <cellStyle name="20% - Accent2 3 3 5" xfId="6279"/>
    <cellStyle name="20% - Accent2 3 4" xfId="647"/>
    <cellStyle name="20% - Accent2 3 4 2" xfId="1187"/>
    <cellStyle name="20% - Accent2 3 4 2 2" xfId="2766"/>
    <cellStyle name="20% - Accent2 3 4 2 2 2" xfId="5168"/>
    <cellStyle name="20% - Accent2 3 4 2 2 2 2" xfId="10264"/>
    <cellStyle name="20% - Accent2 3 4 2 2 3" xfId="7869"/>
    <cellStyle name="20% - Accent2 3 4 2 3" xfId="3976"/>
    <cellStyle name="20% - Accent2 3 4 2 3 2" xfId="9072"/>
    <cellStyle name="20% - Accent2 3 4 2 4" xfId="6581"/>
    <cellStyle name="20% - Accent2 3 4 3" xfId="2451"/>
    <cellStyle name="20% - Accent2 3 4 3 2" xfId="4898"/>
    <cellStyle name="20% - Accent2 3 4 3 2 2" xfId="9994"/>
    <cellStyle name="20% - Accent2 3 4 3 3" xfId="7555"/>
    <cellStyle name="20% - Accent2 3 4 4" xfId="3715"/>
    <cellStyle name="20% - Accent2 3 4 4 2" xfId="8814"/>
    <cellStyle name="20% - Accent2 3 4 5" xfId="6295"/>
    <cellStyle name="20% - Accent2 3 5" xfId="698"/>
    <cellStyle name="20% - Accent2 3 5 2" xfId="2500"/>
    <cellStyle name="20% - Accent2 3 5 2 2" xfId="4947"/>
    <cellStyle name="20% - Accent2 3 5 2 2 2" xfId="10043"/>
    <cellStyle name="20% - Accent2 3 5 2 3" xfId="7604"/>
    <cellStyle name="20% - Accent2 3 5 3" xfId="3764"/>
    <cellStyle name="20% - Accent2 3 5 3 2" xfId="8863"/>
    <cellStyle name="20% - Accent2 3 5 4" xfId="6344"/>
    <cellStyle name="20% - Accent2 3 6" xfId="1183"/>
    <cellStyle name="20% - Accent2 3 6 2" xfId="2762"/>
    <cellStyle name="20% - Accent2 3 6 2 2" xfId="5164"/>
    <cellStyle name="20% - Accent2 3 6 2 2 2" xfId="10260"/>
    <cellStyle name="20% - Accent2 3 6 2 3" xfId="7865"/>
    <cellStyle name="20% - Accent2 3 6 3" xfId="3972"/>
    <cellStyle name="20% - Accent2 3 6 3 2" xfId="9068"/>
    <cellStyle name="20% - Accent2 3 6 4" xfId="6577"/>
    <cellStyle name="20% - Accent2 4" xfId="187"/>
    <cellStyle name="20% - Accent2 4 2" xfId="583"/>
    <cellStyle name="20% - Accent2 4 2 2" xfId="1189"/>
    <cellStyle name="20% - Accent2 4 2 3" xfId="2389"/>
    <cellStyle name="20% - Accent2 4 2 3 2" xfId="4836"/>
    <cellStyle name="20% - Accent2 4 2 3 2 2" xfId="9932"/>
    <cellStyle name="20% - Accent2 4 2 3 3" xfId="7493"/>
    <cellStyle name="20% - Accent2 4 2 4" xfId="3653"/>
    <cellStyle name="20% - Accent2 4 2 4 2" xfId="8752"/>
    <cellStyle name="20% - Accent2 4 2 5" xfId="6233"/>
    <cellStyle name="20% - Accent2 4 3" xfId="737"/>
    <cellStyle name="20% - Accent2 4 3 2" xfId="1190"/>
    <cellStyle name="20% - Accent2 4 3 2 2" xfId="2768"/>
    <cellStyle name="20% - Accent2 4 3 2 2 2" xfId="5170"/>
    <cellStyle name="20% - Accent2 4 3 2 2 2 2" xfId="10266"/>
    <cellStyle name="20% - Accent2 4 3 2 2 3" xfId="7871"/>
    <cellStyle name="20% - Accent2 4 3 2 3" xfId="3978"/>
    <cellStyle name="20% - Accent2 4 3 2 3 2" xfId="9074"/>
    <cellStyle name="20% - Accent2 4 3 2 4" xfId="6583"/>
    <cellStyle name="20% - Accent2 4 3 3" xfId="2523"/>
    <cellStyle name="20% - Accent2 4 3 3 2" xfId="4970"/>
    <cellStyle name="20% - Accent2 4 3 3 2 2" xfId="10066"/>
    <cellStyle name="20% - Accent2 4 3 3 3" xfId="7627"/>
    <cellStyle name="20% - Accent2 4 3 4" xfId="3787"/>
    <cellStyle name="20% - Accent2 4 3 4 2" xfId="8886"/>
    <cellStyle name="20% - Accent2 4 3 5" xfId="6367"/>
    <cellStyle name="20% - Accent2 4 4" xfId="745"/>
    <cellStyle name="20% - Accent2 4 4 2" xfId="2530"/>
    <cellStyle name="20% - Accent2 4 4 2 2" xfId="4977"/>
    <cellStyle name="20% - Accent2 4 4 2 2 2" xfId="10073"/>
    <cellStyle name="20% - Accent2 4 4 2 3" xfId="7634"/>
    <cellStyle name="20% - Accent2 4 4 3" xfId="3794"/>
    <cellStyle name="20% - Accent2 4 4 3 2" xfId="8893"/>
    <cellStyle name="20% - Accent2 4 4 4" xfId="6374"/>
    <cellStyle name="20% - Accent2 4 5" xfId="675"/>
    <cellStyle name="20% - Accent2 4 5 2" xfId="2478"/>
    <cellStyle name="20% - Accent2 4 5 2 2" xfId="4925"/>
    <cellStyle name="20% - Accent2 4 5 2 2 2" xfId="10021"/>
    <cellStyle name="20% - Accent2 4 5 2 3" xfId="7582"/>
    <cellStyle name="20% - Accent2 4 5 3" xfId="3742"/>
    <cellStyle name="20% - Accent2 4 5 3 2" xfId="8841"/>
    <cellStyle name="20% - Accent2 4 5 4" xfId="6322"/>
    <cellStyle name="20% - Accent2 4 6" xfId="1188"/>
    <cellStyle name="20% - Accent2 4 6 2" xfId="2767"/>
    <cellStyle name="20% - Accent2 4 6 2 2" xfId="5169"/>
    <cellStyle name="20% - Accent2 4 6 2 2 2" xfId="10265"/>
    <cellStyle name="20% - Accent2 4 6 2 3" xfId="7870"/>
    <cellStyle name="20% - Accent2 4 6 3" xfId="3977"/>
    <cellStyle name="20% - Accent2 4 6 3 2" xfId="9073"/>
    <cellStyle name="20% - Accent2 4 6 4" xfId="6582"/>
    <cellStyle name="20% - Accent2 5" xfId="188"/>
    <cellStyle name="20% - Accent2 5 2" xfId="634"/>
    <cellStyle name="20% - Accent2 5 2 2" xfId="2440"/>
    <cellStyle name="20% - Accent2 5 2 2 2" xfId="4887"/>
    <cellStyle name="20% - Accent2 5 2 2 2 2" xfId="9983"/>
    <cellStyle name="20% - Accent2 5 2 2 3" xfId="7544"/>
    <cellStyle name="20% - Accent2 5 2 3" xfId="3704"/>
    <cellStyle name="20% - Accent2 5 2 3 2" xfId="8803"/>
    <cellStyle name="20% - Accent2 5 2 4" xfId="6284"/>
    <cellStyle name="20% - Accent2 5 3" xfId="885"/>
    <cellStyle name="20% - Accent2 5 3 2" xfId="2590"/>
    <cellStyle name="20% - Accent2 5 3 2 2" xfId="5034"/>
    <cellStyle name="20% - Accent2 5 3 2 2 2" xfId="10130"/>
    <cellStyle name="20% - Accent2 5 3 2 3" xfId="7693"/>
    <cellStyle name="20% - Accent2 5 3 3" xfId="3851"/>
    <cellStyle name="20% - Accent2 5 3 3 2" xfId="8950"/>
    <cellStyle name="20% - Accent2 5 3 4" xfId="6436"/>
    <cellStyle name="20% - Accent2 5 4" xfId="1191"/>
    <cellStyle name="20% - Accent2 6" xfId="189"/>
    <cellStyle name="20% - Accent2 6 2" xfId="537"/>
    <cellStyle name="20% - Accent2 6 2 2" xfId="2346"/>
    <cellStyle name="20% - Accent2 6 2 2 2" xfId="4793"/>
    <cellStyle name="20% - Accent2 6 2 2 2 2" xfId="9889"/>
    <cellStyle name="20% - Accent2 6 2 2 3" xfId="7450"/>
    <cellStyle name="20% - Accent2 6 2 3" xfId="3610"/>
    <cellStyle name="20% - Accent2 6 2 3 2" xfId="8709"/>
    <cellStyle name="20% - Accent2 6 2 4" xfId="6190"/>
    <cellStyle name="20% - Accent2 6 3" xfId="1192"/>
    <cellStyle name="20% - Accent2 7" xfId="190"/>
    <cellStyle name="20% - Accent2 7 2" xfId="572"/>
    <cellStyle name="20% - Accent2 7 2 2" xfId="2378"/>
    <cellStyle name="20% - Accent2 7 2 2 2" xfId="4825"/>
    <cellStyle name="20% - Accent2 7 2 2 2 2" xfId="9921"/>
    <cellStyle name="20% - Accent2 7 2 2 3" xfId="7482"/>
    <cellStyle name="20% - Accent2 7 2 3" xfId="3642"/>
    <cellStyle name="20% - Accent2 7 2 3 2" xfId="8741"/>
    <cellStyle name="20% - Accent2 7 2 4" xfId="6222"/>
    <cellStyle name="20% - Accent2 7 3" xfId="1193"/>
    <cellStyle name="20% - Accent2 8" xfId="191"/>
    <cellStyle name="20% - Accent2 8 2" xfId="564"/>
    <cellStyle name="20% - Accent2 8 2 2" xfId="2370"/>
    <cellStyle name="20% - Accent2 8 2 2 2" xfId="4817"/>
    <cellStyle name="20% - Accent2 8 2 2 2 2" xfId="9913"/>
    <cellStyle name="20% - Accent2 8 2 2 3" xfId="7474"/>
    <cellStyle name="20% - Accent2 8 2 3" xfId="3634"/>
    <cellStyle name="20% - Accent2 8 2 3 2" xfId="8733"/>
    <cellStyle name="20% - Accent2 8 2 4" xfId="6214"/>
    <cellStyle name="20% - Accent2 8 3" xfId="1194"/>
    <cellStyle name="20% - Accent2 9" xfId="905"/>
    <cellStyle name="20% - Accent2 9 2" xfId="1045"/>
    <cellStyle name="20% - Accent2 9 2 2" xfId="2675"/>
    <cellStyle name="20% - Accent2 9 2 2 2" xfId="5084"/>
    <cellStyle name="20% - Accent2 9 2 2 2 2" xfId="10180"/>
    <cellStyle name="20% - Accent2 9 2 2 3" xfId="7778"/>
    <cellStyle name="20% - Accent2 9 2 3" xfId="3901"/>
    <cellStyle name="20% - Accent2 9 2 3 2" xfId="9000"/>
    <cellStyle name="20% - Accent2 9 2 4" xfId="6522"/>
    <cellStyle name="20% - Accent2 9 3" xfId="2607"/>
    <cellStyle name="20% - Accent2 9 3 2" xfId="5051"/>
    <cellStyle name="20% - Accent2 9 3 2 2" xfId="10147"/>
    <cellStyle name="20% - Accent2 9 3 3" xfId="7710"/>
    <cellStyle name="20% - Accent2 9 4" xfId="3868"/>
    <cellStyle name="20% - Accent2 9 4 2" xfId="8967"/>
    <cellStyle name="20% - Accent2 9 5" xfId="6453"/>
    <cellStyle name="20% - Accent3" xfId="133" builtinId="38" customBuiltin="1"/>
    <cellStyle name="20% - Accent3 10" xfId="2730"/>
    <cellStyle name="20% - Accent3 10 2" xfId="5132"/>
    <cellStyle name="20% - Accent3 10 2 2" xfId="10228"/>
    <cellStyle name="20% - Accent3 10 3" xfId="7833"/>
    <cellStyle name="20% - Accent3 11" xfId="3591"/>
    <cellStyle name="20% - Accent3 11 2" xfId="8694"/>
    <cellStyle name="20% - Accent3 12" xfId="6545"/>
    <cellStyle name="20% - Accent3 2" xfId="16"/>
    <cellStyle name="20% - Accent3 2 2" xfId="794"/>
    <cellStyle name="20% - Accent3 2 2 2" xfId="552"/>
    <cellStyle name="20% - Accent3 2 2 2 2" xfId="1197"/>
    <cellStyle name="20% - Accent3 2 2 2 2 2" xfId="2771"/>
    <cellStyle name="20% - Accent3 2 2 2 2 2 2" xfId="5173"/>
    <cellStyle name="20% - Accent3 2 2 2 2 2 2 2" xfId="10269"/>
    <cellStyle name="20% - Accent3 2 2 2 2 2 3" xfId="7874"/>
    <cellStyle name="20% - Accent3 2 2 2 2 3" xfId="3981"/>
    <cellStyle name="20% - Accent3 2 2 2 2 3 2" xfId="9077"/>
    <cellStyle name="20% - Accent3 2 2 2 2 4" xfId="6589"/>
    <cellStyle name="20% - Accent3 2 2 2 3" xfId="2358"/>
    <cellStyle name="20% - Accent3 2 2 2 3 2" xfId="4805"/>
    <cellStyle name="20% - Accent3 2 2 2 3 2 2" xfId="9901"/>
    <cellStyle name="20% - Accent3 2 2 2 3 3" xfId="7462"/>
    <cellStyle name="20% - Accent3 2 2 2 4" xfId="3622"/>
    <cellStyle name="20% - Accent3 2 2 2 4 2" xfId="8721"/>
    <cellStyle name="20% - Accent3 2 2 2 5" xfId="6202"/>
    <cellStyle name="20% - Accent3 2 2 3" xfId="1196"/>
    <cellStyle name="20% - Accent3 2 2 3 2" xfId="2770"/>
    <cellStyle name="20% - Accent3 2 2 3 2 2" xfId="5172"/>
    <cellStyle name="20% - Accent3 2 2 3 2 2 2" xfId="10268"/>
    <cellStyle name="20% - Accent3 2 2 3 2 3" xfId="7873"/>
    <cellStyle name="20% - Accent3 2 2 3 3" xfId="3980"/>
    <cellStyle name="20% - Accent3 2 2 3 3 2" xfId="9076"/>
    <cellStyle name="20% - Accent3 2 2 3 4" xfId="6588"/>
    <cellStyle name="20% - Accent3 2 3" xfId="620"/>
    <cellStyle name="20% - Accent3 2 3 2" xfId="1198"/>
    <cellStyle name="20% - Accent3 2 3 2 2" xfId="2772"/>
    <cellStyle name="20% - Accent3 2 3 2 2 2" xfId="5174"/>
    <cellStyle name="20% - Accent3 2 3 2 2 2 2" xfId="10270"/>
    <cellStyle name="20% - Accent3 2 3 2 2 3" xfId="7875"/>
    <cellStyle name="20% - Accent3 2 3 2 3" xfId="3982"/>
    <cellStyle name="20% - Accent3 2 3 2 3 2" xfId="9078"/>
    <cellStyle name="20% - Accent3 2 3 2 4" xfId="6590"/>
    <cellStyle name="20% - Accent3 2 3 3" xfId="2426"/>
    <cellStyle name="20% - Accent3 2 3 3 2" xfId="4873"/>
    <cellStyle name="20% - Accent3 2 3 3 2 2" xfId="9969"/>
    <cellStyle name="20% - Accent3 2 3 3 3" xfId="7530"/>
    <cellStyle name="20% - Accent3 2 3 4" xfId="3690"/>
    <cellStyle name="20% - Accent3 2 3 4 2" xfId="8789"/>
    <cellStyle name="20% - Accent3 2 3 5" xfId="6270"/>
    <cellStyle name="20% - Accent3 2 4" xfId="778"/>
    <cellStyle name="20% - Accent3 2 4 2" xfId="1199"/>
    <cellStyle name="20% - Accent3 2 4 2 2" xfId="2773"/>
    <cellStyle name="20% - Accent3 2 4 2 2 2" xfId="5175"/>
    <cellStyle name="20% - Accent3 2 4 2 2 2 2" xfId="10271"/>
    <cellStyle name="20% - Accent3 2 4 2 2 3" xfId="7876"/>
    <cellStyle name="20% - Accent3 2 4 2 3" xfId="3983"/>
    <cellStyle name="20% - Accent3 2 4 2 3 2" xfId="9079"/>
    <cellStyle name="20% - Accent3 2 4 2 4" xfId="6591"/>
    <cellStyle name="20% - Accent3 2 4 3" xfId="2559"/>
    <cellStyle name="20% - Accent3 2 4 3 2" xfId="5006"/>
    <cellStyle name="20% - Accent3 2 4 3 2 2" xfId="10102"/>
    <cellStyle name="20% - Accent3 2 4 3 3" xfId="7663"/>
    <cellStyle name="20% - Accent3 2 4 4" xfId="3823"/>
    <cellStyle name="20% - Accent3 2 4 4 2" xfId="8922"/>
    <cellStyle name="20% - Accent3 2 4 5" xfId="6403"/>
    <cellStyle name="20% - Accent3 2 5" xfId="685"/>
    <cellStyle name="20% - Accent3 2 5 2" xfId="2487"/>
    <cellStyle name="20% - Accent3 2 5 2 2" xfId="4934"/>
    <cellStyle name="20% - Accent3 2 5 2 2 2" xfId="10030"/>
    <cellStyle name="20% - Accent3 2 5 2 3" xfId="7591"/>
    <cellStyle name="20% - Accent3 2 5 3" xfId="3751"/>
    <cellStyle name="20% - Accent3 2 5 3 2" xfId="8850"/>
    <cellStyle name="20% - Accent3 2 5 4" xfId="6331"/>
    <cellStyle name="20% - Accent3 2 6" xfId="1195"/>
    <cellStyle name="20% - Accent3 2 6 2" xfId="2769"/>
    <cellStyle name="20% - Accent3 2 6 2 2" xfId="5171"/>
    <cellStyle name="20% - Accent3 2 6 2 2 2" xfId="10267"/>
    <cellStyle name="20% - Accent3 2 6 2 3" xfId="7872"/>
    <cellStyle name="20% - Accent3 2 6 3" xfId="3979"/>
    <cellStyle name="20% - Accent3 2 6 3 2" xfId="9075"/>
    <cellStyle name="20% - Accent3 2 6 4" xfId="6587"/>
    <cellStyle name="20% - Accent3 3" xfId="192"/>
    <cellStyle name="20% - Accent3 3 2" xfId="795"/>
    <cellStyle name="20% - Accent3 3 2 2" xfId="602"/>
    <cellStyle name="20% - Accent3 3 2 2 2" xfId="1202"/>
    <cellStyle name="20% - Accent3 3 2 2 2 2" xfId="2776"/>
    <cellStyle name="20% - Accent3 3 2 2 2 2 2" xfId="5178"/>
    <cellStyle name="20% - Accent3 3 2 2 2 2 2 2" xfId="10274"/>
    <cellStyle name="20% - Accent3 3 2 2 2 2 3" xfId="7879"/>
    <cellStyle name="20% - Accent3 3 2 2 2 3" xfId="3986"/>
    <cellStyle name="20% - Accent3 3 2 2 2 3 2" xfId="9082"/>
    <cellStyle name="20% - Accent3 3 2 2 2 4" xfId="6594"/>
    <cellStyle name="20% - Accent3 3 2 2 3" xfId="2408"/>
    <cellStyle name="20% - Accent3 3 2 2 3 2" xfId="4855"/>
    <cellStyle name="20% - Accent3 3 2 2 3 2 2" xfId="9951"/>
    <cellStyle name="20% - Accent3 3 2 2 3 3" xfId="7512"/>
    <cellStyle name="20% - Accent3 3 2 2 4" xfId="3672"/>
    <cellStyle name="20% - Accent3 3 2 2 4 2" xfId="8771"/>
    <cellStyle name="20% - Accent3 3 2 2 5" xfId="6252"/>
    <cellStyle name="20% - Accent3 3 2 3" xfId="1201"/>
    <cellStyle name="20% - Accent3 3 2 3 2" xfId="2775"/>
    <cellStyle name="20% - Accent3 3 2 3 2 2" xfId="5177"/>
    <cellStyle name="20% - Accent3 3 2 3 2 2 2" xfId="10273"/>
    <cellStyle name="20% - Accent3 3 2 3 2 3" xfId="7878"/>
    <cellStyle name="20% - Accent3 3 2 3 3" xfId="3985"/>
    <cellStyle name="20% - Accent3 3 2 3 3 2" xfId="9081"/>
    <cellStyle name="20% - Accent3 3 2 3 4" xfId="6593"/>
    <cellStyle name="20% - Accent3 3 3" xfId="627"/>
    <cellStyle name="20% - Accent3 3 3 2" xfId="1203"/>
    <cellStyle name="20% - Accent3 3 3 2 2" xfId="2777"/>
    <cellStyle name="20% - Accent3 3 3 2 2 2" xfId="5179"/>
    <cellStyle name="20% - Accent3 3 3 2 2 2 2" xfId="10275"/>
    <cellStyle name="20% - Accent3 3 3 2 2 3" xfId="7880"/>
    <cellStyle name="20% - Accent3 3 3 2 3" xfId="3987"/>
    <cellStyle name="20% - Accent3 3 3 2 3 2" xfId="9083"/>
    <cellStyle name="20% - Accent3 3 3 2 4" xfId="6595"/>
    <cellStyle name="20% - Accent3 3 3 3" xfId="2433"/>
    <cellStyle name="20% - Accent3 3 3 3 2" xfId="4880"/>
    <cellStyle name="20% - Accent3 3 3 3 2 2" xfId="9976"/>
    <cellStyle name="20% - Accent3 3 3 3 3" xfId="7537"/>
    <cellStyle name="20% - Accent3 3 3 4" xfId="3697"/>
    <cellStyle name="20% - Accent3 3 3 4 2" xfId="8796"/>
    <cellStyle name="20% - Accent3 3 3 5" xfId="6277"/>
    <cellStyle name="20% - Accent3 3 4" xfId="870"/>
    <cellStyle name="20% - Accent3 3 4 2" xfId="1204"/>
    <cellStyle name="20% - Accent3 3 4 2 2" xfId="2778"/>
    <cellStyle name="20% - Accent3 3 4 2 2 2" xfId="5180"/>
    <cellStyle name="20% - Accent3 3 4 2 2 2 2" xfId="10276"/>
    <cellStyle name="20% - Accent3 3 4 2 2 3" xfId="7881"/>
    <cellStyle name="20% - Accent3 3 4 2 3" xfId="3988"/>
    <cellStyle name="20% - Accent3 3 4 2 3 2" xfId="9084"/>
    <cellStyle name="20% - Accent3 3 4 2 4" xfId="6596"/>
    <cellStyle name="20% - Accent3 3 4 3" xfId="2575"/>
    <cellStyle name="20% - Accent3 3 4 3 2" xfId="5019"/>
    <cellStyle name="20% - Accent3 3 4 3 2 2" xfId="10115"/>
    <cellStyle name="20% - Accent3 3 4 3 3" xfId="7678"/>
    <cellStyle name="20% - Accent3 3 4 4" xfId="3836"/>
    <cellStyle name="20% - Accent3 3 4 4 2" xfId="8935"/>
    <cellStyle name="20% - Accent3 3 4 5" xfId="6421"/>
    <cellStyle name="20% - Accent3 3 5" xfId="696"/>
    <cellStyle name="20% - Accent3 3 5 2" xfId="2498"/>
    <cellStyle name="20% - Accent3 3 5 2 2" xfId="4945"/>
    <cellStyle name="20% - Accent3 3 5 2 2 2" xfId="10041"/>
    <cellStyle name="20% - Accent3 3 5 2 3" xfId="7602"/>
    <cellStyle name="20% - Accent3 3 5 3" xfId="3762"/>
    <cellStyle name="20% - Accent3 3 5 3 2" xfId="8861"/>
    <cellStyle name="20% - Accent3 3 5 4" xfId="6342"/>
    <cellStyle name="20% - Accent3 3 6" xfId="1200"/>
    <cellStyle name="20% - Accent3 3 6 2" xfId="2774"/>
    <cellStyle name="20% - Accent3 3 6 2 2" xfId="5176"/>
    <cellStyle name="20% - Accent3 3 6 2 2 2" xfId="10272"/>
    <cellStyle name="20% - Accent3 3 6 2 3" xfId="7877"/>
    <cellStyle name="20% - Accent3 3 6 3" xfId="3984"/>
    <cellStyle name="20% - Accent3 3 6 3 2" xfId="9080"/>
    <cellStyle name="20% - Accent3 3 6 4" xfId="6592"/>
    <cellStyle name="20% - Accent3 4" xfId="193"/>
    <cellStyle name="20% - Accent3 4 2" xfId="582"/>
    <cellStyle name="20% - Accent3 4 2 2" xfId="1206"/>
    <cellStyle name="20% - Accent3 4 2 3" xfId="2388"/>
    <cellStyle name="20% - Accent3 4 2 3 2" xfId="4835"/>
    <cellStyle name="20% - Accent3 4 2 3 2 2" xfId="9931"/>
    <cellStyle name="20% - Accent3 4 2 3 3" xfId="7492"/>
    <cellStyle name="20% - Accent3 4 2 4" xfId="3652"/>
    <cellStyle name="20% - Accent3 4 2 4 2" xfId="8751"/>
    <cellStyle name="20% - Accent3 4 2 5" xfId="6232"/>
    <cellStyle name="20% - Accent3 4 3" xfId="614"/>
    <cellStyle name="20% - Accent3 4 3 2" xfId="1207"/>
    <cellStyle name="20% - Accent3 4 3 2 2" xfId="2780"/>
    <cellStyle name="20% - Accent3 4 3 2 2 2" xfId="5182"/>
    <cellStyle name="20% - Accent3 4 3 2 2 2 2" xfId="10278"/>
    <cellStyle name="20% - Accent3 4 3 2 2 3" xfId="7883"/>
    <cellStyle name="20% - Accent3 4 3 2 3" xfId="3990"/>
    <cellStyle name="20% - Accent3 4 3 2 3 2" xfId="9086"/>
    <cellStyle name="20% - Accent3 4 3 2 4" xfId="6598"/>
    <cellStyle name="20% - Accent3 4 3 3" xfId="2420"/>
    <cellStyle name="20% - Accent3 4 3 3 2" xfId="4867"/>
    <cellStyle name="20% - Accent3 4 3 3 2 2" xfId="9963"/>
    <cellStyle name="20% - Accent3 4 3 3 3" xfId="7524"/>
    <cellStyle name="20% - Accent3 4 3 4" xfId="3684"/>
    <cellStyle name="20% - Accent3 4 3 4 2" xfId="8783"/>
    <cellStyle name="20% - Accent3 4 3 5" xfId="6264"/>
    <cellStyle name="20% - Accent3 4 4" xfId="759"/>
    <cellStyle name="20% - Accent3 4 4 2" xfId="2540"/>
    <cellStyle name="20% - Accent3 4 4 2 2" xfId="4987"/>
    <cellStyle name="20% - Accent3 4 4 2 2 2" xfId="10083"/>
    <cellStyle name="20% - Accent3 4 4 2 3" xfId="7644"/>
    <cellStyle name="20% - Accent3 4 4 3" xfId="3804"/>
    <cellStyle name="20% - Accent3 4 4 3 2" xfId="8903"/>
    <cellStyle name="20% - Accent3 4 4 4" xfId="6384"/>
    <cellStyle name="20% - Accent3 4 5" xfId="674"/>
    <cellStyle name="20% - Accent3 4 5 2" xfId="2477"/>
    <cellStyle name="20% - Accent3 4 5 2 2" xfId="4924"/>
    <cellStyle name="20% - Accent3 4 5 2 2 2" xfId="10020"/>
    <cellStyle name="20% - Accent3 4 5 2 3" xfId="7581"/>
    <cellStyle name="20% - Accent3 4 5 3" xfId="3741"/>
    <cellStyle name="20% - Accent3 4 5 3 2" xfId="8840"/>
    <cellStyle name="20% - Accent3 4 5 4" xfId="6321"/>
    <cellStyle name="20% - Accent3 4 6" xfId="1205"/>
    <cellStyle name="20% - Accent3 4 6 2" xfId="2779"/>
    <cellStyle name="20% - Accent3 4 6 2 2" xfId="5181"/>
    <cellStyle name="20% - Accent3 4 6 2 2 2" xfId="10277"/>
    <cellStyle name="20% - Accent3 4 6 2 3" xfId="7882"/>
    <cellStyle name="20% - Accent3 4 6 3" xfId="3989"/>
    <cellStyle name="20% - Accent3 4 6 3 2" xfId="9085"/>
    <cellStyle name="20% - Accent3 4 6 4" xfId="6597"/>
    <cellStyle name="20% - Accent3 5" xfId="194"/>
    <cellStyle name="20% - Accent3 5 2" xfId="874"/>
    <cellStyle name="20% - Accent3 5 2 2" xfId="2579"/>
    <cellStyle name="20% - Accent3 5 2 2 2" xfId="5023"/>
    <cellStyle name="20% - Accent3 5 2 2 2 2" xfId="10119"/>
    <cellStyle name="20% - Accent3 5 2 2 3" xfId="7682"/>
    <cellStyle name="20% - Accent3 5 2 3" xfId="3840"/>
    <cellStyle name="20% - Accent3 5 2 3 2" xfId="8939"/>
    <cellStyle name="20% - Accent3 5 2 4" xfId="6425"/>
    <cellStyle name="20% - Accent3 5 3" xfId="538"/>
    <cellStyle name="20% - Accent3 5 3 2" xfId="2347"/>
    <cellStyle name="20% - Accent3 5 3 2 2" xfId="4794"/>
    <cellStyle name="20% - Accent3 5 3 2 2 2" xfId="9890"/>
    <cellStyle name="20% - Accent3 5 3 2 3" xfId="7451"/>
    <cellStyle name="20% - Accent3 5 3 3" xfId="3611"/>
    <cellStyle name="20% - Accent3 5 3 3 2" xfId="8710"/>
    <cellStyle name="20% - Accent3 5 3 4" xfId="6191"/>
    <cellStyle name="20% - Accent3 5 4" xfId="1208"/>
    <cellStyle name="20% - Accent3 6" xfId="195"/>
    <cellStyle name="20% - Accent3 6 2" xfId="780"/>
    <cellStyle name="20% - Accent3 6 2 2" xfId="2561"/>
    <cellStyle name="20% - Accent3 6 2 2 2" xfId="5008"/>
    <cellStyle name="20% - Accent3 6 2 2 2 2" xfId="10104"/>
    <cellStyle name="20% - Accent3 6 2 2 3" xfId="7665"/>
    <cellStyle name="20% - Accent3 6 2 3" xfId="3825"/>
    <cellStyle name="20% - Accent3 6 2 3 2" xfId="8924"/>
    <cellStyle name="20% - Accent3 6 2 4" xfId="6405"/>
    <cellStyle name="20% - Accent3 6 3" xfId="1209"/>
    <cellStyle name="20% - Accent3 7" xfId="196"/>
    <cellStyle name="20% - Accent3 7 2" xfId="731"/>
    <cellStyle name="20% - Accent3 7 2 2" xfId="2517"/>
    <cellStyle name="20% - Accent3 7 2 2 2" xfId="4964"/>
    <cellStyle name="20% - Accent3 7 2 2 2 2" xfId="10060"/>
    <cellStyle name="20% - Accent3 7 2 2 3" xfId="7621"/>
    <cellStyle name="20% - Accent3 7 2 3" xfId="3781"/>
    <cellStyle name="20% - Accent3 7 2 3 2" xfId="8880"/>
    <cellStyle name="20% - Accent3 7 2 4" xfId="6361"/>
    <cellStyle name="20% - Accent3 7 3" xfId="1210"/>
    <cellStyle name="20% - Accent3 8" xfId="197"/>
    <cellStyle name="20% - Accent3 8 2" xfId="563"/>
    <cellStyle name="20% - Accent3 8 2 2" xfId="2369"/>
    <cellStyle name="20% - Accent3 8 2 2 2" xfId="4816"/>
    <cellStyle name="20% - Accent3 8 2 2 2 2" xfId="9912"/>
    <cellStyle name="20% - Accent3 8 2 2 3" xfId="7473"/>
    <cellStyle name="20% - Accent3 8 2 3" xfId="3633"/>
    <cellStyle name="20% - Accent3 8 2 3 2" xfId="8732"/>
    <cellStyle name="20% - Accent3 8 2 4" xfId="6213"/>
    <cellStyle name="20% - Accent3 8 3" xfId="1211"/>
    <cellStyle name="20% - Accent3 9" xfId="546"/>
    <cellStyle name="20% - Accent3 9 2" xfId="1047"/>
    <cellStyle name="20% - Accent3 9 2 2" xfId="2677"/>
    <cellStyle name="20% - Accent3 9 2 2 2" xfId="5086"/>
    <cellStyle name="20% - Accent3 9 2 2 2 2" xfId="10182"/>
    <cellStyle name="20% - Accent3 9 2 2 3" xfId="7780"/>
    <cellStyle name="20% - Accent3 9 2 3" xfId="3903"/>
    <cellStyle name="20% - Accent3 9 2 3 2" xfId="9002"/>
    <cellStyle name="20% - Accent3 9 2 4" xfId="6524"/>
    <cellStyle name="20% - Accent3 9 3" xfId="2355"/>
    <cellStyle name="20% - Accent3 9 3 2" xfId="4802"/>
    <cellStyle name="20% - Accent3 9 3 2 2" xfId="9898"/>
    <cellStyle name="20% - Accent3 9 3 3" xfId="7459"/>
    <cellStyle name="20% - Accent3 9 4" xfId="3619"/>
    <cellStyle name="20% - Accent3 9 4 2" xfId="8718"/>
    <cellStyle name="20% - Accent3 9 5" xfId="6199"/>
    <cellStyle name="20% - Accent4" xfId="137" builtinId="42" customBuiltin="1"/>
    <cellStyle name="20% - Accent4 10" xfId="2732"/>
    <cellStyle name="20% - Accent4 10 2" xfId="5134"/>
    <cellStyle name="20% - Accent4 10 2 2" xfId="10230"/>
    <cellStyle name="20% - Accent4 10 3" xfId="7835"/>
    <cellStyle name="20% - Accent4 11" xfId="3593"/>
    <cellStyle name="20% - Accent4 11 2" xfId="8696"/>
    <cellStyle name="20% - Accent4 12" xfId="6547"/>
    <cellStyle name="20% - Accent4 2" xfId="17"/>
    <cellStyle name="20% - Accent4 2 2" xfId="796"/>
    <cellStyle name="20% - Accent4 2 2 2" xfId="593"/>
    <cellStyle name="20% - Accent4 2 2 2 2" xfId="1214"/>
    <cellStyle name="20% - Accent4 2 2 2 2 2" xfId="2783"/>
    <cellStyle name="20% - Accent4 2 2 2 2 2 2" xfId="5185"/>
    <cellStyle name="20% - Accent4 2 2 2 2 2 2 2" xfId="10281"/>
    <cellStyle name="20% - Accent4 2 2 2 2 2 3" xfId="7886"/>
    <cellStyle name="20% - Accent4 2 2 2 2 3" xfId="3993"/>
    <cellStyle name="20% - Accent4 2 2 2 2 3 2" xfId="9089"/>
    <cellStyle name="20% - Accent4 2 2 2 2 4" xfId="6601"/>
    <cellStyle name="20% - Accent4 2 2 2 3" xfId="2399"/>
    <cellStyle name="20% - Accent4 2 2 2 3 2" xfId="4846"/>
    <cellStyle name="20% - Accent4 2 2 2 3 2 2" xfId="9942"/>
    <cellStyle name="20% - Accent4 2 2 2 3 3" xfId="7503"/>
    <cellStyle name="20% - Accent4 2 2 2 4" xfId="3663"/>
    <cellStyle name="20% - Accent4 2 2 2 4 2" xfId="8762"/>
    <cellStyle name="20% - Accent4 2 2 2 5" xfId="6243"/>
    <cellStyle name="20% - Accent4 2 2 3" xfId="1213"/>
    <cellStyle name="20% - Accent4 2 2 3 2" xfId="2782"/>
    <cellStyle name="20% - Accent4 2 2 3 2 2" xfId="5184"/>
    <cellStyle name="20% - Accent4 2 2 3 2 2 2" xfId="10280"/>
    <cellStyle name="20% - Accent4 2 2 3 2 3" xfId="7885"/>
    <cellStyle name="20% - Accent4 2 2 3 3" xfId="3992"/>
    <cellStyle name="20% - Accent4 2 2 3 3 2" xfId="9088"/>
    <cellStyle name="20% - Accent4 2 2 3 4" xfId="6600"/>
    <cellStyle name="20% - Accent4 2 3" xfId="619"/>
    <cellStyle name="20% - Accent4 2 3 2" xfId="1215"/>
    <cellStyle name="20% - Accent4 2 3 2 2" xfId="2784"/>
    <cellStyle name="20% - Accent4 2 3 2 2 2" xfId="5186"/>
    <cellStyle name="20% - Accent4 2 3 2 2 2 2" xfId="10282"/>
    <cellStyle name="20% - Accent4 2 3 2 2 3" xfId="7887"/>
    <cellStyle name="20% - Accent4 2 3 2 3" xfId="3994"/>
    <cellStyle name="20% - Accent4 2 3 2 3 2" xfId="9090"/>
    <cellStyle name="20% - Accent4 2 3 2 4" xfId="6602"/>
    <cellStyle name="20% - Accent4 2 3 3" xfId="2425"/>
    <cellStyle name="20% - Accent4 2 3 3 2" xfId="4872"/>
    <cellStyle name="20% - Accent4 2 3 3 2 2" xfId="9968"/>
    <cellStyle name="20% - Accent4 2 3 3 3" xfId="7529"/>
    <cellStyle name="20% - Accent4 2 3 4" xfId="3689"/>
    <cellStyle name="20% - Accent4 2 3 4 2" xfId="8788"/>
    <cellStyle name="20% - Accent4 2 3 5" xfId="6269"/>
    <cellStyle name="20% - Accent4 2 4" xfId="536"/>
    <cellStyle name="20% - Accent4 2 4 2" xfId="1216"/>
    <cellStyle name="20% - Accent4 2 4 2 2" xfId="2785"/>
    <cellStyle name="20% - Accent4 2 4 2 2 2" xfId="5187"/>
    <cellStyle name="20% - Accent4 2 4 2 2 2 2" xfId="10283"/>
    <cellStyle name="20% - Accent4 2 4 2 2 3" xfId="7888"/>
    <cellStyle name="20% - Accent4 2 4 2 3" xfId="3995"/>
    <cellStyle name="20% - Accent4 2 4 2 3 2" xfId="9091"/>
    <cellStyle name="20% - Accent4 2 4 2 4" xfId="6603"/>
    <cellStyle name="20% - Accent4 2 4 3" xfId="2345"/>
    <cellStyle name="20% - Accent4 2 4 3 2" xfId="4792"/>
    <cellStyle name="20% - Accent4 2 4 3 2 2" xfId="9888"/>
    <cellStyle name="20% - Accent4 2 4 3 3" xfId="7449"/>
    <cellStyle name="20% - Accent4 2 4 4" xfId="3609"/>
    <cellStyle name="20% - Accent4 2 4 4 2" xfId="8708"/>
    <cellStyle name="20% - Accent4 2 4 5" xfId="6189"/>
    <cellStyle name="20% - Accent4 2 5" xfId="683"/>
    <cellStyle name="20% - Accent4 2 5 2" xfId="2485"/>
    <cellStyle name="20% - Accent4 2 5 2 2" xfId="4932"/>
    <cellStyle name="20% - Accent4 2 5 2 2 2" xfId="10028"/>
    <cellStyle name="20% - Accent4 2 5 2 3" xfId="7589"/>
    <cellStyle name="20% - Accent4 2 5 3" xfId="3749"/>
    <cellStyle name="20% - Accent4 2 5 3 2" xfId="8848"/>
    <cellStyle name="20% - Accent4 2 5 4" xfId="6329"/>
    <cellStyle name="20% - Accent4 2 6" xfId="1212"/>
    <cellStyle name="20% - Accent4 2 6 2" xfId="2781"/>
    <cellStyle name="20% - Accent4 2 6 2 2" xfId="5183"/>
    <cellStyle name="20% - Accent4 2 6 2 2 2" xfId="10279"/>
    <cellStyle name="20% - Accent4 2 6 2 3" xfId="7884"/>
    <cellStyle name="20% - Accent4 2 6 3" xfId="3991"/>
    <cellStyle name="20% - Accent4 2 6 3 2" xfId="9087"/>
    <cellStyle name="20% - Accent4 2 6 4" xfId="6599"/>
    <cellStyle name="20% - Accent4 3" xfId="198"/>
    <cellStyle name="20% - Accent4 3 2" xfId="866"/>
    <cellStyle name="20% - Accent4 3 2 2" xfId="766"/>
    <cellStyle name="20% - Accent4 3 2 2 2" xfId="1219"/>
    <cellStyle name="20% - Accent4 3 2 2 2 2" xfId="2788"/>
    <cellStyle name="20% - Accent4 3 2 2 2 2 2" xfId="5190"/>
    <cellStyle name="20% - Accent4 3 2 2 2 2 2 2" xfId="10286"/>
    <cellStyle name="20% - Accent4 3 2 2 2 2 3" xfId="7891"/>
    <cellStyle name="20% - Accent4 3 2 2 2 3" xfId="3998"/>
    <cellStyle name="20% - Accent4 3 2 2 2 3 2" xfId="9094"/>
    <cellStyle name="20% - Accent4 3 2 2 2 4" xfId="6606"/>
    <cellStyle name="20% - Accent4 3 2 2 3" xfId="2547"/>
    <cellStyle name="20% - Accent4 3 2 2 3 2" xfId="4994"/>
    <cellStyle name="20% - Accent4 3 2 2 3 2 2" xfId="10090"/>
    <cellStyle name="20% - Accent4 3 2 2 3 3" xfId="7651"/>
    <cellStyle name="20% - Accent4 3 2 2 4" xfId="3811"/>
    <cellStyle name="20% - Accent4 3 2 2 4 2" xfId="8910"/>
    <cellStyle name="20% - Accent4 3 2 2 5" xfId="6391"/>
    <cellStyle name="20% - Accent4 3 2 3" xfId="1218"/>
    <cellStyle name="20% - Accent4 3 2 3 2" xfId="2787"/>
    <cellStyle name="20% - Accent4 3 2 3 2 2" xfId="5189"/>
    <cellStyle name="20% - Accent4 3 2 3 2 2 2" xfId="10285"/>
    <cellStyle name="20% - Accent4 3 2 3 2 3" xfId="7890"/>
    <cellStyle name="20% - Accent4 3 2 3 3" xfId="3997"/>
    <cellStyle name="20% - Accent4 3 2 3 3 2" xfId="9093"/>
    <cellStyle name="20% - Accent4 3 2 3 4" xfId="6605"/>
    <cellStyle name="20% - Accent4 3 3" xfId="556"/>
    <cellStyle name="20% - Accent4 3 3 2" xfId="1220"/>
    <cellStyle name="20% - Accent4 3 3 2 2" xfId="2789"/>
    <cellStyle name="20% - Accent4 3 3 2 2 2" xfId="5191"/>
    <cellStyle name="20% - Accent4 3 3 2 2 2 2" xfId="10287"/>
    <cellStyle name="20% - Accent4 3 3 2 2 3" xfId="7892"/>
    <cellStyle name="20% - Accent4 3 3 2 3" xfId="3999"/>
    <cellStyle name="20% - Accent4 3 3 2 3 2" xfId="9095"/>
    <cellStyle name="20% - Accent4 3 3 2 4" xfId="6607"/>
    <cellStyle name="20% - Accent4 3 3 3" xfId="2362"/>
    <cellStyle name="20% - Accent4 3 3 3 2" xfId="4809"/>
    <cellStyle name="20% - Accent4 3 3 3 2 2" xfId="9905"/>
    <cellStyle name="20% - Accent4 3 3 3 3" xfId="7466"/>
    <cellStyle name="20% - Accent4 3 3 4" xfId="3626"/>
    <cellStyle name="20% - Accent4 3 3 4 2" xfId="8725"/>
    <cellStyle name="20% - Accent4 3 3 5" xfId="6206"/>
    <cellStyle name="20% - Accent4 3 4" xfId="646"/>
    <cellStyle name="20% - Accent4 3 4 2" xfId="1221"/>
    <cellStyle name="20% - Accent4 3 4 2 2" xfId="2790"/>
    <cellStyle name="20% - Accent4 3 4 2 2 2" xfId="5192"/>
    <cellStyle name="20% - Accent4 3 4 2 2 2 2" xfId="10288"/>
    <cellStyle name="20% - Accent4 3 4 2 2 3" xfId="7893"/>
    <cellStyle name="20% - Accent4 3 4 2 3" xfId="4000"/>
    <cellStyle name="20% - Accent4 3 4 2 3 2" xfId="9096"/>
    <cellStyle name="20% - Accent4 3 4 2 4" xfId="6608"/>
    <cellStyle name="20% - Accent4 3 4 3" xfId="2450"/>
    <cellStyle name="20% - Accent4 3 4 3 2" xfId="4897"/>
    <cellStyle name="20% - Accent4 3 4 3 2 2" xfId="9993"/>
    <cellStyle name="20% - Accent4 3 4 3 3" xfId="7554"/>
    <cellStyle name="20% - Accent4 3 4 4" xfId="3714"/>
    <cellStyle name="20% - Accent4 3 4 4 2" xfId="8813"/>
    <cellStyle name="20% - Accent4 3 4 5" xfId="6294"/>
    <cellStyle name="20% - Accent4 3 5" xfId="695"/>
    <cellStyle name="20% - Accent4 3 5 2" xfId="2497"/>
    <cellStyle name="20% - Accent4 3 5 2 2" xfId="4944"/>
    <cellStyle name="20% - Accent4 3 5 2 2 2" xfId="10040"/>
    <cellStyle name="20% - Accent4 3 5 2 3" xfId="7601"/>
    <cellStyle name="20% - Accent4 3 5 3" xfId="3761"/>
    <cellStyle name="20% - Accent4 3 5 3 2" xfId="8860"/>
    <cellStyle name="20% - Accent4 3 5 4" xfId="6341"/>
    <cellStyle name="20% - Accent4 3 6" xfId="1217"/>
    <cellStyle name="20% - Accent4 3 6 2" xfId="2786"/>
    <cellStyle name="20% - Accent4 3 6 2 2" xfId="5188"/>
    <cellStyle name="20% - Accent4 3 6 2 2 2" xfId="10284"/>
    <cellStyle name="20% - Accent4 3 6 2 3" xfId="7889"/>
    <cellStyle name="20% - Accent4 3 6 3" xfId="3996"/>
    <cellStyle name="20% - Accent4 3 6 3 2" xfId="9092"/>
    <cellStyle name="20% - Accent4 3 6 4" xfId="6604"/>
    <cellStyle name="20% - Accent4 4" xfId="199"/>
    <cellStyle name="20% - Accent4 4 2" xfId="581"/>
    <cellStyle name="20% - Accent4 4 2 2" xfId="1223"/>
    <cellStyle name="20% - Accent4 4 2 3" xfId="2387"/>
    <cellStyle name="20% - Accent4 4 2 3 2" xfId="4834"/>
    <cellStyle name="20% - Accent4 4 2 3 2 2" xfId="9930"/>
    <cellStyle name="20% - Accent4 4 2 3 3" xfId="7491"/>
    <cellStyle name="20% - Accent4 4 2 4" xfId="3651"/>
    <cellStyle name="20% - Accent4 4 2 4 2" xfId="8750"/>
    <cellStyle name="20% - Accent4 4 2 5" xfId="6231"/>
    <cellStyle name="20% - Accent4 4 3" xfId="890"/>
    <cellStyle name="20% - Accent4 4 3 2" xfId="1224"/>
    <cellStyle name="20% - Accent4 4 3 2 2" xfId="2792"/>
    <cellStyle name="20% - Accent4 4 3 2 2 2" xfId="5194"/>
    <cellStyle name="20% - Accent4 4 3 2 2 2 2" xfId="10290"/>
    <cellStyle name="20% - Accent4 4 3 2 2 3" xfId="7895"/>
    <cellStyle name="20% - Accent4 4 3 2 3" xfId="4002"/>
    <cellStyle name="20% - Accent4 4 3 2 3 2" xfId="9098"/>
    <cellStyle name="20% - Accent4 4 3 2 4" xfId="6610"/>
    <cellStyle name="20% - Accent4 4 3 3" xfId="2595"/>
    <cellStyle name="20% - Accent4 4 3 3 2" xfId="5039"/>
    <cellStyle name="20% - Accent4 4 3 3 2 2" xfId="10135"/>
    <cellStyle name="20% - Accent4 4 3 3 3" xfId="7698"/>
    <cellStyle name="20% - Accent4 4 3 4" xfId="3856"/>
    <cellStyle name="20% - Accent4 4 3 4 2" xfId="8955"/>
    <cellStyle name="20% - Accent4 4 3 5" xfId="6441"/>
    <cellStyle name="20% - Accent4 4 4" xfId="918"/>
    <cellStyle name="20% - Accent4 4 4 2" xfId="2619"/>
    <cellStyle name="20% - Accent4 4 4 2 2" xfId="5063"/>
    <cellStyle name="20% - Accent4 4 4 2 2 2" xfId="10159"/>
    <cellStyle name="20% - Accent4 4 4 2 3" xfId="7722"/>
    <cellStyle name="20% - Accent4 4 4 3" xfId="3880"/>
    <cellStyle name="20% - Accent4 4 4 3 2" xfId="8979"/>
    <cellStyle name="20% - Accent4 4 4 4" xfId="6465"/>
    <cellStyle name="20% - Accent4 4 5" xfId="672"/>
    <cellStyle name="20% - Accent4 4 5 2" xfId="2475"/>
    <cellStyle name="20% - Accent4 4 5 2 2" xfId="4922"/>
    <cellStyle name="20% - Accent4 4 5 2 2 2" xfId="10018"/>
    <cellStyle name="20% - Accent4 4 5 2 3" xfId="7579"/>
    <cellStyle name="20% - Accent4 4 5 3" xfId="3739"/>
    <cellStyle name="20% - Accent4 4 5 3 2" xfId="8838"/>
    <cellStyle name="20% - Accent4 4 5 4" xfId="6319"/>
    <cellStyle name="20% - Accent4 4 6" xfId="1222"/>
    <cellStyle name="20% - Accent4 4 6 2" xfId="2791"/>
    <cellStyle name="20% - Accent4 4 6 2 2" xfId="5193"/>
    <cellStyle name="20% - Accent4 4 6 2 2 2" xfId="10289"/>
    <cellStyle name="20% - Accent4 4 6 2 3" xfId="7894"/>
    <cellStyle name="20% - Accent4 4 6 3" xfId="4001"/>
    <cellStyle name="20% - Accent4 4 6 3 2" xfId="9097"/>
    <cellStyle name="20% - Accent4 4 6 4" xfId="6609"/>
    <cellStyle name="20% - Accent4 5" xfId="200"/>
    <cellStyle name="20% - Accent4 5 2" xfId="633"/>
    <cellStyle name="20% - Accent4 5 2 2" xfId="2439"/>
    <cellStyle name="20% - Accent4 5 2 2 2" xfId="4886"/>
    <cellStyle name="20% - Accent4 5 2 2 2 2" xfId="9982"/>
    <cellStyle name="20% - Accent4 5 2 2 3" xfId="7543"/>
    <cellStyle name="20% - Accent4 5 2 3" xfId="3703"/>
    <cellStyle name="20% - Accent4 5 2 3 2" xfId="8802"/>
    <cellStyle name="20% - Accent4 5 2 4" xfId="6283"/>
    <cellStyle name="20% - Accent4 5 3" xfId="781"/>
    <cellStyle name="20% - Accent4 5 3 2" xfId="2562"/>
    <cellStyle name="20% - Accent4 5 3 2 2" xfId="5009"/>
    <cellStyle name="20% - Accent4 5 3 2 2 2" xfId="10105"/>
    <cellStyle name="20% - Accent4 5 3 2 3" xfId="7666"/>
    <cellStyle name="20% - Accent4 5 3 3" xfId="3826"/>
    <cellStyle name="20% - Accent4 5 3 3 2" xfId="8925"/>
    <cellStyle name="20% - Accent4 5 3 4" xfId="6406"/>
    <cellStyle name="20% - Accent4 5 4" xfId="1225"/>
    <cellStyle name="20% - Accent4 6" xfId="201"/>
    <cellStyle name="20% - Accent4 6 2" xfId="555"/>
    <cellStyle name="20% - Accent4 6 2 2" xfId="2361"/>
    <cellStyle name="20% - Accent4 6 2 2 2" xfId="4808"/>
    <cellStyle name="20% - Accent4 6 2 2 2 2" xfId="9904"/>
    <cellStyle name="20% - Accent4 6 2 2 3" xfId="7465"/>
    <cellStyle name="20% - Accent4 6 2 3" xfId="3625"/>
    <cellStyle name="20% - Accent4 6 2 3 2" xfId="8724"/>
    <cellStyle name="20% - Accent4 6 2 4" xfId="6205"/>
    <cellStyle name="20% - Accent4 6 3" xfId="1226"/>
    <cellStyle name="20% - Accent4 7" xfId="202"/>
    <cellStyle name="20% - Accent4 7 2" xfId="752"/>
    <cellStyle name="20% - Accent4 7 2 2" xfId="2536"/>
    <cellStyle name="20% - Accent4 7 2 2 2" xfId="4983"/>
    <cellStyle name="20% - Accent4 7 2 2 2 2" xfId="10079"/>
    <cellStyle name="20% - Accent4 7 2 2 3" xfId="7640"/>
    <cellStyle name="20% - Accent4 7 2 3" xfId="3800"/>
    <cellStyle name="20% - Accent4 7 2 3 2" xfId="8899"/>
    <cellStyle name="20% - Accent4 7 2 4" xfId="6380"/>
    <cellStyle name="20% - Accent4 7 3" xfId="1227"/>
    <cellStyle name="20% - Accent4 8" xfId="203"/>
    <cellStyle name="20% - Accent4 8 2" xfId="562"/>
    <cellStyle name="20% - Accent4 8 2 2" xfId="2368"/>
    <cellStyle name="20% - Accent4 8 2 2 2" xfId="4815"/>
    <cellStyle name="20% - Accent4 8 2 2 2 2" xfId="9911"/>
    <cellStyle name="20% - Accent4 8 2 2 3" xfId="7472"/>
    <cellStyle name="20% - Accent4 8 2 3" xfId="3632"/>
    <cellStyle name="20% - Accent4 8 2 3 2" xfId="8731"/>
    <cellStyle name="20% - Accent4 8 2 4" xfId="6212"/>
    <cellStyle name="20% - Accent4 8 3" xfId="1228"/>
    <cellStyle name="20% - Accent4 9" xfId="712"/>
    <cellStyle name="20% - Accent4 9 2" xfId="1049"/>
    <cellStyle name="20% - Accent4 9 2 2" xfId="2679"/>
    <cellStyle name="20% - Accent4 9 2 2 2" xfId="5088"/>
    <cellStyle name="20% - Accent4 9 2 2 2 2" xfId="10184"/>
    <cellStyle name="20% - Accent4 9 2 2 3" xfId="7782"/>
    <cellStyle name="20% - Accent4 9 2 3" xfId="3905"/>
    <cellStyle name="20% - Accent4 9 2 3 2" xfId="9004"/>
    <cellStyle name="20% - Accent4 9 2 4" xfId="6526"/>
    <cellStyle name="20% - Accent4 9 3" xfId="2510"/>
    <cellStyle name="20% - Accent4 9 3 2" xfId="4957"/>
    <cellStyle name="20% - Accent4 9 3 2 2" xfId="10053"/>
    <cellStyle name="20% - Accent4 9 3 3" xfId="7614"/>
    <cellStyle name="20% - Accent4 9 4" xfId="3774"/>
    <cellStyle name="20% - Accent4 9 4 2" xfId="8873"/>
    <cellStyle name="20% - Accent4 9 5" xfId="6354"/>
    <cellStyle name="20% - Accent5" xfId="141" builtinId="46" customBuiltin="1"/>
    <cellStyle name="20% - Accent5 10" xfId="2734"/>
    <cellStyle name="20% - Accent5 10 2" xfId="5136"/>
    <cellStyle name="20% - Accent5 10 2 2" xfId="10232"/>
    <cellStyle name="20% - Accent5 10 3" xfId="7837"/>
    <cellStyle name="20% - Accent5 11" xfId="3595"/>
    <cellStyle name="20% - Accent5 11 2" xfId="8698"/>
    <cellStyle name="20% - Accent5 12" xfId="6549"/>
    <cellStyle name="20% - Accent5 2" xfId="18"/>
    <cellStyle name="20% - Accent5 2 2" xfId="797"/>
    <cellStyle name="20% - Accent5 2 2 2" xfId="591"/>
    <cellStyle name="20% - Accent5 2 2 2 2" xfId="1231"/>
    <cellStyle name="20% - Accent5 2 2 2 2 2" xfId="2795"/>
    <cellStyle name="20% - Accent5 2 2 2 2 2 2" xfId="5197"/>
    <cellStyle name="20% - Accent5 2 2 2 2 2 2 2" xfId="10293"/>
    <cellStyle name="20% - Accent5 2 2 2 2 2 3" xfId="7898"/>
    <cellStyle name="20% - Accent5 2 2 2 2 3" xfId="4005"/>
    <cellStyle name="20% - Accent5 2 2 2 2 3 2" xfId="9101"/>
    <cellStyle name="20% - Accent5 2 2 2 2 4" xfId="6613"/>
    <cellStyle name="20% - Accent5 2 2 2 3" xfId="2397"/>
    <cellStyle name="20% - Accent5 2 2 2 3 2" xfId="4844"/>
    <cellStyle name="20% - Accent5 2 2 2 3 2 2" xfId="9940"/>
    <cellStyle name="20% - Accent5 2 2 2 3 3" xfId="7501"/>
    <cellStyle name="20% - Accent5 2 2 2 4" xfId="3661"/>
    <cellStyle name="20% - Accent5 2 2 2 4 2" xfId="8760"/>
    <cellStyle name="20% - Accent5 2 2 2 5" xfId="6241"/>
    <cellStyle name="20% - Accent5 2 2 3" xfId="1230"/>
    <cellStyle name="20% - Accent5 2 2 3 2" xfId="2794"/>
    <cellStyle name="20% - Accent5 2 2 3 2 2" xfId="5196"/>
    <cellStyle name="20% - Accent5 2 2 3 2 2 2" xfId="10292"/>
    <cellStyle name="20% - Accent5 2 2 3 2 3" xfId="7897"/>
    <cellStyle name="20% - Accent5 2 2 3 3" xfId="4004"/>
    <cellStyle name="20% - Accent5 2 2 3 3 2" xfId="9100"/>
    <cellStyle name="20% - Accent5 2 2 3 4" xfId="6612"/>
    <cellStyle name="20% - Accent5 2 3" xfId="880"/>
    <cellStyle name="20% - Accent5 2 3 2" xfId="1232"/>
    <cellStyle name="20% - Accent5 2 3 2 2" xfId="2796"/>
    <cellStyle name="20% - Accent5 2 3 2 2 2" xfId="5198"/>
    <cellStyle name="20% - Accent5 2 3 2 2 2 2" xfId="10294"/>
    <cellStyle name="20% - Accent5 2 3 2 2 3" xfId="7899"/>
    <cellStyle name="20% - Accent5 2 3 2 3" xfId="4006"/>
    <cellStyle name="20% - Accent5 2 3 2 3 2" xfId="9102"/>
    <cellStyle name="20% - Accent5 2 3 2 4" xfId="6614"/>
    <cellStyle name="20% - Accent5 2 3 3" xfId="2585"/>
    <cellStyle name="20% - Accent5 2 3 3 2" xfId="5029"/>
    <cellStyle name="20% - Accent5 2 3 3 2 2" xfId="10125"/>
    <cellStyle name="20% - Accent5 2 3 3 3" xfId="7688"/>
    <cellStyle name="20% - Accent5 2 3 4" xfId="3846"/>
    <cellStyle name="20% - Accent5 2 3 4 2" xfId="8945"/>
    <cellStyle name="20% - Accent5 2 3 5" xfId="6431"/>
    <cellStyle name="20% - Accent5 2 4" xfId="748"/>
    <cellStyle name="20% - Accent5 2 4 2" xfId="1233"/>
    <cellStyle name="20% - Accent5 2 4 2 2" xfId="2797"/>
    <cellStyle name="20% - Accent5 2 4 2 2 2" xfId="5199"/>
    <cellStyle name="20% - Accent5 2 4 2 2 2 2" xfId="10295"/>
    <cellStyle name="20% - Accent5 2 4 2 2 3" xfId="7900"/>
    <cellStyle name="20% - Accent5 2 4 2 3" xfId="4007"/>
    <cellStyle name="20% - Accent5 2 4 2 3 2" xfId="9103"/>
    <cellStyle name="20% - Accent5 2 4 2 4" xfId="6615"/>
    <cellStyle name="20% - Accent5 2 4 3" xfId="2533"/>
    <cellStyle name="20% - Accent5 2 4 3 2" xfId="4980"/>
    <cellStyle name="20% - Accent5 2 4 3 2 2" xfId="10076"/>
    <cellStyle name="20% - Accent5 2 4 3 3" xfId="7637"/>
    <cellStyle name="20% - Accent5 2 4 4" xfId="3797"/>
    <cellStyle name="20% - Accent5 2 4 4 2" xfId="8896"/>
    <cellStyle name="20% - Accent5 2 4 5" xfId="6377"/>
    <cellStyle name="20% - Accent5 2 5" xfId="908"/>
    <cellStyle name="20% - Accent5 2 5 2" xfId="2609"/>
    <cellStyle name="20% - Accent5 2 5 2 2" xfId="5053"/>
    <cellStyle name="20% - Accent5 2 5 2 2 2" xfId="10149"/>
    <cellStyle name="20% - Accent5 2 5 2 3" xfId="7712"/>
    <cellStyle name="20% - Accent5 2 5 3" xfId="3870"/>
    <cellStyle name="20% - Accent5 2 5 3 2" xfId="8969"/>
    <cellStyle name="20% - Accent5 2 5 4" xfId="6455"/>
    <cellStyle name="20% - Accent5 2 6" xfId="1229"/>
    <cellStyle name="20% - Accent5 2 6 2" xfId="2793"/>
    <cellStyle name="20% - Accent5 2 6 2 2" xfId="5195"/>
    <cellStyle name="20% - Accent5 2 6 2 2 2" xfId="10291"/>
    <cellStyle name="20% - Accent5 2 6 2 3" xfId="7896"/>
    <cellStyle name="20% - Accent5 2 6 3" xfId="4003"/>
    <cellStyle name="20% - Accent5 2 6 3 2" xfId="9099"/>
    <cellStyle name="20% - Accent5 2 6 4" xfId="6611"/>
    <cellStyle name="20% - Accent5 3" xfId="204"/>
    <cellStyle name="20% - Accent5 3 2" xfId="798"/>
    <cellStyle name="20% - Accent5 3 2 2" xfId="765"/>
    <cellStyle name="20% - Accent5 3 2 2 2" xfId="1236"/>
    <cellStyle name="20% - Accent5 3 2 2 2 2" xfId="2800"/>
    <cellStyle name="20% - Accent5 3 2 2 2 2 2" xfId="5202"/>
    <cellStyle name="20% - Accent5 3 2 2 2 2 2 2" xfId="10298"/>
    <cellStyle name="20% - Accent5 3 2 2 2 2 3" xfId="7903"/>
    <cellStyle name="20% - Accent5 3 2 2 2 3" xfId="4010"/>
    <cellStyle name="20% - Accent5 3 2 2 2 3 2" xfId="9106"/>
    <cellStyle name="20% - Accent5 3 2 2 2 4" xfId="6618"/>
    <cellStyle name="20% - Accent5 3 2 2 3" xfId="2546"/>
    <cellStyle name="20% - Accent5 3 2 2 3 2" xfId="4993"/>
    <cellStyle name="20% - Accent5 3 2 2 3 2 2" xfId="10089"/>
    <cellStyle name="20% - Accent5 3 2 2 3 3" xfId="7650"/>
    <cellStyle name="20% - Accent5 3 2 2 4" xfId="3810"/>
    <cellStyle name="20% - Accent5 3 2 2 4 2" xfId="8909"/>
    <cellStyle name="20% - Accent5 3 2 2 5" xfId="6390"/>
    <cellStyle name="20% - Accent5 3 2 3" xfId="1235"/>
    <cellStyle name="20% - Accent5 3 2 3 2" xfId="2799"/>
    <cellStyle name="20% - Accent5 3 2 3 2 2" xfId="5201"/>
    <cellStyle name="20% - Accent5 3 2 3 2 2 2" xfId="10297"/>
    <cellStyle name="20% - Accent5 3 2 3 2 3" xfId="7902"/>
    <cellStyle name="20% - Accent5 3 2 3 3" xfId="4009"/>
    <cellStyle name="20% - Accent5 3 2 3 3 2" xfId="9105"/>
    <cellStyle name="20% - Accent5 3 2 3 4" xfId="6617"/>
    <cellStyle name="20% - Accent5 3 3" xfId="922"/>
    <cellStyle name="20% - Accent5 3 3 2" xfId="1237"/>
    <cellStyle name="20% - Accent5 3 3 2 2" xfId="2801"/>
    <cellStyle name="20% - Accent5 3 3 2 2 2" xfId="5203"/>
    <cellStyle name="20% - Accent5 3 3 2 2 2 2" xfId="10299"/>
    <cellStyle name="20% - Accent5 3 3 2 2 3" xfId="7904"/>
    <cellStyle name="20% - Accent5 3 3 2 3" xfId="4011"/>
    <cellStyle name="20% - Accent5 3 3 2 3 2" xfId="9107"/>
    <cellStyle name="20% - Accent5 3 3 2 4" xfId="6619"/>
    <cellStyle name="20% - Accent5 3 3 3" xfId="2623"/>
    <cellStyle name="20% - Accent5 3 3 3 2" xfId="5067"/>
    <cellStyle name="20% - Accent5 3 3 3 2 2" xfId="10163"/>
    <cellStyle name="20% - Accent5 3 3 3 3" xfId="7726"/>
    <cellStyle name="20% - Accent5 3 3 4" xfId="3884"/>
    <cellStyle name="20% - Accent5 3 3 4 2" xfId="8983"/>
    <cellStyle name="20% - Accent5 3 3 5" xfId="6469"/>
    <cellStyle name="20% - Accent5 3 4" xfId="871"/>
    <cellStyle name="20% - Accent5 3 4 2" xfId="1238"/>
    <cellStyle name="20% - Accent5 3 4 2 2" xfId="2802"/>
    <cellStyle name="20% - Accent5 3 4 2 2 2" xfId="5204"/>
    <cellStyle name="20% - Accent5 3 4 2 2 2 2" xfId="10300"/>
    <cellStyle name="20% - Accent5 3 4 2 2 3" xfId="7905"/>
    <cellStyle name="20% - Accent5 3 4 2 3" xfId="4012"/>
    <cellStyle name="20% - Accent5 3 4 2 3 2" xfId="9108"/>
    <cellStyle name="20% - Accent5 3 4 2 4" xfId="6620"/>
    <cellStyle name="20% - Accent5 3 4 3" xfId="2576"/>
    <cellStyle name="20% - Accent5 3 4 3 2" xfId="5020"/>
    <cellStyle name="20% - Accent5 3 4 3 2 2" xfId="10116"/>
    <cellStyle name="20% - Accent5 3 4 3 3" xfId="7679"/>
    <cellStyle name="20% - Accent5 3 4 4" xfId="3837"/>
    <cellStyle name="20% - Accent5 3 4 4 2" xfId="8936"/>
    <cellStyle name="20% - Accent5 3 4 5" xfId="6422"/>
    <cellStyle name="20% - Accent5 3 5" xfId="694"/>
    <cellStyle name="20% - Accent5 3 5 2" xfId="2496"/>
    <cellStyle name="20% - Accent5 3 5 2 2" xfId="4943"/>
    <cellStyle name="20% - Accent5 3 5 2 2 2" xfId="10039"/>
    <cellStyle name="20% - Accent5 3 5 2 3" xfId="7600"/>
    <cellStyle name="20% - Accent5 3 5 3" xfId="3760"/>
    <cellStyle name="20% - Accent5 3 5 3 2" xfId="8859"/>
    <cellStyle name="20% - Accent5 3 5 4" xfId="6340"/>
    <cellStyle name="20% - Accent5 3 6" xfId="1234"/>
    <cellStyle name="20% - Accent5 3 6 2" xfId="2798"/>
    <cellStyle name="20% - Accent5 3 6 2 2" xfId="5200"/>
    <cellStyle name="20% - Accent5 3 6 2 2 2" xfId="10296"/>
    <cellStyle name="20% - Accent5 3 6 2 3" xfId="7901"/>
    <cellStyle name="20% - Accent5 3 6 3" xfId="4008"/>
    <cellStyle name="20% - Accent5 3 6 3 2" xfId="9104"/>
    <cellStyle name="20% - Accent5 3 6 4" xfId="6616"/>
    <cellStyle name="20% - Accent5 4" xfId="205"/>
    <cellStyle name="20% - Accent5 4 2" xfId="579"/>
    <cellStyle name="20% - Accent5 4 2 2" xfId="1240"/>
    <cellStyle name="20% - Accent5 4 2 3" xfId="2385"/>
    <cellStyle name="20% - Accent5 4 2 3 2" xfId="4832"/>
    <cellStyle name="20% - Accent5 4 2 3 2 2" xfId="9928"/>
    <cellStyle name="20% - Accent5 4 2 3 3" xfId="7489"/>
    <cellStyle name="20% - Accent5 4 2 4" xfId="3649"/>
    <cellStyle name="20% - Accent5 4 2 4 2" xfId="8748"/>
    <cellStyle name="20% - Accent5 4 2 5" xfId="6229"/>
    <cellStyle name="20% - Accent5 4 3" xfId="768"/>
    <cellStyle name="20% - Accent5 4 3 2" xfId="1241"/>
    <cellStyle name="20% - Accent5 4 3 2 2" xfId="2804"/>
    <cellStyle name="20% - Accent5 4 3 2 2 2" xfId="5206"/>
    <cellStyle name="20% - Accent5 4 3 2 2 2 2" xfId="10302"/>
    <cellStyle name="20% - Accent5 4 3 2 2 3" xfId="7907"/>
    <cellStyle name="20% - Accent5 4 3 2 3" xfId="4014"/>
    <cellStyle name="20% - Accent5 4 3 2 3 2" xfId="9110"/>
    <cellStyle name="20% - Accent5 4 3 2 4" xfId="6622"/>
    <cellStyle name="20% - Accent5 4 3 3" xfId="2549"/>
    <cellStyle name="20% - Accent5 4 3 3 2" xfId="4996"/>
    <cellStyle name="20% - Accent5 4 3 3 2 2" xfId="10092"/>
    <cellStyle name="20% - Accent5 4 3 3 3" xfId="7653"/>
    <cellStyle name="20% - Accent5 4 3 4" xfId="3813"/>
    <cellStyle name="20% - Accent5 4 3 4 2" xfId="8912"/>
    <cellStyle name="20% - Accent5 4 3 5" xfId="6393"/>
    <cellStyle name="20% - Accent5 4 4" xfId="638"/>
    <cellStyle name="20% - Accent5 4 4 2" xfId="2443"/>
    <cellStyle name="20% - Accent5 4 4 2 2" xfId="4890"/>
    <cellStyle name="20% - Accent5 4 4 2 2 2" xfId="9986"/>
    <cellStyle name="20% - Accent5 4 4 2 3" xfId="7547"/>
    <cellStyle name="20% - Accent5 4 4 3" xfId="3707"/>
    <cellStyle name="20% - Accent5 4 4 3 2" xfId="8806"/>
    <cellStyle name="20% - Accent5 4 4 4" xfId="6287"/>
    <cellStyle name="20% - Accent5 4 5" xfId="671"/>
    <cellStyle name="20% - Accent5 4 5 2" xfId="2474"/>
    <cellStyle name="20% - Accent5 4 5 2 2" xfId="4921"/>
    <cellStyle name="20% - Accent5 4 5 2 2 2" xfId="10017"/>
    <cellStyle name="20% - Accent5 4 5 2 3" xfId="7578"/>
    <cellStyle name="20% - Accent5 4 5 3" xfId="3738"/>
    <cellStyle name="20% - Accent5 4 5 3 2" xfId="8837"/>
    <cellStyle name="20% - Accent5 4 5 4" xfId="6318"/>
    <cellStyle name="20% - Accent5 4 6" xfId="1239"/>
    <cellStyle name="20% - Accent5 4 6 2" xfId="2803"/>
    <cellStyle name="20% - Accent5 4 6 2 2" xfId="5205"/>
    <cellStyle name="20% - Accent5 4 6 2 2 2" xfId="10301"/>
    <cellStyle name="20% - Accent5 4 6 2 3" xfId="7906"/>
    <cellStyle name="20% - Accent5 4 6 3" xfId="4013"/>
    <cellStyle name="20% - Accent5 4 6 3 2" xfId="9109"/>
    <cellStyle name="20% - Accent5 4 6 4" xfId="6621"/>
    <cellStyle name="20% - Accent5 5" xfId="206"/>
    <cellStyle name="20% - Accent5 5 2" xfId="920"/>
    <cellStyle name="20% - Accent5 5 2 2" xfId="2621"/>
    <cellStyle name="20% - Accent5 5 2 2 2" xfId="5065"/>
    <cellStyle name="20% - Accent5 5 2 2 2 2" xfId="10161"/>
    <cellStyle name="20% - Accent5 5 2 2 3" xfId="7724"/>
    <cellStyle name="20% - Accent5 5 2 3" xfId="3882"/>
    <cellStyle name="20% - Accent5 5 2 3 2" xfId="8981"/>
    <cellStyle name="20% - Accent5 5 2 4" xfId="6467"/>
    <cellStyle name="20% - Accent5 5 3" xfId="663"/>
    <cellStyle name="20% - Accent5 5 3 2" xfId="2467"/>
    <cellStyle name="20% - Accent5 5 3 2 2" xfId="4914"/>
    <cellStyle name="20% - Accent5 5 3 2 2 2" xfId="10010"/>
    <cellStyle name="20% - Accent5 5 3 2 3" xfId="7571"/>
    <cellStyle name="20% - Accent5 5 3 3" xfId="3731"/>
    <cellStyle name="20% - Accent5 5 3 3 2" xfId="8830"/>
    <cellStyle name="20% - Accent5 5 3 4" xfId="6311"/>
    <cellStyle name="20% - Accent5 5 4" xfId="1242"/>
    <cellStyle name="20% - Accent5 6" xfId="207"/>
    <cellStyle name="20% - Accent5 6 2" xfId="749"/>
    <cellStyle name="20% - Accent5 6 2 2" xfId="2534"/>
    <cellStyle name="20% - Accent5 6 2 2 2" xfId="4981"/>
    <cellStyle name="20% - Accent5 6 2 2 2 2" xfId="10077"/>
    <cellStyle name="20% - Accent5 6 2 2 3" xfId="7638"/>
    <cellStyle name="20% - Accent5 6 2 3" xfId="3798"/>
    <cellStyle name="20% - Accent5 6 2 3 2" xfId="8897"/>
    <cellStyle name="20% - Accent5 6 2 4" xfId="6378"/>
    <cellStyle name="20% - Accent5 6 3" xfId="1243"/>
    <cellStyle name="20% - Accent5 7" xfId="208"/>
    <cellStyle name="20% - Accent5 7 2" xfId="891"/>
    <cellStyle name="20% - Accent5 7 2 2" xfId="2596"/>
    <cellStyle name="20% - Accent5 7 2 2 2" xfId="5040"/>
    <cellStyle name="20% - Accent5 7 2 2 2 2" xfId="10136"/>
    <cellStyle name="20% - Accent5 7 2 2 3" xfId="7699"/>
    <cellStyle name="20% - Accent5 7 2 3" xfId="3857"/>
    <cellStyle name="20% - Accent5 7 2 3 2" xfId="8956"/>
    <cellStyle name="20% - Accent5 7 2 4" xfId="6442"/>
    <cellStyle name="20% - Accent5 7 3" xfId="1244"/>
    <cellStyle name="20% - Accent5 8" xfId="209"/>
    <cellStyle name="20% - Accent5 8 2" xfId="550"/>
    <cellStyle name="20% - Accent5 8 2 2" xfId="2356"/>
    <cellStyle name="20% - Accent5 8 2 2 2" xfId="4803"/>
    <cellStyle name="20% - Accent5 8 2 2 2 2" xfId="9899"/>
    <cellStyle name="20% - Accent5 8 2 2 3" xfId="7460"/>
    <cellStyle name="20% - Accent5 8 2 3" xfId="3620"/>
    <cellStyle name="20% - Accent5 8 2 3 2" xfId="8719"/>
    <cellStyle name="20% - Accent5 8 2 4" xfId="6200"/>
    <cellStyle name="20% - Accent5 8 3" xfId="1245"/>
    <cellStyle name="20% - Accent5 9" xfId="545"/>
    <cellStyle name="20% - Accent5 9 2" xfId="1051"/>
    <cellStyle name="20% - Accent5 9 2 2" xfId="2681"/>
    <cellStyle name="20% - Accent5 9 2 2 2" xfId="5090"/>
    <cellStyle name="20% - Accent5 9 2 2 2 2" xfId="10186"/>
    <cellStyle name="20% - Accent5 9 2 2 3" xfId="7784"/>
    <cellStyle name="20% - Accent5 9 2 3" xfId="3907"/>
    <cellStyle name="20% - Accent5 9 2 3 2" xfId="9006"/>
    <cellStyle name="20% - Accent5 9 2 4" xfId="6528"/>
    <cellStyle name="20% - Accent5 9 3" xfId="2354"/>
    <cellStyle name="20% - Accent5 9 3 2" xfId="4801"/>
    <cellStyle name="20% - Accent5 9 3 2 2" xfId="9897"/>
    <cellStyle name="20% - Accent5 9 3 3" xfId="7458"/>
    <cellStyle name="20% - Accent5 9 4" xfId="3618"/>
    <cellStyle name="20% - Accent5 9 4 2" xfId="8717"/>
    <cellStyle name="20% - Accent5 9 5" xfId="6198"/>
    <cellStyle name="20% - Accent6" xfId="145" builtinId="50" customBuiltin="1"/>
    <cellStyle name="20% - Accent6 10" xfId="2736"/>
    <cellStyle name="20% - Accent6 10 2" xfId="5138"/>
    <cellStyle name="20% - Accent6 10 2 2" xfId="10234"/>
    <cellStyle name="20% - Accent6 10 3" xfId="7839"/>
    <cellStyle name="20% - Accent6 11" xfId="3597"/>
    <cellStyle name="20% - Accent6 11 2" xfId="8700"/>
    <cellStyle name="20% - Accent6 12" xfId="6551"/>
    <cellStyle name="20% - Accent6 2" xfId="19"/>
    <cellStyle name="20% - Accent6 2 2" xfId="789"/>
    <cellStyle name="20% - Accent6 2 2 2" xfId="589"/>
    <cellStyle name="20% - Accent6 2 2 2 2" xfId="1248"/>
    <cellStyle name="20% - Accent6 2 2 2 2 2" xfId="2807"/>
    <cellStyle name="20% - Accent6 2 2 2 2 2 2" xfId="5209"/>
    <cellStyle name="20% - Accent6 2 2 2 2 2 2 2" xfId="10305"/>
    <cellStyle name="20% - Accent6 2 2 2 2 2 3" xfId="7910"/>
    <cellStyle name="20% - Accent6 2 2 2 2 3" xfId="4017"/>
    <cellStyle name="20% - Accent6 2 2 2 2 3 2" xfId="9113"/>
    <cellStyle name="20% - Accent6 2 2 2 2 4" xfId="6625"/>
    <cellStyle name="20% - Accent6 2 2 2 3" xfId="2395"/>
    <cellStyle name="20% - Accent6 2 2 2 3 2" xfId="4842"/>
    <cellStyle name="20% - Accent6 2 2 2 3 2 2" xfId="9938"/>
    <cellStyle name="20% - Accent6 2 2 2 3 3" xfId="7499"/>
    <cellStyle name="20% - Accent6 2 2 2 4" xfId="3659"/>
    <cellStyle name="20% - Accent6 2 2 2 4 2" xfId="8758"/>
    <cellStyle name="20% - Accent6 2 2 2 5" xfId="6239"/>
    <cellStyle name="20% - Accent6 2 2 3" xfId="1247"/>
    <cellStyle name="20% - Accent6 2 2 3 2" xfId="2806"/>
    <cellStyle name="20% - Accent6 2 2 3 2 2" xfId="5208"/>
    <cellStyle name="20% - Accent6 2 2 3 2 2 2" xfId="10304"/>
    <cellStyle name="20% - Accent6 2 2 3 2 3" xfId="7909"/>
    <cellStyle name="20% - Accent6 2 2 3 3" xfId="4016"/>
    <cellStyle name="20% - Accent6 2 2 3 3 2" xfId="9112"/>
    <cellStyle name="20% - Accent6 2 2 3 4" xfId="6624"/>
    <cellStyle name="20% - Accent6 2 3" xfId="739"/>
    <cellStyle name="20% - Accent6 2 3 2" xfId="1249"/>
    <cellStyle name="20% - Accent6 2 3 2 2" xfId="2808"/>
    <cellStyle name="20% - Accent6 2 3 2 2 2" xfId="5210"/>
    <cellStyle name="20% - Accent6 2 3 2 2 2 2" xfId="10306"/>
    <cellStyle name="20% - Accent6 2 3 2 2 3" xfId="7911"/>
    <cellStyle name="20% - Accent6 2 3 2 3" xfId="4018"/>
    <cellStyle name="20% - Accent6 2 3 2 3 2" xfId="9114"/>
    <cellStyle name="20% - Accent6 2 3 2 4" xfId="6626"/>
    <cellStyle name="20% - Accent6 2 3 3" xfId="2525"/>
    <cellStyle name="20% - Accent6 2 3 3 2" xfId="4972"/>
    <cellStyle name="20% - Accent6 2 3 3 2 2" xfId="10068"/>
    <cellStyle name="20% - Accent6 2 3 3 3" xfId="7629"/>
    <cellStyle name="20% - Accent6 2 3 4" xfId="3789"/>
    <cellStyle name="20% - Accent6 2 3 4 2" xfId="8888"/>
    <cellStyle name="20% - Accent6 2 3 5" xfId="6369"/>
    <cellStyle name="20% - Accent6 2 4" xfId="784"/>
    <cellStyle name="20% - Accent6 2 4 2" xfId="1250"/>
    <cellStyle name="20% - Accent6 2 4 2 2" xfId="2809"/>
    <cellStyle name="20% - Accent6 2 4 2 2 2" xfId="5211"/>
    <cellStyle name="20% - Accent6 2 4 2 2 2 2" xfId="10307"/>
    <cellStyle name="20% - Accent6 2 4 2 2 3" xfId="7912"/>
    <cellStyle name="20% - Accent6 2 4 2 3" xfId="4019"/>
    <cellStyle name="20% - Accent6 2 4 2 3 2" xfId="9115"/>
    <cellStyle name="20% - Accent6 2 4 2 4" xfId="6627"/>
    <cellStyle name="20% - Accent6 2 4 3" xfId="2565"/>
    <cellStyle name="20% - Accent6 2 4 3 2" xfId="5012"/>
    <cellStyle name="20% - Accent6 2 4 3 2 2" xfId="10108"/>
    <cellStyle name="20% - Accent6 2 4 3 3" xfId="7669"/>
    <cellStyle name="20% - Accent6 2 4 4" xfId="3829"/>
    <cellStyle name="20% - Accent6 2 4 4 2" xfId="8928"/>
    <cellStyle name="20% - Accent6 2 4 5" xfId="6409"/>
    <cellStyle name="20% - Accent6 2 5" xfId="909"/>
    <cellStyle name="20% - Accent6 2 5 2" xfId="2610"/>
    <cellStyle name="20% - Accent6 2 5 2 2" xfId="5054"/>
    <cellStyle name="20% - Accent6 2 5 2 2 2" xfId="10150"/>
    <cellStyle name="20% - Accent6 2 5 2 3" xfId="7713"/>
    <cellStyle name="20% - Accent6 2 5 3" xfId="3871"/>
    <cellStyle name="20% - Accent6 2 5 3 2" xfId="8970"/>
    <cellStyle name="20% - Accent6 2 5 4" xfId="6456"/>
    <cellStyle name="20% - Accent6 2 6" xfId="1246"/>
    <cellStyle name="20% - Accent6 2 6 2" xfId="2805"/>
    <cellStyle name="20% - Accent6 2 6 2 2" xfId="5207"/>
    <cellStyle name="20% - Accent6 2 6 2 2 2" xfId="10303"/>
    <cellStyle name="20% - Accent6 2 6 2 3" xfId="7908"/>
    <cellStyle name="20% - Accent6 2 6 3" xfId="4015"/>
    <cellStyle name="20% - Accent6 2 6 3 2" xfId="9111"/>
    <cellStyle name="20% - Accent6 2 6 4" xfId="6623"/>
    <cellStyle name="20% - Accent6 3" xfId="210"/>
    <cellStyle name="20% - Accent6 3 2" xfId="799"/>
    <cellStyle name="20% - Accent6 3 2 2" xfId="929"/>
    <cellStyle name="20% - Accent6 3 2 2 2" xfId="1253"/>
    <cellStyle name="20% - Accent6 3 2 2 2 2" xfId="2812"/>
    <cellStyle name="20% - Accent6 3 2 2 2 2 2" xfId="5214"/>
    <cellStyle name="20% - Accent6 3 2 2 2 2 2 2" xfId="10310"/>
    <cellStyle name="20% - Accent6 3 2 2 2 2 3" xfId="7915"/>
    <cellStyle name="20% - Accent6 3 2 2 2 3" xfId="4022"/>
    <cellStyle name="20% - Accent6 3 2 2 2 3 2" xfId="9118"/>
    <cellStyle name="20% - Accent6 3 2 2 2 4" xfId="6630"/>
    <cellStyle name="20% - Accent6 3 2 2 3" xfId="2629"/>
    <cellStyle name="20% - Accent6 3 2 2 3 2" xfId="5073"/>
    <cellStyle name="20% - Accent6 3 2 2 3 2 2" xfId="10169"/>
    <cellStyle name="20% - Accent6 3 2 2 3 3" xfId="7732"/>
    <cellStyle name="20% - Accent6 3 2 2 4" xfId="3890"/>
    <cellStyle name="20% - Accent6 3 2 2 4 2" xfId="8989"/>
    <cellStyle name="20% - Accent6 3 2 2 5" xfId="6475"/>
    <cellStyle name="20% - Accent6 3 2 3" xfId="1252"/>
    <cellStyle name="20% - Accent6 3 2 3 2" xfId="2811"/>
    <cellStyle name="20% - Accent6 3 2 3 2 2" xfId="5213"/>
    <cellStyle name="20% - Accent6 3 2 3 2 2 2" xfId="10309"/>
    <cellStyle name="20% - Accent6 3 2 3 2 3" xfId="7914"/>
    <cellStyle name="20% - Accent6 3 2 3 3" xfId="4021"/>
    <cellStyle name="20% - Accent6 3 2 3 3 2" xfId="9117"/>
    <cellStyle name="20% - Accent6 3 2 3 4" xfId="6629"/>
    <cellStyle name="20% - Accent6 3 3" xfId="876"/>
    <cellStyle name="20% - Accent6 3 3 2" xfId="1254"/>
    <cellStyle name="20% - Accent6 3 3 2 2" xfId="2813"/>
    <cellStyle name="20% - Accent6 3 3 2 2 2" xfId="5215"/>
    <cellStyle name="20% - Accent6 3 3 2 2 2 2" xfId="10311"/>
    <cellStyle name="20% - Accent6 3 3 2 2 3" xfId="7916"/>
    <cellStyle name="20% - Accent6 3 3 2 3" xfId="4023"/>
    <cellStyle name="20% - Accent6 3 3 2 3 2" xfId="9119"/>
    <cellStyle name="20% - Accent6 3 3 2 4" xfId="6631"/>
    <cellStyle name="20% - Accent6 3 3 3" xfId="2581"/>
    <cellStyle name="20% - Accent6 3 3 3 2" xfId="5025"/>
    <cellStyle name="20% - Accent6 3 3 3 2 2" xfId="10121"/>
    <cellStyle name="20% - Accent6 3 3 3 3" xfId="7684"/>
    <cellStyle name="20% - Accent6 3 3 4" xfId="3842"/>
    <cellStyle name="20% - Accent6 3 3 4 2" xfId="8941"/>
    <cellStyle name="20% - Accent6 3 3 5" xfId="6427"/>
    <cellStyle name="20% - Accent6 3 4" xfId="916"/>
    <cellStyle name="20% - Accent6 3 4 2" xfId="1255"/>
    <cellStyle name="20% - Accent6 3 4 2 2" xfId="2814"/>
    <cellStyle name="20% - Accent6 3 4 2 2 2" xfId="5216"/>
    <cellStyle name="20% - Accent6 3 4 2 2 2 2" xfId="10312"/>
    <cellStyle name="20% - Accent6 3 4 2 2 3" xfId="7917"/>
    <cellStyle name="20% - Accent6 3 4 2 3" xfId="4024"/>
    <cellStyle name="20% - Accent6 3 4 2 3 2" xfId="9120"/>
    <cellStyle name="20% - Accent6 3 4 2 4" xfId="6632"/>
    <cellStyle name="20% - Accent6 3 4 3" xfId="2617"/>
    <cellStyle name="20% - Accent6 3 4 3 2" xfId="5061"/>
    <cellStyle name="20% - Accent6 3 4 3 2 2" xfId="10157"/>
    <cellStyle name="20% - Accent6 3 4 3 3" xfId="7720"/>
    <cellStyle name="20% - Accent6 3 4 4" xfId="3878"/>
    <cellStyle name="20% - Accent6 3 4 4 2" xfId="8977"/>
    <cellStyle name="20% - Accent6 3 4 5" xfId="6463"/>
    <cellStyle name="20% - Accent6 3 5" xfId="692"/>
    <cellStyle name="20% - Accent6 3 5 2" xfId="2494"/>
    <cellStyle name="20% - Accent6 3 5 2 2" xfId="4941"/>
    <cellStyle name="20% - Accent6 3 5 2 2 2" xfId="10037"/>
    <cellStyle name="20% - Accent6 3 5 2 3" xfId="7598"/>
    <cellStyle name="20% - Accent6 3 5 3" xfId="3758"/>
    <cellStyle name="20% - Accent6 3 5 3 2" xfId="8857"/>
    <cellStyle name="20% - Accent6 3 5 4" xfId="6338"/>
    <cellStyle name="20% - Accent6 3 6" xfId="1251"/>
    <cellStyle name="20% - Accent6 3 6 2" xfId="2810"/>
    <cellStyle name="20% - Accent6 3 6 2 2" xfId="5212"/>
    <cellStyle name="20% - Accent6 3 6 2 2 2" xfId="10308"/>
    <cellStyle name="20% - Accent6 3 6 2 3" xfId="7913"/>
    <cellStyle name="20% - Accent6 3 6 3" xfId="4020"/>
    <cellStyle name="20% - Accent6 3 6 3 2" xfId="9116"/>
    <cellStyle name="20% - Accent6 3 6 4" xfId="6628"/>
    <cellStyle name="20% - Accent6 4" xfId="211"/>
    <cellStyle name="20% - Accent6 4 2" xfId="764"/>
    <cellStyle name="20% - Accent6 4 2 2" xfId="1257"/>
    <cellStyle name="20% - Accent6 4 2 3" xfId="2545"/>
    <cellStyle name="20% - Accent6 4 2 3 2" xfId="4992"/>
    <cellStyle name="20% - Accent6 4 2 3 2 2" xfId="10088"/>
    <cellStyle name="20% - Accent6 4 2 3 3" xfId="7649"/>
    <cellStyle name="20% - Accent6 4 2 4" xfId="3809"/>
    <cellStyle name="20% - Accent6 4 2 4 2" xfId="8908"/>
    <cellStyle name="20% - Accent6 4 2 5" xfId="6389"/>
    <cellStyle name="20% - Accent6 4 3" xfId="611"/>
    <cellStyle name="20% - Accent6 4 3 2" xfId="1258"/>
    <cellStyle name="20% - Accent6 4 3 2 2" xfId="2816"/>
    <cellStyle name="20% - Accent6 4 3 2 2 2" xfId="5218"/>
    <cellStyle name="20% - Accent6 4 3 2 2 2 2" xfId="10314"/>
    <cellStyle name="20% - Accent6 4 3 2 2 3" xfId="7919"/>
    <cellStyle name="20% - Accent6 4 3 2 3" xfId="4026"/>
    <cellStyle name="20% - Accent6 4 3 2 3 2" xfId="9122"/>
    <cellStyle name="20% - Accent6 4 3 2 4" xfId="6634"/>
    <cellStyle name="20% - Accent6 4 3 3" xfId="2417"/>
    <cellStyle name="20% - Accent6 4 3 3 2" xfId="4864"/>
    <cellStyle name="20% - Accent6 4 3 3 2 2" xfId="9960"/>
    <cellStyle name="20% - Accent6 4 3 3 3" xfId="7521"/>
    <cellStyle name="20% - Accent6 4 3 4" xfId="3681"/>
    <cellStyle name="20% - Accent6 4 3 4 2" xfId="8780"/>
    <cellStyle name="20% - Accent6 4 3 5" xfId="6261"/>
    <cellStyle name="20% - Accent6 4 4" xfId="919"/>
    <cellStyle name="20% - Accent6 4 4 2" xfId="2620"/>
    <cellStyle name="20% - Accent6 4 4 2 2" xfId="5064"/>
    <cellStyle name="20% - Accent6 4 4 2 2 2" xfId="10160"/>
    <cellStyle name="20% - Accent6 4 4 2 3" xfId="7723"/>
    <cellStyle name="20% - Accent6 4 4 3" xfId="3881"/>
    <cellStyle name="20% - Accent6 4 4 3 2" xfId="8980"/>
    <cellStyle name="20% - Accent6 4 4 4" xfId="6466"/>
    <cellStyle name="20% - Accent6 4 5" xfId="782"/>
    <cellStyle name="20% - Accent6 4 5 2" xfId="2563"/>
    <cellStyle name="20% - Accent6 4 5 2 2" xfId="5010"/>
    <cellStyle name="20% - Accent6 4 5 2 2 2" xfId="10106"/>
    <cellStyle name="20% - Accent6 4 5 2 3" xfId="7667"/>
    <cellStyle name="20% - Accent6 4 5 3" xfId="3827"/>
    <cellStyle name="20% - Accent6 4 5 3 2" xfId="8926"/>
    <cellStyle name="20% - Accent6 4 5 4" xfId="6407"/>
    <cellStyle name="20% - Accent6 4 6" xfId="1256"/>
    <cellStyle name="20% - Accent6 4 6 2" xfId="2815"/>
    <cellStyle name="20% - Accent6 4 6 2 2" xfId="5217"/>
    <cellStyle name="20% - Accent6 4 6 2 2 2" xfId="10313"/>
    <cellStyle name="20% - Accent6 4 6 2 3" xfId="7918"/>
    <cellStyle name="20% - Accent6 4 6 3" xfId="4025"/>
    <cellStyle name="20% - Accent6 4 6 3 2" xfId="9121"/>
    <cellStyle name="20% - Accent6 4 6 4" xfId="6633"/>
    <cellStyle name="20% - Accent6 5" xfId="212"/>
    <cellStyle name="20% - Accent6 5 2" xfId="772"/>
    <cellStyle name="20% - Accent6 5 2 2" xfId="2553"/>
    <cellStyle name="20% - Accent6 5 2 2 2" xfId="5000"/>
    <cellStyle name="20% - Accent6 5 2 2 2 2" xfId="10096"/>
    <cellStyle name="20% - Accent6 5 2 2 3" xfId="7657"/>
    <cellStyle name="20% - Accent6 5 2 3" xfId="3817"/>
    <cellStyle name="20% - Accent6 5 2 3 2" xfId="8916"/>
    <cellStyle name="20% - Accent6 5 2 4" xfId="6397"/>
    <cellStyle name="20% - Accent6 5 3" xfId="661"/>
    <cellStyle name="20% - Accent6 5 3 2" xfId="2465"/>
    <cellStyle name="20% - Accent6 5 3 2 2" xfId="4912"/>
    <cellStyle name="20% - Accent6 5 3 2 2 2" xfId="10008"/>
    <cellStyle name="20% - Accent6 5 3 2 3" xfId="7569"/>
    <cellStyle name="20% - Accent6 5 3 3" xfId="3729"/>
    <cellStyle name="20% - Accent6 5 3 3 2" xfId="8828"/>
    <cellStyle name="20% - Accent6 5 3 4" xfId="6309"/>
    <cellStyle name="20% - Accent6 5 4" xfId="1259"/>
    <cellStyle name="20% - Accent6 6" xfId="213"/>
    <cellStyle name="20% - Accent6 6 2" xfId="658"/>
    <cellStyle name="20% - Accent6 6 2 2" xfId="2462"/>
    <cellStyle name="20% - Accent6 6 2 2 2" xfId="4909"/>
    <cellStyle name="20% - Accent6 6 2 2 2 2" xfId="10005"/>
    <cellStyle name="20% - Accent6 6 2 2 3" xfId="7566"/>
    <cellStyle name="20% - Accent6 6 2 3" xfId="3726"/>
    <cellStyle name="20% - Accent6 6 2 3 2" xfId="8825"/>
    <cellStyle name="20% - Accent6 6 2 4" xfId="6306"/>
    <cellStyle name="20% - Accent6 6 3" xfId="1260"/>
    <cellStyle name="20% - Accent6 7" xfId="214"/>
    <cellStyle name="20% - Accent6 7 2" xfId="568"/>
    <cellStyle name="20% - Accent6 7 2 2" xfId="2374"/>
    <cellStyle name="20% - Accent6 7 2 2 2" xfId="4821"/>
    <cellStyle name="20% - Accent6 7 2 2 2 2" xfId="9917"/>
    <cellStyle name="20% - Accent6 7 2 2 3" xfId="7478"/>
    <cellStyle name="20% - Accent6 7 2 3" xfId="3638"/>
    <cellStyle name="20% - Accent6 7 2 3 2" xfId="8737"/>
    <cellStyle name="20% - Accent6 7 2 4" xfId="6218"/>
    <cellStyle name="20% - Accent6 7 3" xfId="1261"/>
    <cellStyle name="20% - Accent6 8" xfId="215"/>
    <cellStyle name="20% - Accent6 8 2" xfId="729"/>
    <cellStyle name="20% - Accent6 8 2 2" xfId="2515"/>
    <cellStyle name="20% - Accent6 8 2 2 2" xfId="4962"/>
    <cellStyle name="20% - Accent6 8 2 2 2 2" xfId="10058"/>
    <cellStyle name="20% - Accent6 8 2 2 3" xfId="7619"/>
    <cellStyle name="20% - Accent6 8 2 3" xfId="3779"/>
    <cellStyle name="20% - Accent6 8 2 3 2" xfId="8878"/>
    <cellStyle name="20% - Accent6 8 2 4" xfId="6359"/>
    <cellStyle name="20% - Accent6 8 3" xfId="1262"/>
    <cellStyle name="20% - Accent6 9" xfId="706"/>
    <cellStyle name="20% - Accent6 9 2" xfId="1053"/>
    <cellStyle name="20% - Accent6 9 2 2" xfId="2683"/>
    <cellStyle name="20% - Accent6 9 2 2 2" xfId="5092"/>
    <cellStyle name="20% - Accent6 9 2 2 2 2" xfId="10188"/>
    <cellStyle name="20% - Accent6 9 2 2 3" xfId="7786"/>
    <cellStyle name="20% - Accent6 9 2 3" xfId="3909"/>
    <cellStyle name="20% - Accent6 9 2 3 2" xfId="9008"/>
    <cellStyle name="20% - Accent6 9 2 4" xfId="6530"/>
    <cellStyle name="20% - Accent6 9 3" xfId="2507"/>
    <cellStyle name="20% - Accent6 9 3 2" xfId="4954"/>
    <cellStyle name="20% - Accent6 9 3 2 2" xfId="10050"/>
    <cellStyle name="20% - Accent6 9 3 3" xfId="7611"/>
    <cellStyle name="20% - Accent6 9 4" xfId="3771"/>
    <cellStyle name="20% - Accent6 9 4 2" xfId="8870"/>
    <cellStyle name="20% - Accent6 9 5" xfId="6351"/>
    <cellStyle name="40% - Accent1" xfId="126" builtinId="31" customBuiltin="1"/>
    <cellStyle name="40% - Accent1 10" xfId="2727"/>
    <cellStyle name="40% - Accent1 10 2" xfId="5129"/>
    <cellStyle name="40% - Accent1 10 2 2" xfId="10225"/>
    <cellStyle name="40% - Accent1 10 3" xfId="7830"/>
    <cellStyle name="40% - Accent1 11" xfId="3588"/>
    <cellStyle name="40% - Accent1 11 2" xfId="8691"/>
    <cellStyle name="40% - Accent1 12" xfId="6542"/>
    <cellStyle name="40% - Accent1 2" xfId="20"/>
    <cellStyle name="40% - Accent1 2 2" xfId="800"/>
    <cellStyle name="40% - Accent1 2 2 2" xfId="787"/>
    <cellStyle name="40% - Accent1 2 2 2 2" xfId="1265"/>
    <cellStyle name="40% - Accent1 2 2 2 2 2" xfId="2819"/>
    <cellStyle name="40% - Accent1 2 2 2 2 2 2" xfId="5221"/>
    <cellStyle name="40% - Accent1 2 2 2 2 2 2 2" xfId="10317"/>
    <cellStyle name="40% - Accent1 2 2 2 2 2 3" xfId="7922"/>
    <cellStyle name="40% - Accent1 2 2 2 2 3" xfId="4029"/>
    <cellStyle name="40% - Accent1 2 2 2 2 3 2" xfId="9125"/>
    <cellStyle name="40% - Accent1 2 2 2 2 4" xfId="6637"/>
    <cellStyle name="40% - Accent1 2 2 2 3" xfId="2568"/>
    <cellStyle name="40% - Accent1 2 2 2 3 2" xfId="5015"/>
    <cellStyle name="40% - Accent1 2 2 2 3 2 2" xfId="10111"/>
    <cellStyle name="40% - Accent1 2 2 2 3 3" xfId="7672"/>
    <cellStyle name="40% - Accent1 2 2 2 4" xfId="3832"/>
    <cellStyle name="40% - Accent1 2 2 2 4 2" xfId="8931"/>
    <cellStyle name="40% - Accent1 2 2 2 5" xfId="6412"/>
    <cellStyle name="40% - Accent1 2 2 3" xfId="1264"/>
    <cellStyle name="40% - Accent1 2 2 3 2" xfId="2818"/>
    <cellStyle name="40% - Accent1 2 2 3 2 2" xfId="5220"/>
    <cellStyle name="40% - Accent1 2 2 3 2 2 2" xfId="10316"/>
    <cellStyle name="40% - Accent1 2 2 3 2 3" xfId="7921"/>
    <cellStyle name="40% - Accent1 2 2 3 3" xfId="4028"/>
    <cellStyle name="40% - Accent1 2 2 3 3 2" xfId="9124"/>
    <cellStyle name="40% - Accent1 2 2 3 4" xfId="6636"/>
    <cellStyle name="40% - Accent1 2 3" xfId="740"/>
    <cellStyle name="40% - Accent1 2 3 2" xfId="1266"/>
    <cellStyle name="40% - Accent1 2 3 2 2" xfId="2820"/>
    <cellStyle name="40% - Accent1 2 3 2 2 2" xfId="5222"/>
    <cellStyle name="40% - Accent1 2 3 2 2 2 2" xfId="10318"/>
    <cellStyle name="40% - Accent1 2 3 2 2 3" xfId="7923"/>
    <cellStyle name="40% - Accent1 2 3 2 3" xfId="4030"/>
    <cellStyle name="40% - Accent1 2 3 2 3 2" xfId="9126"/>
    <cellStyle name="40% - Accent1 2 3 2 4" xfId="6638"/>
    <cellStyle name="40% - Accent1 2 3 3" xfId="2526"/>
    <cellStyle name="40% - Accent1 2 3 3 2" xfId="4973"/>
    <cellStyle name="40% - Accent1 2 3 3 2 2" xfId="10069"/>
    <cellStyle name="40% - Accent1 2 3 3 3" xfId="7630"/>
    <cellStyle name="40% - Accent1 2 3 4" xfId="3790"/>
    <cellStyle name="40% - Accent1 2 3 4 2" xfId="8889"/>
    <cellStyle name="40% - Accent1 2 3 5" xfId="6370"/>
    <cellStyle name="40% - Accent1 2 4" xfId="897"/>
    <cellStyle name="40% - Accent1 2 4 2" xfId="1267"/>
    <cellStyle name="40% - Accent1 2 4 2 2" xfId="2821"/>
    <cellStyle name="40% - Accent1 2 4 2 2 2" xfId="5223"/>
    <cellStyle name="40% - Accent1 2 4 2 2 2 2" xfId="10319"/>
    <cellStyle name="40% - Accent1 2 4 2 2 3" xfId="7924"/>
    <cellStyle name="40% - Accent1 2 4 2 3" xfId="4031"/>
    <cellStyle name="40% - Accent1 2 4 2 3 2" xfId="9127"/>
    <cellStyle name="40% - Accent1 2 4 2 4" xfId="6639"/>
    <cellStyle name="40% - Accent1 2 4 3" xfId="2602"/>
    <cellStyle name="40% - Accent1 2 4 3 2" xfId="5046"/>
    <cellStyle name="40% - Accent1 2 4 3 2 2" xfId="10142"/>
    <cellStyle name="40% - Accent1 2 4 3 3" xfId="7705"/>
    <cellStyle name="40% - Accent1 2 4 4" xfId="3863"/>
    <cellStyle name="40% - Accent1 2 4 4 2" xfId="8962"/>
    <cellStyle name="40% - Accent1 2 4 5" xfId="6448"/>
    <cellStyle name="40% - Accent1 2 5" xfId="688"/>
    <cellStyle name="40% - Accent1 2 5 2" xfId="2490"/>
    <cellStyle name="40% - Accent1 2 5 2 2" xfId="4937"/>
    <cellStyle name="40% - Accent1 2 5 2 2 2" xfId="10033"/>
    <cellStyle name="40% - Accent1 2 5 2 3" xfId="7594"/>
    <cellStyle name="40% - Accent1 2 5 3" xfId="3754"/>
    <cellStyle name="40% - Accent1 2 5 3 2" xfId="8853"/>
    <cellStyle name="40% - Accent1 2 5 4" xfId="6334"/>
    <cellStyle name="40% - Accent1 2 6" xfId="1263"/>
    <cellStyle name="40% - Accent1 2 6 2" xfId="2817"/>
    <cellStyle name="40% - Accent1 2 6 2 2" xfId="5219"/>
    <cellStyle name="40% - Accent1 2 6 2 2 2" xfId="10315"/>
    <cellStyle name="40% - Accent1 2 6 2 3" xfId="7920"/>
    <cellStyle name="40% - Accent1 2 6 3" xfId="4027"/>
    <cellStyle name="40% - Accent1 2 6 3 2" xfId="9123"/>
    <cellStyle name="40% - Accent1 2 6 4" xfId="6635"/>
    <cellStyle name="40% - Accent1 3" xfId="216"/>
    <cellStyle name="40% - Accent1 3 2" xfId="801"/>
    <cellStyle name="40% - Accent1 3 2 2" xfId="605"/>
    <cellStyle name="40% - Accent1 3 2 2 2" xfId="1270"/>
    <cellStyle name="40% - Accent1 3 2 2 2 2" xfId="2824"/>
    <cellStyle name="40% - Accent1 3 2 2 2 2 2" xfId="5226"/>
    <cellStyle name="40% - Accent1 3 2 2 2 2 2 2" xfId="10322"/>
    <cellStyle name="40% - Accent1 3 2 2 2 2 3" xfId="7927"/>
    <cellStyle name="40% - Accent1 3 2 2 2 3" xfId="4034"/>
    <cellStyle name="40% - Accent1 3 2 2 2 3 2" xfId="9130"/>
    <cellStyle name="40% - Accent1 3 2 2 2 4" xfId="6642"/>
    <cellStyle name="40% - Accent1 3 2 2 3" xfId="2411"/>
    <cellStyle name="40% - Accent1 3 2 2 3 2" xfId="4858"/>
    <cellStyle name="40% - Accent1 3 2 2 3 2 2" xfId="9954"/>
    <cellStyle name="40% - Accent1 3 2 2 3 3" xfId="7515"/>
    <cellStyle name="40% - Accent1 3 2 2 4" xfId="3675"/>
    <cellStyle name="40% - Accent1 3 2 2 4 2" xfId="8774"/>
    <cellStyle name="40% - Accent1 3 2 2 5" xfId="6255"/>
    <cellStyle name="40% - Accent1 3 2 3" xfId="1269"/>
    <cellStyle name="40% - Accent1 3 2 3 2" xfId="2823"/>
    <cellStyle name="40% - Accent1 3 2 3 2 2" xfId="5225"/>
    <cellStyle name="40% - Accent1 3 2 3 2 2 2" xfId="10321"/>
    <cellStyle name="40% - Accent1 3 2 3 2 3" xfId="7926"/>
    <cellStyle name="40% - Accent1 3 2 3 3" xfId="4033"/>
    <cellStyle name="40% - Accent1 3 2 3 3 2" xfId="9129"/>
    <cellStyle name="40% - Accent1 3 2 3 4" xfId="6641"/>
    <cellStyle name="40% - Accent1 3 3" xfId="630"/>
    <cellStyle name="40% - Accent1 3 3 2" xfId="1271"/>
    <cellStyle name="40% - Accent1 3 3 2 2" xfId="2825"/>
    <cellStyle name="40% - Accent1 3 3 2 2 2" xfId="5227"/>
    <cellStyle name="40% - Accent1 3 3 2 2 2 2" xfId="10323"/>
    <cellStyle name="40% - Accent1 3 3 2 2 3" xfId="7928"/>
    <cellStyle name="40% - Accent1 3 3 2 3" xfId="4035"/>
    <cellStyle name="40% - Accent1 3 3 2 3 2" xfId="9131"/>
    <cellStyle name="40% - Accent1 3 3 2 4" xfId="6643"/>
    <cellStyle name="40% - Accent1 3 3 3" xfId="2436"/>
    <cellStyle name="40% - Accent1 3 3 3 2" xfId="4883"/>
    <cellStyle name="40% - Accent1 3 3 3 2 2" xfId="9979"/>
    <cellStyle name="40% - Accent1 3 3 3 3" xfId="7540"/>
    <cellStyle name="40% - Accent1 3 3 4" xfId="3700"/>
    <cellStyle name="40% - Accent1 3 3 4 2" xfId="8799"/>
    <cellStyle name="40% - Accent1 3 3 5" xfId="6280"/>
    <cellStyle name="40% - Accent1 3 4" xfId="648"/>
    <cellStyle name="40% - Accent1 3 4 2" xfId="1272"/>
    <cellStyle name="40% - Accent1 3 4 2 2" xfId="2826"/>
    <cellStyle name="40% - Accent1 3 4 2 2 2" xfId="5228"/>
    <cellStyle name="40% - Accent1 3 4 2 2 2 2" xfId="10324"/>
    <cellStyle name="40% - Accent1 3 4 2 2 3" xfId="7929"/>
    <cellStyle name="40% - Accent1 3 4 2 3" xfId="4036"/>
    <cellStyle name="40% - Accent1 3 4 2 3 2" xfId="9132"/>
    <cellStyle name="40% - Accent1 3 4 2 4" xfId="6644"/>
    <cellStyle name="40% - Accent1 3 4 3" xfId="2452"/>
    <cellStyle name="40% - Accent1 3 4 3 2" xfId="4899"/>
    <cellStyle name="40% - Accent1 3 4 3 2 2" xfId="9995"/>
    <cellStyle name="40% - Accent1 3 4 3 3" xfId="7556"/>
    <cellStyle name="40% - Accent1 3 4 4" xfId="3716"/>
    <cellStyle name="40% - Accent1 3 4 4 2" xfId="8815"/>
    <cellStyle name="40% - Accent1 3 4 5" xfId="6296"/>
    <cellStyle name="40% - Accent1 3 5" xfId="699"/>
    <cellStyle name="40% - Accent1 3 5 2" xfId="2501"/>
    <cellStyle name="40% - Accent1 3 5 2 2" xfId="4948"/>
    <cellStyle name="40% - Accent1 3 5 2 2 2" xfId="10044"/>
    <cellStyle name="40% - Accent1 3 5 2 3" xfId="7605"/>
    <cellStyle name="40% - Accent1 3 5 3" xfId="3765"/>
    <cellStyle name="40% - Accent1 3 5 3 2" xfId="8864"/>
    <cellStyle name="40% - Accent1 3 5 4" xfId="6345"/>
    <cellStyle name="40% - Accent1 3 6" xfId="1268"/>
    <cellStyle name="40% - Accent1 3 6 2" xfId="2822"/>
    <cellStyle name="40% - Accent1 3 6 2 2" xfId="5224"/>
    <cellStyle name="40% - Accent1 3 6 2 2 2" xfId="10320"/>
    <cellStyle name="40% - Accent1 3 6 2 3" xfId="7925"/>
    <cellStyle name="40% - Accent1 3 6 3" xfId="4032"/>
    <cellStyle name="40% - Accent1 3 6 3 2" xfId="9128"/>
    <cellStyle name="40% - Accent1 3 6 4" xfId="6640"/>
    <cellStyle name="40% - Accent1 4" xfId="217"/>
    <cellStyle name="40% - Accent1 4 2" xfId="584"/>
    <cellStyle name="40% - Accent1 4 2 2" xfId="1274"/>
    <cellStyle name="40% - Accent1 4 2 3" xfId="2390"/>
    <cellStyle name="40% - Accent1 4 2 3 2" xfId="4837"/>
    <cellStyle name="40% - Accent1 4 2 3 2 2" xfId="9933"/>
    <cellStyle name="40% - Accent1 4 2 3 3" xfId="7494"/>
    <cellStyle name="40% - Accent1 4 2 4" xfId="3654"/>
    <cellStyle name="40% - Accent1 4 2 4 2" xfId="8753"/>
    <cellStyle name="40% - Accent1 4 2 5" xfId="6234"/>
    <cellStyle name="40% - Accent1 4 3" xfId="925"/>
    <cellStyle name="40% - Accent1 4 3 2" xfId="1275"/>
    <cellStyle name="40% - Accent1 4 3 2 2" xfId="2828"/>
    <cellStyle name="40% - Accent1 4 3 2 2 2" xfId="5230"/>
    <cellStyle name="40% - Accent1 4 3 2 2 2 2" xfId="10326"/>
    <cellStyle name="40% - Accent1 4 3 2 2 3" xfId="7931"/>
    <cellStyle name="40% - Accent1 4 3 2 3" xfId="4038"/>
    <cellStyle name="40% - Accent1 4 3 2 3 2" xfId="9134"/>
    <cellStyle name="40% - Accent1 4 3 2 4" xfId="6646"/>
    <cellStyle name="40% - Accent1 4 3 3" xfId="2626"/>
    <cellStyle name="40% - Accent1 4 3 3 2" xfId="5070"/>
    <cellStyle name="40% - Accent1 4 3 3 2 2" xfId="10166"/>
    <cellStyle name="40% - Accent1 4 3 3 3" xfId="7729"/>
    <cellStyle name="40% - Accent1 4 3 4" xfId="3887"/>
    <cellStyle name="40% - Accent1 4 3 4 2" xfId="8986"/>
    <cellStyle name="40% - Accent1 4 3 5" xfId="6472"/>
    <cellStyle name="40% - Accent1 4 4" xfId="889"/>
    <cellStyle name="40% - Accent1 4 4 2" xfId="2594"/>
    <cellStyle name="40% - Accent1 4 4 2 2" xfId="5038"/>
    <cellStyle name="40% - Accent1 4 4 2 2 2" xfId="10134"/>
    <cellStyle name="40% - Accent1 4 4 2 3" xfId="7697"/>
    <cellStyle name="40% - Accent1 4 4 3" xfId="3855"/>
    <cellStyle name="40% - Accent1 4 4 3 2" xfId="8954"/>
    <cellStyle name="40% - Accent1 4 4 4" xfId="6440"/>
    <cellStyle name="40% - Accent1 4 5" xfId="883"/>
    <cellStyle name="40% - Accent1 4 5 2" xfId="2588"/>
    <cellStyle name="40% - Accent1 4 5 2 2" xfId="5032"/>
    <cellStyle name="40% - Accent1 4 5 2 2 2" xfId="10128"/>
    <cellStyle name="40% - Accent1 4 5 2 3" xfId="7691"/>
    <cellStyle name="40% - Accent1 4 5 3" xfId="3849"/>
    <cellStyle name="40% - Accent1 4 5 3 2" xfId="8948"/>
    <cellStyle name="40% - Accent1 4 5 4" xfId="6434"/>
    <cellStyle name="40% - Accent1 4 6" xfId="1273"/>
    <cellStyle name="40% - Accent1 4 6 2" xfId="2827"/>
    <cellStyle name="40% - Accent1 4 6 2 2" xfId="5229"/>
    <cellStyle name="40% - Accent1 4 6 2 2 2" xfId="10325"/>
    <cellStyle name="40% - Accent1 4 6 2 3" xfId="7930"/>
    <cellStyle name="40% - Accent1 4 6 3" xfId="4037"/>
    <cellStyle name="40% - Accent1 4 6 3 2" xfId="9133"/>
    <cellStyle name="40% - Accent1 4 6 4" xfId="6645"/>
    <cellStyle name="40% - Accent1 5" xfId="218"/>
    <cellStyle name="40% - Accent1 5 2" xfId="930"/>
    <cellStyle name="40% - Accent1 5 2 2" xfId="2630"/>
    <cellStyle name="40% - Accent1 5 2 2 2" xfId="5074"/>
    <cellStyle name="40% - Accent1 5 2 2 2 2" xfId="10170"/>
    <cellStyle name="40% - Accent1 5 2 2 3" xfId="7733"/>
    <cellStyle name="40% - Accent1 5 2 3" xfId="3891"/>
    <cellStyle name="40% - Accent1 5 2 3 2" xfId="8990"/>
    <cellStyle name="40% - Accent1 5 2 4" xfId="6476"/>
    <cellStyle name="40% - Accent1 5 3" xfId="558"/>
    <cellStyle name="40% - Accent1 5 3 2" xfId="2364"/>
    <cellStyle name="40% - Accent1 5 3 2 2" xfId="4811"/>
    <cellStyle name="40% - Accent1 5 3 2 2 2" xfId="9907"/>
    <cellStyle name="40% - Accent1 5 3 2 3" xfId="7468"/>
    <cellStyle name="40% - Accent1 5 3 3" xfId="3628"/>
    <cellStyle name="40% - Accent1 5 3 3 2" xfId="8727"/>
    <cellStyle name="40% - Accent1 5 3 4" xfId="6208"/>
    <cellStyle name="40% - Accent1 5 4" xfId="1276"/>
    <cellStyle name="40% - Accent1 6" xfId="219"/>
    <cellStyle name="40% - Accent1 6 2" xfId="912"/>
    <cellStyle name="40% - Accent1 6 2 2" xfId="2613"/>
    <cellStyle name="40% - Accent1 6 2 2 2" xfId="5057"/>
    <cellStyle name="40% - Accent1 6 2 2 2 2" xfId="10153"/>
    <cellStyle name="40% - Accent1 6 2 2 3" xfId="7716"/>
    <cellStyle name="40% - Accent1 6 2 3" xfId="3874"/>
    <cellStyle name="40% - Accent1 6 2 3 2" xfId="8973"/>
    <cellStyle name="40% - Accent1 6 2 4" xfId="6459"/>
    <cellStyle name="40% - Accent1 6 3" xfId="1277"/>
    <cellStyle name="40% - Accent1 7" xfId="220"/>
    <cellStyle name="40% - Accent1 7 2" xfId="573"/>
    <cellStyle name="40% - Accent1 7 2 2" xfId="2379"/>
    <cellStyle name="40% - Accent1 7 2 2 2" xfId="4826"/>
    <cellStyle name="40% - Accent1 7 2 2 2 2" xfId="9922"/>
    <cellStyle name="40% - Accent1 7 2 2 3" xfId="7483"/>
    <cellStyle name="40% - Accent1 7 2 3" xfId="3643"/>
    <cellStyle name="40% - Accent1 7 2 3 2" xfId="8742"/>
    <cellStyle name="40% - Accent1 7 2 4" xfId="6223"/>
    <cellStyle name="40% - Accent1 7 3" xfId="1278"/>
    <cellStyle name="40% - Accent1 8" xfId="221"/>
    <cellStyle name="40% - Accent1 8 2" xfId="730"/>
    <cellStyle name="40% - Accent1 8 2 2" xfId="2516"/>
    <cellStyle name="40% - Accent1 8 2 2 2" xfId="4963"/>
    <cellStyle name="40% - Accent1 8 2 2 2 2" xfId="10059"/>
    <cellStyle name="40% - Accent1 8 2 2 3" xfId="7620"/>
    <cellStyle name="40% - Accent1 8 2 3" xfId="3780"/>
    <cellStyle name="40% - Accent1 8 2 3 2" xfId="8879"/>
    <cellStyle name="40% - Accent1 8 2 4" xfId="6360"/>
    <cellStyle name="40% - Accent1 8 3" xfId="1279"/>
    <cellStyle name="40% - Accent1 9" xfId="718"/>
    <cellStyle name="40% - Accent1 9 2" xfId="1044"/>
    <cellStyle name="40% - Accent1 9 2 2" xfId="2674"/>
    <cellStyle name="40% - Accent1 9 2 2 2" xfId="5083"/>
    <cellStyle name="40% - Accent1 9 2 2 2 2" xfId="10179"/>
    <cellStyle name="40% - Accent1 9 2 2 3" xfId="7777"/>
    <cellStyle name="40% - Accent1 9 2 3" xfId="3900"/>
    <cellStyle name="40% - Accent1 9 2 3 2" xfId="8999"/>
    <cellStyle name="40% - Accent1 9 2 4" xfId="6521"/>
    <cellStyle name="40% - Accent1 9 3" xfId="2513"/>
    <cellStyle name="40% - Accent1 9 3 2" xfId="4960"/>
    <cellStyle name="40% - Accent1 9 3 2 2" xfId="10056"/>
    <cellStyle name="40% - Accent1 9 3 3" xfId="7617"/>
    <cellStyle name="40% - Accent1 9 4" xfId="3777"/>
    <cellStyle name="40% - Accent1 9 4 2" xfId="8876"/>
    <cellStyle name="40% - Accent1 9 5" xfId="6357"/>
    <cellStyle name="40% - Accent2" xfId="130" builtinId="35" customBuiltin="1"/>
    <cellStyle name="40% - Accent2 10" xfId="2729"/>
    <cellStyle name="40% - Accent2 10 2" xfId="5131"/>
    <cellStyle name="40% - Accent2 10 2 2" xfId="10227"/>
    <cellStyle name="40% - Accent2 10 3" xfId="7832"/>
    <cellStyle name="40% - Accent2 11" xfId="3590"/>
    <cellStyle name="40% - Accent2 11 2" xfId="8693"/>
    <cellStyle name="40% - Accent2 12" xfId="6544"/>
    <cellStyle name="40% - Accent2 2" xfId="21"/>
    <cellStyle name="40% - Accent2 2 2" xfId="802"/>
    <cellStyle name="40% - Accent2 2 2 2" xfId="595"/>
    <cellStyle name="40% - Accent2 2 2 2 2" xfId="1282"/>
    <cellStyle name="40% - Accent2 2 2 2 2 2" xfId="2831"/>
    <cellStyle name="40% - Accent2 2 2 2 2 2 2" xfId="5233"/>
    <cellStyle name="40% - Accent2 2 2 2 2 2 2 2" xfId="10329"/>
    <cellStyle name="40% - Accent2 2 2 2 2 2 3" xfId="7934"/>
    <cellStyle name="40% - Accent2 2 2 2 2 3" xfId="4041"/>
    <cellStyle name="40% - Accent2 2 2 2 2 3 2" xfId="9137"/>
    <cellStyle name="40% - Accent2 2 2 2 2 4" xfId="6649"/>
    <cellStyle name="40% - Accent2 2 2 2 3" xfId="2401"/>
    <cellStyle name="40% - Accent2 2 2 2 3 2" xfId="4848"/>
    <cellStyle name="40% - Accent2 2 2 2 3 2 2" xfId="9944"/>
    <cellStyle name="40% - Accent2 2 2 2 3 3" xfId="7505"/>
    <cellStyle name="40% - Accent2 2 2 2 4" xfId="3665"/>
    <cellStyle name="40% - Accent2 2 2 2 4 2" xfId="8764"/>
    <cellStyle name="40% - Accent2 2 2 2 5" xfId="6245"/>
    <cellStyle name="40% - Accent2 2 2 3" xfId="1281"/>
    <cellStyle name="40% - Accent2 2 2 3 2" xfId="2830"/>
    <cellStyle name="40% - Accent2 2 2 3 2 2" xfId="5232"/>
    <cellStyle name="40% - Accent2 2 2 3 2 2 2" xfId="10328"/>
    <cellStyle name="40% - Accent2 2 2 3 2 3" xfId="7933"/>
    <cellStyle name="40% - Accent2 2 2 3 3" xfId="4040"/>
    <cellStyle name="40% - Accent2 2 2 3 3 2" xfId="9136"/>
    <cellStyle name="40% - Accent2 2 2 3 4" xfId="6648"/>
    <cellStyle name="40% - Accent2 2 3" xfId="621"/>
    <cellStyle name="40% - Accent2 2 3 2" xfId="1283"/>
    <cellStyle name="40% - Accent2 2 3 2 2" xfId="2832"/>
    <cellStyle name="40% - Accent2 2 3 2 2 2" xfId="5234"/>
    <cellStyle name="40% - Accent2 2 3 2 2 2 2" xfId="10330"/>
    <cellStyle name="40% - Accent2 2 3 2 2 3" xfId="7935"/>
    <cellStyle name="40% - Accent2 2 3 2 3" xfId="4042"/>
    <cellStyle name="40% - Accent2 2 3 2 3 2" xfId="9138"/>
    <cellStyle name="40% - Accent2 2 3 2 4" xfId="6650"/>
    <cellStyle name="40% - Accent2 2 3 3" xfId="2427"/>
    <cellStyle name="40% - Accent2 2 3 3 2" xfId="4874"/>
    <cellStyle name="40% - Accent2 2 3 3 2 2" xfId="9970"/>
    <cellStyle name="40% - Accent2 2 3 3 3" xfId="7531"/>
    <cellStyle name="40% - Accent2 2 3 4" xfId="3691"/>
    <cellStyle name="40% - Accent2 2 3 4 2" xfId="8790"/>
    <cellStyle name="40% - Accent2 2 3 5" xfId="6271"/>
    <cellStyle name="40% - Accent2 2 4" xfId="914"/>
    <cellStyle name="40% - Accent2 2 4 2" xfId="1284"/>
    <cellStyle name="40% - Accent2 2 4 2 2" xfId="2833"/>
    <cellStyle name="40% - Accent2 2 4 2 2 2" xfId="5235"/>
    <cellStyle name="40% - Accent2 2 4 2 2 2 2" xfId="10331"/>
    <cellStyle name="40% - Accent2 2 4 2 2 3" xfId="7936"/>
    <cellStyle name="40% - Accent2 2 4 2 3" xfId="4043"/>
    <cellStyle name="40% - Accent2 2 4 2 3 2" xfId="9139"/>
    <cellStyle name="40% - Accent2 2 4 2 4" xfId="6651"/>
    <cellStyle name="40% - Accent2 2 4 3" xfId="2615"/>
    <cellStyle name="40% - Accent2 2 4 3 2" xfId="5059"/>
    <cellStyle name="40% - Accent2 2 4 3 2 2" xfId="10155"/>
    <cellStyle name="40% - Accent2 2 4 3 3" xfId="7718"/>
    <cellStyle name="40% - Accent2 2 4 4" xfId="3876"/>
    <cellStyle name="40% - Accent2 2 4 4 2" xfId="8975"/>
    <cellStyle name="40% - Accent2 2 4 5" xfId="6461"/>
    <cellStyle name="40% - Accent2 2 5" xfId="686"/>
    <cellStyle name="40% - Accent2 2 5 2" xfId="2488"/>
    <cellStyle name="40% - Accent2 2 5 2 2" xfId="4935"/>
    <cellStyle name="40% - Accent2 2 5 2 2 2" xfId="10031"/>
    <cellStyle name="40% - Accent2 2 5 2 3" xfId="7592"/>
    <cellStyle name="40% - Accent2 2 5 3" xfId="3752"/>
    <cellStyle name="40% - Accent2 2 5 3 2" xfId="8851"/>
    <cellStyle name="40% - Accent2 2 5 4" xfId="6332"/>
    <cellStyle name="40% - Accent2 2 6" xfId="1280"/>
    <cellStyle name="40% - Accent2 2 6 2" xfId="2829"/>
    <cellStyle name="40% - Accent2 2 6 2 2" xfId="5231"/>
    <cellStyle name="40% - Accent2 2 6 2 2 2" xfId="10327"/>
    <cellStyle name="40% - Accent2 2 6 2 3" xfId="7932"/>
    <cellStyle name="40% - Accent2 2 6 3" xfId="4039"/>
    <cellStyle name="40% - Accent2 2 6 3 2" xfId="9135"/>
    <cellStyle name="40% - Accent2 2 6 4" xfId="6647"/>
    <cellStyle name="40% - Accent2 3" xfId="222"/>
    <cellStyle name="40% - Accent2 3 2" xfId="803"/>
    <cellStyle name="40% - Accent2 3 2 2" xfId="603"/>
    <cellStyle name="40% - Accent2 3 2 2 2" xfId="1287"/>
    <cellStyle name="40% - Accent2 3 2 2 2 2" xfId="2836"/>
    <cellStyle name="40% - Accent2 3 2 2 2 2 2" xfId="5238"/>
    <cellStyle name="40% - Accent2 3 2 2 2 2 2 2" xfId="10334"/>
    <cellStyle name="40% - Accent2 3 2 2 2 2 3" xfId="7939"/>
    <cellStyle name="40% - Accent2 3 2 2 2 3" xfId="4046"/>
    <cellStyle name="40% - Accent2 3 2 2 2 3 2" xfId="9142"/>
    <cellStyle name="40% - Accent2 3 2 2 2 4" xfId="6654"/>
    <cellStyle name="40% - Accent2 3 2 2 3" xfId="2409"/>
    <cellStyle name="40% - Accent2 3 2 2 3 2" xfId="4856"/>
    <cellStyle name="40% - Accent2 3 2 2 3 2 2" xfId="9952"/>
    <cellStyle name="40% - Accent2 3 2 2 3 3" xfId="7513"/>
    <cellStyle name="40% - Accent2 3 2 2 4" xfId="3673"/>
    <cellStyle name="40% - Accent2 3 2 2 4 2" xfId="8772"/>
    <cellStyle name="40% - Accent2 3 2 2 5" xfId="6253"/>
    <cellStyle name="40% - Accent2 3 2 3" xfId="1286"/>
    <cellStyle name="40% - Accent2 3 2 3 2" xfId="2835"/>
    <cellStyle name="40% - Accent2 3 2 3 2 2" xfId="5237"/>
    <cellStyle name="40% - Accent2 3 2 3 2 2 2" xfId="10333"/>
    <cellStyle name="40% - Accent2 3 2 3 2 3" xfId="7938"/>
    <cellStyle name="40% - Accent2 3 2 3 3" xfId="4045"/>
    <cellStyle name="40% - Accent2 3 2 3 3 2" xfId="9141"/>
    <cellStyle name="40% - Accent2 3 2 3 4" xfId="6653"/>
    <cellStyle name="40% - Accent2 3 3" xfId="628"/>
    <cellStyle name="40% - Accent2 3 3 2" xfId="1288"/>
    <cellStyle name="40% - Accent2 3 3 2 2" xfId="2837"/>
    <cellStyle name="40% - Accent2 3 3 2 2 2" xfId="5239"/>
    <cellStyle name="40% - Accent2 3 3 2 2 2 2" xfId="10335"/>
    <cellStyle name="40% - Accent2 3 3 2 2 3" xfId="7940"/>
    <cellStyle name="40% - Accent2 3 3 2 3" xfId="4047"/>
    <cellStyle name="40% - Accent2 3 3 2 3 2" xfId="9143"/>
    <cellStyle name="40% - Accent2 3 3 2 4" xfId="6655"/>
    <cellStyle name="40% - Accent2 3 3 3" xfId="2434"/>
    <cellStyle name="40% - Accent2 3 3 3 2" xfId="4881"/>
    <cellStyle name="40% - Accent2 3 3 3 2 2" xfId="9977"/>
    <cellStyle name="40% - Accent2 3 3 3 3" xfId="7538"/>
    <cellStyle name="40% - Accent2 3 3 4" xfId="3698"/>
    <cellStyle name="40% - Accent2 3 3 4 2" xfId="8797"/>
    <cellStyle name="40% - Accent2 3 3 5" xfId="6278"/>
    <cellStyle name="40% - Accent2 3 4" xfId="776"/>
    <cellStyle name="40% - Accent2 3 4 2" xfId="1289"/>
    <cellStyle name="40% - Accent2 3 4 2 2" xfId="2838"/>
    <cellStyle name="40% - Accent2 3 4 2 2 2" xfId="5240"/>
    <cellStyle name="40% - Accent2 3 4 2 2 2 2" xfId="10336"/>
    <cellStyle name="40% - Accent2 3 4 2 2 3" xfId="7941"/>
    <cellStyle name="40% - Accent2 3 4 2 3" xfId="4048"/>
    <cellStyle name="40% - Accent2 3 4 2 3 2" xfId="9144"/>
    <cellStyle name="40% - Accent2 3 4 2 4" xfId="6656"/>
    <cellStyle name="40% - Accent2 3 4 3" xfId="2557"/>
    <cellStyle name="40% - Accent2 3 4 3 2" xfId="5004"/>
    <cellStyle name="40% - Accent2 3 4 3 2 2" xfId="10100"/>
    <cellStyle name="40% - Accent2 3 4 3 3" xfId="7661"/>
    <cellStyle name="40% - Accent2 3 4 4" xfId="3821"/>
    <cellStyle name="40% - Accent2 3 4 4 2" xfId="8920"/>
    <cellStyle name="40% - Accent2 3 4 5" xfId="6401"/>
    <cellStyle name="40% - Accent2 3 5" xfId="697"/>
    <cellStyle name="40% - Accent2 3 5 2" xfId="2499"/>
    <cellStyle name="40% - Accent2 3 5 2 2" xfId="4946"/>
    <cellStyle name="40% - Accent2 3 5 2 2 2" xfId="10042"/>
    <cellStyle name="40% - Accent2 3 5 2 3" xfId="7603"/>
    <cellStyle name="40% - Accent2 3 5 3" xfId="3763"/>
    <cellStyle name="40% - Accent2 3 5 3 2" xfId="8862"/>
    <cellStyle name="40% - Accent2 3 5 4" xfId="6343"/>
    <cellStyle name="40% - Accent2 3 6" xfId="1285"/>
    <cellStyle name="40% - Accent2 3 6 2" xfId="2834"/>
    <cellStyle name="40% - Accent2 3 6 2 2" xfId="5236"/>
    <cellStyle name="40% - Accent2 3 6 2 2 2" xfId="10332"/>
    <cellStyle name="40% - Accent2 3 6 2 3" xfId="7937"/>
    <cellStyle name="40% - Accent2 3 6 3" xfId="4044"/>
    <cellStyle name="40% - Accent2 3 6 3 2" xfId="9140"/>
    <cellStyle name="40% - Accent2 3 6 4" xfId="6652"/>
    <cellStyle name="40% - Accent2 4" xfId="223"/>
    <cellStyle name="40% - Accent2 4 2" xfId="734"/>
    <cellStyle name="40% - Accent2 4 2 2" xfId="1291"/>
    <cellStyle name="40% - Accent2 4 2 3" xfId="2520"/>
    <cellStyle name="40% - Accent2 4 2 3 2" xfId="4967"/>
    <cellStyle name="40% - Accent2 4 2 3 2 2" xfId="10063"/>
    <cellStyle name="40% - Accent2 4 2 3 3" xfId="7624"/>
    <cellStyle name="40% - Accent2 4 2 4" xfId="3784"/>
    <cellStyle name="40% - Accent2 4 2 4 2" xfId="8883"/>
    <cellStyle name="40% - Accent2 4 2 5" xfId="6364"/>
    <cellStyle name="40% - Accent2 4 3" xfId="879"/>
    <cellStyle name="40% - Accent2 4 3 2" xfId="1292"/>
    <cellStyle name="40% - Accent2 4 3 2 2" xfId="2840"/>
    <cellStyle name="40% - Accent2 4 3 2 2 2" xfId="5242"/>
    <cellStyle name="40% - Accent2 4 3 2 2 2 2" xfId="10338"/>
    <cellStyle name="40% - Accent2 4 3 2 2 3" xfId="7943"/>
    <cellStyle name="40% - Accent2 4 3 2 3" xfId="4050"/>
    <cellStyle name="40% - Accent2 4 3 2 3 2" xfId="9146"/>
    <cellStyle name="40% - Accent2 4 3 2 4" xfId="6658"/>
    <cellStyle name="40% - Accent2 4 3 3" xfId="2584"/>
    <cellStyle name="40% - Accent2 4 3 3 2" xfId="5028"/>
    <cellStyle name="40% - Accent2 4 3 3 2 2" xfId="10124"/>
    <cellStyle name="40% - Accent2 4 3 3 3" xfId="7687"/>
    <cellStyle name="40% - Accent2 4 3 4" xfId="3845"/>
    <cellStyle name="40% - Accent2 4 3 4 2" xfId="8944"/>
    <cellStyle name="40% - Accent2 4 3 5" xfId="6430"/>
    <cellStyle name="40% - Accent2 4 4" xfId="640"/>
    <cellStyle name="40% - Accent2 4 4 2" xfId="2445"/>
    <cellStyle name="40% - Accent2 4 4 2 2" xfId="4892"/>
    <cellStyle name="40% - Accent2 4 4 2 2 2" xfId="9988"/>
    <cellStyle name="40% - Accent2 4 4 2 3" xfId="7549"/>
    <cellStyle name="40% - Accent2 4 4 3" xfId="3709"/>
    <cellStyle name="40% - Accent2 4 4 3 2" xfId="8808"/>
    <cellStyle name="40% - Accent2 4 4 4" xfId="6289"/>
    <cellStyle name="40% - Accent2 4 5" xfId="911"/>
    <cellStyle name="40% - Accent2 4 5 2" xfId="2612"/>
    <cellStyle name="40% - Accent2 4 5 2 2" xfId="5056"/>
    <cellStyle name="40% - Accent2 4 5 2 2 2" xfId="10152"/>
    <cellStyle name="40% - Accent2 4 5 2 3" xfId="7715"/>
    <cellStyle name="40% - Accent2 4 5 3" xfId="3873"/>
    <cellStyle name="40% - Accent2 4 5 3 2" xfId="8972"/>
    <cellStyle name="40% - Accent2 4 5 4" xfId="6458"/>
    <cellStyle name="40% - Accent2 4 6" xfId="1290"/>
    <cellStyle name="40% - Accent2 4 6 2" xfId="2839"/>
    <cellStyle name="40% - Accent2 4 6 2 2" xfId="5241"/>
    <cellStyle name="40% - Accent2 4 6 2 2 2" xfId="10337"/>
    <cellStyle name="40% - Accent2 4 6 2 3" xfId="7942"/>
    <cellStyle name="40% - Accent2 4 6 3" xfId="4049"/>
    <cellStyle name="40% - Accent2 4 6 3 2" xfId="9145"/>
    <cellStyle name="40% - Accent2 4 6 4" xfId="6657"/>
    <cellStyle name="40% - Accent2 5" xfId="224"/>
    <cellStyle name="40% - Accent2 5 2" xfId="898"/>
    <cellStyle name="40% - Accent2 5 2 2" xfId="2603"/>
    <cellStyle name="40% - Accent2 5 2 2 2" xfId="5047"/>
    <cellStyle name="40% - Accent2 5 2 2 2 2" xfId="10143"/>
    <cellStyle name="40% - Accent2 5 2 2 3" xfId="7706"/>
    <cellStyle name="40% - Accent2 5 2 3" xfId="3864"/>
    <cellStyle name="40% - Accent2 5 2 3 2" xfId="8963"/>
    <cellStyle name="40% - Accent2 5 2 4" xfId="6449"/>
    <cellStyle name="40% - Accent2 5 3" xfId="887"/>
    <cellStyle name="40% - Accent2 5 3 2" xfId="2592"/>
    <cellStyle name="40% - Accent2 5 3 2 2" xfId="5036"/>
    <cellStyle name="40% - Accent2 5 3 2 2 2" xfId="10132"/>
    <cellStyle name="40% - Accent2 5 3 2 3" xfId="7695"/>
    <cellStyle name="40% - Accent2 5 3 3" xfId="3853"/>
    <cellStyle name="40% - Accent2 5 3 3 2" xfId="8952"/>
    <cellStyle name="40% - Accent2 5 3 4" xfId="6438"/>
    <cellStyle name="40% - Accent2 5 4" xfId="1293"/>
    <cellStyle name="40% - Accent2 6" xfId="225"/>
    <cellStyle name="40% - Accent2 6 2" xfId="660"/>
    <cellStyle name="40% - Accent2 6 2 2" xfId="2464"/>
    <cellStyle name="40% - Accent2 6 2 2 2" xfId="4911"/>
    <cellStyle name="40% - Accent2 6 2 2 2 2" xfId="10007"/>
    <cellStyle name="40% - Accent2 6 2 2 3" xfId="7568"/>
    <cellStyle name="40% - Accent2 6 2 3" xfId="3728"/>
    <cellStyle name="40% - Accent2 6 2 3 2" xfId="8827"/>
    <cellStyle name="40% - Accent2 6 2 4" xfId="6308"/>
    <cellStyle name="40% - Accent2 6 3" xfId="1294"/>
    <cellStyle name="40% - Accent2 7" xfId="226"/>
    <cellStyle name="40% - Accent2 7 2" xfId="571"/>
    <cellStyle name="40% - Accent2 7 2 2" xfId="2377"/>
    <cellStyle name="40% - Accent2 7 2 2 2" xfId="4824"/>
    <cellStyle name="40% - Accent2 7 2 2 2 2" xfId="9920"/>
    <cellStyle name="40% - Accent2 7 2 2 3" xfId="7481"/>
    <cellStyle name="40% - Accent2 7 2 3" xfId="3641"/>
    <cellStyle name="40% - Accent2 7 2 3 2" xfId="8740"/>
    <cellStyle name="40% - Accent2 7 2 4" xfId="6221"/>
    <cellStyle name="40% - Accent2 7 3" xfId="1295"/>
    <cellStyle name="40% - Accent2 8" xfId="227"/>
    <cellStyle name="40% - Accent2 8 2" xfId="761"/>
    <cellStyle name="40% - Accent2 8 2 2" xfId="2542"/>
    <cellStyle name="40% - Accent2 8 2 2 2" xfId="4989"/>
    <cellStyle name="40% - Accent2 8 2 2 2 2" xfId="10085"/>
    <cellStyle name="40% - Accent2 8 2 2 3" xfId="7646"/>
    <cellStyle name="40% - Accent2 8 2 3" xfId="3806"/>
    <cellStyle name="40% - Accent2 8 2 3 2" xfId="8905"/>
    <cellStyle name="40% - Accent2 8 2 4" xfId="6386"/>
    <cellStyle name="40% - Accent2 8 3" xfId="1296"/>
    <cellStyle name="40% - Accent2 9" xfId="715"/>
    <cellStyle name="40% - Accent2 9 2" xfId="1046"/>
    <cellStyle name="40% - Accent2 9 2 2" xfId="2676"/>
    <cellStyle name="40% - Accent2 9 2 2 2" xfId="5085"/>
    <cellStyle name="40% - Accent2 9 2 2 2 2" xfId="10181"/>
    <cellStyle name="40% - Accent2 9 2 2 3" xfId="7779"/>
    <cellStyle name="40% - Accent2 9 2 3" xfId="3902"/>
    <cellStyle name="40% - Accent2 9 2 3 2" xfId="9001"/>
    <cellStyle name="40% - Accent2 9 2 4" xfId="6523"/>
    <cellStyle name="40% - Accent2 9 3" xfId="2512"/>
    <cellStyle name="40% - Accent2 9 3 2" xfId="4959"/>
    <cellStyle name="40% - Accent2 9 3 2 2" xfId="10055"/>
    <cellStyle name="40% - Accent2 9 3 3" xfId="7616"/>
    <cellStyle name="40% - Accent2 9 4" xfId="3776"/>
    <cellStyle name="40% - Accent2 9 4 2" xfId="8875"/>
    <cellStyle name="40% - Accent2 9 5" xfId="6356"/>
    <cellStyle name="40% - Accent3" xfId="134" builtinId="39" customBuiltin="1"/>
    <cellStyle name="40% - Accent3 10" xfId="2731"/>
    <cellStyle name="40% - Accent3 10 2" xfId="5133"/>
    <cellStyle name="40% - Accent3 10 2 2" xfId="10229"/>
    <cellStyle name="40% - Accent3 10 3" xfId="7834"/>
    <cellStyle name="40% - Accent3 11" xfId="3592"/>
    <cellStyle name="40% - Accent3 11 2" xfId="8695"/>
    <cellStyle name="40% - Accent3 12" xfId="6546"/>
    <cellStyle name="40% - Accent3 2" xfId="22"/>
    <cellStyle name="40% - Accent3 2 2" xfId="804"/>
    <cellStyle name="40% - Accent3 2 2 2" xfId="594"/>
    <cellStyle name="40% - Accent3 2 2 2 2" xfId="1299"/>
    <cellStyle name="40% - Accent3 2 2 2 2 2" xfId="2844"/>
    <cellStyle name="40% - Accent3 2 2 2 2 2 2" xfId="5245"/>
    <cellStyle name="40% - Accent3 2 2 2 2 2 2 2" xfId="10341"/>
    <cellStyle name="40% - Accent3 2 2 2 2 2 3" xfId="7947"/>
    <cellStyle name="40% - Accent3 2 2 2 2 3" xfId="4053"/>
    <cellStyle name="40% - Accent3 2 2 2 2 3 2" xfId="9149"/>
    <cellStyle name="40% - Accent3 2 2 2 2 4" xfId="6661"/>
    <cellStyle name="40% - Accent3 2 2 2 3" xfId="2400"/>
    <cellStyle name="40% - Accent3 2 2 2 3 2" xfId="4847"/>
    <cellStyle name="40% - Accent3 2 2 2 3 2 2" xfId="9943"/>
    <cellStyle name="40% - Accent3 2 2 2 3 3" xfId="7504"/>
    <cellStyle name="40% - Accent3 2 2 2 4" xfId="3664"/>
    <cellStyle name="40% - Accent3 2 2 2 4 2" xfId="8763"/>
    <cellStyle name="40% - Accent3 2 2 2 5" xfId="6244"/>
    <cellStyle name="40% - Accent3 2 2 3" xfId="1298"/>
    <cellStyle name="40% - Accent3 2 2 3 2" xfId="2843"/>
    <cellStyle name="40% - Accent3 2 2 3 2 2" xfId="5244"/>
    <cellStyle name="40% - Accent3 2 2 3 2 2 2" xfId="10340"/>
    <cellStyle name="40% - Accent3 2 2 3 2 3" xfId="7946"/>
    <cellStyle name="40% - Accent3 2 2 3 3" xfId="4052"/>
    <cellStyle name="40% - Accent3 2 2 3 3 2" xfId="9148"/>
    <cellStyle name="40% - Accent3 2 2 3 4" xfId="6660"/>
    <cellStyle name="40% - Accent3 2 3" xfId="755"/>
    <cellStyle name="40% - Accent3 2 3 2" xfId="1300"/>
    <cellStyle name="40% - Accent3 2 3 2 2" xfId="2845"/>
    <cellStyle name="40% - Accent3 2 3 2 2 2" xfId="5246"/>
    <cellStyle name="40% - Accent3 2 3 2 2 2 2" xfId="10342"/>
    <cellStyle name="40% - Accent3 2 3 2 2 3" xfId="7948"/>
    <cellStyle name="40% - Accent3 2 3 2 3" xfId="4054"/>
    <cellStyle name="40% - Accent3 2 3 2 3 2" xfId="9150"/>
    <cellStyle name="40% - Accent3 2 3 2 4" xfId="6662"/>
    <cellStyle name="40% - Accent3 2 3 3" xfId="2538"/>
    <cellStyle name="40% - Accent3 2 3 3 2" xfId="4985"/>
    <cellStyle name="40% - Accent3 2 3 3 2 2" xfId="10081"/>
    <cellStyle name="40% - Accent3 2 3 3 3" xfId="7642"/>
    <cellStyle name="40% - Accent3 2 3 4" xfId="3802"/>
    <cellStyle name="40% - Accent3 2 3 4 2" xfId="8901"/>
    <cellStyle name="40% - Accent3 2 3 5" xfId="6382"/>
    <cellStyle name="40% - Accent3 2 4" xfId="652"/>
    <cellStyle name="40% - Accent3 2 4 2" xfId="1301"/>
    <cellStyle name="40% - Accent3 2 4 2 2" xfId="2846"/>
    <cellStyle name="40% - Accent3 2 4 2 2 2" xfId="5247"/>
    <cellStyle name="40% - Accent3 2 4 2 2 2 2" xfId="10343"/>
    <cellStyle name="40% - Accent3 2 4 2 2 3" xfId="7949"/>
    <cellStyle name="40% - Accent3 2 4 2 3" xfId="4055"/>
    <cellStyle name="40% - Accent3 2 4 2 3 2" xfId="9151"/>
    <cellStyle name="40% - Accent3 2 4 2 4" xfId="6663"/>
    <cellStyle name="40% - Accent3 2 4 3" xfId="2456"/>
    <cellStyle name="40% - Accent3 2 4 3 2" xfId="4903"/>
    <cellStyle name="40% - Accent3 2 4 3 2 2" xfId="9999"/>
    <cellStyle name="40% - Accent3 2 4 3 3" xfId="7560"/>
    <cellStyle name="40% - Accent3 2 4 4" xfId="3720"/>
    <cellStyle name="40% - Accent3 2 4 4 2" xfId="8819"/>
    <cellStyle name="40% - Accent3 2 4 5" xfId="6300"/>
    <cellStyle name="40% - Accent3 2 5" xfId="684"/>
    <cellStyle name="40% - Accent3 2 5 2" xfId="2486"/>
    <cellStyle name="40% - Accent3 2 5 2 2" xfId="4933"/>
    <cellStyle name="40% - Accent3 2 5 2 2 2" xfId="10029"/>
    <cellStyle name="40% - Accent3 2 5 2 3" xfId="7590"/>
    <cellStyle name="40% - Accent3 2 5 3" xfId="3750"/>
    <cellStyle name="40% - Accent3 2 5 3 2" xfId="8849"/>
    <cellStyle name="40% - Accent3 2 5 4" xfId="6330"/>
    <cellStyle name="40% - Accent3 2 6" xfId="1297"/>
    <cellStyle name="40% - Accent3 2 6 2" xfId="2842"/>
    <cellStyle name="40% - Accent3 2 6 2 2" xfId="5243"/>
    <cellStyle name="40% - Accent3 2 6 2 2 2" xfId="10339"/>
    <cellStyle name="40% - Accent3 2 6 2 3" xfId="7945"/>
    <cellStyle name="40% - Accent3 2 6 3" xfId="4051"/>
    <cellStyle name="40% - Accent3 2 6 3 2" xfId="9147"/>
    <cellStyle name="40% - Accent3 2 6 4" xfId="6659"/>
    <cellStyle name="40% - Accent3 3" xfId="228"/>
    <cellStyle name="40% - Accent3 3 2" xfId="805"/>
    <cellStyle name="40% - Accent3 3 2 2" xfId="928"/>
    <cellStyle name="40% - Accent3 3 2 2 2" xfId="1304"/>
    <cellStyle name="40% - Accent3 3 2 2 2 2" xfId="2849"/>
    <cellStyle name="40% - Accent3 3 2 2 2 2 2" xfId="5250"/>
    <cellStyle name="40% - Accent3 3 2 2 2 2 2 2" xfId="10346"/>
    <cellStyle name="40% - Accent3 3 2 2 2 2 3" xfId="7952"/>
    <cellStyle name="40% - Accent3 3 2 2 2 3" xfId="4058"/>
    <cellStyle name="40% - Accent3 3 2 2 2 3 2" xfId="9154"/>
    <cellStyle name="40% - Accent3 3 2 2 2 4" xfId="6666"/>
    <cellStyle name="40% - Accent3 3 2 2 3" xfId="2628"/>
    <cellStyle name="40% - Accent3 3 2 2 3 2" xfId="5072"/>
    <cellStyle name="40% - Accent3 3 2 2 3 2 2" xfId="10168"/>
    <cellStyle name="40% - Accent3 3 2 2 3 3" xfId="7731"/>
    <cellStyle name="40% - Accent3 3 2 2 4" xfId="3889"/>
    <cellStyle name="40% - Accent3 3 2 2 4 2" xfId="8988"/>
    <cellStyle name="40% - Accent3 3 2 2 5" xfId="6474"/>
    <cellStyle name="40% - Accent3 3 2 3" xfId="1303"/>
    <cellStyle name="40% - Accent3 3 2 3 2" xfId="2848"/>
    <cellStyle name="40% - Accent3 3 2 3 2 2" xfId="5249"/>
    <cellStyle name="40% - Accent3 3 2 3 2 2 2" xfId="10345"/>
    <cellStyle name="40% - Accent3 3 2 3 2 3" xfId="7951"/>
    <cellStyle name="40% - Accent3 3 2 3 3" xfId="4057"/>
    <cellStyle name="40% - Accent3 3 2 3 3 2" xfId="9153"/>
    <cellStyle name="40% - Accent3 3 2 3 4" xfId="6665"/>
    <cellStyle name="40% - Accent3 3 3" xfId="626"/>
    <cellStyle name="40% - Accent3 3 3 2" xfId="1305"/>
    <cellStyle name="40% - Accent3 3 3 2 2" xfId="2850"/>
    <cellStyle name="40% - Accent3 3 3 2 2 2" xfId="5251"/>
    <cellStyle name="40% - Accent3 3 3 2 2 2 2" xfId="10347"/>
    <cellStyle name="40% - Accent3 3 3 2 2 3" xfId="7953"/>
    <cellStyle name="40% - Accent3 3 3 2 3" xfId="4059"/>
    <cellStyle name="40% - Accent3 3 3 2 3 2" xfId="9155"/>
    <cellStyle name="40% - Accent3 3 3 2 4" xfId="6667"/>
    <cellStyle name="40% - Accent3 3 3 3" xfId="2432"/>
    <cellStyle name="40% - Accent3 3 3 3 2" xfId="4879"/>
    <cellStyle name="40% - Accent3 3 3 3 2 2" xfId="9975"/>
    <cellStyle name="40% - Accent3 3 3 3 3" xfId="7536"/>
    <cellStyle name="40% - Accent3 3 3 4" xfId="3696"/>
    <cellStyle name="40% - Accent3 3 3 4 2" xfId="8795"/>
    <cellStyle name="40% - Accent3 3 3 5" xfId="6276"/>
    <cellStyle name="40% - Accent3 3 4" xfId="747"/>
    <cellStyle name="40% - Accent3 3 4 2" xfId="1306"/>
    <cellStyle name="40% - Accent3 3 4 2 2" xfId="2851"/>
    <cellStyle name="40% - Accent3 3 4 2 2 2" xfId="5252"/>
    <cellStyle name="40% - Accent3 3 4 2 2 2 2" xfId="10348"/>
    <cellStyle name="40% - Accent3 3 4 2 2 3" xfId="7954"/>
    <cellStyle name="40% - Accent3 3 4 2 3" xfId="4060"/>
    <cellStyle name="40% - Accent3 3 4 2 3 2" xfId="9156"/>
    <cellStyle name="40% - Accent3 3 4 2 4" xfId="6668"/>
    <cellStyle name="40% - Accent3 3 4 3" xfId="2532"/>
    <cellStyle name="40% - Accent3 3 4 3 2" xfId="4979"/>
    <cellStyle name="40% - Accent3 3 4 3 2 2" xfId="10075"/>
    <cellStyle name="40% - Accent3 3 4 3 3" xfId="7636"/>
    <cellStyle name="40% - Accent3 3 4 4" xfId="3796"/>
    <cellStyle name="40% - Accent3 3 4 4 2" xfId="8895"/>
    <cellStyle name="40% - Accent3 3 4 5" xfId="6376"/>
    <cellStyle name="40% - Accent3 3 5" xfId="544"/>
    <cellStyle name="40% - Accent3 3 5 2" xfId="2353"/>
    <cellStyle name="40% - Accent3 3 5 2 2" xfId="4800"/>
    <cellStyle name="40% - Accent3 3 5 2 2 2" xfId="9896"/>
    <cellStyle name="40% - Accent3 3 5 2 3" xfId="7457"/>
    <cellStyle name="40% - Accent3 3 5 3" xfId="3617"/>
    <cellStyle name="40% - Accent3 3 5 3 2" xfId="8716"/>
    <cellStyle name="40% - Accent3 3 5 4" xfId="6197"/>
    <cellStyle name="40% - Accent3 3 6" xfId="1302"/>
    <cellStyle name="40% - Accent3 3 6 2" xfId="2847"/>
    <cellStyle name="40% - Accent3 3 6 2 2" xfId="5248"/>
    <cellStyle name="40% - Accent3 3 6 2 2 2" xfId="10344"/>
    <cellStyle name="40% - Accent3 3 6 2 3" xfId="7950"/>
    <cellStyle name="40% - Accent3 3 6 3" xfId="4056"/>
    <cellStyle name="40% - Accent3 3 6 3 2" xfId="9152"/>
    <cellStyle name="40% - Accent3 3 6 4" xfId="6664"/>
    <cellStyle name="40% - Accent3 4" xfId="229"/>
    <cellStyle name="40% - Accent3 4 2" xfId="785"/>
    <cellStyle name="40% - Accent3 4 2 2" xfId="1308"/>
    <cellStyle name="40% - Accent3 4 2 3" xfId="2566"/>
    <cellStyle name="40% - Accent3 4 2 3 2" xfId="5013"/>
    <cellStyle name="40% - Accent3 4 2 3 2 2" xfId="10109"/>
    <cellStyle name="40% - Accent3 4 2 3 3" xfId="7670"/>
    <cellStyle name="40% - Accent3 4 2 4" xfId="3830"/>
    <cellStyle name="40% - Accent3 4 2 4 2" xfId="8929"/>
    <cellStyle name="40% - Accent3 4 2 5" xfId="6410"/>
    <cellStyle name="40% - Accent3 4 3" xfId="613"/>
    <cellStyle name="40% - Accent3 4 3 2" xfId="1309"/>
    <cellStyle name="40% - Accent3 4 3 2 2" xfId="2853"/>
    <cellStyle name="40% - Accent3 4 3 2 2 2" xfId="5254"/>
    <cellStyle name="40% - Accent3 4 3 2 2 2 2" xfId="10350"/>
    <cellStyle name="40% - Accent3 4 3 2 2 3" xfId="7956"/>
    <cellStyle name="40% - Accent3 4 3 2 3" xfId="4062"/>
    <cellStyle name="40% - Accent3 4 3 2 3 2" xfId="9158"/>
    <cellStyle name="40% - Accent3 4 3 2 4" xfId="6670"/>
    <cellStyle name="40% - Accent3 4 3 3" xfId="2419"/>
    <cellStyle name="40% - Accent3 4 3 3 2" xfId="4866"/>
    <cellStyle name="40% - Accent3 4 3 3 2 2" xfId="9962"/>
    <cellStyle name="40% - Accent3 4 3 3 3" xfId="7523"/>
    <cellStyle name="40% - Accent3 4 3 4" xfId="3683"/>
    <cellStyle name="40% - Accent3 4 3 4 2" xfId="8782"/>
    <cellStyle name="40% - Accent3 4 3 5" xfId="6263"/>
    <cellStyle name="40% - Accent3 4 4" xfId="639"/>
    <cellStyle name="40% - Accent3 4 4 2" xfId="2444"/>
    <cellStyle name="40% - Accent3 4 4 2 2" xfId="4891"/>
    <cellStyle name="40% - Accent3 4 4 2 2 2" xfId="9987"/>
    <cellStyle name="40% - Accent3 4 4 2 3" xfId="7548"/>
    <cellStyle name="40% - Accent3 4 4 3" xfId="3708"/>
    <cellStyle name="40% - Accent3 4 4 3 2" xfId="8807"/>
    <cellStyle name="40% - Accent3 4 4 4" xfId="6288"/>
    <cellStyle name="40% - Accent3 4 5" xfId="673"/>
    <cellStyle name="40% - Accent3 4 5 2" xfId="2476"/>
    <cellStyle name="40% - Accent3 4 5 2 2" xfId="4923"/>
    <cellStyle name="40% - Accent3 4 5 2 2 2" xfId="10019"/>
    <cellStyle name="40% - Accent3 4 5 2 3" xfId="7580"/>
    <cellStyle name="40% - Accent3 4 5 3" xfId="3740"/>
    <cellStyle name="40% - Accent3 4 5 3 2" xfId="8839"/>
    <cellStyle name="40% - Accent3 4 5 4" xfId="6320"/>
    <cellStyle name="40% - Accent3 4 6" xfId="1307"/>
    <cellStyle name="40% - Accent3 4 6 2" xfId="2852"/>
    <cellStyle name="40% - Accent3 4 6 2 2" xfId="5253"/>
    <cellStyle name="40% - Accent3 4 6 2 2 2" xfId="10349"/>
    <cellStyle name="40% - Accent3 4 6 2 3" xfId="7955"/>
    <cellStyle name="40% - Accent3 4 6 3" xfId="4061"/>
    <cellStyle name="40% - Accent3 4 6 3 2" xfId="9157"/>
    <cellStyle name="40% - Accent3 4 6 4" xfId="6669"/>
    <cellStyle name="40% - Accent3 5" xfId="230"/>
    <cellStyle name="40% - Accent3 5 2" xfId="742"/>
    <cellStyle name="40% - Accent3 5 2 2" xfId="2527"/>
    <cellStyle name="40% - Accent3 5 2 2 2" xfId="4974"/>
    <cellStyle name="40% - Accent3 5 2 2 2 2" xfId="10070"/>
    <cellStyle name="40% - Accent3 5 2 2 3" xfId="7631"/>
    <cellStyle name="40% - Accent3 5 2 3" xfId="3791"/>
    <cellStyle name="40% - Accent3 5 2 3 2" xfId="8890"/>
    <cellStyle name="40% - Accent3 5 2 4" xfId="6371"/>
    <cellStyle name="40% - Accent3 5 3" xfId="665"/>
    <cellStyle name="40% - Accent3 5 3 2" xfId="2469"/>
    <cellStyle name="40% - Accent3 5 3 2 2" xfId="4916"/>
    <cellStyle name="40% - Accent3 5 3 2 2 2" xfId="10012"/>
    <cellStyle name="40% - Accent3 5 3 2 3" xfId="7573"/>
    <cellStyle name="40% - Accent3 5 3 3" xfId="3733"/>
    <cellStyle name="40% - Accent3 5 3 3 2" xfId="8832"/>
    <cellStyle name="40% - Accent3 5 3 4" xfId="6313"/>
    <cellStyle name="40% - Accent3 5 4" xfId="1310"/>
    <cellStyle name="40% - Accent3 6" xfId="231"/>
    <cellStyle name="40% - Accent3 6 2" xfId="913"/>
    <cellStyle name="40% - Accent3 6 2 2" xfId="2614"/>
    <cellStyle name="40% - Accent3 6 2 2 2" xfId="5058"/>
    <cellStyle name="40% - Accent3 6 2 2 2 2" xfId="10154"/>
    <cellStyle name="40% - Accent3 6 2 2 3" xfId="7717"/>
    <cellStyle name="40% - Accent3 6 2 3" xfId="3875"/>
    <cellStyle name="40% - Accent3 6 2 3 2" xfId="8974"/>
    <cellStyle name="40% - Accent3 6 2 4" xfId="6460"/>
    <cellStyle name="40% - Accent3 6 3" xfId="1311"/>
    <cellStyle name="40% - Accent3 7" xfId="232"/>
    <cellStyle name="40% - Accent3 7 2" xfId="762"/>
    <cellStyle name="40% - Accent3 7 2 2" xfId="2543"/>
    <cellStyle name="40% - Accent3 7 2 2 2" xfId="4990"/>
    <cellStyle name="40% - Accent3 7 2 2 2 2" xfId="10086"/>
    <cellStyle name="40% - Accent3 7 2 2 3" xfId="7647"/>
    <cellStyle name="40% - Accent3 7 2 3" xfId="3807"/>
    <cellStyle name="40% - Accent3 7 2 3 2" xfId="8906"/>
    <cellStyle name="40% - Accent3 7 2 4" xfId="6387"/>
    <cellStyle name="40% - Accent3 7 3" xfId="1312"/>
    <cellStyle name="40% - Accent3 8" xfId="233"/>
    <cellStyle name="40% - Accent3 8 2" xfId="892"/>
    <cellStyle name="40% - Accent3 8 2 2" xfId="2597"/>
    <cellStyle name="40% - Accent3 8 2 2 2" xfId="5041"/>
    <cellStyle name="40% - Accent3 8 2 2 2 2" xfId="10137"/>
    <cellStyle name="40% - Accent3 8 2 2 3" xfId="7700"/>
    <cellStyle name="40% - Accent3 8 2 3" xfId="3858"/>
    <cellStyle name="40% - Accent3 8 2 3 2" xfId="8957"/>
    <cellStyle name="40% - Accent3 8 2 4" xfId="6443"/>
    <cellStyle name="40% - Accent3 8 3" xfId="1313"/>
    <cellStyle name="40% - Accent3 9" xfId="714"/>
    <cellStyle name="40% - Accent3 9 2" xfId="1048"/>
    <cellStyle name="40% - Accent3 9 2 2" xfId="2678"/>
    <cellStyle name="40% - Accent3 9 2 2 2" xfId="5087"/>
    <cellStyle name="40% - Accent3 9 2 2 2 2" xfId="10183"/>
    <cellStyle name="40% - Accent3 9 2 2 3" xfId="7781"/>
    <cellStyle name="40% - Accent3 9 2 3" xfId="3904"/>
    <cellStyle name="40% - Accent3 9 2 3 2" xfId="9003"/>
    <cellStyle name="40% - Accent3 9 2 4" xfId="6525"/>
    <cellStyle name="40% - Accent3 9 3" xfId="2511"/>
    <cellStyle name="40% - Accent3 9 3 2" xfId="4958"/>
    <cellStyle name="40% - Accent3 9 3 2 2" xfId="10054"/>
    <cellStyle name="40% - Accent3 9 3 3" xfId="7615"/>
    <cellStyle name="40% - Accent3 9 4" xfId="3775"/>
    <cellStyle name="40% - Accent3 9 4 2" xfId="8874"/>
    <cellStyle name="40% - Accent3 9 5" xfId="6355"/>
    <cellStyle name="40% - Accent4" xfId="138" builtinId="43" customBuiltin="1"/>
    <cellStyle name="40% - Accent4 10" xfId="2733"/>
    <cellStyle name="40% - Accent4 10 2" xfId="5135"/>
    <cellStyle name="40% - Accent4 10 2 2" xfId="10231"/>
    <cellStyle name="40% - Accent4 10 3" xfId="7836"/>
    <cellStyle name="40% - Accent4 11" xfId="3594"/>
    <cellStyle name="40% - Accent4 11 2" xfId="8697"/>
    <cellStyle name="40% - Accent4 12" xfId="6548"/>
    <cellStyle name="40% - Accent4 2" xfId="23"/>
    <cellStyle name="40% - Accent4 2 2" xfId="806"/>
    <cellStyle name="40% - Accent4 2 2 2" xfId="592"/>
    <cellStyle name="40% - Accent4 2 2 2 2" xfId="1316"/>
    <cellStyle name="40% - Accent4 2 2 2 2 2" xfId="2856"/>
    <cellStyle name="40% - Accent4 2 2 2 2 2 2" xfId="5257"/>
    <cellStyle name="40% - Accent4 2 2 2 2 2 2 2" xfId="10353"/>
    <cellStyle name="40% - Accent4 2 2 2 2 2 3" xfId="7959"/>
    <cellStyle name="40% - Accent4 2 2 2 2 3" xfId="4065"/>
    <cellStyle name="40% - Accent4 2 2 2 2 3 2" xfId="9161"/>
    <cellStyle name="40% - Accent4 2 2 2 2 4" xfId="6676"/>
    <cellStyle name="40% - Accent4 2 2 2 3" xfId="2398"/>
    <cellStyle name="40% - Accent4 2 2 2 3 2" xfId="4845"/>
    <cellStyle name="40% - Accent4 2 2 2 3 2 2" xfId="9941"/>
    <cellStyle name="40% - Accent4 2 2 2 3 3" xfId="7502"/>
    <cellStyle name="40% - Accent4 2 2 2 4" xfId="3662"/>
    <cellStyle name="40% - Accent4 2 2 2 4 2" xfId="8761"/>
    <cellStyle name="40% - Accent4 2 2 2 5" xfId="6242"/>
    <cellStyle name="40% - Accent4 2 2 3" xfId="1315"/>
    <cellStyle name="40% - Accent4 2 2 3 2" xfId="2855"/>
    <cellStyle name="40% - Accent4 2 2 3 2 2" xfId="5256"/>
    <cellStyle name="40% - Accent4 2 2 3 2 2 2" xfId="10352"/>
    <cellStyle name="40% - Accent4 2 2 3 2 3" xfId="7958"/>
    <cellStyle name="40% - Accent4 2 2 3 3" xfId="4064"/>
    <cellStyle name="40% - Accent4 2 2 3 3 2" xfId="9160"/>
    <cellStyle name="40% - Accent4 2 2 3 4" xfId="6675"/>
    <cellStyle name="40% - Accent4 2 3" xfId="878"/>
    <cellStyle name="40% - Accent4 2 3 2" xfId="1317"/>
    <cellStyle name="40% - Accent4 2 3 2 2" xfId="2857"/>
    <cellStyle name="40% - Accent4 2 3 2 2 2" xfId="5258"/>
    <cellStyle name="40% - Accent4 2 3 2 2 2 2" xfId="10354"/>
    <cellStyle name="40% - Accent4 2 3 2 2 3" xfId="7960"/>
    <cellStyle name="40% - Accent4 2 3 2 3" xfId="4066"/>
    <cellStyle name="40% - Accent4 2 3 2 3 2" xfId="9162"/>
    <cellStyle name="40% - Accent4 2 3 2 4" xfId="6677"/>
    <cellStyle name="40% - Accent4 2 3 3" xfId="2583"/>
    <cellStyle name="40% - Accent4 2 3 3 2" xfId="5027"/>
    <cellStyle name="40% - Accent4 2 3 3 2 2" xfId="10123"/>
    <cellStyle name="40% - Accent4 2 3 3 3" xfId="7686"/>
    <cellStyle name="40% - Accent4 2 3 4" xfId="3844"/>
    <cellStyle name="40% - Accent4 2 3 4 2" xfId="8943"/>
    <cellStyle name="40% - Accent4 2 3 5" xfId="6429"/>
    <cellStyle name="40% - Accent4 2 4" xfId="777"/>
    <cellStyle name="40% - Accent4 2 4 2" xfId="1318"/>
    <cellStyle name="40% - Accent4 2 4 2 2" xfId="2858"/>
    <cellStyle name="40% - Accent4 2 4 2 2 2" xfId="5259"/>
    <cellStyle name="40% - Accent4 2 4 2 2 2 2" xfId="10355"/>
    <cellStyle name="40% - Accent4 2 4 2 2 3" xfId="7961"/>
    <cellStyle name="40% - Accent4 2 4 2 3" xfId="4067"/>
    <cellStyle name="40% - Accent4 2 4 2 3 2" xfId="9163"/>
    <cellStyle name="40% - Accent4 2 4 2 4" xfId="6678"/>
    <cellStyle name="40% - Accent4 2 4 3" xfId="2558"/>
    <cellStyle name="40% - Accent4 2 4 3 2" xfId="5005"/>
    <cellStyle name="40% - Accent4 2 4 3 2 2" xfId="10101"/>
    <cellStyle name="40% - Accent4 2 4 3 3" xfId="7662"/>
    <cellStyle name="40% - Accent4 2 4 4" xfId="3822"/>
    <cellStyle name="40% - Accent4 2 4 4 2" xfId="8921"/>
    <cellStyle name="40% - Accent4 2 4 5" xfId="6402"/>
    <cellStyle name="40% - Accent4 2 5" xfId="882"/>
    <cellStyle name="40% - Accent4 2 5 2" xfId="2587"/>
    <cellStyle name="40% - Accent4 2 5 2 2" xfId="5031"/>
    <cellStyle name="40% - Accent4 2 5 2 2 2" xfId="10127"/>
    <cellStyle name="40% - Accent4 2 5 2 3" xfId="7690"/>
    <cellStyle name="40% - Accent4 2 5 3" xfId="3848"/>
    <cellStyle name="40% - Accent4 2 5 3 2" xfId="8947"/>
    <cellStyle name="40% - Accent4 2 5 4" xfId="6433"/>
    <cellStyle name="40% - Accent4 2 6" xfId="1314"/>
    <cellStyle name="40% - Accent4 2 6 2" xfId="2854"/>
    <cellStyle name="40% - Accent4 2 6 2 2" xfId="5255"/>
    <cellStyle name="40% - Accent4 2 6 2 2 2" xfId="10351"/>
    <cellStyle name="40% - Accent4 2 6 2 3" xfId="7957"/>
    <cellStyle name="40% - Accent4 2 6 3" xfId="4063"/>
    <cellStyle name="40% - Accent4 2 6 3 2" xfId="9159"/>
    <cellStyle name="40% - Accent4 2 6 4" xfId="6674"/>
    <cellStyle name="40% - Accent4 3" xfId="234"/>
    <cellStyle name="40% - Accent4 3 2" xfId="807"/>
    <cellStyle name="40% - Accent4 3 2 2" xfId="601"/>
    <cellStyle name="40% - Accent4 3 2 2 2" xfId="1321"/>
    <cellStyle name="40% - Accent4 3 2 2 2 2" xfId="2861"/>
    <cellStyle name="40% - Accent4 3 2 2 2 2 2" xfId="5262"/>
    <cellStyle name="40% - Accent4 3 2 2 2 2 2 2" xfId="10358"/>
    <cellStyle name="40% - Accent4 3 2 2 2 2 3" xfId="7964"/>
    <cellStyle name="40% - Accent4 3 2 2 2 3" xfId="4070"/>
    <cellStyle name="40% - Accent4 3 2 2 2 3 2" xfId="9166"/>
    <cellStyle name="40% - Accent4 3 2 2 2 4" xfId="6681"/>
    <cellStyle name="40% - Accent4 3 2 2 3" xfId="2407"/>
    <cellStyle name="40% - Accent4 3 2 2 3 2" xfId="4854"/>
    <cellStyle name="40% - Accent4 3 2 2 3 2 2" xfId="9950"/>
    <cellStyle name="40% - Accent4 3 2 2 3 3" xfId="7511"/>
    <cellStyle name="40% - Accent4 3 2 2 4" xfId="3671"/>
    <cellStyle name="40% - Accent4 3 2 2 4 2" xfId="8770"/>
    <cellStyle name="40% - Accent4 3 2 2 5" xfId="6251"/>
    <cellStyle name="40% - Accent4 3 2 3" xfId="1320"/>
    <cellStyle name="40% - Accent4 3 2 3 2" xfId="2860"/>
    <cellStyle name="40% - Accent4 3 2 3 2 2" xfId="5261"/>
    <cellStyle name="40% - Accent4 3 2 3 2 2 2" xfId="10357"/>
    <cellStyle name="40% - Accent4 3 2 3 2 3" xfId="7963"/>
    <cellStyle name="40% - Accent4 3 2 3 3" xfId="4069"/>
    <cellStyle name="40% - Accent4 3 2 3 3 2" xfId="9165"/>
    <cellStyle name="40% - Accent4 3 2 3 4" xfId="6680"/>
    <cellStyle name="40% - Accent4 3 3" xfId="625"/>
    <cellStyle name="40% - Accent4 3 3 2" xfId="1322"/>
    <cellStyle name="40% - Accent4 3 3 2 2" xfId="2862"/>
    <cellStyle name="40% - Accent4 3 3 2 2 2" xfId="5263"/>
    <cellStyle name="40% - Accent4 3 3 2 2 2 2" xfId="10359"/>
    <cellStyle name="40% - Accent4 3 3 2 2 3" xfId="7965"/>
    <cellStyle name="40% - Accent4 3 3 2 3" xfId="4071"/>
    <cellStyle name="40% - Accent4 3 3 2 3 2" xfId="9167"/>
    <cellStyle name="40% - Accent4 3 3 2 4" xfId="6682"/>
    <cellStyle name="40% - Accent4 3 3 3" xfId="2431"/>
    <cellStyle name="40% - Accent4 3 3 3 2" xfId="4878"/>
    <cellStyle name="40% - Accent4 3 3 3 2 2" xfId="9974"/>
    <cellStyle name="40% - Accent4 3 3 3 3" xfId="7535"/>
    <cellStyle name="40% - Accent4 3 3 4" xfId="3695"/>
    <cellStyle name="40% - Accent4 3 3 4 2" xfId="8794"/>
    <cellStyle name="40% - Accent4 3 3 5" xfId="6275"/>
    <cellStyle name="40% - Accent4 3 4" xfId="783"/>
    <cellStyle name="40% - Accent4 3 4 2" xfId="1323"/>
    <cellStyle name="40% - Accent4 3 4 2 2" xfId="2863"/>
    <cellStyle name="40% - Accent4 3 4 2 2 2" xfId="5264"/>
    <cellStyle name="40% - Accent4 3 4 2 2 2 2" xfId="10360"/>
    <cellStyle name="40% - Accent4 3 4 2 2 3" xfId="7966"/>
    <cellStyle name="40% - Accent4 3 4 2 3" xfId="4072"/>
    <cellStyle name="40% - Accent4 3 4 2 3 2" xfId="9168"/>
    <cellStyle name="40% - Accent4 3 4 2 4" xfId="6683"/>
    <cellStyle name="40% - Accent4 3 4 3" xfId="2564"/>
    <cellStyle name="40% - Accent4 3 4 3 2" xfId="5011"/>
    <cellStyle name="40% - Accent4 3 4 3 2 2" xfId="10107"/>
    <cellStyle name="40% - Accent4 3 4 3 3" xfId="7668"/>
    <cellStyle name="40% - Accent4 3 4 4" xfId="3828"/>
    <cellStyle name="40% - Accent4 3 4 4 2" xfId="8927"/>
    <cellStyle name="40% - Accent4 3 4 5" xfId="6408"/>
    <cellStyle name="40% - Accent4 3 5" xfId="543"/>
    <cellStyle name="40% - Accent4 3 5 2" xfId="2352"/>
    <cellStyle name="40% - Accent4 3 5 2 2" xfId="4799"/>
    <cellStyle name="40% - Accent4 3 5 2 2 2" xfId="9895"/>
    <cellStyle name="40% - Accent4 3 5 2 3" xfId="7456"/>
    <cellStyle name="40% - Accent4 3 5 3" xfId="3616"/>
    <cellStyle name="40% - Accent4 3 5 3 2" xfId="8715"/>
    <cellStyle name="40% - Accent4 3 5 4" xfId="6196"/>
    <cellStyle name="40% - Accent4 3 6" xfId="1319"/>
    <cellStyle name="40% - Accent4 3 6 2" xfId="2859"/>
    <cellStyle name="40% - Accent4 3 6 2 2" xfId="5260"/>
    <cellStyle name="40% - Accent4 3 6 2 2 2" xfId="10356"/>
    <cellStyle name="40% - Accent4 3 6 2 3" xfId="7962"/>
    <cellStyle name="40% - Accent4 3 6 3" xfId="4068"/>
    <cellStyle name="40% - Accent4 3 6 3 2" xfId="9164"/>
    <cellStyle name="40% - Accent4 3 6 4" xfId="6679"/>
    <cellStyle name="40% - Accent4 4" xfId="235"/>
    <cellStyle name="40% - Accent4 4 2" xfId="580"/>
    <cellStyle name="40% - Accent4 4 2 2" xfId="1325"/>
    <cellStyle name="40% - Accent4 4 2 3" xfId="2386"/>
    <cellStyle name="40% - Accent4 4 2 3 2" xfId="4833"/>
    <cellStyle name="40% - Accent4 4 2 3 2 2" xfId="9929"/>
    <cellStyle name="40% - Accent4 4 2 3 3" xfId="7490"/>
    <cellStyle name="40% - Accent4 4 2 4" xfId="3650"/>
    <cellStyle name="40% - Accent4 4 2 4 2" xfId="8749"/>
    <cellStyle name="40% - Accent4 4 2 5" xfId="6230"/>
    <cellStyle name="40% - Accent4 4 3" xfId="612"/>
    <cellStyle name="40% - Accent4 4 3 2" xfId="1326"/>
    <cellStyle name="40% - Accent4 4 3 2 2" xfId="2865"/>
    <cellStyle name="40% - Accent4 4 3 2 2 2" xfId="5266"/>
    <cellStyle name="40% - Accent4 4 3 2 2 2 2" xfId="10362"/>
    <cellStyle name="40% - Accent4 4 3 2 2 3" xfId="7968"/>
    <cellStyle name="40% - Accent4 4 3 2 3" xfId="4074"/>
    <cellStyle name="40% - Accent4 4 3 2 3 2" xfId="9170"/>
    <cellStyle name="40% - Accent4 4 3 2 4" xfId="6686"/>
    <cellStyle name="40% - Accent4 4 3 3" xfId="2418"/>
    <cellStyle name="40% - Accent4 4 3 3 2" xfId="4865"/>
    <cellStyle name="40% - Accent4 4 3 3 2 2" xfId="9961"/>
    <cellStyle name="40% - Accent4 4 3 3 3" xfId="7522"/>
    <cellStyle name="40% - Accent4 4 3 4" xfId="3682"/>
    <cellStyle name="40% - Accent4 4 3 4 2" xfId="8781"/>
    <cellStyle name="40% - Accent4 4 3 5" xfId="6262"/>
    <cellStyle name="40% - Accent4 4 4" xfId="873"/>
    <cellStyle name="40% - Accent4 4 4 2" xfId="2578"/>
    <cellStyle name="40% - Accent4 4 4 2 2" xfId="5022"/>
    <cellStyle name="40% - Accent4 4 4 2 2 2" xfId="10118"/>
    <cellStyle name="40% - Accent4 4 4 2 3" xfId="7681"/>
    <cellStyle name="40% - Accent4 4 4 3" xfId="3839"/>
    <cellStyle name="40% - Accent4 4 4 3 2" xfId="8938"/>
    <cellStyle name="40% - Accent4 4 4 4" xfId="6424"/>
    <cellStyle name="40% - Accent4 4 5" xfId="886"/>
    <cellStyle name="40% - Accent4 4 5 2" xfId="2591"/>
    <cellStyle name="40% - Accent4 4 5 2 2" xfId="5035"/>
    <cellStyle name="40% - Accent4 4 5 2 2 2" xfId="10131"/>
    <cellStyle name="40% - Accent4 4 5 2 3" xfId="7694"/>
    <cellStyle name="40% - Accent4 4 5 3" xfId="3852"/>
    <cellStyle name="40% - Accent4 4 5 3 2" xfId="8951"/>
    <cellStyle name="40% - Accent4 4 5 4" xfId="6437"/>
    <cellStyle name="40% - Accent4 4 6" xfId="1324"/>
    <cellStyle name="40% - Accent4 4 6 2" xfId="2864"/>
    <cellStyle name="40% - Accent4 4 6 2 2" xfId="5265"/>
    <cellStyle name="40% - Accent4 4 6 2 2 2" xfId="10361"/>
    <cellStyle name="40% - Accent4 4 6 2 3" xfId="7967"/>
    <cellStyle name="40% - Accent4 4 6 3" xfId="4073"/>
    <cellStyle name="40% - Accent4 4 6 3 2" xfId="9169"/>
    <cellStyle name="40% - Accent4 4 6 4" xfId="6684"/>
    <cellStyle name="40% - Accent4 5" xfId="236"/>
    <cellStyle name="40% - Accent4 5 2" xfId="632"/>
    <cellStyle name="40% - Accent4 5 2 2" xfId="2438"/>
    <cellStyle name="40% - Accent4 5 2 2 2" xfId="4885"/>
    <cellStyle name="40% - Accent4 5 2 2 2 2" xfId="9981"/>
    <cellStyle name="40% - Accent4 5 2 2 3" xfId="7542"/>
    <cellStyle name="40% - Accent4 5 2 3" xfId="3702"/>
    <cellStyle name="40% - Accent4 5 2 3 2" xfId="8801"/>
    <cellStyle name="40% - Accent4 5 2 4" xfId="6282"/>
    <cellStyle name="40% - Accent4 5 3" xfId="664"/>
    <cellStyle name="40% - Accent4 5 3 2" xfId="2468"/>
    <cellStyle name="40% - Accent4 5 3 2 2" xfId="4915"/>
    <cellStyle name="40% - Accent4 5 3 2 2 2" xfId="10011"/>
    <cellStyle name="40% - Accent4 5 3 2 3" xfId="7572"/>
    <cellStyle name="40% - Accent4 5 3 3" xfId="3732"/>
    <cellStyle name="40% - Accent4 5 3 3 2" xfId="8831"/>
    <cellStyle name="40% - Accent4 5 3 4" xfId="6312"/>
    <cellStyle name="40% - Accent4 5 4" xfId="1327"/>
    <cellStyle name="40% - Accent4 6" xfId="237"/>
    <cellStyle name="40% - Accent4 6 2" xfId="779"/>
    <cellStyle name="40% - Accent4 6 2 2" xfId="2560"/>
    <cellStyle name="40% - Accent4 6 2 2 2" xfId="5007"/>
    <cellStyle name="40% - Accent4 6 2 2 2 2" xfId="10103"/>
    <cellStyle name="40% - Accent4 6 2 2 3" xfId="7664"/>
    <cellStyle name="40% - Accent4 6 2 3" xfId="3824"/>
    <cellStyle name="40% - Accent4 6 2 3 2" xfId="8923"/>
    <cellStyle name="40% - Accent4 6 2 4" xfId="6404"/>
    <cellStyle name="40% - Accent4 6 3" xfId="1328"/>
    <cellStyle name="40% - Accent4 7" xfId="238"/>
    <cellStyle name="40% - Accent4 7 2" xfId="570"/>
    <cellStyle name="40% - Accent4 7 2 2" xfId="2376"/>
    <cellStyle name="40% - Accent4 7 2 2 2" xfId="4823"/>
    <cellStyle name="40% - Accent4 7 2 2 2 2" xfId="9919"/>
    <cellStyle name="40% - Accent4 7 2 2 3" xfId="7480"/>
    <cellStyle name="40% - Accent4 7 2 3" xfId="3640"/>
    <cellStyle name="40% - Accent4 7 2 3 2" xfId="8739"/>
    <cellStyle name="40% - Accent4 7 2 4" xfId="6220"/>
    <cellStyle name="40% - Accent4 7 3" xfId="1329"/>
    <cellStyle name="40% - Accent4 8" xfId="239"/>
    <cellStyle name="40% - Accent4 8 2" xfId="561"/>
    <cellStyle name="40% - Accent4 8 2 2" xfId="2367"/>
    <cellStyle name="40% - Accent4 8 2 2 2" xfId="4814"/>
    <cellStyle name="40% - Accent4 8 2 2 2 2" xfId="9910"/>
    <cellStyle name="40% - Accent4 8 2 2 3" xfId="7471"/>
    <cellStyle name="40% - Accent4 8 2 3" xfId="3631"/>
    <cellStyle name="40% - Accent4 8 2 3 2" xfId="8730"/>
    <cellStyle name="40% - Accent4 8 2 4" xfId="6211"/>
    <cellStyle name="40% - Accent4 8 3" xfId="1330"/>
    <cellStyle name="40% - Accent4 9" xfId="711"/>
    <cellStyle name="40% - Accent4 9 2" xfId="1050"/>
    <cellStyle name="40% - Accent4 9 2 2" xfId="2680"/>
    <cellStyle name="40% - Accent4 9 2 2 2" xfId="5089"/>
    <cellStyle name="40% - Accent4 9 2 2 2 2" xfId="10185"/>
    <cellStyle name="40% - Accent4 9 2 2 3" xfId="7783"/>
    <cellStyle name="40% - Accent4 9 2 3" xfId="3906"/>
    <cellStyle name="40% - Accent4 9 2 3 2" xfId="9005"/>
    <cellStyle name="40% - Accent4 9 2 4" xfId="6527"/>
    <cellStyle name="40% - Accent4 9 3" xfId="2509"/>
    <cellStyle name="40% - Accent4 9 3 2" xfId="4956"/>
    <cellStyle name="40% - Accent4 9 3 2 2" xfId="10052"/>
    <cellStyle name="40% - Accent4 9 3 3" xfId="7613"/>
    <cellStyle name="40% - Accent4 9 4" xfId="3773"/>
    <cellStyle name="40% - Accent4 9 4 2" xfId="8872"/>
    <cellStyle name="40% - Accent4 9 5" xfId="6353"/>
    <cellStyle name="40% - Accent5" xfId="142" builtinId="47" customBuiltin="1"/>
    <cellStyle name="40% - Accent5 10" xfId="2735"/>
    <cellStyle name="40% - Accent5 10 2" xfId="5137"/>
    <cellStyle name="40% - Accent5 10 2 2" xfId="10233"/>
    <cellStyle name="40% - Accent5 10 3" xfId="7838"/>
    <cellStyle name="40% - Accent5 11" xfId="3596"/>
    <cellStyle name="40% - Accent5 11 2" xfId="8699"/>
    <cellStyle name="40% - Accent5 12" xfId="6550"/>
    <cellStyle name="40% - Accent5 2" xfId="24"/>
    <cellStyle name="40% - Accent5 2 2" xfId="808"/>
    <cellStyle name="40% - Accent5 2 2 2" xfId="590"/>
    <cellStyle name="40% - Accent5 2 2 2 2" xfId="1333"/>
    <cellStyle name="40% - Accent5 2 2 2 2 2" xfId="2868"/>
    <cellStyle name="40% - Accent5 2 2 2 2 2 2" xfId="5269"/>
    <cellStyle name="40% - Accent5 2 2 2 2 2 2 2" xfId="10365"/>
    <cellStyle name="40% - Accent5 2 2 2 2 2 3" xfId="7971"/>
    <cellStyle name="40% - Accent5 2 2 2 2 3" xfId="4077"/>
    <cellStyle name="40% - Accent5 2 2 2 2 3 2" xfId="9173"/>
    <cellStyle name="40% - Accent5 2 2 2 2 4" xfId="6693"/>
    <cellStyle name="40% - Accent5 2 2 2 3" xfId="2396"/>
    <cellStyle name="40% - Accent5 2 2 2 3 2" xfId="4843"/>
    <cellStyle name="40% - Accent5 2 2 2 3 2 2" xfId="9939"/>
    <cellStyle name="40% - Accent5 2 2 2 3 3" xfId="7500"/>
    <cellStyle name="40% - Accent5 2 2 2 4" xfId="3660"/>
    <cellStyle name="40% - Accent5 2 2 2 4 2" xfId="8759"/>
    <cellStyle name="40% - Accent5 2 2 2 5" xfId="6240"/>
    <cellStyle name="40% - Accent5 2 2 3" xfId="1332"/>
    <cellStyle name="40% - Accent5 2 2 3 2" xfId="2867"/>
    <cellStyle name="40% - Accent5 2 2 3 2 2" xfId="5268"/>
    <cellStyle name="40% - Accent5 2 2 3 2 2 2" xfId="10364"/>
    <cellStyle name="40% - Accent5 2 2 3 2 3" xfId="7970"/>
    <cellStyle name="40% - Accent5 2 2 3 3" xfId="4076"/>
    <cellStyle name="40% - Accent5 2 2 3 3 2" xfId="9172"/>
    <cellStyle name="40% - Accent5 2 2 3 4" xfId="6692"/>
    <cellStyle name="40% - Accent5 2 3" xfId="884"/>
    <cellStyle name="40% - Accent5 2 3 2" xfId="1334"/>
    <cellStyle name="40% - Accent5 2 3 2 2" xfId="2869"/>
    <cellStyle name="40% - Accent5 2 3 2 2 2" xfId="5270"/>
    <cellStyle name="40% - Accent5 2 3 2 2 2 2" xfId="10366"/>
    <cellStyle name="40% - Accent5 2 3 2 2 3" xfId="7972"/>
    <cellStyle name="40% - Accent5 2 3 2 3" xfId="4078"/>
    <cellStyle name="40% - Accent5 2 3 2 3 2" xfId="9174"/>
    <cellStyle name="40% - Accent5 2 3 2 4" xfId="6694"/>
    <cellStyle name="40% - Accent5 2 3 3" xfId="2589"/>
    <cellStyle name="40% - Accent5 2 3 3 2" xfId="5033"/>
    <cellStyle name="40% - Accent5 2 3 3 2 2" xfId="10129"/>
    <cellStyle name="40% - Accent5 2 3 3 3" xfId="7692"/>
    <cellStyle name="40% - Accent5 2 3 4" xfId="3850"/>
    <cellStyle name="40% - Accent5 2 3 4 2" xfId="8949"/>
    <cellStyle name="40% - Accent5 2 3 5" xfId="6435"/>
    <cellStyle name="40% - Accent5 2 4" xfId="535"/>
    <cellStyle name="40% - Accent5 2 4 2" xfId="1335"/>
    <cellStyle name="40% - Accent5 2 4 2 2" xfId="2870"/>
    <cellStyle name="40% - Accent5 2 4 2 2 2" xfId="5271"/>
    <cellStyle name="40% - Accent5 2 4 2 2 2 2" xfId="10367"/>
    <cellStyle name="40% - Accent5 2 4 2 2 3" xfId="7973"/>
    <cellStyle name="40% - Accent5 2 4 2 3" xfId="4079"/>
    <cellStyle name="40% - Accent5 2 4 2 3 2" xfId="9175"/>
    <cellStyle name="40% - Accent5 2 4 2 4" xfId="6695"/>
    <cellStyle name="40% - Accent5 2 4 3" xfId="2344"/>
    <cellStyle name="40% - Accent5 2 4 3 2" xfId="4791"/>
    <cellStyle name="40% - Accent5 2 4 3 2 2" xfId="9887"/>
    <cellStyle name="40% - Accent5 2 4 3 3" xfId="7448"/>
    <cellStyle name="40% - Accent5 2 4 4" xfId="3608"/>
    <cellStyle name="40% - Accent5 2 4 4 2" xfId="8707"/>
    <cellStyle name="40% - Accent5 2 4 5" xfId="6188"/>
    <cellStyle name="40% - Accent5 2 5" xfId="682"/>
    <cellStyle name="40% - Accent5 2 5 2" xfId="2484"/>
    <cellStyle name="40% - Accent5 2 5 2 2" xfId="4931"/>
    <cellStyle name="40% - Accent5 2 5 2 2 2" xfId="10027"/>
    <cellStyle name="40% - Accent5 2 5 2 3" xfId="7588"/>
    <cellStyle name="40% - Accent5 2 5 3" xfId="3748"/>
    <cellStyle name="40% - Accent5 2 5 3 2" xfId="8847"/>
    <cellStyle name="40% - Accent5 2 5 4" xfId="6328"/>
    <cellStyle name="40% - Accent5 2 6" xfId="1331"/>
    <cellStyle name="40% - Accent5 2 6 2" xfId="2866"/>
    <cellStyle name="40% - Accent5 2 6 2 2" xfId="5267"/>
    <cellStyle name="40% - Accent5 2 6 2 2 2" xfId="10363"/>
    <cellStyle name="40% - Accent5 2 6 2 3" xfId="7969"/>
    <cellStyle name="40% - Accent5 2 6 3" xfId="4075"/>
    <cellStyle name="40% - Accent5 2 6 3 2" xfId="9171"/>
    <cellStyle name="40% - Accent5 2 6 4" xfId="6691"/>
    <cellStyle name="40% - Accent5 3" xfId="240"/>
    <cellStyle name="40% - Accent5 3 2" xfId="809"/>
    <cellStyle name="40% - Accent5 3 2 2" xfId="736"/>
    <cellStyle name="40% - Accent5 3 2 2 2" xfId="1338"/>
    <cellStyle name="40% - Accent5 3 2 2 2 2" xfId="2873"/>
    <cellStyle name="40% - Accent5 3 2 2 2 2 2" xfId="5274"/>
    <cellStyle name="40% - Accent5 3 2 2 2 2 2 2" xfId="10370"/>
    <cellStyle name="40% - Accent5 3 2 2 2 2 3" xfId="7976"/>
    <cellStyle name="40% - Accent5 3 2 2 2 3" xfId="4082"/>
    <cellStyle name="40% - Accent5 3 2 2 2 3 2" xfId="9178"/>
    <cellStyle name="40% - Accent5 3 2 2 2 4" xfId="6698"/>
    <cellStyle name="40% - Accent5 3 2 2 3" xfId="2522"/>
    <cellStyle name="40% - Accent5 3 2 2 3 2" xfId="4969"/>
    <cellStyle name="40% - Accent5 3 2 2 3 2 2" xfId="10065"/>
    <cellStyle name="40% - Accent5 3 2 2 3 3" xfId="7626"/>
    <cellStyle name="40% - Accent5 3 2 2 4" xfId="3786"/>
    <cellStyle name="40% - Accent5 3 2 2 4 2" xfId="8885"/>
    <cellStyle name="40% - Accent5 3 2 2 5" xfId="6366"/>
    <cellStyle name="40% - Accent5 3 2 3" xfId="1337"/>
    <cellStyle name="40% - Accent5 3 2 3 2" xfId="2872"/>
    <cellStyle name="40% - Accent5 3 2 3 2 2" xfId="5273"/>
    <cellStyle name="40% - Accent5 3 2 3 2 2 2" xfId="10369"/>
    <cellStyle name="40% - Accent5 3 2 3 2 3" xfId="7975"/>
    <cellStyle name="40% - Accent5 3 2 3 3" xfId="4081"/>
    <cellStyle name="40% - Accent5 3 2 3 3 2" xfId="9177"/>
    <cellStyle name="40% - Accent5 3 2 3 4" xfId="6697"/>
    <cellStyle name="40% - Accent5 3 3" xfId="770"/>
    <cellStyle name="40% - Accent5 3 3 2" xfId="1339"/>
    <cellStyle name="40% - Accent5 3 3 2 2" xfId="2874"/>
    <cellStyle name="40% - Accent5 3 3 2 2 2" xfId="5275"/>
    <cellStyle name="40% - Accent5 3 3 2 2 2 2" xfId="10371"/>
    <cellStyle name="40% - Accent5 3 3 2 2 3" xfId="7977"/>
    <cellStyle name="40% - Accent5 3 3 2 3" xfId="4083"/>
    <cellStyle name="40% - Accent5 3 3 2 3 2" xfId="9179"/>
    <cellStyle name="40% - Accent5 3 3 2 4" xfId="6699"/>
    <cellStyle name="40% - Accent5 3 3 3" xfId="2551"/>
    <cellStyle name="40% - Accent5 3 3 3 2" xfId="4998"/>
    <cellStyle name="40% - Accent5 3 3 3 2 2" xfId="10094"/>
    <cellStyle name="40% - Accent5 3 3 3 3" xfId="7655"/>
    <cellStyle name="40% - Accent5 3 3 4" xfId="3815"/>
    <cellStyle name="40% - Accent5 3 3 4 2" xfId="8914"/>
    <cellStyle name="40% - Accent5 3 3 5" xfId="6395"/>
    <cellStyle name="40% - Accent5 3 4" xfId="888"/>
    <cellStyle name="40% - Accent5 3 4 2" xfId="1340"/>
    <cellStyle name="40% - Accent5 3 4 2 2" xfId="2875"/>
    <cellStyle name="40% - Accent5 3 4 2 2 2" xfId="5276"/>
    <cellStyle name="40% - Accent5 3 4 2 2 2 2" xfId="10372"/>
    <cellStyle name="40% - Accent5 3 4 2 2 3" xfId="7978"/>
    <cellStyle name="40% - Accent5 3 4 2 3" xfId="4084"/>
    <cellStyle name="40% - Accent5 3 4 2 3 2" xfId="9180"/>
    <cellStyle name="40% - Accent5 3 4 2 4" xfId="6700"/>
    <cellStyle name="40% - Accent5 3 4 3" xfId="2593"/>
    <cellStyle name="40% - Accent5 3 4 3 2" xfId="5037"/>
    <cellStyle name="40% - Accent5 3 4 3 2 2" xfId="10133"/>
    <cellStyle name="40% - Accent5 3 4 3 3" xfId="7696"/>
    <cellStyle name="40% - Accent5 3 4 4" xfId="3854"/>
    <cellStyle name="40% - Accent5 3 4 4 2" xfId="8953"/>
    <cellStyle name="40% - Accent5 3 4 5" xfId="6439"/>
    <cellStyle name="40% - Accent5 3 5" xfId="693"/>
    <cellStyle name="40% - Accent5 3 5 2" xfId="2495"/>
    <cellStyle name="40% - Accent5 3 5 2 2" xfId="4942"/>
    <cellStyle name="40% - Accent5 3 5 2 2 2" xfId="10038"/>
    <cellStyle name="40% - Accent5 3 5 2 3" xfId="7599"/>
    <cellStyle name="40% - Accent5 3 5 3" xfId="3759"/>
    <cellStyle name="40% - Accent5 3 5 3 2" xfId="8858"/>
    <cellStyle name="40% - Accent5 3 5 4" xfId="6339"/>
    <cellStyle name="40% - Accent5 3 6" xfId="1336"/>
    <cellStyle name="40% - Accent5 3 6 2" xfId="2871"/>
    <cellStyle name="40% - Accent5 3 6 2 2" xfId="5272"/>
    <cellStyle name="40% - Accent5 3 6 2 2 2" xfId="10368"/>
    <cellStyle name="40% - Accent5 3 6 2 3" xfId="7974"/>
    <cellStyle name="40% - Accent5 3 6 3" xfId="4080"/>
    <cellStyle name="40% - Accent5 3 6 3 2" xfId="9176"/>
    <cellStyle name="40% - Accent5 3 6 4" xfId="6696"/>
    <cellStyle name="40% - Accent5 4" xfId="241"/>
    <cellStyle name="40% - Accent5 4 2" xfId="578"/>
    <cellStyle name="40% - Accent5 4 2 2" xfId="1342"/>
    <cellStyle name="40% - Accent5 4 2 3" xfId="2384"/>
    <cellStyle name="40% - Accent5 4 2 3 2" xfId="4831"/>
    <cellStyle name="40% - Accent5 4 2 3 2 2" xfId="9927"/>
    <cellStyle name="40% - Accent5 4 2 3 3" xfId="7488"/>
    <cellStyle name="40% - Accent5 4 2 4" xfId="3648"/>
    <cellStyle name="40% - Accent5 4 2 4 2" xfId="8747"/>
    <cellStyle name="40% - Accent5 4 2 5" xfId="6228"/>
    <cellStyle name="40% - Accent5 4 3" xfId="896"/>
    <cellStyle name="40% - Accent5 4 3 2" xfId="1343"/>
    <cellStyle name="40% - Accent5 4 3 2 2" xfId="2877"/>
    <cellStyle name="40% - Accent5 4 3 2 2 2" xfId="5278"/>
    <cellStyle name="40% - Accent5 4 3 2 2 2 2" xfId="10374"/>
    <cellStyle name="40% - Accent5 4 3 2 2 3" xfId="7980"/>
    <cellStyle name="40% - Accent5 4 3 2 3" xfId="4086"/>
    <cellStyle name="40% - Accent5 4 3 2 3 2" xfId="9182"/>
    <cellStyle name="40% - Accent5 4 3 2 4" xfId="6703"/>
    <cellStyle name="40% - Accent5 4 3 3" xfId="2601"/>
    <cellStyle name="40% - Accent5 4 3 3 2" xfId="5045"/>
    <cellStyle name="40% - Accent5 4 3 3 2 2" xfId="10141"/>
    <cellStyle name="40% - Accent5 4 3 3 3" xfId="7704"/>
    <cellStyle name="40% - Accent5 4 3 4" xfId="3862"/>
    <cellStyle name="40% - Accent5 4 3 4 2" xfId="8961"/>
    <cellStyle name="40% - Accent5 4 3 5" xfId="6447"/>
    <cellStyle name="40% - Accent5 4 4" xfId="895"/>
    <cellStyle name="40% - Accent5 4 4 2" xfId="2600"/>
    <cellStyle name="40% - Accent5 4 4 2 2" xfId="5044"/>
    <cellStyle name="40% - Accent5 4 4 2 2 2" xfId="10140"/>
    <cellStyle name="40% - Accent5 4 4 2 3" xfId="7703"/>
    <cellStyle name="40% - Accent5 4 4 3" xfId="3861"/>
    <cellStyle name="40% - Accent5 4 4 3 2" xfId="8960"/>
    <cellStyle name="40% - Accent5 4 4 4" xfId="6446"/>
    <cellStyle name="40% - Accent5 4 5" xfId="540"/>
    <cellStyle name="40% - Accent5 4 5 2" xfId="2349"/>
    <cellStyle name="40% - Accent5 4 5 2 2" xfId="4796"/>
    <cellStyle name="40% - Accent5 4 5 2 2 2" xfId="9892"/>
    <cellStyle name="40% - Accent5 4 5 2 3" xfId="7453"/>
    <cellStyle name="40% - Accent5 4 5 3" xfId="3613"/>
    <cellStyle name="40% - Accent5 4 5 3 2" xfId="8712"/>
    <cellStyle name="40% - Accent5 4 5 4" xfId="6193"/>
    <cellStyle name="40% - Accent5 4 6" xfId="1341"/>
    <cellStyle name="40% - Accent5 4 6 2" xfId="2876"/>
    <cellStyle name="40% - Accent5 4 6 2 2" xfId="5277"/>
    <cellStyle name="40% - Accent5 4 6 2 2 2" xfId="10373"/>
    <cellStyle name="40% - Accent5 4 6 2 3" xfId="7979"/>
    <cellStyle name="40% - Accent5 4 6 3" xfId="4085"/>
    <cellStyle name="40% - Accent5 4 6 3 2" xfId="9181"/>
    <cellStyle name="40% - Accent5 4 6 4" xfId="6701"/>
    <cellStyle name="40% - Accent5 5" xfId="242"/>
    <cellStyle name="40% - Accent5 5 2" xfId="631"/>
    <cellStyle name="40% - Accent5 5 2 2" xfId="2437"/>
    <cellStyle name="40% - Accent5 5 2 2 2" xfId="4884"/>
    <cellStyle name="40% - Accent5 5 2 2 2 2" xfId="9980"/>
    <cellStyle name="40% - Accent5 5 2 2 3" xfId="7541"/>
    <cellStyle name="40% - Accent5 5 2 3" xfId="3701"/>
    <cellStyle name="40% - Accent5 5 2 3 2" xfId="8800"/>
    <cellStyle name="40% - Accent5 5 2 4" xfId="6281"/>
    <cellStyle name="40% - Accent5 5 3" xfId="662"/>
    <cellStyle name="40% - Accent5 5 3 2" xfId="2466"/>
    <cellStyle name="40% - Accent5 5 3 2 2" xfId="4913"/>
    <cellStyle name="40% - Accent5 5 3 2 2 2" xfId="10009"/>
    <cellStyle name="40% - Accent5 5 3 2 3" xfId="7570"/>
    <cellStyle name="40% - Accent5 5 3 3" xfId="3730"/>
    <cellStyle name="40% - Accent5 5 3 3 2" xfId="8829"/>
    <cellStyle name="40% - Accent5 5 3 4" xfId="6310"/>
    <cellStyle name="40% - Accent5 5 4" xfId="1344"/>
    <cellStyle name="40% - Accent5 6" xfId="243"/>
    <cellStyle name="40% - Accent5 6 2" xfId="659"/>
    <cellStyle name="40% - Accent5 6 2 2" xfId="2463"/>
    <cellStyle name="40% - Accent5 6 2 2 2" xfId="4910"/>
    <cellStyle name="40% - Accent5 6 2 2 2 2" xfId="10006"/>
    <cellStyle name="40% - Accent5 6 2 2 3" xfId="7567"/>
    <cellStyle name="40% - Accent5 6 2 3" xfId="3727"/>
    <cellStyle name="40% - Accent5 6 2 3 2" xfId="8826"/>
    <cellStyle name="40% - Accent5 6 2 4" xfId="6307"/>
    <cellStyle name="40% - Accent5 6 3" xfId="1345"/>
    <cellStyle name="40% - Accent5 7" xfId="244"/>
    <cellStyle name="40% - Accent5 7 2" xfId="569"/>
    <cellStyle name="40% - Accent5 7 2 2" xfId="2375"/>
    <cellStyle name="40% - Accent5 7 2 2 2" xfId="4822"/>
    <cellStyle name="40% - Accent5 7 2 2 2 2" xfId="9918"/>
    <cellStyle name="40% - Accent5 7 2 2 3" xfId="7479"/>
    <cellStyle name="40% - Accent5 7 2 3" xfId="3639"/>
    <cellStyle name="40% - Accent5 7 2 3 2" xfId="8738"/>
    <cellStyle name="40% - Accent5 7 2 4" xfId="6219"/>
    <cellStyle name="40% - Accent5 7 3" xfId="1346"/>
    <cellStyle name="40% - Accent5 8" xfId="245"/>
    <cellStyle name="40% - Accent5 8 2" xfId="560"/>
    <cellStyle name="40% - Accent5 8 2 2" xfId="2366"/>
    <cellStyle name="40% - Accent5 8 2 2 2" xfId="4813"/>
    <cellStyle name="40% - Accent5 8 2 2 2 2" xfId="9909"/>
    <cellStyle name="40% - Accent5 8 2 2 3" xfId="7470"/>
    <cellStyle name="40% - Accent5 8 2 3" xfId="3630"/>
    <cellStyle name="40% - Accent5 8 2 3 2" xfId="8729"/>
    <cellStyle name="40% - Accent5 8 2 4" xfId="6210"/>
    <cellStyle name="40% - Accent5 8 3" xfId="1347"/>
    <cellStyle name="40% - Accent5 9" xfId="708"/>
    <cellStyle name="40% - Accent5 9 2" xfId="1052"/>
    <cellStyle name="40% - Accent5 9 2 2" xfId="2682"/>
    <cellStyle name="40% - Accent5 9 2 2 2" xfId="5091"/>
    <cellStyle name="40% - Accent5 9 2 2 2 2" xfId="10187"/>
    <cellStyle name="40% - Accent5 9 2 2 3" xfId="7785"/>
    <cellStyle name="40% - Accent5 9 2 3" xfId="3908"/>
    <cellStyle name="40% - Accent5 9 2 3 2" xfId="9007"/>
    <cellStyle name="40% - Accent5 9 2 4" xfId="6529"/>
    <cellStyle name="40% - Accent5 9 3" xfId="2508"/>
    <cellStyle name="40% - Accent5 9 3 2" xfId="4955"/>
    <cellStyle name="40% - Accent5 9 3 2 2" xfId="10051"/>
    <cellStyle name="40% - Accent5 9 3 3" xfId="7612"/>
    <cellStyle name="40% - Accent5 9 4" xfId="3772"/>
    <cellStyle name="40% - Accent5 9 4 2" xfId="8871"/>
    <cellStyle name="40% - Accent5 9 5" xfId="6352"/>
    <cellStyle name="40% - Accent6" xfId="146" builtinId="51" customBuiltin="1"/>
    <cellStyle name="40% - Accent6 10" xfId="2737"/>
    <cellStyle name="40% - Accent6 10 2" xfId="5139"/>
    <cellStyle name="40% - Accent6 10 2 2" xfId="10235"/>
    <cellStyle name="40% - Accent6 10 3" xfId="7840"/>
    <cellStyle name="40% - Accent6 11" xfId="3598"/>
    <cellStyle name="40% - Accent6 11 2" xfId="8701"/>
    <cellStyle name="40% - Accent6 12" xfId="6552"/>
    <cellStyle name="40% - Accent6 2" xfId="25"/>
    <cellStyle name="40% - Accent6 2 2" xfId="810"/>
    <cellStyle name="40% - Accent6 2 2 2" xfId="901"/>
    <cellStyle name="40% - Accent6 2 2 2 2" xfId="1350"/>
    <cellStyle name="40% - Accent6 2 2 2 2 2" xfId="2880"/>
    <cellStyle name="40% - Accent6 2 2 2 2 2 2" xfId="5281"/>
    <cellStyle name="40% - Accent6 2 2 2 2 2 2 2" xfId="10377"/>
    <cellStyle name="40% - Accent6 2 2 2 2 2 3" xfId="7983"/>
    <cellStyle name="40% - Accent6 2 2 2 2 3" xfId="4089"/>
    <cellStyle name="40% - Accent6 2 2 2 2 3 2" xfId="9185"/>
    <cellStyle name="40% - Accent6 2 2 2 2 4" xfId="6710"/>
    <cellStyle name="40% - Accent6 2 2 2 3" xfId="2606"/>
    <cellStyle name="40% - Accent6 2 2 2 3 2" xfId="5050"/>
    <cellStyle name="40% - Accent6 2 2 2 3 2 2" xfId="10146"/>
    <cellStyle name="40% - Accent6 2 2 2 3 3" xfId="7709"/>
    <cellStyle name="40% - Accent6 2 2 2 4" xfId="3867"/>
    <cellStyle name="40% - Accent6 2 2 2 4 2" xfId="8966"/>
    <cellStyle name="40% - Accent6 2 2 2 5" xfId="6452"/>
    <cellStyle name="40% - Accent6 2 2 3" xfId="1349"/>
    <cellStyle name="40% - Accent6 2 2 3 2" xfId="2879"/>
    <cellStyle name="40% - Accent6 2 2 3 2 2" xfId="5280"/>
    <cellStyle name="40% - Accent6 2 2 3 2 2 2" xfId="10376"/>
    <cellStyle name="40% - Accent6 2 2 3 2 3" xfId="7982"/>
    <cellStyle name="40% - Accent6 2 2 3 3" xfId="4088"/>
    <cellStyle name="40% - Accent6 2 2 3 3 2" xfId="9184"/>
    <cellStyle name="40% - Accent6 2 2 3 4" xfId="6709"/>
    <cellStyle name="40% - Accent6 2 3" xfId="618"/>
    <cellStyle name="40% - Accent6 2 3 2" xfId="1351"/>
    <cellStyle name="40% - Accent6 2 3 2 2" xfId="2881"/>
    <cellStyle name="40% - Accent6 2 3 2 2 2" xfId="5282"/>
    <cellStyle name="40% - Accent6 2 3 2 2 2 2" xfId="10378"/>
    <cellStyle name="40% - Accent6 2 3 2 2 3" xfId="7984"/>
    <cellStyle name="40% - Accent6 2 3 2 3" xfId="4090"/>
    <cellStyle name="40% - Accent6 2 3 2 3 2" xfId="9186"/>
    <cellStyle name="40% - Accent6 2 3 2 4" xfId="6711"/>
    <cellStyle name="40% - Accent6 2 3 3" xfId="2424"/>
    <cellStyle name="40% - Accent6 2 3 3 2" xfId="4871"/>
    <cellStyle name="40% - Accent6 2 3 3 2 2" xfId="9967"/>
    <cellStyle name="40% - Accent6 2 3 3 3" xfId="7528"/>
    <cellStyle name="40% - Accent6 2 3 4" xfId="3688"/>
    <cellStyle name="40% - Accent6 2 3 4 2" xfId="8787"/>
    <cellStyle name="40% - Accent6 2 3 5" xfId="6268"/>
    <cellStyle name="40% - Accent6 2 4" xfId="915"/>
    <cellStyle name="40% - Accent6 2 4 2" xfId="1352"/>
    <cellStyle name="40% - Accent6 2 4 2 2" xfId="2882"/>
    <cellStyle name="40% - Accent6 2 4 2 2 2" xfId="5283"/>
    <cellStyle name="40% - Accent6 2 4 2 2 2 2" xfId="10379"/>
    <cellStyle name="40% - Accent6 2 4 2 2 3" xfId="7985"/>
    <cellStyle name="40% - Accent6 2 4 2 3" xfId="4091"/>
    <cellStyle name="40% - Accent6 2 4 2 3 2" xfId="9187"/>
    <cellStyle name="40% - Accent6 2 4 2 4" xfId="6712"/>
    <cellStyle name="40% - Accent6 2 4 3" xfId="2616"/>
    <cellStyle name="40% - Accent6 2 4 3 2" xfId="5060"/>
    <cellStyle name="40% - Accent6 2 4 3 2 2" xfId="10156"/>
    <cellStyle name="40% - Accent6 2 4 3 3" xfId="7719"/>
    <cellStyle name="40% - Accent6 2 4 4" xfId="3877"/>
    <cellStyle name="40% - Accent6 2 4 4 2" xfId="8976"/>
    <cellStyle name="40% - Accent6 2 4 5" xfId="6462"/>
    <cellStyle name="40% - Accent6 2 5" xfId="681"/>
    <cellStyle name="40% - Accent6 2 5 2" xfId="2483"/>
    <cellStyle name="40% - Accent6 2 5 2 2" xfId="4930"/>
    <cellStyle name="40% - Accent6 2 5 2 2 2" xfId="10026"/>
    <cellStyle name="40% - Accent6 2 5 2 3" xfId="7587"/>
    <cellStyle name="40% - Accent6 2 5 3" xfId="3747"/>
    <cellStyle name="40% - Accent6 2 5 3 2" xfId="8846"/>
    <cellStyle name="40% - Accent6 2 5 4" xfId="6327"/>
    <cellStyle name="40% - Accent6 2 6" xfId="1348"/>
    <cellStyle name="40% - Accent6 2 6 2" xfId="2878"/>
    <cellStyle name="40% - Accent6 2 6 2 2" xfId="5279"/>
    <cellStyle name="40% - Accent6 2 6 2 2 2" xfId="10375"/>
    <cellStyle name="40% - Accent6 2 6 2 3" xfId="7981"/>
    <cellStyle name="40% - Accent6 2 6 3" xfId="4087"/>
    <cellStyle name="40% - Accent6 2 6 3 2" xfId="9183"/>
    <cellStyle name="40% - Accent6 2 6 4" xfId="6708"/>
    <cellStyle name="40% - Accent6 3" xfId="246"/>
    <cellStyle name="40% - Accent6 3 2" xfId="811"/>
    <cellStyle name="40% - Accent6 3 2 2" xfId="900"/>
    <cellStyle name="40% - Accent6 3 2 2 2" xfId="1355"/>
    <cellStyle name="40% - Accent6 3 2 2 2 2" xfId="2885"/>
    <cellStyle name="40% - Accent6 3 2 2 2 2 2" xfId="5286"/>
    <cellStyle name="40% - Accent6 3 2 2 2 2 2 2" xfId="10382"/>
    <cellStyle name="40% - Accent6 3 2 2 2 2 3" xfId="7988"/>
    <cellStyle name="40% - Accent6 3 2 2 2 3" xfId="4094"/>
    <cellStyle name="40% - Accent6 3 2 2 2 3 2" xfId="9190"/>
    <cellStyle name="40% - Accent6 3 2 2 2 4" xfId="6715"/>
    <cellStyle name="40% - Accent6 3 2 2 3" xfId="2605"/>
    <cellStyle name="40% - Accent6 3 2 2 3 2" xfId="5049"/>
    <cellStyle name="40% - Accent6 3 2 2 3 2 2" xfId="10145"/>
    <cellStyle name="40% - Accent6 3 2 2 3 3" xfId="7708"/>
    <cellStyle name="40% - Accent6 3 2 2 4" xfId="3866"/>
    <cellStyle name="40% - Accent6 3 2 2 4 2" xfId="8965"/>
    <cellStyle name="40% - Accent6 3 2 2 5" xfId="6451"/>
    <cellStyle name="40% - Accent6 3 2 3" xfId="1354"/>
    <cellStyle name="40% - Accent6 3 2 3 2" xfId="2884"/>
    <cellStyle name="40% - Accent6 3 2 3 2 2" xfId="5285"/>
    <cellStyle name="40% - Accent6 3 2 3 2 2 2" xfId="10381"/>
    <cellStyle name="40% - Accent6 3 2 3 2 3" xfId="7987"/>
    <cellStyle name="40% - Accent6 3 2 3 3" xfId="4093"/>
    <cellStyle name="40% - Accent6 3 2 3 3 2" xfId="9189"/>
    <cellStyle name="40% - Accent6 3 2 3 4" xfId="6714"/>
    <cellStyle name="40% - Accent6 3 3" xfId="624"/>
    <cellStyle name="40% - Accent6 3 3 2" xfId="1356"/>
    <cellStyle name="40% - Accent6 3 3 2 2" xfId="2886"/>
    <cellStyle name="40% - Accent6 3 3 2 2 2" xfId="5287"/>
    <cellStyle name="40% - Accent6 3 3 2 2 2 2" xfId="10383"/>
    <cellStyle name="40% - Accent6 3 3 2 2 3" xfId="7989"/>
    <cellStyle name="40% - Accent6 3 3 2 3" xfId="4095"/>
    <cellStyle name="40% - Accent6 3 3 2 3 2" xfId="9191"/>
    <cellStyle name="40% - Accent6 3 3 2 4" xfId="6716"/>
    <cellStyle name="40% - Accent6 3 3 3" xfId="2430"/>
    <cellStyle name="40% - Accent6 3 3 3 2" xfId="4877"/>
    <cellStyle name="40% - Accent6 3 3 3 2 2" xfId="9973"/>
    <cellStyle name="40% - Accent6 3 3 3 3" xfId="7534"/>
    <cellStyle name="40% - Accent6 3 3 4" xfId="3694"/>
    <cellStyle name="40% - Accent6 3 3 4 2" xfId="8793"/>
    <cellStyle name="40% - Accent6 3 3 5" xfId="6274"/>
    <cellStyle name="40% - Accent6 3 4" xfId="645"/>
    <cellStyle name="40% - Accent6 3 4 2" xfId="1357"/>
    <cellStyle name="40% - Accent6 3 4 2 2" xfId="2887"/>
    <cellStyle name="40% - Accent6 3 4 2 2 2" xfId="5288"/>
    <cellStyle name="40% - Accent6 3 4 2 2 2 2" xfId="10384"/>
    <cellStyle name="40% - Accent6 3 4 2 2 3" xfId="7990"/>
    <cellStyle name="40% - Accent6 3 4 2 3" xfId="4096"/>
    <cellStyle name="40% - Accent6 3 4 2 3 2" xfId="9192"/>
    <cellStyle name="40% - Accent6 3 4 2 4" xfId="6717"/>
    <cellStyle name="40% - Accent6 3 4 3" xfId="2449"/>
    <cellStyle name="40% - Accent6 3 4 3 2" xfId="4896"/>
    <cellStyle name="40% - Accent6 3 4 3 2 2" xfId="9992"/>
    <cellStyle name="40% - Accent6 3 4 3 3" xfId="7553"/>
    <cellStyle name="40% - Accent6 3 4 4" xfId="3713"/>
    <cellStyle name="40% - Accent6 3 4 4 2" xfId="8812"/>
    <cellStyle name="40% - Accent6 3 4 5" xfId="6293"/>
    <cellStyle name="40% - Accent6 3 5" xfId="691"/>
    <cellStyle name="40% - Accent6 3 5 2" xfId="2493"/>
    <cellStyle name="40% - Accent6 3 5 2 2" xfId="4940"/>
    <cellStyle name="40% - Accent6 3 5 2 2 2" xfId="10036"/>
    <cellStyle name="40% - Accent6 3 5 2 3" xfId="7597"/>
    <cellStyle name="40% - Accent6 3 5 3" xfId="3757"/>
    <cellStyle name="40% - Accent6 3 5 3 2" xfId="8856"/>
    <cellStyle name="40% - Accent6 3 5 4" xfId="6337"/>
    <cellStyle name="40% - Accent6 3 6" xfId="1353"/>
    <cellStyle name="40% - Accent6 3 6 2" xfId="2883"/>
    <cellStyle name="40% - Accent6 3 6 2 2" xfId="5284"/>
    <cellStyle name="40% - Accent6 3 6 2 2 2" xfId="10380"/>
    <cellStyle name="40% - Accent6 3 6 2 3" xfId="7986"/>
    <cellStyle name="40% - Accent6 3 6 3" xfId="4092"/>
    <cellStyle name="40% - Accent6 3 6 3 2" xfId="9188"/>
    <cellStyle name="40% - Accent6 3 6 4" xfId="6713"/>
    <cellStyle name="40% - Accent6 4" xfId="247"/>
    <cellStyle name="40% - Accent6 4 2" xfId="577"/>
    <cellStyle name="40% - Accent6 4 2 2" xfId="1359"/>
    <cellStyle name="40% - Accent6 4 2 3" xfId="2383"/>
    <cellStyle name="40% - Accent6 4 2 3 2" xfId="4830"/>
    <cellStyle name="40% - Accent6 4 2 3 2 2" xfId="9926"/>
    <cellStyle name="40% - Accent6 4 2 3 3" xfId="7487"/>
    <cellStyle name="40% - Accent6 4 2 4" xfId="3647"/>
    <cellStyle name="40% - Accent6 4 2 4 2" xfId="8746"/>
    <cellStyle name="40% - Accent6 4 2 5" xfId="6227"/>
    <cellStyle name="40% - Accent6 4 3" xfId="610"/>
    <cellStyle name="40% - Accent6 4 3 2" xfId="1360"/>
    <cellStyle name="40% - Accent6 4 3 2 2" xfId="2889"/>
    <cellStyle name="40% - Accent6 4 3 2 2 2" xfId="5290"/>
    <cellStyle name="40% - Accent6 4 3 2 2 2 2" xfId="10386"/>
    <cellStyle name="40% - Accent6 4 3 2 2 3" xfId="7992"/>
    <cellStyle name="40% - Accent6 4 3 2 3" xfId="4098"/>
    <cellStyle name="40% - Accent6 4 3 2 3 2" xfId="9194"/>
    <cellStyle name="40% - Accent6 4 3 2 4" xfId="6719"/>
    <cellStyle name="40% - Accent6 4 3 3" xfId="2416"/>
    <cellStyle name="40% - Accent6 4 3 3 2" xfId="4863"/>
    <cellStyle name="40% - Accent6 4 3 3 2 2" xfId="9959"/>
    <cellStyle name="40% - Accent6 4 3 3 3" xfId="7520"/>
    <cellStyle name="40% - Accent6 4 3 4" xfId="3680"/>
    <cellStyle name="40% - Accent6 4 3 4 2" xfId="8779"/>
    <cellStyle name="40% - Accent6 4 3 5" xfId="6260"/>
    <cellStyle name="40% - Accent6 4 4" xfId="744"/>
    <cellStyle name="40% - Accent6 4 4 2" xfId="2529"/>
    <cellStyle name="40% - Accent6 4 4 2 2" xfId="4976"/>
    <cellStyle name="40% - Accent6 4 4 2 2 2" xfId="10072"/>
    <cellStyle name="40% - Accent6 4 4 2 3" xfId="7633"/>
    <cellStyle name="40% - Accent6 4 4 3" xfId="3793"/>
    <cellStyle name="40% - Accent6 4 4 3 2" xfId="8892"/>
    <cellStyle name="40% - Accent6 4 4 4" xfId="6373"/>
    <cellStyle name="40% - Accent6 4 5" xfId="539"/>
    <cellStyle name="40% - Accent6 4 5 2" xfId="2348"/>
    <cellStyle name="40% - Accent6 4 5 2 2" xfId="4795"/>
    <cellStyle name="40% - Accent6 4 5 2 2 2" xfId="9891"/>
    <cellStyle name="40% - Accent6 4 5 2 3" xfId="7452"/>
    <cellStyle name="40% - Accent6 4 5 3" xfId="3612"/>
    <cellStyle name="40% - Accent6 4 5 3 2" xfId="8711"/>
    <cellStyle name="40% - Accent6 4 5 4" xfId="6192"/>
    <cellStyle name="40% - Accent6 4 6" xfId="1358"/>
    <cellStyle name="40% - Accent6 4 6 2" xfId="2888"/>
    <cellStyle name="40% - Accent6 4 6 2 2" xfId="5289"/>
    <cellStyle name="40% - Accent6 4 6 2 2 2" xfId="10385"/>
    <cellStyle name="40% - Accent6 4 6 2 3" xfId="7991"/>
    <cellStyle name="40% - Accent6 4 6 3" xfId="4097"/>
    <cellStyle name="40% - Accent6 4 6 3 2" xfId="9193"/>
    <cellStyle name="40% - Accent6 4 6 4" xfId="6718"/>
    <cellStyle name="40% - Accent6 5" xfId="248"/>
    <cellStyle name="40% - Accent6 5 2" xfId="921"/>
    <cellStyle name="40% - Accent6 5 2 2" xfId="2622"/>
    <cellStyle name="40% - Accent6 5 2 2 2" xfId="5066"/>
    <cellStyle name="40% - Accent6 5 2 2 2 2" xfId="10162"/>
    <cellStyle name="40% - Accent6 5 2 2 3" xfId="7725"/>
    <cellStyle name="40% - Accent6 5 2 3" xfId="3883"/>
    <cellStyle name="40% - Accent6 5 2 3 2" xfId="8982"/>
    <cellStyle name="40% - Accent6 5 2 4" xfId="6468"/>
    <cellStyle name="40% - Accent6 5 3" xfId="894"/>
    <cellStyle name="40% - Accent6 5 3 2" xfId="2599"/>
    <cellStyle name="40% - Accent6 5 3 2 2" xfId="5043"/>
    <cellStyle name="40% - Accent6 5 3 2 2 2" xfId="10139"/>
    <cellStyle name="40% - Accent6 5 3 2 3" xfId="7702"/>
    <cellStyle name="40% - Accent6 5 3 3" xfId="3860"/>
    <cellStyle name="40% - Accent6 5 3 3 2" xfId="8959"/>
    <cellStyle name="40% - Accent6 5 3 4" xfId="6445"/>
    <cellStyle name="40% - Accent6 5 4" xfId="1361"/>
    <cellStyle name="40% - Accent6 6" xfId="249"/>
    <cellStyle name="40% - Accent6 6 2" xfId="657"/>
    <cellStyle name="40% - Accent6 6 2 2" xfId="2461"/>
    <cellStyle name="40% - Accent6 6 2 2 2" xfId="4908"/>
    <cellStyle name="40% - Accent6 6 2 2 2 2" xfId="10004"/>
    <cellStyle name="40% - Accent6 6 2 2 3" xfId="7565"/>
    <cellStyle name="40% - Accent6 6 2 3" xfId="3725"/>
    <cellStyle name="40% - Accent6 6 2 3 2" xfId="8824"/>
    <cellStyle name="40% - Accent6 6 2 4" xfId="6305"/>
    <cellStyle name="40% - Accent6 6 3" xfId="1362"/>
    <cellStyle name="40% - Accent6 7" xfId="250"/>
    <cellStyle name="40% - Accent6 7 2" xfId="567"/>
    <cellStyle name="40% - Accent6 7 2 2" xfId="2373"/>
    <cellStyle name="40% - Accent6 7 2 2 2" xfId="4820"/>
    <cellStyle name="40% - Accent6 7 2 2 2 2" xfId="9916"/>
    <cellStyle name="40% - Accent6 7 2 2 3" xfId="7477"/>
    <cellStyle name="40% - Accent6 7 2 3" xfId="3637"/>
    <cellStyle name="40% - Accent6 7 2 3 2" xfId="8736"/>
    <cellStyle name="40% - Accent6 7 2 4" xfId="6217"/>
    <cellStyle name="40% - Accent6 7 3" xfId="1363"/>
    <cellStyle name="40% - Accent6 8" xfId="251"/>
    <cellStyle name="40% - Accent6 8 2" xfId="559"/>
    <cellStyle name="40% - Accent6 8 2 2" xfId="2365"/>
    <cellStyle name="40% - Accent6 8 2 2 2" xfId="4812"/>
    <cellStyle name="40% - Accent6 8 2 2 2 2" xfId="9908"/>
    <cellStyle name="40% - Accent6 8 2 2 3" xfId="7469"/>
    <cellStyle name="40% - Accent6 8 2 3" xfId="3629"/>
    <cellStyle name="40% - Accent6 8 2 3 2" xfId="8728"/>
    <cellStyle name="40% - Accent6 8 2 4" xfId="6209"/>
    <cellStyle name="40% - Accent6 8 3" xfId="1364"/>
    <cellStyle name="40% - Accent6 9" xfId="705"/>
    <cellStyle name="40% - Accent6 9 2" xfId="1054"/>
    <cellStyle name="40% - Accent6 9 2 2" xfId="2684"/>
    <cellStyle name="40% - Accent6 9 2 2 2" xfId="5093"/>
    <cellStyle name="40% - Accent6 9 2 2 2 2" xfId="10189"/>
    <cellStyle name="40% - Accent6 9 2 2 3" xfId="7787"/>
    <cellStyle name="40% - Accent6 9 2 3" xfId="3910"/>
    <cellStyle name="40% - Accent6 9 2 3 2" xfId="9009"/>
    <cellStyle name="40% - Accent6 9 2 4" xfId="6531"/>
    <cellStyle name="40% - Accent6 9 3" xfId="2506"/>
    <cellStyle name="40% - Accent6 9 3 2" xfId="4953"/>
    <cellStyle name="40% - Accent6 9 3 2 2" xfId="10049"/>
    <cellStyle name="40% - Accent6 9 3 3" xfId="7610"/>
    <cellStyle name="40% - Accent6 9 4" xfId="3770"/>
    <cellStyle name="40% - Accent6 9 4 2" xfId="8869"/>
    <cellStyle name="40% - Accent6 9 5" xfId="6350"/>
    <cellStyle name="60% - Accent1" xfId="127" builtinId="32" customBuiltin="1"/>
    <cellStyle name="60% - Accent1 2" xfId="26"/>
    <cellStyle name="60% - Accent1 2 2" xfId="812"/>
    <cellStyle name="60% - Accent1 2 3" xfId="1365"/>
    <cellStyle name="60% - Accent1 3" xfId="252"/>
    <cellStyle name="60% - Accent1 3 2" xfId="813"/>
    <cellStyle name="60% - Accent1 4" xfId="253"/>
    <cellStyle name="60% - Accent1 5" xfId="254"/>
    <cellStyle name="60% - Accent1 6" xfId="255"/>
    <cellStyle name="60% - Accent1 7" xfId="256"/>
    <cellStyle name="60% - Accent1 8" xfId="257"/>
    <cellStyle name="60% - Accent1 9" xfId="717"/>
    <cellStyle name="60% - Accent2" xfId="131" builtinId="36" customBuiltin="1"/>
    <cellStyle name="60% - Accent2 2" xfId="27"/>
    <cellStyle name="60% - Accent2 2 2" xfId="814"/>
    <cellStyle name="60% - Accent2 2 3" xfId="1366"/>
    <cellStyle name="60% - Accent2 3" xfId="258"/>
    <cellStyle name="60% - Accent2 3 2" xfId="815"/>
    <cellStyle name="60% - Accent2 4" xfId="259"/>
    <cellStyle name="60% - Accent2 5" xfId="260"/>
    <cellStyle name="60% - Accent2 6" xfId="261"/>
    <cellStyle name="60% - Accent2 7" xfId="262"/>
    <cellStyle name="60% - Accent2 8" xfId="263"/>
    <cellStyle name="60% - Accent2 9" xfId="934"/>
    <cellStyle name="60% - Accent3" xfId="135" builtinId="40" customBuiltin="1"/>
    <cellStyle name="60% - Accent3 2" xfId="28"/>
    <cellStyle name="60% - Accent3 2 2" xfId="816"/>
    <cellStyle name="60% - Accent3 2 3" xfId="1367"/>
    <cellStyle name="60% - Accent3 3" xfId="264"/>
    <cellStyle name="60% - Accent3 3 2" xfId="817"/>
    <cellStyle name="60% - Accent3 4" xfId="265"/>
    <cellStyle name="60% - Accent3 5" xfId="266"/>
    <cellStyle name="60% - Accent3 6" xfId="267"/>
    <cellStyle name="60% - Accent3 7" xfId="268"/>
    <cellStyle name="60% - Accent3 8" xfId="269"/>
    <cellStyle name="60% - Accent3 9" xfId="750"/>
    <cellStyle name="60% - Accent4" xfId="139" builtinId="44" customBuiltin="1"/>
    <cellStyle name="60% - Accent4 2" xfId="29"/>
    <cellStyle name="60% - Accent4 2 2" xfId="818"/>
    <cellStyle name="60% - Accent4 2 3" xfId="1368"/>
    <cellStyle name="60% - Accent4 3" xfId="270"/>
    <cellStyle name="60% - Accent4 3 2" xfId="819"/>
    <cellStyle name="60% - Accent4 4" xfId="271"/>
    <cellStyle name="60% - Accent4 5" xfId="272"/>
    <cellStyle name="60% - Accent4 6" xfId="273"/>
    <cellStyle name="60% - Accent4 7" xfId="274"/>
    <cellStyle name="60% - Accent4 8" xfId="275"/>
    <cellStyle name="60% - Accent4 9" xfId="710"/>
    <cellStyle name="60% - Accent5" xfId="143" builtinId="48" customBuiltin="1"/>
    <cellStyle name="60% - Accent5 2" xfId="30"/>
    <cellStyle name="60% - Accent5 2 2" xfId="820"/>
    <cellStyle name="60% - Accent5 2 3" xfId="1369"/>
    <cellStyle name="60% - Accent5 3" xfId="276"/>
    <cellStyle name="60% - Accent5 3 2" xfId="821"/>
    <cellStyle name="60% - Accent5 4" xfId="277"/>
    <cellStyle name="60% - Accent5 5" xfId="278"/>
    <cellStyle name="60% - Accent5 6" xfId="279"/>
    <cellStyle name="60% - Accent5 7" xfId="280"/>
    <cellStyle name="60% - Accent5 8" xfId="281"/>
    <cellStyle name="60% - Accent5 9" xfId="758"/>
    <cellStyle name="60% - Accent6" xfId="147" builtinId="52" customBuiltin="1"/>
    <cellStyle name="60% - Accent6 2" xfId="31"/>
    <cellStyle name="60% - Accent6 2 2" xfId="822"/>
    <cellStyle name="60% - Accent6 2 3" xfId="1370"/>
    <cellStyle name="60% - Accent6 3" xfId="282"/>
    <cellStyle name="60% - Accent6 3 2" xfId="823"/>
    <cellStyle name="60% - Accent6 4" xfId="283"/>
    <cellStyle name="60% - Accent6 5" xfId="284"/>
    <cellStyle name="60% - Accent6 6" xfId="285"/>
    <cellStyle name="60% - Accent6 7" xfId="286"/>
    <cellStyle name="60% - Accent6 8" xfId="287"/>
    <cellStyle name="60% - Accent6 9" xfId="704"/>
    <cellStyle name="a125body" xfId="1371"/>
    <cellStyle name="a125body 10" xfId="12512"/>
    <cellStyle name="a125body 11" xfId="12028"/>
    <cellStyle name="a125body 12" xfId="14220"/>
    <cellStyle name="a125body 2" xfId="2225"/>
    <cellStyle name="a125body 2 2" xfId="3485"/>
    <cellStyle name="a125body 2 2 10" xfId="14993"/>
    <cellStyle name="a125body 2 2 11" xfId="13673"/>
    <cellStyle name="a125body 2 2 2" xfId="6133"/>
    <cellStyle name="a125body 2 2 2 2" xfId="11229"/>
    <cellStyle name="a125body 2 2 2 2 2" xfId="15535"/>
    <cellStyle name="a125body 2 2 2 2 3" xfId="16614"/>
    <cellStyle name="a125body 2 2 2 2 4" xfId="17647"/>
    <cellStyle name="a125body 2 2 2 2 5" xfId="18617"/>
    <cellStyle name="a125body 2 2 2 2 6" xfId="19523"/>
    <cellStyle name="a125body 2 2 2 3" xfId="11811"/>
    <cellStyle name="a125body 2 2 2 3 2" xfId="16117"/>
    <cellStyle name="a125body 2 2 2 3 3" xfId="17196"/>
    <cellStyle name="a125body 2 2 2 3 4" xfId="18217"/>
    <cellStyle name="a125body 2 2 2 3 5" xfId="19187"/>
    <cellStyle name="a125body 2 2 2 3 6" xfId="20093"/>
    <cellStyle name="a125body 2 2 2 4" xfId="11983"/>
    <cellStyle name="a125body 2 2 2 4 2" xfId="16289"/>
    <cellStyle name="a125body 2 2 2 4 3" xfId="17368"/>
    <cellStyle name="a125body 2 2 2 4 4" xfId="18385"/>
    <cellStyle name="a125body 2 2 2 4 5" xfId="19355"/>
    <cellStyle name="a125body 2 2 2 4 6" xfId="20261"/>
    <cellStyle name="a125body 2 2 2 5" xfId="13866"/>
    <cellStyle name="a125body 2 2 2 6" xfId="12850"/>
    <cellStyle name="a125body 2 2 2 7" xfId="12471"/>
    <cellStyle name="a125body 2 2 2 8" xfId="14637"/>
    <cellStyle name="a125body 2 2 2 9" xfId="14214"/>
    <cellStyle name="a125body 2 2 3" xfId="5880"/>
    <cellStyle name="a125body 2 2 3 2" xfId="10976"/>
    <cellStyle name="a125body 2 2 3 2 2" xfId="15345"/>
    <cellStyle name="a125body 2 2 3 2 3" xfId="16429"/>
    <cellStyle name="a125body 2 2 3 2 4" xfId="17466"/>
    <cellStyle name="a125body 2 2 3 2 5" xfId="18443"/>
    <cellStyle name="a125body 2 2 3 2 6" xfId="19363"/>
    <cellStyle name="a125body 2 2 3 3" xfId="11648"/>
    <cellStyle name="a125body 2 2 3 3 2" xfId="15954"/>
    <cellStyle name="a125body 2 2 3 3 3" xfId="17033"/>
    <cellStyle name="a125body 2 2 3 3 4" xfId="18057"/>
    <cellStyle name="a125body 2 2 3 3 5" xfId="19027"/>
    <cellStyle name="a125body 2 2 3 3 6" xfId="19933"/>
    <cellStyle name="a125body 2 2 3 4" xfId="11820"/>
    <cellStyle name="a125body 2 2 3 4 2" xfId="16126"/>
    <cellStyle name="a125body 2 2 3 4 3" xfId="17205"/>
    <cellStyle name="a125body 2 2 3 4 4" xfId="18225"/>
    <cellStyle name="a125body 2 2 3 4 5" xfId="19195"/>
    <cellStyle name="a125body 2 2 3 4 6" xfId="20101"/>
    <cellStyle name="a125body 2 2 3 5" xfId="13677"/>
    <cellStyle name="a125body 2 2 3 6" xfId="13218"/>
    <cellStyle name="a125body 2 2 3 7" xfId="13591"/>
    <cellStyle name="a125body 2 2 3 8" xfId="12870"/>
    <cellStyle name="a125body 2 2 3 9" xfId="18427"/>
    <cellStyle name="a125body 2 2 4" xfId="8588"/>
    <cellStyle name="a125body 2 2 4 2" xfId="14662"/>
    <cellStyle name="a125body 2 2 4 3" xfId="15180"/>
    <cellStyle name="a125body 2 2 4 4" xfId="16299"/>
    <cellStyle name="a125body 2 2 4 5" xfId="14931"/>
    <cellStyle name="a125body 2 2 4 6" xfId="12144"/>
    <cellStyle name="a125body 2 2 5" xfId="11459"/>
    <cellStyle name="a125body 2 2 5 2" xfId="15765"/>
    <cellStyle name="a125body 2 2 5 3" xfId="16844"/>
    <cellStyle name="a125body 2 2 5 4" xfId="17872"/>
    <cellStyle name="a125body 2 2 5 5" xfId="18842"/>
    <cellStyle name="a125body 2 2 5 6" xfId="19748"/>
    <cellStyle name="a125body 2 2 6" xfId="11520"/>
    <cellStyle name="a125body 2 2 6 2" xfId="15826"/>
    <cellStyle name="a125body 2 2 6 3" xfId="16905"/>
    <cellStyle name="a125body 2 2 6 4" xfId="17931"/>
    <cellStyle name="a125body 2 2 6 5" xfId="18901"/>
    <cellStyle name="a125body 2 2 6 6" xfId="19807"/>
    <cellStyle name="a125body 2 2 7" xfId="12979"/>
    <cellStyle name="a125body 2 2 8" xfId="13272"/>
    <cellStyle name="a125body 2 2 9" xfId="13587"/>
    <cellStyle name="a125body 2 3" xfId="4691"/>
    <cellStyle name="a125body 2 3 2" xfId="9787"/>
    <cellStyle name="a125body 2 3 2 2" xfId="15010"/>
    <cellStyle name="a125body 2 3 2 3" xfId="12156"/>
    <cellStyle name="a125body 2 3 2 4" xfId="15002"/>
    <cellStyle name="a125body 2 3 2 5" xfId="13384"/>
    <cellStyle name="a125body 2 3 2 6" xfId="13266"/>
    <cellStyle name="a125body 2 3 3" xfId="11559"/>
    <cellStyle name="a125body 2 3 3 2" xfId="15865"/>
    <cellStyle name="a125body 2 3 3 3" xfId="16944"/>
    <cellStyle name="a125body 2 3 3 4" xfId="17969"/>
    <cellStyle name="a125body 2 3 3 5" xfId="18939"/>
    <cellStyle name="a125body 2 3 3 6" xfId="19845"/>
    <cellStyle name="a125body 2 3 4" xfId="11568"/>
    <cellStyle name="a125body 2 3 4 2" xfId="15874"/>
    <cellStyle name="a125body 2 3 4 3" xfId="16953"/>
    <cellStyle name="a125body 2 3 4 4" xfId="17977"/>
    <cellStyle name="a125body 2 3 4 5" xfId="18947"/>
    <cellStyle name="a125body 2 3 4 6" xfId="19853"/>
    <cellStyle name="a125body 2 3 5" xfId="13336"/>
    <cellStyle name="a125body 2 3 6" xfId="12884"/>
    <cellStyle name="a125body 2 3 7" xfId="14964"/>
    <cellStyle name="a125body 2 3 8" xfId="14438"/>
    <cellStyle name="a125body 2 3 9" xfId="17447"/>
    <cellStyle name="a125body 3" xfId="2890"/>
    <cellStyle name="a125body 3 10" xfId="14578"/>
    <cellStyle name="a125body 3 2" xfId="6127"/>
    <cellStyle name="a125body 3 2 2" xfId="11223"/>
    <cellStyle name="a125body 3 2 2 2" xfId="15529"/>
    <cellStyle name="a125body 3 2 2 3" xfId="16608"/>
    <cellStyle name="a125body 3 2 2 4" xfId="17642"/>
    <cellStyle name="a125body 3 2 2 5" xfId="18612"/>
    <cellStyle name="a125body 3 2 2 6" xfId="19518"/>
    <cellStyle name="a125body 3 2 3" xfId="11805"/>
    <cellStyle name="a125body 3 2 3 2" xfId="16111"/>
    <cellStyle name="a125body 3 2 3 3" xfId="17190"/>
    <cellStyle name="a125body 3 2 3 4" xfId="18212"/>
    <cellStyle name="a125body 3 2 3 5" xfId="19182"/>
    <cellStyle name="a125body 3 2 3 6" xfId="20088"/>
    <cellStyle name="a125body 3 2 4" xfId="11977"/>
    <cellStyle name="a125body 3 2 4 2" xfId="16283"/>
    <cellStyle name="a125body 3 2 4 3" xfId="17362"/>
    <cellStyle name="a125body 3 2 4 4" xfId="18380"/>
    <cellStyle name="a125body 3 2 4 5" xfId="19350"/>
    <cellStyle name="a125body 3 2 4 6" xfId="20256"/>
    <cellStyle name="a125body 3 2 5" xfId="13860"/>
    <cellStyle name="a125body 3 2 6" xfId="14141"/>
    <cellStyle name="a125body 3 2 7" xfId="12346"/>
    <cellStyle name="a125body 3 2 8" xfId="1142"/>
    <cellStyle name="a125body 3 2 9" xfId="12286"/>
    <cellStyle name="a125body 3 3" xfId="7993"/>
    <cellStyle name="a125body 3 3 2" xfId="14518"/>
    <cellStyle name="a125body 3 3 3" xfId="12310"/>
    <cellStyle name="a125body 3 3 4" xfId="13326"/>
    <cellStyle name="a125body 3 3 5" xfId="12784"/>
    <cellStyle name="a125body 3 3 6" xfId="12115"/>
    <cellStyle name="a125body 3 4" xfId="11418"/>
    <cellStyle name="a125body 3 4 2" xfId="15724"/>
    <cellStyle name="a125body 3 4 3" xfId="16803"/>
    <cellStyle name="a125body 3 4 4" xfId="17832"/>
    <cellStyle name="a125body 3 4 5" xfId="18802"/>
    <cellStyle name="a125body 3 4 6" xfId="19708"/>
    <cellStyle name="a125body 3 5" xfId="11522"/>
    <cellStyle name="a125body 3 5 2" xfId="15828"/>
    <cellStyle name="a125body 3 5 3" xfId="16907"/>
    <cellStyle name="a125body 3 5 4" xfId="17932"/>
    <cellStyle name="a125body 3 5 5" xfId="18902"/>
    <cellStyle name="a125body 3 5 6" xfId="19808"/>
    <cellStyle name="a125body 3 6" xfId="12822"/>
    <cellStyle name="a125body 3 7" xfId="12476"/>
    <cellStyle name="a125body 3 8" xfId="12943"/>
    <cellStyle name="a125body 3 9" xfId="13006"/>
    <cellStyle name="a125body 4" xfId="6016"/>
    <cellStyle name="a125body 4 2" xfId="11112"/>
    <cellStyle name="a125body 4 2 2" xfId="15418"/>
    <cellStyle name="a125body 4 2 3" xfId="16497"/>
    <cellStyle name="a125body 4 2 4" xfId="17532"/>
    <cellStyle name="a125body 4 2 5" xfId="18502"/>
    <cellStyle name="a125body 4 2 6" xfId="19408"/>
    <cellStyle name="a125body 4 3" xfId="11694"/>
    <cellStyle name="a125body 4 3 2" xfId="16000"/>
    <cellStyle name="a125body 4 3 3" xfId="17079"/>
    <cellStyle name="a125body 4 3 4" xfId="18102"/>
    <cellStyle name="a125body 4 3 5" xfId="19072"/>
    <cellStyle name="a125body 4 3 6" xfId="19978"/>
    <cellStyle name="a125body 4 4" xfId="11866"/>
    <cellStyle name="a125body 4 4 2" xfId="16172"/>
    <cellStyle name="a125body 4 4 3" xfId="17251"/>
    <cellStyle name="a125body 4 4 4" xfId="18270"/>
    <cellStyle name="a125body 4 4 5" xfId="19240"/>
    <cellStyle name="a125body 4 4 6" xfId="20146"/>
    <cellStyle name="a125body 4 5" xfId="13749"/>
    <cellStyle name="a125body 4 6" xfId="14304"/>
    <cellStyle name="a125body 4 7" xfId="14345"/>
    <cellStyle name="a125body 4 8" xfId="14908"/>
    <cellStyle name="a125body 4 9" xfId="17434"/>
    <cellStyle name="a125body 5" xfId="6720"/>
    <cellStyle name="a125body 5 2" xfId="14105"/>
    <cellStyle name="a125body 5 3" xfId="12350"/>
    <cellStyle name="a125body 5 4" xfId="13323"/>
    <cellStyle name="a125body 5 5" xfId="17395"/>
    <cellStyle name="a125body 5 6" xfId="12254"/>
    <cellStyle name="a125body 6" xfId="11246"/>
    <cellStyle name="a125body 6 2" xfId="15552"/>
    <cellStyle name="a125body 6 3" xfId="16631"/>
    <cellStyle name="a125body 6 4" xfId="17663"/>
    <cellStyle name="a125body 6 5" xfId="18633"/>
    <cellStyle name="a125body 6 6" xfId="19539"/>
    <cellStyle name="a125body 7" xfId="11550"/>
    <cellStyle name="a125body 7 2" xfId="15856"/>
    <cellStyle name="a125body 7 3" xfId="16935"/>
    <cellStyle name="a125body 7 4" xfId="17960"/>
    <cellStyle name="a125body 7 5" xfId="18930"/>
    <cellStyle name="a125body 7 6" xfId="19836"/>
    <cellStyle name="a125body 8" xfId="12325"/>
    <cellStyle name="a125body 9" xfId="12541"/>
    <cellStyle name="Accent1" xfId="124" builtinId="29" customBuiltin="1"/>
    <cellStyle name="Accent1 2" xfId="32"/>
    <cellStyle name="Accent1 2 2" xfId="824"/>
    <cellStyle name="Accent1 2 3" xfId="1372"/>
    <cellStyle name="Accent1 3" xfId="288"/>
    <cellStyle name="Accent1 3 2" xfId="825"/>
    <cellStyle name="Accent1 4" xfId="289"/>
    <cellStyle name="Accent1 5" xfId="290"/>
    <cellStyle name="Accent1 6" xfId="291"/>
    <cellStyle name="Accent1 7" xfId="292"/>
    <cellStyle name="Accent1 8" xfId="293"/>
    <cellStyle name="Accent1 9" xfId="547"/>
    <cellStyle name="Accent2" xfId="128" builtinId="33" customBuiltin="1"/>
    <cellStyle name="Accent2 2" xfId="33"/>
    <cellStyle name="Accent2 2 2" xfId="826"/>
    <cellStyle name="Accent2 2 3" xfId="1373"/>
    <cellStyle name="Accent2 3" xfId="294"/>
    <cellStyle name="Accent2 3 2" xfId="827"/>
    <cellStyle name="Accent2 4" xfId="295"/>
    <cellStyle name="Accent2 5" xfId="296"/>
    <cellStyle name="Accent2 6" xfId="297"/>
    <cellStyle name="Accent2 7" xfId="298"/>
    <cellStyle name="Accent2 8" xfId="299"/>
    <cellStyle name="Accent2 9" xfId="716"/>
    <cellStyle name="Accent3" xfId="132" builtinId="37" customBuiltin="1"/>
    <cellStyle name="Accent3 2" xfId="34"/>
    <cellStyle name="Accent3 2 2" xfId="828"/>
    <cellStyle name="Accent3 2 3" xfId="1374"/>
    <cellStyle name="Accent3 3" xfId="300"/>
    <cellStyle name="Accent3 3 2" xfId="829"/>
    <cellStyle name="Accent3 4" xfId="301"/>
    <cellStyle name="Accent3 5" xfId="302"/>
    <cellStyle name="Accent3 6" xfId="303"/>
    <cellStyle name="Accent3 7" xfId="304"/>
    <cellStyle name="Accent3 8" xfId="305"/>
    <cellStyle name="Accent3 9" xfId="906"/>
    <cellStyle name="Accent4" xfId="136" builtinId="41" customBuiltin="1"/>
    <cellStyle name="Accent4 2" xfId="35"/>
    <cellStyle name="Accent4 2 2" xfId="830"/>
    <cellStyle name="Accent4 2 3" xfId="1375"/>
    <cellStyle name="Accent4 3" xfId="306"/>
    <cellStyle name="Accent4 3 2" xfId="831"/>
    <cellStyle name="Accent4 4" xfId="307"/>
    <cellStyle name="Accent4 5" xfId="308"/>
    <cellStyle name="Accent4 6" xfId="309"/>
    <cellStyle name="Accent4 7" xfId="310"/>
    <cellStyle name="Accent4 8" xfId="311"/>
    <cellStyle name="Accent4 9" xfId="713"/>
    <cellStyle name="Accent5" xfId="140" builtinId="45" customBuiltin="1"/>
    <cellStyle name="Accent5 2" xfId="36"/>
    <cellStyle name="Accent5 2 2" xfId="832"/>
    <cellStyle name="Accent5 2 3" xfId="1376"/>
    <cellStyle name="Accent5 3" xfId="312"/>
    <cellStyle name="Accent5 3 2" xfId="833"/>
    <cellStyle name="Accent5 4" xfId="313"/>
    <cellStyle name="Accent5 5" xfId="314"/>
    <cellStyle name="Accent5 6" xfId="315"/>
    <cellStyle name="Accent5 7" xfId="316"/>
    <cellStyle name="Accent5 8" xfId="317"/>
    <cellStyle name="Accent5 9" xfId="709"/>
    <cellStyle name="Accent6" xfId="144" builtinId="49" customBuiltin="1"/>
    <cellStyle name="Accent6 2" xfId="37"/>
    <cellStyle name="Accent6 2 2" xfId="834"/>
    <cellStyle name="Accent6 2 3" xfId="1377"/>
    <cellStyle name="Accent6 3" xfId="318"/>
    <cellStyle name="Accent6 3 2" xfId="835"/>
    <cellStyle name="Accent6 4" xfId="319"/>
    <cellStyle name="Accent6 5" xfId="320"/>
    <cellStyle name="Accent6 6" xfId="321"/>
    <cellStyle name="Accent6 7" xfId="322"/>
    <cellStyle name="Accent6 8" xfId="323"/>
    <cellStyle name="Accent6 9" xfId="707"/>
    <cellStyle name="Activity" xfId="1378"/>
    <cellStyle name="Activity 10" xfId="15294"/>
    <cellStyle name="Activity 11" xfId="14617"/>
    <cellStyle name="Activity 12" xfId="12863"/>
    <cellStyle name="Activity 2" xfId="2226"/>
    <cellStyle name="Activity 2 2" xfId="3486"/>
    <cellStyle name="Activity 2 2 10" xfId="13008"/>
    <cellStyle name="Activity 2 2 11" xfId="12472"/>
    <cellStyle name="Activity 2 2 2" xfId="6134"/>
    <cellStyle name="Activity 2 2 2 2" xfId="11230"/>
    <cellStyle name="Activity 2 2 2 2 2" xfId="15536"/>
    <cellStyle name="Activity 2 2 2 2 3" xfId="16615"/>
    <cellStyle name="Activity 2 2 2 2 4" xfId="17648"/>
    <cellStyle name="Activity 2 2 2 2 5" xfId="18618"/>
    <cellStyle name="Activity 2 2 2 2 6" xfId="19524"/>
    <cellStyle name="Activity 2 2 2 3" xfId="11812"/>
    <cellStyle name="Activity 2 2 2 3 2" xfId="16118"/>
    <cellStyle name="Activity 2 2 2 3 3" xfId="17197"/>
    <cellStyle name="Activity 2 2 2 3 4" xfId="18218"/>
    <cellStyle name="Activity 2 2 2 3 5" xfId="19188"/>
    <cellStyle name="Activity 2 2 2 3 6" xfId="20094"/>
    <cellStyle name="Activity 2 2 2 4" xfId="11984"/>
    <cellStyle name="Activity 2 2 2 4 2" xfId="16290"/>
    <cellStyle name="Activity 2 2 2 4 3" xfId="17369"/>
    <cellStyle name="Activity 2 2 2 4 4" xfId="18386"/>
    <cellStyle name="Activity 2 2 2 4 5" xfId="19356"/>
    <cellStyle name="Activity 2 2 2 4 6" xfId="20262"/>
    <cellStyle name="Activity 2 2 2 5" xfId="13867"/>
    <cellStyle name="Activity 2 2 2 6" xfId="14142"/>
    <cellStyle name="Activity 2 2 2 7" xfId="12345"/>
    <cellStyle name="Activity 2 2 2 8" xfId="13353"/>
    <cellStyle name="Activity 2 2 2 9" xfId="12270"/>
    <cellStyle name="Activity 2 2 3" xfId="5881"/>
    <cellStyle name="Activity 2 2 3 2" xfId="10977"/>
    <cellStyle name="Activity 2 2 3 2 2" xfId="15346"/>
    <cellStyle name="Activity 2 2 3 2 3" xfId="16430"/>
    <cellStyle name="Activity 2 2 3 2 4" xfId="17467"/>
    <cellStyle name="Activity 2 2 3 2 5" xfId="18444"/>
    <cellStyle name="Activity 2 2 3 2 6" xfId="19364"/>
    <cellStyle name="Activity 2 2 3 3" xfId="11649"/>
    <cellStyle name="Activity 2 2 3 3 2" xfId="15955"/>
    <cellStyle name="Activity 2 2 3 3 3" xfId="17034"/>
    <cellStyle name="Activity 2 2 3 3 4" xfId="18058"/>
    <cellStyle name="Activity 2 2 3 3 5" xfId="19028"/>
    <cellStyle name="Activity 2 2 3 3 6" xfId="19934"/>
    <cellStyle name="Activity 2 2 3 4" xfId="11821"/>
    <cellStyle name="Activity 2 2 3 4 2" xfId="16127"/>
    <cellStyle name="Activity 2 2 3 4 3" xfId="17206"/>
    <cellStyle name="Activity 2 2 3 4 4" xfId="18226"/>
    <cellStyle name="Activity 2 2 3 4 5" xfId="19196"/>
    <cellStyle name="Activity 2 2 3 4 6" xfId="20102"/>
    <cellStyle name="Activity 2 2 3 5" xfId="13678"/>
    <cellStyle name="Activity 2 2 3 6" xfId="14563"/>
    <cellStyle name="Activity 2 2 3 7" xfId="12656"/>
    <cellStyle name="Activity 2 2 3 8" xfId="12997"/>
    <cellStyle name="Activity 2 2 3 9" xfId="17426"/>
    <cellStyle name="Activity 2 2 4" xfId="8589"/>
    <cellStyle name="Activity 2 2 4 2" xfId="14663"/>
    <cellStyle name="Activity 2 2 4 3" xfId="13501"/>
    <cellStyle name="Activity 2 2 4 4" xfId="14573"/>
    <cellStyle name="Activity 2 2 4 5" xfId="14771"/>
    <cellStyle name="Activity 2 2 4 6" xfId="13249"/>
    <cellStyle name="Activity 2 2 5" xfId="11460"/>
    <cellStyle name="Activity 2 2 5 2" xfId="15766"/>
    <cellStyle name="Activity 2 2 5 3" xfId="16845"/>
    <cellStyle name="Activity 2 2 5 4" xfId="17873"/>
    <cellStyle name="Activity 2 2 5 5" xfId="18843"/>
    <cellStyle name="Activity 2 2 5 6" xfId="19749"/>
    <cellStyle name="Activity 2 2 6" xfId="11613"/>
    <cellStyle name="Activity 2 2 6 2" xfId="15919"/>
    <cellStyle name="Activity 2 2 6 3" xfId="16998"/>
    <cellStyle name="Activity 2 2 6 4" xfId="18022"/>
    <cellStyle name="Activity 2 2 6 5" xfId="18992"/>
    <cellStyle name="Activity 2 2 6 6" xfId="19898"/>
    <cellStyle name="Activity 2 2 7" xfId="12980"/>
    <cellStyle name="Activity 2 2 8" xfId="14611"/>
    <cellStyle name="Activity 2 2 9" xfId="13160"/>
    <cellStyle name="Activity 2 3" xfId="4692"/>
    <cellStyle name="Activity 2 3 2" xfId="9788"/>
    <cellStyle name="Activity 2 3 2 2" xfId="15011"/>
    <cellStyle name="Activity 2 3 2 3" xfId="12284"/>
    <cellStyle name="Activity 2 3 2 4" xfId="14262"/>
    <cellStyle name="Activity 2 3 2 5" xfId="12632"/>
    <cellStyle name="Activity 2 3 2 6" xfId="13492"/>
    <cellStyle name="Activity 2 3 3" xfId="11560"/>
    <cellStyle name="Activity 2 3 3 2" xfId="15866"/>
    <cellStyle name="Activity 2 3 3 3" xfId="16945"/>
    <cellStyle name="Activity 2 3 3 4" xfId="17970"/>
    <cellStyle name="Activity 2 3 3 5" xfId="18940"/>
    <cellStyle name="Activity 2 3 3 6" xfId="19846"/>
    <cellStyle name="Activity 2 3 4" xfId="11330"/>
    <cellStyle name="Activity 2 3 4 2" xfId="15636"/>
    <cellStyle name="Activity 2 3 4 3" xfId="16715"/>
    <cellStyle name="Activity 2 3 4 4" xfId="17744"/>
    <cellStyle name="Activity 2 3 4 5" xfId="18714"/>
    <cellStyle name="Activity 2 3 4 6" xfId="19620"/>
    <cellStyle name="Activity 2 3 5" xfId="13337"/>
    <cellStyle name="Activity 2 3 6" xfId="12428"/>
    <cellStyle name="Activity 2 3 7" xfId="13315"/>
    <cellStyle name="Activity 2 3 8" xfId="12528"/>
    <cellStyle name="Activity 2 3 9" xfId="13517"/>
    <cellStyle name="Activity 3" xfId="2891"/>
    <cellStyle name="Activity 3 10" xfId="13936"/>
    <cellStyle name="Activity 3 2" xfId="6128"/>
    <cellStyle name="Activity 3 2 2" xfId="11224"/>
    <cellStyle name="Activity 3 2 2 2" xfId="15530"/>
    <cellStyle name="Activity 3 2 2 3" xfId="16609"/>
    <cellStyle name="Activity 3 2 2 4" xfId="17643"/>
    <cellStyle name="Activity 3 2 2 5" xfId="18613"/>
    <cellStyle name="Activity 3 2 2 6" xfId="19519"/>
    <cellStyle name="Activity 3 2 3" xfId="11806"/>
    <cellStyle name="Activity 3 2 3 2" xfId="16112"/>
    <cellStyle name="Activity 3 2 3 3" xfId="17191"/>
    <cellStyle name="Activity 3 2 3 4" xfId="18213"/>
    <cellStyle name="Activity 3 2 3 5" xfId="19183"/>
    <cellStyle name="Activity 3 2 3 6" xfId="20089"/>
    <cellStyle name="Activity 3 2 4" xfId="11978"/>
    <cellStyle name="Activity 3 2 4 2" xfId="16284"/>
    <cellStyle name="Activity 3 2 4 3" xfId="17363"/>
    <cellStyle name="Activity 3 2 4 4" xfId="18381"/>
    <cellStyle name="Activity 3 2 4 5" xfId="19351"/>
    <cellStyle name="Activity 3 2 4 6" xfId="20257"/>
    <cellStyle name="Activity 3 2 5" xfId="13861"/>
    <cellStyle name="Activity 3 2 6" xfId="14894"/>
    <cellStyle name="Activity 3 2 7" xfId="13922"/>
    <cellStyle name="Activity 3 2 8" xfId="13611"/>
    <cellStyle name="Activity 3 2 9" xfId="17380"/>
    <cellStyle name="Activity 3 3" xfId="7994"/>
    <cellStyle name="Activity 3 3 2" xfId="14519"/>
    <cellStyle name="Activity 3 3 3" xfId="12132"/>
    <cellStyle name="Activity 3 3 4" xfId="13442"/>
    <cellStyle name="Activity 3 3 5" xfId="14966"/>
    <cellStyle name="Activity 3 3 6" xfId="12044"/>
    <cellStyle name="Activity 3 4" xfId="11419"/>
    <cellStyle name="Activity 3 4 2" xfId="15725"/>
    <cellStyle name="Activity 3 4 3" xfId="16804"/>
    <cellStyle name="Activity 3 4 4" xfId="17833"/>
    <cellStyle name="Activity 3 4 5" xfId="18803"/>
    <cellStyle name="Activity 3 4 6" xfId="19709"/>
    <cellStyle name="Activity 3 5" xfId="11614"/>
    <cellStyle name="Activity 3 5 2" xfId="15920"/>
    <cellStyle name="Activity 3 5 3" xfId="16999"/>
    <cellStyle name="Activity 3 5 4" xfId="18023"/>
    <cellStyle name="Activity 3 5 5" xfId="18993"/>
    <cellStyle name="Activity 3 5 6" xfId="19899"/>
    <cellStyle name="Activity 3 6" xfId="12823"/>
    <cellStyle name="Activity 3 7" xfId="12475"/>
    <cellStyle name="Activity 3 8" xfId="13651"/>
    <cellStyle name="Activity 3 9" xfId="11995"/>
    <cellStyle name="Activity 4" xfId="6017"/>
    <cellStyle name="Activity 4 2" xfId="11113"/>
    <cellStyle name="Activity 4 2 2" xfId="15419"/>
    <cellStyle name="Activity 4 2 3" xfId="16498"/>
    <cellStyle name="Activity 4 2 4" xfId="17533"/>
    <cellStyle name="Activity 4 2 5" xfId="18503"/>
    <cellStyle name="Activity 4 2 6" xfId="19409"/>
    <cellStyle name="Activity 4 3" xfId="11695"/>
    <cellStyle name="Activity 4 3 2" xfId="16001"/>
    <cellStyle name="Activity 4 3 3" xfId="17080"/>
    <cellStyle name="Activity 4 3 4" xfId="18103"/>
    <cellStyle name="Activity 4 3 5" xfId="19073"/>
    <cellStyle name="Activity 4 3 6" xfId="19979"/>
    <cellStyle name="Activity 4 4" xfId="11867"/>
    <cellStyle name="Activity 4 4 2" xfId="16173"/>
    <cellStyle name="Activity 4 4 3" xfId="17252"/>
    <cellStyle name="Activity 4 4 4" xfId="18271"/>
    <cellStyle name="Activity 4 4 5" xfId="19241"/>
    <cellStyle name="Activity 4 4 6" xfId="20147"/>
    <cellStyle name="Activity 4 5" xfId="13750"/>
    <cellStyle name="Activity 4 6" xfId="15031"/>
    <cellStyle name="Activity 4 7" xfId="13062"/>
    <cellStyle name="Activity 4 8" xfId="16390"/>
    <cellStyle name="Activity 4 9" xfId="14367"/>
    <cellStyle name="Activity 5" xfId="6721"/>
    <cellStyle name="Activity 5 2" xfId="14106"/>
    <cellStyle name="Activity 5 3" xfId="12349"/>
    <cellStyle name="Activity 5 4" xfId="14997"/>
    <cellStyle name="Activity 5 5" xfId="12140"/>
    <cellStyle name="Activity 5 6" xfId="12232"/>
    <cellStyle name="Activity 6" xfId="11250"/>
    <cellStyle name="Activity 6 2" xfId="15556"/>
    <cellStyle name="Activity 6 3" xfId="16635"/>
    <cellStyle name="Activity 6 4" xfId="17667"/>
    <cellStyle name="Activity 6 5" xfId="18637"/>
    <cellStyle name="Activity 6 6" xfId="19543"/>
    <cellStyle name="Activity 7" xfId="11549"/>
    <cellStyle name="Activity 7 2" xfId="15855"/>
    <cellStyle name="Activity 7 3" xfId="16934"/>
    <cellStyle name="Activity 7 4" xfId="17959"/>
    <cellStyle name="Activity 7 5" xfId="18929"/>
    <cellStyle name="Activity 7 6" xfId="19835"/>
    <cellStyle name="Activity 8" xfId="12326"/>
    <cellStyle name="Activity 9" xfId="12962"/>
    <cellStyle name="Actual Date" xfId="1379"/>
    <cellStyle name="APSDate" xfId="484"/>
    <cellStyle name="APSDate 2" xfId="485"/>
    <cellStyle name="APSDate 2 2" xfId="486"/>
    <cellStyle name="APSDate 2 3" xfId="487"/>
    <cellStyle name="APSDate 3" xfId="488"/>
    <cellStyle name="APSDate 3 2" xfId="489"/>
    <cellStyle name="APSDate 3 3" xfId="490"/>
    <cellStyle name="APSDate 4" xfId="491"/>
    <cellStyle name="APSDate 4 2" xfId="492"/>
    <cellStyle name="APSDate 4 3" xfId="493"/>
    <cellStyle name="Assumption" xfId="1380"/>
    <cellStyle name="AZNORMAL" xfId="494"/>
    <cellStyle name="AZNORMAL 2" xfId="495"/>
    <cellStyle name="AZNORMAL 2 2" xfId="496"/>
    <cellStyle name="AZNORMAL 2 3" xfId="497"/>
    <cellStyle name="AZNORMAL 3" xfId="498"/>
    <cellStyle name="AZNORMAL 3 2" xfId="499"/>
    <cellStyle name="AZNORMAL 3 3" xfId="500"/>
    <cellStyle name="AZNORMAL 4" xfId="501"/>
    <cellStyle name="AZNORMAL 4 2" xfId="502"/>
    <cellStyle name="AZNORMAL 4 3" xfId="503"/>
    <cellStyle name="Bad" xfId="114" builtinId="27" customBuiltin="1"/>
    <cellStyle name="Bad 2" xfId="38"/>
    <cellStyle name="Bad 2 2" xfId="836"/>
    <cellStyle name="Bad 2 3" xfId="1381"/>
    <cellStyle name="Bad 3" xfId="324"/>
    <cellStyle name="Bad 3 2" xfId="837"/>
    <cellStyle name="Bad 4" xfId="325"/>
    <cellStyle name="Bad 5" xfId="326"/>
    <cellStyle name="Bad 6" xfId="327"/>
    <cellStyle name="Bad 7" xfId="328"/>
    <cellStyle name="Bad 8" xfId="329"/>
    <cellStyle name="Bad 9" xfId="725"/>
    <cellStyle name="BegBal" xfId="1382"/>
    <cellStyle name="BIM" xfId="1383"/>
    <cellStyle name="Calculation" xfId="118" builtinId="22" customBuiltin="1"/>
    <cellStyle name="Calculation 2" xfId="39"/>
    <cellStyle name="Calculation 2 2" xfId="520"/>
    <cellStyle name="Calculation 2 2 2" xfId="838"/>
    <cellStyle name="Calculation 2 2 3" xfId="2335"/>
    <cellStyle name="Calculation 2 2 3 10" xfId="14769"/>
    <cellStyle name="Calculation 2 2 3 11" xfId="14710"/>
    <cellStyle name="Calculation 2 2 3 2" xfId="6044"/>
    <cellStyle name="Calculation 2 2 3 2 2" xfId="11140"/>
    <cellStyle name="Calculation 2 2 3 2 2 2" xfId="15446"/>
    <cellStyle name="Calculation 2 2 3 2 2 3" xfId="16525"/>
    <cellStyle name="Calculation 2 2 3 2 2 4" xfId="17559"/>
    <cellStyle name="Calculation 2 2 3 2 2 5" xfId="18529"/>
    <cellStyle name="Calculation 2 2 3 2 2 6" xfId="19435"/>
    <cellStyle name="Calculation 2 2 3 2 3" xfId="11722"/>
    <cellStyle name="Calculation 2 2 3 2 3 2" xfId="16028"/>
    <cellStyle name="Calculation 2 2 3 2 3 3" xfId="17107"/>
    <cellStyle name="Calculation 2 2 3 2 3 4" xfId="18129"/>
    <cellStyle name="Calculation 2 2 3 2 3 5" xfId="19099"/>
    <cellStyle name="Calculation 2 2 3 2 3 6" xfId="20005"/>
    <cellStyle name="Calculation 2 2 3 2 4" xfId="11894"/>
    <cellStyle name="Calculation 2 2 3 2 4 2" xfId="16200"/>
    <cellStyle name="Calculation 2 2 3 2 4 3" xfId="17279"/>
    <cellStyle name="Calculation 2 2 3 2 4 4" xfId="18297"/>
    <cellStyle name="Calculation 2 2 3 2 4 5" xfId="19267"/>
    <cellStyle name="Calculation 2 2 3 2 4 6" xfId="20173"/>
    <cellStyle name="Calculation 2 2 3 2 5" xfId="13777"/>
    <cellStyle name="Calculation 2 2 3 2 6" xfId="15358"/>
    <cellStyle name="Calculation 2 2 3 2 7" xfId="16439"/>
    <cellStyle name="Calculation 2 2 3 2 8" xfId="12908"/>
    <cellStyle name="Calculation 2 2 3 2 9" xfId="15088"/>
    <cellStyle name="Calculation 2 2 3 3" xfId="4787"/>
    <cellStyle name="Calculation 2 2 3 3 2" xfId="9883"/>
    <cellStyle name="Calculation 2 2 3 3 2 2" xfId="15038"/>
    <cellStyle name="Calculation 2 2 3 3 2 3" xfId="12280"/>
    <cellStyle name="Calculation 2 2 3 3 2 4" xfId="15335"/>
    <cellStyle name="Calculation 2 2 3 3 2 5" xfId="13396"/>
    <cellStyle name="Calculation 2 2 3 3 2 6" xfId="12417"/>
    <cellStyle name="Calculation 2 2 3 3 3" xfId="11564"/>
    <cellStyle name="Calculation 2 2 3 3 3 2" xfId="15870"/>
    <cellStyle name="Calculation 2 2 3 3 3 3" xfId="16949"/>
    <cellStyle name="Calculation 2 2 3 3 3 4" xfId="17973"/>
    <cellStyle name="Calculation 2 2 3 3 3 5" xfId="18943"/>
    <cellStyle name="Calculation 2 2 3 3 3 6" xfId="19849"/>
    <cellStyle name="Calculation 2 2 3 3 4" xfId="11245"/>
    <cellStyle name="Calculation 2 2 3 3 4 2" xfId="15551"/>
    <cellStyle name="Calculation 2 2 3 3 4 3" xfId="16630"/>
    <cellStyle name="Calculation 2 2 3 3 4 4" xfId="17662"/>
    <cellStyle name="Calculation 2 2 3 3 4 5" xfId="18632"/>
    <cellStyle name="Calculation 2 2 3 3 4 6" xfId="19538"/>
    <cellStyle name="Calculation 2 2 3 3 5" xfId="13367"/>
    <cellStyle name="Calculation 2 2 3 3 6" xfId="12423"/>
    <cellStyle name="Calculation 2 2 3 3 7" xfId="12239"/>
    <cellStyle name="Calculation 2 2 3 3 8" xfId="13038"/>
    <cellStyle name="Calculation 2 2 3 3 9" xfId="16451"/>
    <cellStyle name="Calculation 2 2 3 4" xfId="7444"/>
    <cellStyle name="Calculation 2 2 3 4 2" xfId="14319"/>
    <cellStyle name="Calculation 2 2 3 4 3" xfId="12318"/>
    <cellStyle name="Calculation 2 2 3 4 4" xfId="14647"/>
    <cellStyle name="Calculation 2 2 3 4 5" xfId="13324"/>
    <cellStyle name="Calculation 2 2 3 4 6" xfId="13359"/>
    <cellStyle name="Calculation 2 2 3 5" xfId="11325"/>
    <cellStyle name="Calculation 2 2 3 5 2" xfId="15631"/>
    <cellStyle name="Calculation 2 2 3 5 3" xfId="16710"/>
    <cellStyle name="Calculation 2 2 3 5 4" xfId="17739"/>
    <cellStyle name="Calculation 2 2 3 5 5" xfId="18709"/>
    <cellStyle name="Calculation 2 2 3 5 6" xfId="19615"/>
    <cellStyle name="Calculation 2 2 3 6" xfId="11634"/>
    <cellStyle name="Calculation 2 2 3 6 2" xfId="15940"/>
    <cellStyle name="Calculation 2 2 3 6 3" xfId="17019"/>
    <cellStyle name="Calculation 2 2 3 6 4" xfId="18043"/>
    <cellStyle name="Calculation 2 2 3 6 5" xfId="19013"/>
    <cellStyle name="Calculation 2 2 3 6 6" xfId="19919"/>
    <cellStyle name="Calculation 2 2 3 7" xfId="12616"/>
    <cellStyle name="Calculation 2 2 3 8" xfId="13293"/>
    <cellStyle name="Calculation 2 2 3 9" xfId="14181"/>
    <cellStyle name="Calculation 2 2 4" xfId="3604"/>
    <cellStyle name="Calculation 2 2 4 2" xfId="8703"/>
    <cellStyle name="Calculation 2 2 4 2 2" xfId="14704"/>
    <cellStyle name="Calculation 2 2 4 2 3" xfId="15126"/>
    <cellStyle name="Calculation 2 2 4 2 4" xfId="13980"/>
    <cellStyle name="Calculation 2 2 4 2 5" xfId="14721"/>
    <cellStyle name="Calculation 2 2 4 2 6" xfId="17398"/>
    <cellStyle name="Calculation 2 2 4 3" xfId="11469"/>
    <cellStyle name="Calculation 2 2 4 3 2" xfId="15775"/>
    <cellStyle name="Calculation 2 2 4 3 3" xfId="16854"/>
    <cellStyle name="Calculation 2 2 4 3 4" xfId="17881"/>
    <cellStyle name="Calculation 2 2 4 3 5" xfId="18851"/>
    <cellStyle name="Calculation 2 2 4 3 6" xfId="19757"/>
    <cellStyle name="Calculation 2 2 4 4" xfId="11252"/>
    <cellStyle name="Calculation 2 2 4 4 2" xfId="15558"/>
    <cellStyle name="Calculation 2 2 4 4 3" xfId="16637"/>
    <cellStyle name="Calculation 2 2 4 4 4" xfId="17669"/>
    <cellStyle name="Calculation 2 2 4 4 5" xfId="18639"/>
    <cellStyle name="Calculation 2 2 4 4 6" xfId="19545"/>
    <cellStyle name="Calculation 2 2 4 5" xfId="13019"/>
    <cellStyle name="Calculation 2 2 4 6" xfId="15065"/>
    <cellStyle name="Calculation 2 2 4 7" xfId="12788"/>
    <cellStyle name="Calculation 2 2 4 8" xfId="13086"/>
    <cellStyle name="Calculation 2 2 4 9" xfId="14609"/>
    <cellStyle name="Calculation 2 3" xfId="1004"/>
    <cellStyle name="Calculation 2 3 10" xfId="15219"/>
    <cellStyle name="Calculation 2 3 11" xfId="12558"/>
    <cellStyle name="Calculation 2 3 12" xfId="14577"/>
    <cellStyle name="Calculation 2 3 2" xfId="1096"/>
    <cellStyle name="Calculation 2 3 2 2" xfId="2686"/>
    <cellStyle name="Calculation 2 3 2 2 10" xfId="12454"/>
    <cellStyle name="Calculation 2 3 2 2 11" xfId="12519"/>
    <cellStyle name="Calculation 2 3 2 2 2" xfId="6086"/>
    <cellStyle name="Calculation 2 3 2 2 2 2" xfId="11182"/>
    <cellStyle name="Calculation 2 3 2 2 2 2 2" xfId="15488"/>
    <cellStyle name="Calculation 2 3 2 2 2 2 3" xfId="16567"/>
    <cellStyle name="Calculation 2 3 2 2 2 2 4" xfId="17601"/>
    <cellStyle name="Calculation 2 3 2 2 2 2 5" xfId="18571"/>
    <cellStyle name="Calculation 2 3 2 2 2 2 6" xfId="19477"/>
    <cellStyle name="Calculation 2 3 2 2 2 3" xfId="11764"/>
    <cellStyle name="Calculation 2 3 2 2 2 3 2" xfId="16070"/>
    <cellStyle name="Calculation 2 3 2 2 2 3 3" xfId="17149"/>
    <cellStyle name="Calculation 2 3 2 2 2 3 4" xfId="18171"/>
    <cellStyle name="Calculation 2 3 2 2 2 3 5" xfId="19141"/>
    <cellStyle name="Calculation 2 3 2 2 2 3 6" xfId="20047"/>
    <cellStyle name="Calculation 2 3 2 2 2 4" xfId="11936"/>
    <cellStyle name="Calculation 2 3 2 2 2 4 2" xfId="16242"/>
    <cellStyle name="Calculation 2 3 2 2 2 4 3" xfId="17321"/>
    <cellStyle name="Calculation 2 3 2 2 2 4 4" xfId="18339"/>
    <cellStyle name="Calculation 2 3 2 2 2 4 5" xfId="19309"/>
    <cellStyle name="Calculation 2 3 2 2 2 4 6" xfId="20215"/>
    <cellStyle name="Calculation 2 3 2 2 2 5" xfId="13819"/>
    <cellStyle name="Calculation 2 3 2 2 2 6" xfId="12856"/>
    <cellStyle name="Calculation 2 3 2 2 2 7" xfId="14366"/>
    <cellStyle name="Calculation 2 3 2 2 2 8" xfId="12998"/>
    <cellStyle name="Calculation 2 3 2 2 2 9" xfId="13255"/>
    <cellStyle name="Calculation 2 3 2 2 3" xfId="5094"/>
    <cellStyle name="Calculation 2 3 2 2 3 2" xfId="10190"/>
    <cellStyle name="Calculation 2 3 2 2 3 2 2" xfId="15128"/>
    <cellStyle name="Calculation 2 3 2 2 3 2 3" xfId="13083"/>
    <cellStyle name="Calculation 2 3 2 2 3 2 4" xfId="12455"/>
    <cellStyle name="Calculation 2 3 2 2 3 2 5" xfId="14154"/>
    <cellStyle name="Calculation 2 3 2 2 3 2 6" xfId="14987"/>
    <cellStyle name="Calculation 2 3 2 2 3 3" xfId="11572"/>
    <cellStyle name="Calculation 2 3 2 2 3 3 2" xfId="15878"/>
    <cellStyle name="Calculation 2 3 2 2 3 3 3" xfId="16957"/>
    <cellStyle name="Calculation 2 3 2 2 3 3 4" xfId="17981"/>
    <cellStyle name="Calculation 2 3 2 2 3 3 5" xfId="18951"/>
    <cellStyle name="Calculation 2 3 2 2 3 3 6" xfId="19857"/>
    <cellStyle name="Calculation 2 3 2 2 3 4" xfId="11610"/>
    <cellStyle name="Calculation 2 3 2 2 3 4 2" xfId="15916"/>
    <cellStyle name="Calculation 2 3 2 2 3 4 3" xfId="16995"/>
    <cellStyle name="Calculation 2 3 2 2 3 4 4" xfId="18019"/>
    <cellStyle name="Calculation 2 3 2 2 3 4 5" xfId="18989"/>
    <cellStyle name="Calculation 2 3 2 2 3 4 6" xfId="19895"/>
    <cellStyle name="Calculation 2 3 2 2 3 5" xfId="13448"/>
    <cellStyle name="Calculation 2 3 2 2 3 6" xfId="12599"/>
    <cellStyle name="Calculation 2 3 2 2 3 7" xfId="12503"/>
    <cellStyle name="Calculation 2 3 2 2 3 8" xfId="12029"/>
    <cellStyle name="Calculation 2 3 2 2 3 9" xfId="12026"/>
    <cellStyle name="Calculation 2 3 2 2 4" xfId="7789"/>
    <cellStyle name="Calculation 2 3 2 2 4 2" xfId="14440"/>
    <cellStyle name="Calculation 2 3 2 2 4 3" xfId="14086"/>
    <cellStyle name="Calculation 2 3 2 2 4 4" xfId="12353"/>
    <cellStyle name="Calculation 2 3 2 2 4 5" xfId="13641"/>
    <cellStyle name="Calculation 2 3 2 2 4 6" xfId="15216"/>
    <cellStyle name="Calculation 2 3 2 2 5" xfId="11372"/>
    <cellStyle name="Calculation 2 3 2 2 5 2" xfId="15678"/>
    <cellStyle name="Calculation 2 3 2 2 5 3" xfId="16757"/>
    <cellStyle name="Calculation 2 3 2 2 5 4" xfId="17786"/>
    <cellStyle name="Calculation 2 3 2 2 5 5" xfId="18756"/>
    <cellStyle name="Calculation 2 3 2 2 5 6" xfId="19662"/>
    <cellStyle name="Calculation 2 3 2 2 6" xfId="11533"/>
    <cellStyle name="Calculation 2 3 2 2 6 2" xfId="15839"/>
    <cellStyle name="Calculation 2 3 2 2 6 3" xfId="16918"/>
    <cellStyle name="Calculation 2 3 2 2 6 4" xfId="17943"/>
    <cellStyle name="Calculation 2 3 2 2 6 5" xfId="18913"/>
    <cellStyle name="Calculation 2 3 2 2 6 6" xfId="19819"/>
    <cellStyle name="Calculation 2 3 2 2 7" xfId="12743"/>
    <cellStyle name="Calculation 2 3 2 2 8" xfId="15108"/>
    <cellStyle name="Calculation 2 3 2 2 9" xfId="12787"/>
    <cellStyle name="Calculation 2 3 2 3" xfId="3911"/>
    <cellStyle name="Calculation 2 3 2 3 2" xfId="9010"/>
    <cellStyle name="Calculation 2 3 2 3 2 2" xfId="14788"/>
    <cellStyle name="Calculation 2 3 2 3 2 3" xfId="14744"/>
    <cellStyle name="Calculation 2 3 2 3 2 4" xfId="14844"/>
    <cellStyle name="Calculation 2 3 2 3 2 5" xfId="12418"/>
    <cellStyle name="Calculation 2 3 2 3 2 6" xfId="14627"/>
    <cellStyle name="Calculation 2 3 2 3 3" xfId="11478"/>
    <cellStyle name="Calculation 2 3 2 3 3 2" xfId="15784"/>
    <cellStyle name="Calculation 2 3 2 3 3 3" xfId="16863"/>
    <cellStyle name="Calculation 2 3 2 3 3 4" xfId="17889"/>
    <cellStyle name="Calculation 2 3 2 3 3 5" xfId="18859"/>
    <cellStyle name="Calculation 2 3 2 3 3 6" xfId="19765"/>
    <cellStyle name="Calculation 2 3 2 3 4" xfId="6172"/>
    <cellStyle name="Calculation 2 3 2 3 4 2" xfId="13904"/>
    <cellStyle name="Calculation 2 3 2 3 4 3" xfId="13538"/>
    <cellStyle name="Calculation 2 3 2 3 4 4" xfId="13221"/>
    <cellStyle name="Calculation 2 3 2 3 4 5" xfId="13963"/>
    <cellStyle name="Calculation 2 3 2 3 4 6" xfId="16411"/>
    <cellStyle name="Calculation 2 3 2 3 5" xfId="13100"/>
    <cellStyle name="Calculation 2 3 2 3 6" xfId="15285"/>
    <cellStyle name="Calculation 2 3 2 3 7" xfId="16381"/>
    <cellStyle name="Calculation 2 3 2 3 8" xfId="12594"/>
    <cellStyle name="Calculation 2 3 2 3 9" xfId="18431"/>
    <cellStyle name="Calculation 2 3 3" xfId="2634"/>
    <cellStyle name="Calculation 2 3 3 10" xfId="13924"/>
    <cellStyle name="Calculation 2 3 3 2" xfId="6050"/>
    <cellStyle name="Calculation 2 3 3 2 2" xfId="11146"/>
    <cellStyle name="Calculation 2 3 3 2 2 2" xfId="15452"/>
    <cellStyle name="Calculation 2 3 3 2 2 3" xfId="16531"/>
    <cellStyle name="Calculation 2 3 3 2 2 4" xfId="17565"/>
    <cellStyle name="Calculation 2 3 3 2 2 5" xfId="18535"/>
    <cellStyle name="Calculation 2 3 3 2 2 6" xfId="19441"/>
    <cellStyle name="Calculation 2 3 3 2 3" xfId="11728"/>
    <cellStyle name="Calculation 2 3 3 2 3 2" xfId="16034"/>
    <cellStyle name="Calculation 2 3 3 2 3 3" xfId="17113"/>
    <cellStyle name="Calculation 2 3 3 2 3 4" xfId="18135"/>
    <cellStyle name="Calculation 2 3 3 2 3 5" xfId="19105"/>
    <cellStyle name="Calculation 2 3 3 2 3 6" xfId="20011"/>
    <cellStyle name="Calculation 2 3 3 2 4" xfId="11900"/>
    <cellStyle name="Calculation 2 3 3 2 4 2" xfId="16206"/>
    <cellStyle name="Calculation 2 3 3 2 4 3" xfId="17285"/>
    <cellStyle name="Calculation 2 3 3 2 4 4" xfId="18303"/>
    <cellStyle name="Calculation 2 3 3 2 4 5" xfId="19273"/>
    <cellStyle name="Calculation 2 3 3 2 4 6" xfId="20179"/>
    <cellStyle name="Calculation 2 3 3 2 5" xfId="13783"/>
    <cellStyle name="Calculation 2 3 3 2 6" xfId="13349"/>
    <cellStyle name="Calculation 2 3 3 2 7" xfId="12883"/>
    <cellStyle name="Calculation 2 3 3 2 8" xfId="14957"/>
    <cellStyle name="Calculation 2 3 3 2 9" xfId="18456"/>
    <cellStyle name="Calculation 2 3 3 3" xfId="7737"/>
    <cellStyle name="Calculation 2 3 3 3 2" xfId="14403"/>
    <cellStyle name="Calculation 2 3 3 3 3" xfId="14326"/>
    <cellStyle name="Calculation 2 3 3 3 4" xfId="14096"/>
    <cellStyle name="Calculation 2 3 3 3 5" xfId="14976"/>
    <cellStyle name="Calculation 2 3 3 3 6" xfId="14942"/>
    <cellStyle name="Calculation 2 3 3 4" xfId="11336"/>
    <cellStyle name="Calculation 2 3 3 4 2" xfId="15642"/>
    <cellStyle name="Calculation 2 3 3 4 3" xfId="16721"/>
    <cellStyle name="Calculation 2 3 3 4 4" xfId="17750"/>
    <cellStyle name="Calculation 2 3 3 4 5" xfId="18720"/>
    <cellStyle name="Calculation 2 3 3 4 6" xfId="19626"/>
    <cellStyle name="Calculation 2 3 3 5" xfId="11445"/>
    <cellStyle name="Calculation 2 3 3 5 2" xfId="15751"/>
    <cellStyle name="Calculation 2 3 3 5 3" xfId="16830"/>
    <cellStyle name="Calculation 2 3 3 5 4" xfId="17858"/>
    <cellStyle name="Calculation 2 3 3 5 5" xfId="18828"/>
    <cellStyle name="Calculation 2 3 3 5 6" xfId="19734"/>
    <cellStyle name="Calculation 2 3 3 6" xfId="12704"/>
    <cellStyle name="Calculation 2 3 3 7" xfId="14621"/>
    <cellStyle name="Calculation 2 3 3 8" xfId="14731"/>
    <cellStyle name="Calculation 2 3 3 9" xfId="15356"/>
    <cellStyle name="Calculation 2 3 4" xfId="5975"/>
    <cellStyle name="Calculation 2 3 4 2" xfId="11071"/>
    <cellStyle name="Calculation 2 3 4 2 2" xfId="15377"/>
    <cellStyle name="Calculation 2 3 4 2 3" xfId="16456"/>
    <cellStyle name="Calculation 2 3 4 2 4" xfId="17491"/>
    <cellStyle name="Calculation 2 3 4 2 5" xfId="18461"/>
    <cellStyle name="Calculation 2 3 4 2 6" xfId="19367"/>
    <cellStyle name="Calculation 2 3 4 3" xfId="11653"/>
    <cellStyle name="Calculation 2 3 4 3 2" xfId="15959"/>
    <cellStyle name="Calculation 2 3 4 3 3" xfId="17038"/>
    <cellStyle name="Calculation 2 3 4 3 4" xfId="18061"/>
    <cellStyle name="Calculation 2 3 4 3 5" xfId="19031"/>
    <cellStyle name="Calculation 2 3 4 3 6" xfId="19937"/>
    <cellStyle name="Calculation 2 3 4 4" xfId="11825"/>
    <cellStyle name="Calculation 2 3 4 4 2" xfId="16131"/>
    <cellStyle name="Calculation 2 3 4 4 3" xfId="17210"/>
    <cellStyle name="Calculation 2 3 4 4 4" xfId="18229"/>
    <cellStyle name="Calculation 2 3 4 4 5" xfId="19199"/>
    <cellStyle name="Calculation 2 3 4 4 6" xfId="20105"/>
    <cellStyle name="Calculation 2 3 4 5" xfId="13708"/>
    <cellStyle name="Calculation 2 3 4 6" xfId="14558"/>
    <cellStyle name="Calculation 2 3 4 7" xfId="15084"/>
    <cellStyle name="Calculation 2 3 4 8" xfId="12679"/>
    <cellStyle name="Calculation 2 3 4 9" xfId="13325"/>
    <cellStyle name="Calculation 2 3 5" xfId="6481"/>
    <cellStyle name="Calculation 2 3 5 2" xfId="13994"/>
    <cellStyle name="Calculation 2 3 5 3" xfId="13192"/>
    <cellStyle name="Calculation 2 3 5 4" xfId="14939"/>
    <cellStyle name="Calculation 2 3 5 5" xfId="14749"/>
    <cellStyle name="Calculation 2 3 5 6" xfId="18409"/>
    <cellStyle name="Calculation 2 3 6" xfId="6144"/>
    <cellStyle name="Calculation 2 3 6 2" xfId="13877"/>
    <cellStyle name="Calculation 2 3 6 3" xfId="14135"/>
    <cellStyle name="Calculation 2 3 6 4" xfId="14864"/>
    <cellStyle name="Calculation 2 3 6 5" xfId="14299"/>
    <cellStyle name="Calculation 2 3 6 6" xfId="12527"/>
    <cellStyle name="Calculation 2 3 7" xfId="11308"/>
    <cellStyle name="Calculation 2 3 7 2" xfId="15614"/>
    <cellStyle name="Calculation 2 3 7 3" xfId="16693"/>
    <cellStyle name="Calculation 2 3 7 4" xfId="17722"/>
    <cellStyle name="Calculation 2 3 7 5" xfId="18692"/>
    <cellStyle name="Calculation 2 3 7 6" xfId="19598"/>
    <cellStyle name="Calculation 2 3 8" xfId="12196"/>
    <cellStyle name="Calculation 2 3 9" xfId="13920"/>
    <cellStyle name="Calculation 2 4" xfId="1384"/>
    <cellStyle name="Calculation 2 5" xfId="157"/>
    <cellStyle name="Calculation 3" xfId="330"/>
    <cellStyle name="Calculation 3 2" xfId="839"/>
    <cellStyle name="Calculation 3 3" xfId="1005"/>
    <cellStyle name="Calculation 3 3 10" xfId="13411"/>
    <cellStyle name="Calculation 3 3 11" xfId="14301"/>
    <cellStyle name="Calculation 3 3 12" xfId="12545"/>
    <cellStyle name="Calculation 3 3 2" xfId="1097"/>
    <cellStyle name="Calculation 3 3 2 2" xfId="2687"/>
    <cellStyle name="Calculation 3 3 2 2 10" xfId="14926"/>
    <cellStyle name="Calculation 3 3 2 2 11" xfId="15338"/>
    <cellStyle name="Calculation 3 3 2 2 2" xfId="6087"/>
    <cellStyle name="Calculation 3 3 2 2 2 2" xfId="11183"/>
    <cellStyle name="Calculation 3 3 2 2 2 2 2" xfId="15489"/>
    <cellStyle name="Calculation 3 3 2 2 2 2 3" xfId="16568"/>
    <cellStyle name="Calculation 3 3 2 2 2 2 4" xfId="17602"/>
    <cellStyle name="Calculation 3 3 2 2 2 2 5" xfId="18572"/>
    <cellStyle name="Calculation 3 3 2 2 2 2 6" xfId="19478"/>
    <cellStyle name="Calculation 3 3 2 2 2 3" xfId="11765"/>
    <cellStyle name="Calculation 3 3 2 2 2 3 2" xfId="16071"/>
    <cellStyle name="Calculation 3 3 2 2 2 3 3" xfId="17150"/>
    <cellStyle name="Calculation 3 3 2 2 2 3 4" xfId="18172"/>
    <cellStyle name="Calculation 3 3 2 2 2 3 5" xfId="19142"/>
    <cellStyle name="Calculation 3 3 2 2 2 3 6" xfId="20048"/>
    <cellStyle name="Calculation 3 3 2 2 2 4" xfId="11937"/>
    <cellStyle name="Calculation 3 3 2 2 2 4 2" xfId="16243"/>
    <cellStyle name="Calculation 3 3 2 2 2 4 3" xfId="17322"/>
    <cellStyle name="Calculation 3 3 2 2 2 4 4" xfId="18340"/>
    <cellStyle name="Calculation 3 3 2 2 2 4 5" xfId="19310"/>
    <cellStyle name="Calculation 3 3 2 2 2 4 6" xfId="20216"/>
    <cellStyle name="Calculation 3 3 2 2 2 5" xfId="13820"/>
    <cellStyle name="Calculation 3 3 2 2 2 6" xfId="12380"/>
    <cellStyle name="Calculation 3 3 2 2 2 7" xfId="13321"/>
    <cellStyle name="Calculation 3 3 2 2 2 8" xfId="17475"/>
    <cellStyle name="Calculation 3 3 2 2 2 9" xfId="13241"/>
    <cellStyle name="Calculation 3 3 2 2 3" xfId="5095"/>
    <cellStyle name="Calculation 3 3 2 2 3 2" xfId="10191"/>
    <cellStyle name="Calculation 3 3 2 2 3 2 2" xfId="15129"/>
    <cellStyle name="Calculation 3 3 2 2 3 2 3" xfId="14392"/>
    <cellStyle name="Calculation 3 3 2 2 3 2 4" xfId="12315"/>
    <cellStyle name="Calculation 3 3 2 2 3 2 5" xfId="12882"/>
    <cellStyle name="Calculation 3 3 2 2 3 2 6" xfId="17482"/>
    <cellStyle name="Calculation 3 3 2 2 3 3" xfId="11573"/>
    <cellStyle name="Calculation 3 3 2 2 3 3 2" xfId="15879"/>
    <cellStyle name="Calculation 3 3 2 2 3 3 3" xfId="16958"/>
    <cellStyle name="Calculation 3 3 2 2 3 3 4" xfId="17982"/>
    <cellStyle name="Calculation 3 3 2 2 3 3 5" xfId="18952"/>
    <cellStyle name="Calculation 3 3 2 2 3 3 6" xfId="19858"/>
    <cellStyle name="Calculation 3 3 2 2 3 4" xfId="11416"/>
    <cellStyle name="Calculation 3 3 2 2 3 4 2" xfId="15722"/>
    <cellStyle name="Calculation 3 3 2 2 3 4 3" xfId="16801"/>
    <cellStyle name="Calculation 3 3 2 2 3 4 4" xfId="17830"/>
    <cellStyle name="Calculation 3 3 2 2 3 4 5" xfId="18800"/>
    <cellStyle name="Calculation 3 3 2 2 3 4 6" xfId="19706"/>
    <cellStyle name="Calculation 3 3 2 2 3 5" xfId="13449"/>
    <cellStyle name="Calculation 3 3 2 2 3 6" xfId="14284"/>
    <cellStyle name="Calculation 3 3 2 2 3 7" xfId="13445"/>
    <cellStyle name="Calculation 3 3 2 2 3 8" xfId="12000"/>
    <cellStyle name="Calculation 3 3 2 2 3 9" xfId="17389"/>
    <cellStyle name="Calculation 3 3 2 2 4" xfId="7790"/>
    <cellStyle name="Calculation 3 3 2 2 4 2" xfId="14441"/>
    <cellStyle name="Calculation 3 3 2 2 4 3" xfId="14854"/>
    <cellStyle name="Calculation 3 3 2 2 4 4" xfId="13960"/>
    <cellStyle name="Calculation 3 3 2 2 4 5" xfId="13400"/>
    <cellStyle name="Calculation 3 3 2 2 4 6" xfId="13220"/>
    <cellStyle name="Calculation 3 3 2 2 5" xfId="11373"/>
    <cellStyle name="Calculation 3 3 2 2 5 2" xfId="15679"/>
    <cellStyle name="Calculation 3 3 2 2 5 3" xfId="16758"/>
    <cellStyle name="Calculation 3 3 2 2 5 4" xfId="17787"/>
    <cellStyle name="Calculation 3 3 2 2 5 5" xfId="18757"/>
    <cellStyle name="Calculation 3 3 2 2 5 6" xfId="19663"/>
    <cellStyle name="Calculation 3 3 2 2 6" xfId="11624"/>
    <cellStyle name="Calculation 3 3 2 2 6 2" xfId="15930"/>
    <cellStyle name="Calculation 3 3 2 2 6 3" xfId="17009"/>
    <cellStyle name="Calculation 3 3 2 2 6 4" xfId="18033"/>
    <cellStyle name="Calculation 3 3 2 2 6 5" xfId="19003"/>
    <cellStyle name="Calculation 3 3 2 2 6 6" xfId="19909"/>
    <cellStyle name="Calculation 3 3 2 2 7" xfId="12744"/>
    <cellStyle name="Calculation 3 3 2 2 8" xfId="13429"/>
    <cellStyle name="Calculation 3 3 2 2 9" xfId="14575"/>
    <cellStyle name="Calculation 3 3 2 3" xfId="3912"/>
    <cellStyle name="Calculation 3 3 2 3 2" xfId="9011"/>
    <cellStyle name="Calculation 3 3 2 3 2 2" xfId="14789"/>
    <cellStyle name="Calculation 3 3 2 3 2 3" xfId="13059"/>
    <cellStyle name="Calculation 3 3 2 3 2 4" xfId="14605"/>
    <cellStyle name="Calculation 3 3 2 3 2 5" xfId="12954"/>
    <cellStyle name="Calculation 3 3 2 3 2 6" xfId="13600"/>
    <cellStyle name="Calculation 3 3 2 3 3" xfId="11479"/>
    <cellStyle name="Calculation 3 3 2 3 3 2" xfId="15785"/>
    <cellStyle name="Calculation 3 3 2 3 3 3" xfId="16864"/>
    <cellStyle name="Calculation 3 3 2 3 3 4" xfId="17890"/>
    <cellStyle name="Calculation 3 3 2 3 3 5" xfId="18860"/>
    <cellStyle name="Calculation 3 3 2 3 3 6" xfId="19766"/>
    <cellStyle name="Calculation 3 3 2 3 4" xfId="6173"/>
    <cellStyle name="Calculation 3 3 2 3 4 2" xfId="13905"/>
    <cellStyle name="Calculation 3 3 2 3 4 3" xfId="12845"/>
    <cellStyle name="Calculation 3 3 2 3 4 4" xfId="12175"/>
    <cellStyle name="Calculation 3 3 2 3 4 5" xfId="16374"/>
    <cellStyle name="Calculation 3 3 2 3 4 6" xfId="14238"/>
    <cellStyle name="Calculation 3 3 2 3 5" xfId="13101"/>
    <cellStyle name="Calculation 3 3 2 3 6" xfId="13605"/>
    <cellStyle name="Calculation 3 3 2 3 7" xfId="12141"/>
    <cellStyle name="Calculation 3 3 2 3 8" xfId="15087"/>
    <cellStyle name="Calculation 3 3 2 3 9" xfId="15241"/>
    <cellStyle name="Calculation 3 3 3" xfId="2635"/>
    <cellStyle name="Calculation 3 3 3 10" xfId="18438"/>
    <cellStyle name="Calculation 3 3 3 2" xfId="6051"/>
    <cellStyle name="Calculation 3 3 3 2 2" xfId="11147"/>
    <cellStyle name="Calculation 3 3 3 2 2 2" xfId="15453"/>
    <cellStyle name="Calculation 3 3 3 2 2 3" xfId="16532"/>
    <cellStyle name="Calculation 3 3 3 2 2 4" xfId="17566"/>
    <cellStyle name="Calculation 3 3 3 2 2 5" xfId="18536"/>
    <cellStyle name="Calculation 3 3 3 2 2 6" xfId="19442"/>
    <cellStyle name="Calculation 3 3 3 2 3" xfId="11729"/>
    <cellStyle name="Calculation 3 3 3 2 3 2" xfId="16035"/>
    <cellStyle name="Calculation 3 3 3 2 3 3" xfId="17114"/>
    <cellStyle name="Calculation 3 3 3 2 3 4" xfId="18136"/>
    <cellStyle name="Calculation 3 3 3 2 3 5" xfId="19106"/>
    <cellStyle name="Calculation 3 3 3 2 3 6" xfId="20012"/>
    <cellStyle name="Calculation 3 3 3 2 4" xfId="11901"/>
    <cellStyle name="Calculation 3 3 3 2 4 2" xfId="16207"/>
    <cellStyle name="Calculation 3 3 3 2 4 3" xfId="17286"/>
    <cellStyle name="Calculation 3 3 3 2 4 4" xfId="18304"/>
    <cellStyle name="Calculation 3 3 3 2 4 5" xfId="19274"/>
    <cellStyle name="Calculation 3 3 3 2 4 6" xfId="20180"/>
    <cellStyle name="Calculation 3 3 3 2 5" xfId="13784"/>
    <cellStyle name="Calculation 3 3 3 2 6" xfId="14680"/>
    <cellStyle name="Calculation 3 3 3 2 7" xfId="13064"/>
    <cellStyle name="Calculation 3 3 3 2 8" xfId="15030"/>
    <cellStyle name="Calculation 3 3 3 2 9" xfId="15083"/>
    <cellStyle name="Calculation 3 3 3 3" xfId="7738"/>
    <cellStyle name="Calculation 3 3 3 3 2" xfId="14404"/>
    <cellStyle name="Calculation 3 3 3 3 3" xfId="15045"/>
    <cellStyle name="Calculation 3 3 3 3 4" xfId="14755"/>
    <cellStyle name="Calculation 3 3 3 3 5" xfId="17385"/>
    <cellStyle name="Calculation 3 3 3 3 6" xfId="12992"/>
    <cellStyle name="Calculation 3 3 3 4" xfId="11337"/>
    <cellStyle name="Calculation 3 3 3 4 2" xfId="15643"/>
    <cellStyle name="Calculation 3 3 3 4 3" xfId="16722"/>
    <cellStyle name="Calculation 3 3 3 4 4" xfId="17751"/>
    <cellStyle name="Calculation 3 3 3 4 5" xfId="18721"/>
    <cellStyle name="Calculation 3 3 3 4 6" xfId="19627"/>
    <cellStyle name="Calculation 3 3 3 5" xfId="11283"/>
    <cellStyle name="Calculation 3 3 3 5 2" xfId="15589"/>
    <cellStyle name="Calculation 3 3 3 5 3" xfId="16668"/>
    <cellStyle name="Calculation 3 3 3 5 4" xfId="17698"/>
    <cellStyle name="Calculation 3 3 3 5 5" xfId="18668"/>
    <cellStyle name="Calculation 3 3 3 5 6" xfId="19574"/>
    <cellStyle name="Calculation 3 3 3 6" xfId="12705"/>
    <cellStyle name="Calculation 3 3 3 7" xfId="15304"/>
    <cellStyle name="Calculation 3 3 3 8" xfId="16400"/>
    <cellStyle name="Calculation 3 3 3 9" xfId="12818"/>
    <cellStyle name="Calculation 3 3 4" xfId="5976"/>
    <cellStyle name="Calculation 3 3 4 2" xfId="11072"/>
    <cellStyle name="Calculation 3 3 4 2 2" xfId="15378"/>
    <cellStyle name="Calculation 3 3 4 2 3" xfId="16457"/>
    <cellStyle name="Calculation 3 3 4 2 4" xfId="17492"/>
    <cellStyle name="Calculation 3 3 4 2 5" xfId="18462"/>
    <cellStyle name="Calculation 3 3 4 2 6" xfId="19368"/>
    <cellStyle name="Calculation 3 3 4 3" xfId="11654"/>
    <cellStyle name="Calculation 3 3 4 3 2" xfId="15960"/>
    <cellStyle name="Calculation 3 3 4 3 3" xfId="17039"/>
    <cellStyle name="Calculation 3 3 4 3 4" xfId="18062"/>
    <cellStyle name="Calculation 3 3 4 3 5" xfId="19032"/>
    <cellStyle name="Calculation 3 3 4 3 6" xfId="19938"/>
    <cellStyle name="Calculation 3 3 4 4" xfId="11826"/>
    <cellStyle name="Calculation 3 3 4 4 2" xfId="16132"/>
    <cellStyle name="Calculation 3 3 4 4 3" xfId="17211"/>
    <cellStyle name="Calculation 3 3 4 4 4" xfId="18230"/>
    <cellStyle name="Calculation 3 3 4 4 5" xfId="19200"/>
    <cellStyle name="Calculation 3 3 4 4 6" xfId="20106"/>
    <cellStyle name="Calculation 3 3 4 5" xfId="13709"/>
    <cellStyle name="Calculation 3 3 4 6" xfId="15235"/>
    <cellStyle name="Calculation 3 3 4 7" xfId="16347"/>
    <cellStyle name="Calculation 3 3 4 8" xfId="14065"/>
    <cellStyle name="Calculation 3 3 4 9" xfId="18422"/>
    <cellStyle name="Calculation 3 3 5" xfId="6482"/>
    <cellStyle name="Calculation 3 3 5 2" xfId="13995"/>
    <cellStyle name="Calculation 3 3 5 3" xfId="14537"/>
    <cellStyle name="Calculation 3 3 5 4" xfId="14506"/>
    <cellStyle name="Calculation 3 3 5 5" xfId="15201"/>
    <cellStyle name="Calculation 3 3 5 6" xfId="12563"/>
    <cellStyle name="Calculation 3 3 6" xfId="6707"/>
    <cellStyle name="Calculation 3 3 6 2" xfId="14103"/>
    <cellStyle name="Calculation 3 3 6 3" xfId="13182"/>
    <cellStyle name="Calculation 3 3 6 4" xfId="12443"/>
    <cellStyle name="Calculation 3 3 6 5" xfId="14631"/>
    <cellStyle name="Calculation 3 3 6 6" xfId="18401"/>
    <cellStyle name="Calculation 3 3 7" xfId="11307"/>
    <cellStyle name="Calculation 3 3 7 2" xfId="15613"/>
    <cellStyle name="Calculation 3 3 7 3" xfId="16692"/>
    <cellStyle name="Calculation 3 3 7 4" xfId="17721"/>
    <cellStyle name="Calculation 3 3 7 5" xfId="18691"/>
    <cellStyle name="Calculation 3 3 7 6" xfId="19597"/>
    <cellStyle name="Calculation 3 3 8" xfId="12197"/>
    <cellStyle name="Calculation 3 3 9" xfId="14709"/>
    <cellStyle name="Calculation 4" xfId="331"/>
    <cellStyle name="Calculation 4 2" xfId="1006"/>
    <cellStyle name="Calculation 4 2 10" xfId="13385"/>
    <cellStyle name="Calculation 4 2 11" xfId="15268"/>
    <cellStyle name="Calculation 4 2 12" xfId="13388"/>
    <cellStyle name="Calculation 4 2 2" xfId="1098"/>
    <cellStyle name="Calculation 4 2 2 2" xfId="2688"/>
    <cellStyle name="Calculation 4 2 2 2 10" xfId="14758"/>
    <cellStyle name="Calculation 4 2 2 2 11" xfId="12444"/>
    <cellStyle name="Calculation 4 2 2 2 2" xfId="6088"/>
    <cellStyle name="Calculation 4 2 2 2 2 2" xfId="11184"/>
    <cellStyle name="Calculation 4 2 2 2 2 2 2" xfId="15490"/>
    <cellStyle name="Calculation 4 2 2 2 2 2 3" xfId="16569"/>
    <cellStyle name="Calculation 4 2 2 2 2 2 4" xfId="17603"/>
    <cellStyle name="Calculation 4 2 2 2 2 2 5" xfId="18573"/>
    <cellStyle name="Calculation 4 2 2 2 2 2 6" xfId="19479"/>
    <cellStyle name="Calculation 4 2 2 2 2 3" xfId="11766"/>
    <cellStyle name="Calculation 4 2 2 2 2 3 2" xfId="16072"/>
    <cellStyle name="Calculation 4 2 2 2 2 3 3" xfId="17151"/>
    <cellStyle name="Calculation 4 2 2 2 2 3 4" xfId="18173"/>
    <cellStyle name="Calculation 4 2 2 2 2 3 5" xfId="19143"/>
    <cellStyle name="Calculation 4 2 2 2 2 3 6" xfId="20049"/>
    <cellStyle name="Calculation 4 2 2 2 2 4" xfId="11938"/>
    <cellStyle name="Calculation 4 2 2 2 2 4 2" xfId="16244"/>
    <cellStyle name="Calculation 4 2 2 2 2 4 3" xfId="17323"/>
    <cellStyle name="Calculation 4 2 2 2 2 4 4" xfId="18341"/>
    <cellStyle name="Calculation 4 2 2 2 2 4 5" xfId="19311"/>
    <cellStyle name="Calculation 4 2 2 2 2 4 6" xfId="20217"/>
    <cellStyle name="Calculation 4 2 2 2 2 5" xfId="13821"/>
    <cellStyle name="Calculation 4 2 2 2 2 6" xfId="14145"/>
    <cellStyle name="Calculation 4 2 2 2 2 7" xfId="12021"/>
    <cellStyle name="Calculation 4 2 2 2 2 8" xfId="12250"/>
    <cellStyle name="Calculation 4 2 2 2 2 9" xfId="14250"/>
    <cellStyle name="Calculation 4 2 2 2 3" xfId="5096"/>
    <cellStyle name="Calculation 4 2 2 2 3 2" xfId="10192"/>
    <cellStyle name="Calculation 4 2 2 2 3 2 2" xfId="15130"/>
    <cellStyle name="Calculation 4 2 2 2 3 2 3" xfId="15109"/>
    <cellStyle name="Calculation 4 2 2 2 3 2 4" xfId="12698"/>
    <cellStyle name="Calculation 4 2 2 2 3 2 5" xfId="12813"/>
    <cellStyle name="Calculation 4 2 2 2 3 2 6" xfId="15089"/>
    <cellStyle name="Calculation 4 2 2 2 3 3" xfId="11574"/>
    <cellStyle name="Calculation 4 2 2 2 3 3 2" xfId="15880"/>
    <cellStyle name="Calculation 4 2 2 2 3 3 3" xfId="16959"/>
    <cellStyle name="Calculation 4 2 2 2 3 3 4" xfId="17983"/>
    <cellStyle name="Calculation 4 2 2 2 3 3 5" xfId="18953"/>
    <cellStyle name="Calculation 4 2 2 2 3 3 6" xfId="19859"/>
    <cellStyle name="Calculation 4 2 2 2 3 4" xfId="11244"/>
    <cellStyle name="Calculation 4 2 2 2 3 4 2" xfId="15550"/>
    <cellStyle name="Calculation 4 2 2 2 3 4 3" xfId="16629"/>
    <cellStyle name="Calculation 4 2 2 2 3 4 4" xfId="17661"/>
    <cellStyle name="Calculation 4 2 2 2 3 4 5" xfId="18631"/>
    <cellStyle name="Calculation 4 2 2 2 3 4 6" xfId="19537"/>
    <cellStyle name="Calculation 4 2 2 2 3 5" xfId="13450"/>
    <cellStyle name="Calculation 4 2 2 2 3 6" xfId="15017"/>
    <cellStyle name="Calculation 4 2 2 2 3 7" xfId="13034"/>
    <cellStyle name="Calculation 4 2 2 2 3 8" xfId="17471"/>
    <cellStyle name="Calculation 4 2 2 2 3 9" xfId="12010"/>
    <cellStyle name="Calculation 4 2 2 2 4" xfId="7791"/>
    <cellStyle name="Calculation 4 2 2 2 4 2" xfId="14442"/>
    <cellStyle name="Calculation 4 2 2 2 4 3" xfId="13167"/>
    <cellStyle name="Calculation 4 2 2 2 4 4" xfId="15277"/>
    <cellStyle name="Calculation 4 2 2 2 4 5" xfId="12300"/>
    <cellStyle name="Calculation 4 2 2 2 4 6" xfId="17387"/>
    <cellStyle name="Calculation 4 2 2 2 5" xfId="11374"/>
    <cellStyle name="Calculation 4 2 2 2 5 2" xfId="15680"/>
    <cellStyle name="Calculation 4 2 2 2 5 3" xfId="16759"/>
    <cellStyle name="Calculation 4 2 2 2 5 4" xfId="17788"/>
    <cellStyle name="Calculation 4 2 2 2 5 5" xfId="18758"/>
    <cellStyle name="Calculation 4 2 2 2 5 6" xfId="19664"/>
    <cellStyle name="Calculation 4 2 2 2 6" xfId="11436"/>
    <cellStyle name="Calculation 4 2 2 2 6 2" xfId="15742"/>
    <cellStyle name="Calculation 4 2 2 2 6 3" xfId="16821"/>
    <cellStyle name="Calculation 4 2 2 2 6 4" xfId="17849"/>
    <cellStyle name="Calculation 4 2 2 2 6 5" xfId="18819"/>
    <cellStyle name="Calculation 4 2 2 2 6 6" xfId="19725"/>
    <cellStyle name="Calculation 4 2 2 2 7" xfId="12745"/>
    <cellStyle name="Calculation 4 2 2 2 8" xfId="12688"/>
    <cellStyle name="Calculation 4 2 2 2 9" xfId="14216"/>
    <cellStyle name="Calculation 4 2 2 3" xfId="3913"/>
    <cellStyle name="Calculation 4 2 2 3 2" xfId="9012"/>
    <cellStyle name="Calculation 4 2 2 3 2 2" xfId="14790"/>
    <cellStyle name="Calculation 4 2 2 3 2 3" xfId="14354"/>
    <cellStyle name="Calculation 4 2 2 3 2 4" xfId="13171"/>
    <cellStyle name="Calculation 4 2 2 3 2 5" xfId="13421"/>
    <cellStyle name="Calculation 4 2 2 3 2 6" xfId="14830"/>
    <cellStyle name="Calculation 4 2 2 3 3" xfId="11480"/>
    <cellStyle name="Calculation 4 2 2 3 3 2" xfId="15786"/>
    <cellStyle name="Calculation 4 2 2 3 3 3" xfId="16865"/>
    <cellStyle name="Calculation 4 2 2 3 3 4" xfId="17891"/>
    <cellStyle name="Calculation 4 2 2 3 3 5" xfId="18861"/>
    <cellStyle name="Calculation 4 2 2 3 3 6" xfId="19767"/>
    <cellStyle name="Calculation 4 2 2 3 4" xfId="6174"/>
    <cellStyle name="Calculation 4 2 2 3 4 2" xfId="13906"/>
    <cellStyle name="Calculation 4 2 2 3 4 3" xfId="14137"/>
    <cellStyle name="Calculation 4 2 2 3 4 4" xfId="14524"/>
    <cellStyle name="Calculation 4 2 2 3 4 5" xfId="14571"/>
    <cellStyle name="Calculation 4 2 2 3 4 6" xfId="17393"/>
    <cellStyle name="Calculation 4 2 2 3 5" xfId="13102"/>
    <cellStyle name="Calculation 4 2 2 3 6" xfId="12903"/>
    <cellStyle name="Calculation 4 2 2 3 7" xfId="15297"/>
    <cellStyle name="Calculation 4 2 2 3 8" xfId="14064"/>
    <cellStyle name="Calculation 4 2 2 3 9" xfId="13638"/>
    <cellStyle name="Calculation 4 2 3" xfId="2636"/>
    <cellStyle name="Calculation 4 2 3 10" xfId="13161"/>
    <cellStyle name="Calculation 4 2 3 2" xfId="6052"/>
    <cellStyle name="Calculation 4 2 3 2 2" xfId="11148"/>
    <cellStyle name="Calculation 4 2 3 2 2 2" xfId="15454"/>
    <cellStyle name="Calculation 4 2 3 2 2 3" xfId="16533"/>
    <cellStyle name="Calculation 4 2 3 2 2 4" xfId="17567"/>
    <cellStyle name="Calculation 4 2 3 2 2 5" xfId="18537"/>
    <cellStyle name="Calculation 4 2 3 2 2 6" xfId="19443"/>
    <cellStyle name="Calculation 4 2 3 2 3" xfId="11730"/>
    <cellStyle name="Calculation 4 2 3 2 3 2" xfId="16036"/>
    <cellStyle name="Calculation 4 2 3 2 3 3" xfId="17115"/>
    <cellStyle name="Calculation 4 2 3 2 3 4" xfId="18137"/>
    <cellStyle name="Calculation 4 2 3 2 3 5" xfId="19107"/>
    <cellStyle name="Calculation 4 2 3 2 3 6" xfId="20013"/>
    <cellStyle name="Calculation 4 2 3 2 4" xfId="11902"/>
    <cellStyle name="Calculation 4 2 3 2 4 2" xfId="16208"/>
    <cellStyle name="Calculation 4 2 3 2 4 3" xfId="17287"/>
    <cellStyle name="Calculation 4 2 3 2 4 4" xfId="18305"/>
    <cellStyle name="Calculation 4 2 3 2 4 5" xfId="19275"/>
    <cellStyle name="Calculation 4 2 3 2 4 6" xfId="20181"/>
    <cellStyle name="Calculation 4 2 3 2 5" xfId="13785"/>
    <cellStyle name="Calculation 4 2 3 2 6" xfId="15361"/>
    <cellStyle name="Calculation 4 2 3 2 7" xfId="16442"/>
    <cellStyle name="Calculation 4 2 3 2 8" xfId="15054"/>
    <cellStyle name="Calculation 4 2 3 2 9" xfId="14236"/>
    <cellStyle name="Calculation 4 2 3 3" xfId="7739"/>
    <cellStyle name="Calculation 4 2 3 3 2" xfId="14405"/>
    <cellStyle name="Calculation 4 2 3 3 3" xfId="13372"/>
    <cellStyle name="Calculation 4 2 3 3 4" xfId="14583"/>
    <cellStyle name="Calculation 4 2 3 3 5" xfId="16356"/>
    <cellStyle name="Calculation 4 2 3 3 6" xfId="17439"/>
    <cellStyle name="Calculation 4 2 3 4" xfId="11338"/>
    <cellStyle name="Calculation 4 2 3 4 2" xfId="15644"/>
    <cellStyle name="Calculation 4 2 3 4 3" xfId="16723"/>
    <cellStyle name="Calculation 4 2 3 4 4" xfId="17752"/>
    <cellStyle name="Calculation 4 2 3 4 5" xfId="18722"/>
    <cellStyle name="Calculation 4 2 3 4 6" xfId="19628"/>
    <cellStyle name="Calculation 4 2 3 5" xfId="11282"/>
    <cellStyle name="Calculation 4 2 3 5 2" xfId="15588"/>
    <cellStyle name="Calculation 4 2 3 5 3" xfId="16667"/>
    <cellStyle name="Calculation 4 2 3 5 4" xfId="17697"/>
    <cellStyle name="Calculation 4 2 3 5 5" xfId="18667"/>
    <cellStyle name="Calculation 4 2 3 5 6" xfId="19573"/>
    <cellStyle name="Calculation 4 2 3 6" xfId="12706"/>
    <cellStyle name="Calculation 4 2 3 7" xfId="13633"/>
    <cellStyle name="Calculation 4 2 3 8" xfId="14693"/>
    <cellStyle name="Calculation 4 2 3 9" xfId="14722"/>
    <cellStyle name="Calculation 4 2 4" xfId="5977"/>
    <cellStyle name="Calculation 4 2 4 2" xfId="11073"/>
    <cellStyle name="Calculation 4 2 4 2 2" xfId="15379"/>
    <cellStyle name="Calculation 4 2 4 2 3" xfId="16458"/>
    <cellStyle name="Calculation 4 2 4 2 4" xfId="17493"/>
    <cellStyle name="Calculation 4 2 4 2 5" xfId="18463"/>
    <cellStyle name="Calculation 4 2 4 2 6" xfId="19369"/>
    <cellStyle name="Calculation 4 2 4 3" xfId="11655"/>
    <cellStyle name="Calculation 4 2 4 3 2" xfId="15961"/>
    <cellStyle name="Calculation 4 2 4 3 3" xfId="17040"/>
    <cellStyle name="Calculation 4 2 4 3 4" xfId="18063"/>
    <cellStyle name="Calculation 4 2 4 3 5" xfId="19033"/>
    <cellStyle name="Calculation 4 2 4 3 6" xfId="19939"/>
    <cellStyle name="Calculation 4 2 4 4" xfId="11827"/>
    <cellStyle name="Calculation 4 2 4 4 2" xfId="16133"/>
    <cellStyle name="Calculation 4 2 4 4 3" xfId="17212"/>
    <cellStyle name="Calculation 4 2 4 4 4" xfId="18231"/>
    <cellStyle name="Calculation 4 2 4 4 5" xfId="19201"/>
    <cellStyle name="Calculation 4 2 4 4 6" xfId="20107"/>
    <cellStyle name="Calculation 4 2 4 5" xfId="13710"/>
    <cellStyle name="Calculation 4 2 4 6" xfId="13553"/>
    <cellStyle name="Calculation 4 2 4 7" xfId="14568"/>
    <cellStyle name="Calculation 4 2 4 8" xfId="155"/>
    <cellStyle name="Calculation 4 2 4 9" xfId="17425"/>
    <cellStyle name="Calculation 4 2 5" xfId="6483"/>
    <cellStyle name="Calculation 4 2 5 2" xfId="13996"/>
    <cellStyle name="Calculation 4 2 5 3" xfId="15210"/>
    <cellStyle name="Calculation 4 2 5 4" xfId="16326"/>
    <cellStyle name="Calculation 4 2 5 5" xfId="12359"/>
    <cellStyle name="Calculation 4 2 5 6" xfId="12494"/>
    <cellStyle name="Calculation 4 2 6" xfId="6165"/>
    <cellStyle name="Calculation 4 2 6 2" xfId="13897"/>
    <cellStyle name="Calculation 4 2 6 3" xfId="12847"/>
    <cellStyle name="Calculation 4 2 6 4" xfId="12191"/>
    <cellStyle name="Calculation 4 2 6 5" xfId="17410"/>
    <cellStyle name="Calculation 4 2 6 6" xfId="13696"/>
    <cellStyle name="Calculation 4 2 7" xfId="11306"/>
    <cellStyle name="Calculation 4 2 7 2" xfId="15612"/>
    <cellStyle name="Calculation 4 2 7 3" xfId="16691"/>
    <cellStyle name="Calculation 4 2 7 4" xfId="17720"/>
    <cellStyle name="Calculation 4 2 7 5" xfId="18690"/>
    <cellStyle name="Calculation 4 2 7 6" xfId="19596"/>
    <cellStyle name="Calculation 4 2 8" xfId="12198"/>
    <cellStyle name="Calculation 4 2 9" xfId="13025"/>
    <cellStyle name="Calculation 5" xfId="332"/>
    <cellStyle name="Calculation 5 2" xfId="1007"/>
    <cellStyle name="Calculation 5 2 10" xfId="12004"/>
    <cellStyle name="Calculation 5 2 11" xfId="12646"/>
    <cellStyle name="Calculation 5 2 12" xfId="16401"/>
    <cellStyle name="Calculation 5 2 2" xfId="1099"/>
    <cellStyle name="Calculation 5 2 2 2" xfId="2689"/>
    <cellStyle name="Calculation 5 2 2 2 10" xfId="12249"/>
    <cellStyle name="Calculation 5 2 2 2 11" xfId="12053"/>
    <cellStyle name="Calculation 5 2 2 2 2" xfId="6089"/>
    <cellStyle name="Calculation 5 2 2 2 2 2" xfId="11185"/>
    <cellStyle name="Calculation 5 2 2 2 2 2 2" xfId="15491"/>
    <cellStyle name="Calculation 5 2 2 2 2 2 3" xfId="16570"/>
    <cellStyle name="Calculation 5 2 2 2 2 2 4" xfId="17604"/>
    <cellStyle name="Calculation 5 2 2 2 2 2 5" xfId="18574"/>
    <cellStyle name="Calculation 5 2 2 2 2 2 6" xfId="19480"/>
    <cellStyle name="Calculation 5 2 2 2 2 3" xfId="11767"/>
    <cellStyle name="Calculation 5 2 2 2 2 3 2" xfId="16073"/>
    <cellStyle name="Calculation 5 2 2 2 2 3 3" xfId="17152"/>
    <cellStyle name="Calculation 5 2 2 2 2 3 4" xfId="18174"/>
    <cellStyle name="Calculation 5 2 2 2 2 3 5" xfId="19144"/>
    <cellStyle name="Calculation 5 2 2 2 2 3 6" xfId="20050"/>
    <cellStyle name="Calculation 5 2 2 2 2 4" xfId="11939"/>
    <cellStyle name="Calculation 5 2 2 2 2 4 2" xfId="16245"/>
    <cellStyle name="Calculation 5 2 2 2 2 4 3" xfId="17324"/>
    <cellStyle name="Calculation 5 2 2 2 2 4 4" xfId="18342"/>
    <cellStyle name="Calculation 5 2 2 2 2 4 5" xfId="19312"/>
    <cellStyle name="Calculation 5 2 2 2 2 4 6" xfId="20218"/>
    <cellStyle name="Calculation 5 2 2 2 2 5" xfId="13822"/>
    <cellStyle name="Calculation 5 2 2 2 2 6" xfId="14898"/>
    <cellStyle name="Calculation 5 2 2 2 2 7" xfId="15046"/>
    <cellStyle name="Calculation 5 2 2 2 2 8" xfId="14962"/>
    <cellStyle name="Calculation 5 2 2 2 2 9" xfId="13559"/>
    <cellStyle name="Calculation 5 2 2 2 3" xfId="5097"/>
    <cellStyle name="Calculation 5 2 2 2 3 2" xfId="10193"/>
    <cellStyle name="Calculation 5 2 2 2 3 2 2" xfId="15131"/>
    <cellStyle name="Calculation 5 2 2 2 3 2 3" xfId="13430"/>
    <cellStyle name="Calculation 5 2 2 2 3 2 4" xfId="15254"/>
    <cellStyle name="Calculation 5 2 2 2 3 2 5" xfId="1152"/>
    <cellStyle name="Calculation 5 2 2 2 3 2 6" xfId="13495"/>
    <cellStyle name="Calculation 5 2 2 2 3 3" xfId="11575"/>
    <cellStyle name="Calculation 5 2 2 2 3 3 2" xfId="15881"/>
    <cellStyle name="Calculation 5 2 2 2 3 3 3" xfId="16960"/>
    <cellStyle name="Calculation 5 2 2 2 3 3 4" xfId="17984"/>
    <cellStyle name="Calculation 5 2 2 2 3 3 5" xfId="18954"/>
    <cellStyle name="Calculation 5 2 2 2 3 3 6" xfId="19860"/>
    <cellStyle name="Calculation 5 2 2 2 3 4" xfId="6166"/>
    <cellStyle name="Calculation 5 2 2 2 3 4 2" xfId="13898"/>
    <cellStyle name="Calculation 5 2 2 2 3 4 3" xfId="12371"/>
    <cellStyle name="Calculation 5 2 2 2 3 4 4" xfId="13314"/>
    <cellStyle name="Calculation 5 2 2 2 3 4 5" xfId="12161"/>
    <cellStyle name="Calculation 5 2 2 2 3 4 6" xfId="13289"/>
    <cellStyle name="Calculation 5 2 2 2 3 5" xfId="13451"/>
    <cellStyle name="Calculation 5 2 2 2 3 6" xfId="13341"/>
    <cellStyle name="Calculation 5 2 2 2 3 7" xfId="13579"/>
    <cellStyle name="Calculation 5 2 2 2 3 8" xfId="14346"/>
    <cellStyle name="Calculation 5 2 2 2 3 9" xfId="12821"/>
    <cellStyle name="Calculation 5 2 2 2 4" xfId="7792"/>
    <cellStyle name="Calculation 5 2 2 2 4 2" xfId="14443"/>
    <cellStyle name="Calculation 5 2 2 2 4 3" xfId="14510"/>
    <cellStyle name="Calculation 5 2 2 2 4 4" xfId="13051"/>
    <cellStyle name="Calculation 5 2 2 2 4 5" xfId="13181"/>
    <cellStyle name="Calculation 5 2 2 2 4 6" xfId="13076"/>
    <cellStyle name="Calculation 5 2 2 2 5" xfId="11375"/>
    <cellStyle name="Calculation 5 2 2 2 5 2" xfId="15681"/>
    <cellStyle name="Calculation 5 2 2 2 5 3" xfId="16760"/>
    <cellStyle name="Calculation 5 2 2 2 5 4" xfId="17789"/>
    <cellStyle name="Calculation 5 2 2 2 5 5" xfId="18759"/>
    <cellStyle name="Calculation 5 2 2 2 5 6" xfId="19665"/>
    <cellStyle name="Calculation 5 2 2 2 6" xfId="11273"/>
    <cellStyle name="Calculation 5 2 2 2 6 2" xfId="15579"/>
    <cellStyle name="Calculation 5 2 2 2 6 3" xfId="16658"/>
    <cellStyle name="Calculation 5 2 2 2 6 4" xfId="17688"/>
    <cellStyle name="Calculation 5 2 2 2 6 5" xfId="18658"/>
    <cellStyle name="Calculation 5 2 2 2 6 6" xfId="19564"/>
    <cellStyle name="Calculation 5 2 2 2 7" xfId="12746"/>
    <cellStyle name="Calculation 5 2 2 2 8" xfId="12146"/>
    <cellStyle name="Calculation 5 2 2 2 9" xfId="13087"/>
    <cellStyle name="Calculation 5 2 2 3" xfId="3914"/>
    <cellStyle name="Calculation 5 2 2 3 2" xfId="9013"/>
    <cellStyle name="Calculation 5 2 2 3 2 2" xfId="14791"/>
    <cellStyle name="Calculation 5 2 2 3 2 3" xfId="15076"/>
    <cellStyle name="Calculation 5 2 2 3 2 4" xfId="13142"/>
    <cellStyle name="Calculation 5 2 2 3 2 5" xfId="15314"/>
    <cellStyle name="Calculation 5 2 2 3 2 6" xfId="13507"/>
    <cellStyle name="Calculation 5 2 2 3 3" xfId="11481"/>
    <cellStyle name="Calculation 5 2 2 3 3 2" xfId="15787"/>
    <cellStyle name="Calculation 5 2 2 3 3 3" xfId="16866"/>
    <cellStyle name="Calculation 5 2 2 3 3 4" xfId="17892"/>
    <cellStyle name="Calculation 5 2 2 3 3 5" xfId="18862"/>
    <cellStyle name="Calculation 5 2 2 3 3 6" xfId="19768"/>
    <cellStyle name="Calculation 5 2 2 3 4" xfId="6175"/>
    <cellStyle name="Calculation 5 2 2 3 4 2" xfId="13907"/>
    <cellStyle name="Calculation 5 2 2 3 4 3" xfId="14890"/>
    <cellStyle name="Calculation 5 2 2 3 4 4" xfId="12677"/>
    <cellStyle name="Calculation 5 2 2 3 4 5" xfId="17406"/>
    <cellStyle name="Calculation 5 2 2 3 4 6" xfId="12655"/>
    <cellStyle name="Calculation 5 2 2 3 5" xfId="13103"/>
    <cellStyle name="Calculation 5 2 2 3 6" xfId="14191"/>
    <cellStyle name="Calculation 5 2 2 3 7" xfId="12274"/>
    <cellStyle name="Calculation 5 2 2 3 8" xfId="13626"/>
    <cellStyle name="Calculation 5 2 2 3 9" xfId="14763"/>
    <cellStyle name="Calculation 5 2 3" xfId="2637"/>
    <cellStyle name="Calculation 5 2 3 10" xfId="13571"/>
    <cellStyle name="Calculation 5 2 3 2" xfId="6053"/>
    <cellStyle name="Calculation 5 2 3 2 2" xfId="11149"/>
    <cellStyle name="Calculation 5 2 3 2 2 2" xfId="15455"/>
    <cellStyle name="Calculation 5 2 3 2 2 3" xfId="16534"/>
    <cellStyle name="Calculation 5 2 3 2 2 4" xfId="17568"/>
    <cellStyle name="Calculation 5 2 3 2 2 5" xfId="18538"/>
    <cellStyle name="Calculation 5 2 3 2 2 6" xfId="19444"/>
    <cellStyle name="Calculation 5 2 3 2 3" xfId="11731"/>
    <cellStyle name="Calculation 5 2 3 2 3 2" xfId="16037"/>
    <cellStyle name="Calculation 5 2 3 2 3 3" xfId="17116"/>
    <cellStyle name="Calculation 5 2 3 2 3 4" xfId="18138"/>
    <cellStyle name="Calculation 5 2 3 2 3 5" xfId="19108"/>
    <cellStyle name="Calculation 5 2 3 2 3 6" xfId="20014"/>
    <cellStyle name="Calculation 5 2 3 2 4" xfId="11903"/>
    <cellStyle name="Calculation 5 2 3 2 4 2" xfId="16209"/>
    <cellStyle name="Calculation 5 2 3 2 4 3" xfId="17288"/>
    <cellStyle name="Calculation 5 2 3 2 4 4" xfId="18306"/>
    <cellStyle name="Calculation 5 2 3 2 4 5" xfId="19276"/>
    <cellStyle name="Calculation 5 2 3 2 4 6" xfId="20182"/>
    <cellStyle name="Calculation 5 2 3 2 5" xfId="13786"/>
    <cellStyle name="Calculation 5 2 3 2 6" xfId="13693"/>
    <cellStyle name="Calculation 5 2 3 2 7" xfId="13217"/>
    <cellStyle name="Calculation 5 2 3 2 8" xfId="14963"/>
    <cellStyle name="Calculation 5 2 3 2 9" xfId="15102"/>
    <cellStyle name="Calculation 5 2 3 3" xfId="7740"/>
    <cellStyle name="Calculation 5 2 3 3 2" xfId="14406"/>
    <cellStyle name="Calculation 5 2 3 3 3" xfId="12626"/>
    <cellStyle name="Calculation 5 2 3 3 4" xfId="13290"/>
    <cellStyle name="Calculation 5 2 3 3 5" xfId="12007"/>
    <cellStyle name="Calculation 5 2 3 3 6" xfId="15075"/>
    <cellStyle name="Calculation 5 2 3 4" xfId="11339"/>
    <cellStyle name="Calculation 5 2 3 4 2" xfId="15645"/>
    <cellStyle name="Calculation 5 2 3 4 3" xfId="16724"/>
    <cellStyle name="Calculation 5 2 3 4 4" xfId="17753"/>
    <cellStyle name="Calculation 5 2 3 4 5" xfId="18723"/>
    <cellStyle name="Calculation 5 2 3 4 6" xfId="19629"/>
    <cellStyle name="Calculation 5 2 3 5" xfId="11281"/>
    <cellStyle name="Calculation 5 2 3 5 2" xfId="15587"/>
    <cellStyle name="Calculation 5 2 3 5 3" xfId="16666"/>
    <cellStyle name="Calculation 5 2 3 5 4" xfId="17696"/>
    <cellStyle name="Calculation 5 2 3 5 5" xfId="18666"/>
    <cellStyle name="Calculation 5 2 3 5 6" xfId="19572"/>
    <cellStyle name="Calculation 5 2 3 6" xfId="12707"/>
    <cellStyle name="Calculation 5 2 3 7" xfId="12926"/>
    <cellStyle name="Calculation 5 2 3 8" xfId="12091"/>
    <cellStyle name="Calculation 5 2 3 9" xfId="12316"/>
    <cellStyle name="Calculation 5 2 4" xfId="5978"/>
    <cellStyle name="Calculation 5 2 4 2" xfId="11074"/>
    <cellStyle name="Calculation 5 2 4 2 2" xfId="15380"/>
    <cellStyle name="Calculation 5 2 4 2 3" xfId="16459"/>
    <cellStyle name="Calculation 5 2 4 2 4" xfId="17494"/>
    <cellStyle name="Calculation 5 2 4 2 5" xfId="18464"/>
    <cellStyle name="Calculation 5 2 4 2 6" xfId="19370"/>
    <cellStyle name="Calculation 5 2 4 3" xfId="11656"/>
    <cellStyle name="Calculation 5 2 4 3 2" xfId="15962"/>
    <cellStyle name="Calculation 5 2 4 3 3" xfId="17041"/>
    <cellStyle name="Calculation 5 2 4 3 4" xfId="18064"/>
    <cellStyle name="Calculation 5 2 4 3 5" xfId="19034"/>
    <cellStyle name="Calculation 5 2 4 3 6" xfId="19940"/>
    <cellStyle name="Calculation 5 2 4 4" xfId="11828"/>
    <cellStyle name="Calculation 5 2 4 4 2" xfId="16134"/>
    <cellStyle name="Calculation 5 2 4 4 3" xfId="17213"/>
    <cellStyle name="Calculation 5 2 4 4 4" xfId="18232"/>
    <cellStyle name="Calculation 5 2 4 4 5" xfId="19202"/>
    <cellStyle name="Calculation 5 2 4 4 6" xfId="20108"/>
    <cellStyle name="Calculation 5 2 4 5" xfId="13711"/>
    <cellStyle name="Calculation 5 2 4 6" xfId="12859"/>
    <cellStyle name="Calculation 5 2 4 7" xfId="13988"/>
    <cellStyle name="Calculation 5 2 4 8" xfId="12143"/>
    <cellStyle name="Calculation 5 2 4 9" xfId="14648"/>
    <cellStyle name="Calculation 5 2 5" xfId="6484"/>
    <cellStyle name="Calculation 5 2 5 2" xfId="13997"/>
    <cellStyle name="Calculation 5 2 5 3" xfId="13532"/>
    <cellStyle name="Calculation 5 2 5 4" xfId="12636"/>
    <cellStyle name="Calculation 5 2 5 5" xfId="14393"/>
    <cellStyle name="Calculation 5 2 5 6" xfId="17459"/>
    <cellStyle name="Calculation 5 2 6" xfId="6706"/>
    <cellStyle name="Calculation 5 2 6 2" xfId="14102"/>
    <cellStyle name="Calculation 5 2 6 3" xfId="14867"/>
    <cellStyle name="Calculation 5 2 6 4" xfId="13386"/>
    <cellStyle name="Calculation 5 2 6 5" xfId="14986"/>
    <cellStyle name="Calculation 5 2 6 6" xfId="16313"/>
    <cellStyle name="Calculation 5 2 7" xfId="11305"/>
    <cellStyle name="Calculation 5 2 7 2" xfId="15611"/>
    <cellStyle name="Calculation 5 2 7 3" xfId="16690"/>
    <cellStyle name="Calculation 5 2 7 4" xfId="17719"/>
    <cellStyle name="Calculation 5 2 7 5" xfId="18689"/>
    <cellStyle name="Calculation 5 2 7 6" xfId="19595"/>
    <cellStyle name="Calculation 5 2 8" xfId="12199"/>
    <cellStyle name="Calculation 5 2 9" xfId="14325"/>
    <cellStyle name="Calculation 6" xfId="333"/>
    <cellStyle name="Calculation 6 2" xfId="1008"/>
    <cellStyle name="Calculation 6 2 10" xfId="13950"/>
    <cellStyle name="Calculation 6 2 11" xfId="12243"/>
    <cellStyle name="Calculation 6 2 12" xfId="14703"/>
    <cellStyle name="Calculation 6 2 2" xfId="1100"/>
    <cellStyle name="Calculation 6 2 2 2" xfId="2690"/>
    <cellStyle name="Calculation 6 2 2 2 10" xfId="15238"/>
    <cellStyle name="Calculation 6 2 2 2 11" xfId="16454"/>
    <cellStyle name="Calculation 6 2 2 2 2" xfId="6090"/>
    <cellStyle name="Calculation 6 2 2 2 2 2" xfId="11186"/>
    <cellStyle name="Calculation 6 2 2 2 2 2 2" xfId="15492"/>
    <cellStyle name="Calculation 6 2 2 2 2 2 3" xfId="16571"/>
    <cellStyle name="Calculation 6 2 2 2 2 2 4" xfId="17605"/>
    <cellStyle name="Calculation 6 2 2 2 2 2 5" xfId="18575"/>
    <cellStyle name="Calculation 6 2 2 2 2 2 6" xfId="19481"/>
    <cellStyle name="Calculation 6 2 2 2 2 3" xfId="11768"/>
    <cellStyle name="Calculation 6 2 2 2 2 3 2" xfId="16074"/>
    <cellStyle name="Calculation 6 2 2 2 2 3 3" xfId="17153"/>
    <cellStyle name="Calculation 6 2 2 2 2 3 4" xfId="18175"/>
    <cellStyle name="Calculation 6 2 2 2 2 3 5" xfId="19145"/>
    <cellStyle name="Calculation 6 2 2 2 2 3 6" xfId="20051"/>
    <cellStyle name="Calculation 6 2 2 2 2 4" xfId="11940"/>
    <cellStyle name="Calculation 6 2 2 2 2 4 2" xfId="16246"/>
    <cellStyle name="Calculation 6 2 2 2 2 4 3" xfId="17325"/>
    <cellStyle name="Calculation 6 2 2 2 2 4 4" xfId="18343"/>
    <cellStyle name="Calculation 6 2 2 2 2 4 5" xfId="19313"/>
    <cellStyle name="Calculation 6 2 2 2 2 4 6" xfId="20219"/>
    <cellStyle name="Calculation 6 2 2 2 2 5" xfId="13823"/>
    <cellStyle name="Calculation 6 2 2 2 2 6" xfId="13210"/>
    <cellStyle name="Calculation 6 2 2 2 2 7" xfId="14592"/>
    <cellStyle name="Calculation 6 2 2 2 2 8" xfId="12638"/>
    <cellStyle name="Calculation 6 2 2 2 2 9" xfId="18450"/>
    <cellStyle name="Calculation 6 2 2 2 3" xfId="5098"/>
    <cellStyle name="Calculation 6 2 2 2 3 2" xfId="10194"/>
    <cellStyle name="Calculation 6 2 2 2 3 2 2" xfId="15132"/>
    <cellStyle name="Calculation 6 2 2 2 3 2 3" xfId="12690"/>
    <cellStyle name="Calculation 6 2 2 2 3 2 4" xfId="12179"/>
    <cellStyle name="Calculation 6 2 2 2 3 2 5" xfId="13373"/>
    <cellStyle name="Calculation 6 2 2 2 3 2 6" xfId="14728"/>
    <cellStyle name="Calculation 6 2 2 2 3 3" xfId="11576"/>
    <cellStyle name="Calculation 6 2 2 2 3 3 2" xfId="15882"/>
    <cellStyle name="Calculation 6 2 2 2 3 3 3" xfId="16961"/>
    <cellStyle name="Calculation 6 2 2 2 3 3 4" xfId="17985"/>
    <cellStyle name="Calculation 6 2 2 2 3 3 5" xfId="18955"/>
    <cellStyle name="Calculation 6 2 2 2 3 3 6" xfId="19861"/>
    <cellStyle name="Calculation 6 2 2 2 3 4" xfId="11514"/>
    <cellStyle name="Calculation 6 2 2 2 3 4 2" xfId="15820"/>
    <cellStyle name="Calculation 6 2 2 2 3 4 3" xfId="16899"/>
    <cellStyle name="Calculation 6 2 2 2 3 4 4" xfId="17925"/>
    <cellStyle name="Calculation 6 2 2 2 3 4 5" xfId="18895"/>
    <cellStyle name="Calculation 6 2 2 2 3 4 6" xfId="19801"/>
    <cellStyle name="Calculation 6 2 2 2 3 5" xfId="13452"/>
    <cellStyle name="Calculation 6 2 2 2 3 6" xfId="14670"/>
    <cellStyle name="Calculation 6 2 2 2 3 7" xfId="14499"/>
    <cellStyle name="Calculation 6 2 2 2 3 8" xfId="14974"/>
    <cellStyle name="Calculation 6 2 2 2 3 9" xfId="14347"/>
    <cellStyle name="Calculation 6 2 2 2 4" xfId="7793"/>
    <cellStyle name="Calculation 6 2 2 2 4 2" xfId="14444"/>
    <cellStyle name="Calculation 6 2 2 2 4 3" xfId="15191"/>
    <cellStyle name="Calculation 6 2 2 2 4 4" xfId="16309"/>
    <cellStyle name="Calculation 6 2 2 2 4 5" xfId="13973"/>
    <cellStyle name="Calculation 6 2 2 2 4 6" xfId="17432"/>
    <cellStyle name="Calculation 6 2 2 2 5" xfId="11376"/>
    <cellStyle name="Calculation 6 2 2 2 5 2" xfId="15682"/>
    <cellStyle name="Calculation 6 2 2 2 5 3" xfId="16761"/>
    <cellStyle name="Calculation 6 2 2 2 5 4" xfId="17790"/>
    <cellStyle name="Calculation 6 2 2 2 5 5" xfId="18760"/>
    <cellStyle name="Calculation 6 2 2 2 5 6" xfId="19666"/>
    <cellStyle name="Calculation 6 2 2 2 6" xfId="11531"/>
    <cellStyle name="Calculation 6 2 2 2 6 2" xfId="15837"/>
    <cellStyle name="Calculation 6 2 2 2 6 3" xfId="16916"/>
    <cellStyle name="Calculation 6 2 2 2 6 4" xfId="17941"/>
    <cellStyle name="Calculation 6 2 2 2 6 5" xfId="18911"/>
    <cellStyle name="Calculation 6 2 2 2 6 6" xfId="19817"/>
    <cellStyle name="Calculation 6 2 2 2 7" xfId="12747"/>
    <cellStyle name="Calculation 6 2 2 2 8" xfId="12621"/>
    <cellStyle name="Calculation 6 2 2 2 9" xfId="13294"/>
    <cellStyle name="Calculation 6 2 2 3" xfId="3915"/>
    <cellStyle name="Calculation 6 2 2 3 2" xfId="9014"/>
    <cellStyle name="Calculation 6 2 2 3 2 2" xfId="14792"/>
    <cellStyle name="Calculation 6 2 2 3 2 3" xfId="13404"/>
    <cellStyle name="Calculation 6 2 2 3 2 4" xfId="15256"/>
    <cellStyle name="Calculation 6 2 2 3 2 5" xfId="12510"/>
    <cellStyle name="Calculation 6 2 2 3 2 6" xfId="13434"/>
    <cellStyle name="Calculation 6 2 2 3 3" xfId="11482"/>
    <cellStyle name="Calculation 6 2 2 3 3 2" xfId="15788"/>
    <cellStyle name="Calculation 6 2 2 3 3 3" xfId="16867"/>
    <cellStyle name="Calculation 6 2 2 3 3 4" xfId="17893"/>
    <cellStyle name="Calculation 6 2 2 3 3 5" xfId="18863"/>
    <cellStyle name="Calculation 6 2 2 3 3 6" xfId="19769"/>
    <cellStyle name="Calculation 6 2 2 3 4" xfId="6180"/>
    <cellStyle name="Calculation 6 2 2 3 4 2" xfId="13912"/>
    <cellStyle name="Calculation 6 2 2 3 4 3" xfId="12846"/>
    <cellStyle name="Calculation 6 2 2 3 4 4" xfId="12253"/>
    <cellStyle name="Calculation 6 2 2 3 4 5" xfId="15325"/>
    <cellStyle name="Calculation 6 2 2 3 4 6" xfId="1146"/>
    <cellStyle name="Calculation 6 2 2 3 5" xfId="13104"/>
    <cellStyle name="Calculation 6 2 2 3 6" xfId="14951"/>
    <cellStyle name="Calculation 6 2 2 3 7" xfId="14834"/>
    <cellStyle name="Calculation 6 2 2 3 8" xfId="17443"/>
    <cellStyle name="Calculation 6 2 2 3 9" xfId="15373"/>
    <cellStyle name="Calculation 6 2 3" xfId="2638"/>
    <cellStyle name="Calculation 6 2 3 10" xfId="14339"/>
    <cellStyle name="Calculation 6 2 3 2" xfId="6054"/>
    <cellStyle name="Calculation 6 2 3 2 2" xfId="11150"/>
    <cellStyle name="Calculation 6 2 3 2 2 2" xfId="15456"/>
    <cellStyle name="Calculation 6 2 3 2 2 3" xfId="16535"/>
    <cellStyle name="Calculation 6 2 3 2 2 4" xfId="17569"/>
    <cellStyle name="Calculation 6 2 3 2 2 5" xfId="18539"/>
    <cellStyle name="Calculation 6 2 3 2 2 6" xfId="19445"/>
    <cellStyle name="Calculation 6 2 3 2 3" xfId="11732"/>
    <cellStyle name="Calculation 6 2 3 2 3 2" xfId="16038"/>
    <cellStyle name="Calculation 6 2 3 2 3 3" xfId="17117"/>
    <cellStyle name="Calculation 6 2 3 2 3 4" xfId="18139"/>
    <cellStyle name="Calculation 6 2 3 2 3 5" xfId="19109"/>
    <cellStyle name="Calculation 6 2 3 2 3 6" xfId="20015"/>
    <cellStyle name="Calculation 6 2 3 2 4" xfId="11904"/>
    <cellStyle name="Calculation 6 2 3 2 4 2" xfId="16210"/>
    <cellStyle name="Calculation 6 2 3 2 4 3" xfId="17289"/>
    <cellStyle name="Calculation 6 2 3 2 4 4" xfId="18307"/>
    <cellStyle name="Calculation 6 2 3 2 4 5" xfId="19277"/>
    <cellStyle name="Calculation 6 2 3 2 4 6" xfId="20183"/>
    <cellStyle name="Calculation 6 2 3 2 5" xfId="13787"/>
    <cellStyle name="Calculation 6 2 3 2 6" xfId="12994"/>
    <cellStyle name="Calculation 6 2 3 2 7" xfId="14960"/>
    <cellStyle name="Calculation 6 2 3 2 8" xfId="14781"/>
    <cellStyle name="Calculation 6 2 3 2 9" xfId="16444"/>
    <cellStyle name="Calculation 6 2 3 3" xfId="7741"/>
    <cellStyle name="Calculation 6 2 3 3 2" xfId="14407"/>
    <cellStyle name="Calculation 6 2 3 3 3" xfId="12070"/>
    <cellStyle name="Calculation 6 2 3 3 4" xfId="14303"/>
    <cellStyle name="Calculation 6 2 3 3 5" xfId="14586"/>
    <cellStyle name="Calculation 6 2 3 3 6" xfId="18397"/>
    <cellStyle name="Calculation 6 2 3 4" xfId="11340"/>
    <cellStyle name="Calculation 6 2 3 4 2" xfId="15646"/>
    <cellStyle name="Calculation 6 2 3 4 3" xfId="16725"/>
    <cellStyle name="Calculation 6 2 3 4 4" xfId="17754"/>
    <cellStyle name="Calculation 6 2 3 4 5" xfId="18724"/>
    <cellStyle name="Calculation 6 2 3 4 6" xfId="19630"/>
    <cellStyle name="Calculation 6 2 3 5" xfId="11534"/>
    <cellStyle name="Calculation 6 2 3 5 2" xfId="15840"/>
    <cellStyle name="Calculation 6 2 3 5 3" xfId="16919"/>
    <cellStyle name="Calculation 6 2 3 5 4" xfId="17944"/>
    <cellStyle name="Calculation 6 2 3 5 5" xfId="18914"/>
    <cellStyle name="Calculation 6 2 3 5 6" xfId="19820"/>
    <cellStyle name="Calculation 6 2 3 6" xfId="12708"/>
    <cellStyle name="Calculation 6 2 3 7" xfId="12493"/>
    <cellStyle name="Calculation 6 2 3 8" xfId="14340"/>
    <cellStyle name="Calculation 6 2 3 9" xfId="15316"/>
    <cellStyle name="Calculation 6 2 4" xfId="5979"/>
    <cellStyle name="Calculation 6 2 4 2" xfId="11075"/>
    <cellStyle name="Calculation 6 2 4 2 2" xfId="15381"/>
    <cellStyle name="Calculation 6 2 4 2 3" xfId="16460"/>
    <cellStyle name="Calculation 6 2 4 2 4" xfId="17495"/>
    <cellStyle name="Calculation 6 2 4 2 5" xfId="18465"/>
    <cellStyle name="Calculation 6 2 4 2 6" xfId="19371"/>
    <cellStyle name="Calculation 6 2 4 3" xfId="11657"/>
    <cellStyle name="Calculation 6 2 4 3 2" xfId="15963"/>
    <cellStyle name="Calculation 6 2 4 3 3" xfId="17042"/>
    <cellStyle name="Calculation 6 2 4 3 4" xfId="18065"/>
    <cellStyle name="Calculation 6 2 4 3 5" xfId="19035"/>
    <cellStyle name="Calculation 6 2 4 3 6" xfId="19941"/>
    <cellStyle name="Calculation 6 2 4 4" xfId="11829"/>
    <cellStyle name="Calculation 6 2 4 4 2" xfId="16135"/>
    <cellStyle name="Calculation 6 2 4 4 3" xfId="17214"/>
    <cellStyle name="Calculation 6 2 4 4 4" xfId="18233"/>
    <cellStyle name="Calculation 6 2 4 4 5" xfId="19203"/>
    <cellStyle name="Calculation 6 2 4 4 6" xfId="20109"/>
    <cellStyle name="Calculation 6 2 4 5" xfId="13712"/>
    <cellStyle name="Calculation 6 2 4 6" xfId="12385"/>
    <cellStyle name="Calculation 6 2 4 7" xfId="14253"/>
    <cellStyle name="Calculation 6 2 4 8" xfId="13287"/>
    <cellStyle name="Calculation 6 2 4 9" xfId="12108"/>
    <cellStyle name="Calculation 6 2 5" xfId="6485"/>
    <cellStyle name="Calculation 6 2 5 2" xfId="13998"/>
    <cellStyle name="Calculation 6 2 5 3" xfId="12839"/>
    <cellStyle name="Calculation 6 2 5 4" xfId="14764"/>
    <cellStyle name="Calculation 6 2 5 5" xfId="15251"/>
    <cellStyle name="Calculation 6 2 5 6" xfId="14311"/>
    <cellStyle name="Calculation 6 2 6" xfId="6164"/>
    <cellStyle name="Calculation 6 2 6 2" xfId="13896"/>
    <cellStyle name="Calculation 6 2 6 3" xfId="13540"/>
    <cellStyle name="Calculation 6 2 6 4" xfId="15246"/>
    <cellStyle name="Calculation 6 2 6 5" xfId="12125"/>
    <cellStyle name="Calculation 6 2 6 6" xfId="17394"/>
    <cellStyle name="Calculation 6 2 7" xfId="11557"/>
    <cellStyle name="Calculation 6 2 7 2" xfId="15863"/>
    <cellStyle name="Calculation 6 2 7 3" xfId="16942"/>
    <cellStyle name="Calculation 6 2 7 4" xfId="17967"/>
    <cellStyle name="Calculation 6 2 7 5" xfId="18937"/>
    <cellStyle name="Calculation 6 2 7 6" xfId="19843"/>
    <cellStyle name="Calculation 6 2 8" xfId="12200"/>
    <cellStyle name="Calculation 6 2 9" xfId="15044"/>
    <cellStyle name="Calculation 7" xfId="334"/>
    <cellStyle name="Calculation 7 2" xfId="1009"/>
    <cellStyle name="Calculation 7 2 10" xfId="13232"/>
    <cellStyle name="Calculation 7 2 11" xfId="13296"/>
    <cellStyle name="Calculation 7 2 12" xfId="14300"/>
    <cellStyle name="Calculation 7 2 2" xfId="1101"/>
    <cellStyle name="Calculation 7 2 2 2" xfId="2691"/>
    <cellStyle name="Calculation 7 2 2 2 10" xfId="16428"/>
    <cellStyle name="Calculation 7 2 2 2 11" xfId="12323"/>
    <cellStyle name="Calculation 7 2 2 2 2" xfId="6091"/>
    <cellStyle name="Calculation 7 2 2 2 2 2" xfId="11187"/>
    <cellStyle name="Calculation 7 2 2 2 2 2 2" xfId="15493"/>
    <cellStyle name="Calculation 7 2 2 2 2 2 3" xfId="16572"/>
    <cellStyle name="Calculation 7 2 2 2 2 2 4" xfId="17606"/>
    <cellStyle name="Calculation 7 2 2 2 2 2 5" xfId="18576"/>
    <cellStyle name="Calculation 7 2 2 2 2 2 6" xfId="19482"/>
    <cellStyle name="Calculation 7 2 2 2 2 3" xfId="11769"/>
    <cellStyle name="Calculation 7 2 2 2 2 3 2" xfId="16075"/>
    <cellStyle name="Calculation 7 2 2 2 2 3 3" xfId="17154"/>
    <cellStyle name="Calculation 7 2 2 2 2 3 4" xfId="18176"/>
    <cellStyle name="Calculation 7 2 2 2 2 3 5" xfId="19146"/>
    <cellStyle name="Calculation 7 2 2 2 2 3 6" xfId="20052"/>
    <cellStyle name="Calculation 7 2 2 2 2 4" xfId="11941"/>
    <cellStyle name="Calculation 7 2 2 2 2 4 2" xfId="16247"/>
    <cellStyle name="Calculation 7 2 2 2 2 4 3" xfId="17326"/>
    <cellStyle name="Calculation 7 2 2 2 2 4 4" xfId="18344"/>
    <cellStyle name="Calculation 7 2 2 2 2 4 5" xfId="19314"/>
    <cellStyle name="Calculation 7 2 2 2 2 4 6" xfId="20220"/>
    <cellStyle name="Calculation 7 2 2 2 2 5" xfId="13824"/>
    <cellStyle name="Calculation 7 2 2 2 2 6" xfId="14553"/>
    <cellStyle name="Calculation 7 2 2 2 2 7" xfId="15183"/>
    <cellStyle name="Calculation 7 2 2 2 2 8" xfId="14526"/>
    <cellStyle name="Calculation 7 2 2 2 2 9" xfId="17423"/>
    <cellStyle name="Calculation 7 2 2 2 3" xfId="5099"/>
    <cellStyle name="Calculation 7 2 2 2 3 2" xfId="10195"/>
    <cellStyle name="Calculation 7 2 2 2 3 2 2" xfId="15133"/>
    <cellStyle name="Calculation 7 2 2 2 3 2 3" xfId="14054"/>
    <cellStyle name="Calculation 7 2 2 2 3 2 4" xfId="14872"/>
    <cellStyle name="Calculation 7 2 2 2 3 2 5" xfId="12670"/>
    <cellStyle name="Calculation 7 2 2 2 3 2 6" xfId="16329"/>
    <cellStyle name="Calculation 7 2 2 2 3 3" xfId="11577"/>
    <cellStyle name="Calculation 7 2 2 2 3 3 2" xfId="15883"/>
    <cellStyle name="Calculation 7 2 2 2 3 3 3" xfId="16962"/>
    <cellStyle name="Calculation 7 2 2 2 3 3 4" xfId="17986"/>
    <cellStyle name="Calculation 7 2 2 2 3 3 5" xfId="18956"/>
    <cellStyle name="Calculation 7 2 2 2 3 3 6" xfId="19862"/>
    <cellStyle name="Calculation 7 2 2 2 3 4" xfId="11608"/>
    <cellStyle name="Calculation 7 2 2 2 3 4 2" xfId="15914"/>
    <cellStyle name="Calculation 7 2 2 2 3 4 3" xfId="16993"/>
    <cellStyle name="Calculation 7 2 2 2 3 4 4" xfId="18017"/>
    <cellStyle name="Calculation 7 2 2 2 3 4 5" xfId="18987"/>
    <cellStyle name="Calculation 7 2 2 2 3 4 6" xfId="19893"/>
    <cellStyle name="Calculation 7 2 2 2 3 5" xfId="13453"/>
    <cellStyle name="Calculation 7 2 2 2 3 6" xfId="15352"/>
    <cellStyle name="Calculation 7 2 2 2 3 7" xfId="16434"/>
    <cellStyle name="Calculation 7 2 2 2 3 8" xfId="14338"/>
    <cellStyle name="Calculation 7 2 2 2 3 9" xfId="18447"/>
    <cellStyle name="Calculation 7 2 2 2 4" xfId="7794"/>
    <cellStyle name="Calculation 7 2 2 2 4 2" xfId="14445"/>
    <cellStyle name="Calculation 7 2 2 2 4 3" xfId="13511"/>
    <cellStyle name="Calculation 7 2 2 2 4 4" xfId="14168"/>
    <cellStyle name="Calculation 7 2 2 2 4 5" xfId="12024"/>
    <cellStyle name="Calculation 7 2 2 2 4 6" xfId="14376"/>
    <cellStyle name="Calculation 7 2 2 2 5" xfId="11377"/>
    <cellStyle name="Calculation 7 2 2 2 5 2" xfId="15683"/>
    <cellStyle name="Calculation 7 2 2 2 5 3" xfId="16762"/>
    <cellStyle name="Calculation 7 2 2 2 5 4" xfId="17791"/>
    <cellStyle name="Calculation 7 2 2 2 5 5" xfId="18761"/>
    <cellStyle name="Calculation 7 2 2 2 5 6" xfId="19667"/>
    <cellStyle name="Calculation 7 2 2 2 6" xfId="11622"/>
    <cellStyle name="Calculation 7 2 2 2 6 2" xfId="15928"/>
    <cellStyle name="Calculation 7 2 2 2 6 3" xfId="17007"/>
    <cellStyle name="Calculation 7 2 2 2 6 4" xfId="18031"/>
    <cellStyle name="Calculation 7 2 2 2 6 5" xfId="19001"/>
    <cellStyle name="Calculation 7 2 2 2 6 6" xfId="19907"/>
    <cellStyle name="Calculation 7 2 2 2 7" xfId="12748"/>
    <cellStyle name="Calculation 7 2 2 2 8" xfId="12063"/>
    <cellStyle name="Calculation 7 2 2 2 9" xfId="14683"/>
    <cellStyle name="Calculation 7 2 2 3" xfId="3916"/>
    <cellStyle name="Calculation 7 2 2 3 2" xfId="9015"/>
    <cellStyle name="Calculation 7 2 2 3 2 2" xfId="14793"/>
    <cellStyle name="Calculation 7 2 2 3 2 3" xfId="12658"/>
    <cellStyle name="Calculation 7 2 2 3 2 4" xfId="12932"/>
    <cellStyle name="Calculation 7 2 2 3 2 5" xfId="13582"/>
    <cellStyle name="Calculation 7 2 2 3 2 6" xfId="12145"/>
    <cellStyle name="Calculation 7 2 2 3 3" xfId="11483"/>
    <cellStyle name="Calculation 7 2 2 3 3 2" xfId="15789"/>
    <cellStyle name="Calculation 7 2 2 3 3 3" xfId="16868"/>
    <cellStyle name="Calculation 7 2 2 3 3 4" xfId="17894"/>
    <cellStyle name="Calculation 7 2 2 3 3 5" xfId="18864"/>
    <cellStyle name="Calculation 7 2 2 3 3 6" xfId="19770"/>
    <cellStyle name="Calculation 7 2 2 3 4" xfId="6176"/>
    <cellStyle name="Calculation 7 2 2 3 4 2" xfId="13908"/>
    <cellStyle name="Calculation 7 2 2 3 4 3" xfId="13202"/>
    <cellStyle name="Calculation 7 2 2 3 4 4" xfId="12895"/>
    <cellStyle name="Calculation 7 2 2 3 4 5" xfId="12701"/>
    <cellStyle name="Calculation 7 2 2 3 4 6" xfId="14152"/>
    <cellStyle name="Calculation 7 2 2 3 5" xfId="13105"/>
    <cellStyle name="Calculation 7 2 2 3 6" xfId="13256"/>
    <cellStyle name="Calculation 7 2 2 3 7" xfId="14933"/>
    <cellStyle name="Calculation 7 2 2 3 8" xfId="12568"/>
    <cellStyle name="Calculation 7 2 2 3 9" xfId="17436"/>
    <cellStyle name="Calculation 7 2 3" xfId="2639"/>
    <cellStyle name="Calculation 7 2 3 10" xfId="14579"/>
    <cellStyle name="Calculation 7 2 3 2" xfId="6055"/>
    <cellStyle name="Calculation 7 2 3 2 2" xfId="11151"/>
    <cellStyle name="Calculation 7 2 3 2 2 2" xfId="15457"/>
    <cellStyle name="Calculation 7 2 3 2 2 3" xfId="16536"/>
    <cellStyle name="Calculation 7 2 3 2 2 4" xfId="17570"/>
    <cellStyle name="Calculation 7 2 3 2 2 5" xfId="18540"/>
    <cellStyle name="Calculation 7 2 3 2 2 6" xfId="19446"/>
    <cellStyle name="Calculation 7 2 3 2 3" xfId="11733"/>
    <cellStyle name="Calculation 7 2 3 2 3 2" xfId="16039"/>
    <cellStyle name="Calculation 7 2 3 2 3 3" xfId="17118"/>
    <cellStyle name="Calculation 7 2 3 2 3 4" xfId="18140"/>
    <cellStyle name="Calculation 7 2 3 2 3 5" xfId="19110"/>
    <cellStyle name="Calculation 7 2 3 2 3 6" xfId="20016"/>
    <cellStyle name="Calculation 7 2 3 2 4" xfId="11905"/>
    <cellStyle name="Calculation 7 2 3 2 4 2" xfId="16211"/>
    <cellStyle name="Calculation 7 2 3 2 4 3" xfId="17290"/>
    <cellStyle name="Calculation 7 2 3 2 4 4" xfId="18308"/>
    <cellStyle name="Calculation 7 2 3 2 4 5" xfId="19278"/>
    <cellStyle name="Calculation 7 2 3 2 4 6" xfId="20184"/>
    <cellStyle name="Calculation 7 2 3 2 5" xfId="13788"/>
    <cellStyle name="Calculation 7 2 3 2 6" xfId="12592"/>
    <cellStyle name="Calculation 7 2 3 2 7" xfId="12505"/>
    <cellStyle name="Calculation 7 2 3 2 8" xfId="17477"/>
    <cellStyle name="Calculation 7 2 3 2 9" xfId="13435"/>
    <cellStyle name="Calculation 7 2 3 3" xfId="7742"/>
    <cellStyle name="Calculation 7 2 3 3 2" xfId="14408"/>
    <cellStyle name="Calculation 7 2 3 3 3" xfId="13972"/>
    <cellStyle name="Calculation 7 2 3 3 4" xfId="14130"/>
    <cellStyle name="Calculation 7 2 3 3 5" xfId="16435"/>
    <cellStyle name="Calculation 7 2 3 3 6" xfId="12792"/>
    <cellStyle name="Calculation 7 2 3 4" xfId="11341"/>
    <cellStyle name="Calculation 7 2 3 4 2" xfId="15647"/>
    <cellStyle name="Calculation 7 2 3 4 3" xfId="16726"/>
    <cellStyle name="Calculation 7 2 3 4 4" xfId="17755"/>
    <cellStyle name="Calculation 7 2 3 4 5" xfId="18725"/>
    <cellStyle name="Calculation 7 2 3 4 6" xfId="19631"/>
    <cellStyle name="Calculation 7 2 3 5" xfId="11625"/>
    <cellStyle name="Calculation 7 2 3 5 2" xfId="15931"/>
    <cellStyle name="Calculation 7 2 3 5 3" xfId="17010"/>
    <cellStyle name="Calculation 7 2 3 5 4" xfId="18034"/>
    <cellStyle name="Calculation 7 2 3 5 5" xfId="19004"/>
    <cellStyle name="Calculation 7 2 3 5 6" xfId="19910"/>
    <cellStyle name="Calculation 7 2 3 6" xfId="12709"/>
    <cellStyle name="Calculation 7 2 3 7" xfId="12247"/>
    <cellStyle name="Calculation 7 2 3 8" xfId="12552"/>
    <cellStyle name="Calculation 7 2 3 9" xfId="12356"/>
    <cellStyle name="Calculation 7 2 4" xfId="5980"/>
    <cellStyle name="Calculation 7 2 4 2" xfId="11076"/>
    <cellStyle name="Calculation 7 2 4 2 2" xfId="15382"/>
    <cellStyle name="Calculation 7 2 4 2 3" xfId="16461"/>
    <cellStyle name="Calculation 7 2 4 2 4" xfId="17496"/>
    <cellStyle name="Calculation 7 2 4 2 5" xfId="18466"/>
    <cellStyle name="Calculation 7 2 4 2 6" xfId="19372"/>
    <cellStyle name="Calculation 7 2 4 3" xfId="11658"/>
    <cellStyle name="Calculation 7 2 4 3 2" xfId="15964"/>
    <cellStyle name="Calculation 7 2 4 3 3" xfId="17043"/>
    <cellStyle name="Calculation 7 2 4 3 4" xfId="18066"/>
    <cellStyle name="Calculation 7 2 4 3 5" xfId="19036"/>
    <cellStyle name="Calculation 7 2 4 3 6" xfId="19942"/>
    <cellStyle name="Calculation 7 2 4 4" xfId="11830"/>
    <cellStyle name="Calculation 7 2 4 4 2" xfId="16136"/>
    <cellStyle name="Calculation 7 2 4 4 3" xfId="17215"/>
    <cellStyle name="Calculation 7 2 4 4 4" xfId="18234"/>
    <cellStyle name="Calculation 7 2 4 4 5" xfId="19204"/>
    <cellStyle name="Calculation 7 2 4 4 6" xfId="20110"/>
    <cellStyle name="Calculation 7 2 4 5" xfId="13713"/>
    <cellStyle name="Calculation 7 2 4 6" xfId="12384"/>
    <cellStyle name="Calculation 7 2 4 7" xfId="12536"/>
    <cellStyle name="Calculation 7 2 4 8" xfId="17420"/>
    <cellStyle name="Calculation 7 2 4 9" xfId="13071"/>
    <cellStyle name="Calculation 7 2 5" xfId="6486"/>
    <cellStyle name="Calculation 7 2 5 2" xfId="13999"/>
    <cellStyle name="Calculation 7 2 5 3" xfId="12364"/>
    <cellStyle name="Calculation 7 2 5 4" xfId="12957"/>
    <cellStyle name="Calculation 7 2 5 5" xfId="17402"/>
    <cellStyle name="Calculation 7 2 5 6" xfId="12431"/>
    <cellStyle name="Calculation 7 2 6" xfId="6705"/>
    <cellStyle name="Calculation 7 2 6 2" xfId="14101"/>
    <cellStyle name="Calculation 7 2 6 3" xfId="14113"/>
    <cellStyle name="Calculation 7 2 6 4" xfId="14525"/>
    <cellStyle name="Calculation 7 2 6 5" xfId="12695"/>
    <cellStyle name="Calculation 7 2 6 6" xfId="15375"/>
    <cellStyle name="Calculation 7 2 7" xfId="11646"/>
    <cellStyle name="Calculation 7 2 7 2" xfId="15952"/>
    <cellStyle name="Calculation 7 2 7 3" xfId="17031"/>
    <cellStyle name="Calculation 7 2 7 4" xfId="18055"/>
    <cellStyle name="Calculation 7 2 7 5" xfId="19025"/>
    <cellStyle name="Calculation 7 2 7 6" xfId="19931"/>
    <cellStyle name="Calculation 7 2 8" xfId="12201"/>
    <cellStyle name="Calculation 7 2 9" xfId="13371"/>
    <cellStyle name="Calculation 8" xfId="335"/>
    <cellStyle name="Calculation 8 2" xfId="1010"/>
    <cellStyle name="Calculation 8 2 10" xfId="14977"/>
    <cellStyle name="Calculation 8 2 11" xfId="12928"/>
    <cellStyle name="Calculation 8 2 12" xfId="17452"/>
    <cellStyle name="Calculation 8 2 2" xfId="1102"/>
    <cellStyle name="Calculation 8 2 2 2" xfId="2692"/>
    <cellStyle name="Calculation 8 2 2 2 10" xfId="12654"/>
    <cellStyle name="Calculation 8 2 2 2 11" xfId="14616"/>
    <cellStyle name="Calculation 8 2 2 2 2" xfId="6092"/>
    <cellStyle name="Calculation 8 2 2 2 2 2" xfId="11188"/>
    <cellStyle name="Calculation 8 2 2 2 2 2 2" xfId="15494"/>
    <cellStyle name="Calculation 8 2 2 2 2 2 3" xfId="16573"/>
    <cellStyle name="Calculation 8 2 2 2 2 2 4" xfId="17607"/>
    <cellStyle name="Calculation 8 2 2 2 2 2 5" xfId="18577"/>
    <cellStyle name="Calculation 8 2 2 2 2 2 6" xfId="19483"/>
    <cellStyle name="Calculation 8 2 2 2 2 3" xfId="11770"/>
    <cellStyle name="Calculation 8 2 2 2 2 3 2" xfId="16076"/>
    <cellStyle name="Calculation 8 2 2 2 2 3 3" xfId="17155"/>
    <cellStyle name="Calculation 8 2 2 2 2 3 4" xfId="18177"/>
    <cellStyle name="Calculation 8 2 2 2 2 3 5" xfId="19147"/>
    <cellStyle name="Calculation 8 2 2 2 2 3 6" xfId="20053"/>
    <cellStyle name="Calculation 8 2 2 2 2 4" xfId="11942"/>
    <cellStyle name="Calculation 8 2 2 2 2 4 2" xfId="16248"/>
    <cellStyle name="Calculation 8 2 2 2 2 4 3" xfId="17327"/>
    <cellStyle name="Calculation 8 2 2 2 2 4 4" xfId="18345"/>
    <cellStyle name="Calculation 8 2 2 2 2 4 5" xfId="19315"/>
    <cellStyle name="Calculation 8 2 2 2 2 4 6" xfId="20221"/>
    <cellStyle name="Calculation 8 2 2 2 2 5" xfId="13825"/>
    <cellStyle name="Calculation 8 2 2 2 2 6" xfId="15230"/>
    <cellStyle name="Calculation 8 2 2 2 2 7" xfId="16342"/>
    <cellStyle name="Calculation 8 2 2 2 2 8" xfId="12783"/>
    <cellStyle name="Calculation 8 2 2 2 2 9" xfId="14379"/>
    <cellStyle name="Calculation 8 2 2 2 3" xfId="5100"/>
    <cellStyle name="Calculation 8 2 2 2 3 2" xfId="10196"/>
    <cellStyle name="Calculation 8 2 2 2 3 2 2" xfId="15134"/>
    <cellStyle name="Calculation 8 2 2 2 3 2 3" xfId="14828"/>
    <cellStyle name="Calculation 8 2 2 2 3 2 4" xfId="13154"/>
    <cellStyle name="Calculation 8 2 2 2 3 2 5" xfId="14641"/>
    <cellStyle name="Calculation 8 2 2 2 3 2 6" xfId="14271"/>
    <cellStyle name="Calculation 8 2 2 2 3 3" xfId="11578"/>
    <cellStyle name="Calculation 8 2 2 2 3 3 2" xfId="15884"/>
    <cellStyle name="Calculation 8 2 2 2 3 3 3" xfId="16963"/>
    <cellStyle name="Calculation 8 2 2 2 3 3 4" xfId="17987"/>
    <cellStyle name="Calculation 8 2 2 2 3 3 5" xfId="18957"/>
    <cellStyle name="Calculation 8 2 2 2 3 3 6" xfId="19863"/>
    <cellStyle name="Calculation 8 2 2 2 3 4" xfId="11414"/>
    <cellStyle name="Calculation 8 2 2 2 3 4 2" xfId="15720"/>
    <cellStyle name="Calculation 8 2 2 2 3 4 3" xfId="16799"/>
    <cellStyle name="Calculation 8 2 2 2 3 4 4" xfId="17828"/>
    <cellStyle name="Calculation 8 2 2 2 3 4 5" xfId="18798"/>
    <cellStyle name="Calculation 8 2 2 2 3 4 6" xfId="19704"/>
    <cellStyle name="Calculation 8 2 2 2 3 5" xfId="13454"/>
    <cellStyle name="Calculation 8 2 2 2 3 6" xfId="13685"/>
    <cellStyle name="Calculation 8 2 2 2 3 7" xfId="14903"/>
    <cellStyle name="Calculation 8 2 2 2 3 8" xfId="12058"/>
    <cellStyle name="Calculation 8 2 2 2 3 9" xfId="17422"/>
    <cellStyle name="Calculation 8 2 2 2 4" xfId="7795"/>
    <cellStyle name="Calculation 8 2 2 2 4 2" xfId="14446"/>
    <cellStyle name="Calculation 8 2 2 2 4 3" xfId="12814"/>
    <cellStyle name="Calculation 8 2 2 2 4 4" xfId="12478"/>
    <cellStyle name="Calculation 8 2 2 2 4 5" xfId="13023"/>
    <cellStyle name="Calculation 8 2 2 2 4 6" xfId="13009"/>
    <cellStyle name="Calculation 8 2 2 2 5" xfId="11378"/>
    <cellStyle name="Calculation 8 2 2 2 5 2" xfId="15684"/>
    <cellStyle name="Calculation 8 2 2 2 5 3" xfId="16763"/>
    <cellStyle name="Calculation 8 2 2 2 5 4" xfId="17792"/>
    <cellStyle name="Calculation 8 2 2 2 5 5" xfId="18762"/>
    <cellStyle name="Calculation 8 2 2 2 5 6" xfId="19668"/>
    <cellStyle name="Calculation 8 2 2 2 6" xfId="11434"/>
    <cellStyle name="Calculation 8 2 2 2 6 2" xfId="15740"/>
    <cellStyle name="Calculation 8 2 2 2 6 3" xfId="16819"/>
    <cellStyle name="Calculation 8 2 2 2 6 4" xfId="17847"/>
    <cellStyle name="Calculation 8 2 2 2 6 5" xfId="18817"/>
    <cellStyle name="Calculation 8 2 2 2 6 6" xfId="19723"/>
    <cellStyle name="Calculation 8 2 2 2 7" xfId="12749"/>
    <cellStyle name="Calculation 8 2 2 2 8" xfId="12062"/>
    <cellStyle name="Calculation 8 2 2 2 9" xfId="12574"/>
    <cellStyle name="Calculation 8 2 2 3" xfId="3917"/>
    <cellStyle name="Calculation 8 2 2 3 2" xfId="9016"/>
    <cellStyle name="Calculation 8 2 2 3 2 2" xfId="14794"/>
    <cellStyle name="Calculation 8 2 2 3 2 3" xfId="12094"/>
    <cellStyle name="Calculation 8 2 2 3 2 4" xfId="13691"/>
    <cellStyle name="Calculation 8 2 2 3 2 5" xfId="12087"/>
    <cellStyle name="Calculation 8 2 2 3 2 6" xfId="12469"/>
    <cellStyle name="Calculation 8 2 2 3 3" xfId="11484"/>
    <cellStyle name="Calculation 8 2 2 3 3 2" xfId="15790"/>
    <cellStyle name="Calculation 8 2 2 3 3 3" xfId="16869"/>
    <cellStyle name="Calculation 8 2 2 3 3 4" xfId="17895"/>
    <cellStyle name="Calculation 8 2 2 3 3 5" xfId="18865"/>
    <cellStyle name="Calculation 8 2 2 3 3 6" xfId="19771"/>
    <cellStyle name="Calculation 8 2 2 3 4" xfId="11249"/>
    <cellStyle name="Calculation 8 2 2 3 4 2" xfId="15555"/>
    <cellStyle name="Calculation 8 2 2 3 4 3" xfId="16634"/>
    <cellStyle name="Calculation 8 2 2 3 4 4" xfId="17666"/>
    <cellStyle name="Calculation 8 2 2 3 4 5" xfId="18636"/>
    <cellStyle name="Calculation 8 2 2 3 4 6" xfId="19542"/>
    <cellStyle name="Calculation 8 2 2 3 5" xfId="13106"/>
    <cellStyle name="Calculation 8 2 2 3 6" xfId="14602"/>
    <cellStyle name="Calculation 8 2 2 3 7" xfId="12805"/>
    <cellStyle name="Calculation 8 2 2 3 8" xfId="13007"/>
    <cellStyle name="Calculation 8 2 2 3 9" xfId="13316"/>
    <cellStyle name="Calculation 8 2 3" xfId="2640"/>
    <cellStyle name="Calculation 8 2 3 10" xfId="12092"/>
    <cellStyle name="Calculation 8 2 3 2" xfId="6056"/>
    <cellStyle name="Calculation 8 2 3 2 2" xfId="11152"/>
    <cellStyle name="Calculation 8 2 3 2 2 2" xfId="15458"/>
    <cellStyle name="Calculation 8 2 3 2 2 3" xfId="16537"/>
    <cellStyle name="Calculation 8 2 3 2 2 4" xfId="17571"/>
    <cellStyle name="Calculation 8 2 3 2 2 5" xfId="18541"/>
    <cellStyle name="Calculation 8 2 3 2 2 6" xfId="19447"/>
    <cellStyle name="Calculation 8 2 3 2 3" xfId="11734"/>
    <cellStyle name="Calculation 8 2 3 2 3 2" xfId="16040"/>
    <cellStyle name="Calculation 8 2 3 2 3 3" xfId="17119"/>
    <cellStyle name="Calculation 8 2 3 2 3 4" xfId="18141"/>
    <cellStyle name="Calculation 8 2 3 2 3 5" xfId="19111"/>
    <cellStyle name="Calculation 8 2 3 2 3 6" xfId="20017"/>
    <cellStyle name="Calculation 8 2 3 2 4" xfId="11906"/>
    <cellStyle name="Calculation 8 2 3 2 4 2" xfId="16212"/>
    <cellStyle name="Calculation 8 2 3 2 4 3" xfId="17291"/>
    <cellStyle name="Calculation 8 2 3 2 4 4" xfId="18309"/>
    <cellStyle name="Calculation 8 2 3 2 4 5" xfId="19279"/>
    <cellStyle name="Calculation 8 2 3 2 4 6" xfId="20185"/>
    <cellStyle name="Calculation 8 2 3 2 5" xfId="13789"/>
    <cellStyle name="Calculation 8 2 3 2 6" xfId="14289"/>
    <cellStyle name="Calculation 8 2 3 2 7" xfId="14330"/>
    <cellStyle name="Calculation 8 2 3 2 8" xfId="14185"/>
    <cellStyle name="Calculation 8 2 3 2 9" xfId="12025"/>
    <cellStyle name="Calculation 8 2 3 3" xfId="7743"/>
    <cellStyle name="Calculation 8 2 3 3 2" xfId="14409"/>
    <cellStyle name="Calculation 8 2 3 3 3" xfId="14768"/>
    <cellStyle name="Calculation 8 2 3 3 4" xfId="12114"/>
    <cellStyle name="Calculation 8 2 3 3 5" xfId="12170"/>
    <cellStyle name="Calculation 8 2 3 3 6" xfId="14952"/>
    <cellStyle name="Calculation 8 2 3 4" xfId="11342"/>
    <cellStyle name="Calculation 8 2 3 4 2" xfId="15648"/>
    <cellStyle name="Calculation 8 2 3 4 3" xfId="16727"/>
    <cellStyle name="Calculation 8 2 3 4 4" xfId="17756"/>
    <cellStyle name="Calculation 8 2 3 4 5" xfId="18726"/>
    <cellStyle name="Calculation 8 2 3 4 6" xfId="19632"/>
    <cellStyle name="Calculation 8 2 3 5" xfId="11437"/>
    <cellStyle name="Calculation 8 2 3 5 2" xfId="15743"/>
    <cellStyle name="Calculation 8 2 3 5 3" xfId="16822"/>
    <cellStyle name="Calculation 8 2 3 5 4" xfId="17850"/>
    <cellStyle name="Calculation 8 2 3 5 5" xfId="18820"/>
    <cellStyle name="Calculation 8 2 3 5 6" xfId="19726"/>
    <cellStyle name="Calculation 8 2 3 6" xfId="12710"/>
    <cellStyle name="Calculation 8 2 3 7" xfId="12240"/>
    <cellStyle name="Calculation 8 2 3 8" xfId="14361"/>
    <cellStyle name="Calculation 8 2 3 9" xfId="16387"/>
    <cellStyle name="Calculation 8 2 4" xfId="5981"/>
    <cellStyle name="Calculation 8 2 4 2" xfId="11077"/>
    <cellStyle name="Calculation 8 2 4 2 2" xfId="15383"/>
    <cellStyle name="Calculation 8 2 4 2 3" xfId="16462"/>
    <cellStyle name="Calculation 8 2 4 2 4" xfId="17497"/>
    <cellStyle name="Calculation 8 2 4 2 5" xfId="18467"/>
    <cellStyle name="Calculation 8 2 4 2 6" xfId="19373"/>
    <cellStyle name="Calculation 8 2 4 3" xfId="11659"/>
    <cellStyle name="Calculation 8 2 4 3 2" xfId="15965"/>
    <cellStyle name="Calculation 8 2 4 3 3" xfId="17044"/>
    <cellStyle name="Calculation 8 2 4 3 4" xfId="18067"/>
    <cellStyle name="Calculation 8 2 4 3 5" xfId="19037"/>
    <cellStyle name="Calculation 8 2 4 3 6" xfId="19943"/>
    <cellStyle name="Calculation 8 2 4 4" xfId="11831"/>
    <cellStyle name="Calculation 8 2 4 4 2" xfId="16137"/>
    <cellStyle name="Calculation 8 2 4 4 3" xfId="17216"/>
    <cellStyle name="Calculation 8 2 4 4 4" xfId="18235"/>
    <cellStyle name="Calculation 8 2 4 4 5" xfId="19205"/>
    <cellStyle name="Calculation 8 2 4 4 6" xfId="20111"/>
    <cellStyle name="Calculation 8 2 4 5" xfId="13714"/>
    <cellStyle name="Calculation 8 2 4 6" xfId="12383"/>
    <cellStyle name="Calculation 8 2 4 7" xfId="12956"/>
    <cellStyle name="Calculation 8 2 4 8" xfId="13561"/>
    <cellStyle name="Calculation 8 2 4 9" xfId="14298"/>
    <cellStyle name="Calculation 8 2 5" xfId="6487"/>
    <cellStyle name="Calculation 8 2 5 2" xfId="14000"/>
    <cellStyle name="Calculation 8 2 5 3" xfId="14127"/>
    <cellStyle name="Calculation 8 2 5 4" xfId="15198"/>
    <cellStyle name="Calculation 8 2 5 5" xfId="13989"/>
    <cellStyle name="Calculation 8 2 5 6" xfId="15127"/>
    <cellStyle name="Calculation 8 2 6" xfId="6163"/>
    <cellStyle name="Calculation 8 2 6 2" xfId="13895"/>
    <cellStyle name="Calculation 8 2 6 3" xfId="15223"/>
    <cellStyle name="Calculation 8 2 6 4" xfId="16336"/>
    <cellStyle name="Calculation 8 2 6 5" xfId="12013"/>
    <cellStyle name="Calculation 8 2 6 6" xfId="12657"/>
    <cellStyle name="Calculation 8 2 7" xfId="11456"/>
    <cellStyle name="Calculation 8 2 7 2" xfId="15762"/>
    <cellStyle name="Calculation 8 2 7 3" xfId="16841"/>
    <cellStyle name="Calculation 8 2 7 4" xfId="17869"/>
    <cellStyle name="Calculation 8 2 7 5" xfId="18839"/>
    <cellStyle name="Calculation 8 2 7 6" xfId="19745"/>
    <cellStyle name="Calculation 8 2 8" xfId="12202"/>
    <cellStyle name="Calculation 8 2 9" xfId="12625"/>
    <cellStyle name="Calculation 9" xfId="903"/>
    <cellStyle name="Calculation in Model" xfId="1385"/>
    <cellStyle name="Calculation in Model 10" xfId="13616"/>
    <cellStyle name="Calculation in Model 11" xfId="13489"/>
    <cellStyle name="Calculation in Model 12" xfId="12976"/>
    <cellStyle name="Calculation in Model 2" xfId="2248"/>
    <cellStyle name="Calculation in Model 2 10" xfId="13395"/>
    <cellStyle name="Calculation in Model 2 11" xfId="15237"/>
    <cellStyle name="Calculation in Model 2 2" xfId="2571"/>
    <cellStyle name="Calculation in Model 2 2 10" xfId="15295"/>
    <cellStyle name="Calculation in Model 2 2 2" xfId="6049"/>
    <cellStyle name="Calculation in Model 2 2 2 2" xfId="11145"/>
    <cellStyle name="Calculation in Model 2 2 2 2 2" xfId="15451"/>
    <cellStyle name="Calculation in Model 2 2 2 2 3" xfId="16530"/>
    <cellStyle name="Calculation in Model 2 2 2 2 4" xfId="17564"/>
    <cellStyle name="Calculation in Model 2 2 2 2 5" xfId="18534"/>
    <cellStyle name="Calculation in Model 2 2 2 2 6" xfId="19440"/>
    <cellStyle name="Calculation in Model 2 2 2 3" xfId="11727"/>
    <cellStyle name="Calculation in Model 2 2 2 3 2" xfId="16033"/>
    <cellStyle name="Calculation in Model 2 2 2 3 3" xfId="17112"/>
    <cellStyle name="Calculation in Model 2 2 2 3 4" xfId="18134"/>
    <cellStyle name="Calculation in Model 2 2 2 3 5" xfId="19104"/>
    <cellStyle name="Calculation in Model 2 2 2 3 6" xfId="20010"/>
    <cellStyle name="Calculation in Model 2 2 2 4" xfId="11899"/>
    <cellStyle name="Calculation in Model 2 2 2 4 2" xfId="16205"/>
    <cellStyle name="Calculation in Model 2 2 2 4 3" xfId="17284"/>
    <cellStyle name="Calculation in Model 2 2 2 4 4" xfId="18302"/>
    <cellStyle name="Calculation in Model 2 2 2 4 5" xfId="19272"/>
    <cellStyle name="Calculation in Model 2 2 2 4 6" xfId="20178"/>
    <cellStyle name="Calculation in Model 2 2 2 5" xfId="13782"/>
    <cellStyle name="Calculation in Model 2 2 2 6" xfId="15024"/>
    <cellStyle name="Calculation in Model 2 2 2 7" xfId="13984"/>
    <cellStyle name="Calculation in Model 2 2 2 8" xfId="16389"/>
    <cellStyle name="Calculation in Model 2 2 2 9" xfId="14501"/>
    <cellStyle name="Calculation in Model 2 2 3" xfId="7674"/>
    <cellStyle name="Calculation in Model 2 2 3 2" xfId="14390"/>
    <cellStyle name="Calculation in Model 2 2 3 3" xfId="12089"/>
    <cellStyle name="Calculation in Model 2 2 3 4" xfId="14288"/>
    <cellStyle name="Calculation in Model 2 2 3 5" xfId="16427"/>
    <cellStyle name="Calculation in Model 2 2 3 6" xfId="16420"/>
    <cellStyle name="Calculation in Model 2 2 4" xfId="11334"/>
    <cellStyle name="Calculation in Model 2 2 4 2" xfId="15640"/>
    <cellStyle name="Calculation in Model 2 2 4 3" xfId="16719"/>
    <cellStyle name="Calculation in Model 2 2 4 4" xfId="17748"/>
    <cellStyle name="Calculation in Model 2 2 4 5" xfId="18718"/>
    <cellStyle name="Calculation in Model 2 2 4 6" xfId="19624"/>
    <cellStyle name="Calculation in Model 2 2 5" xfId="11633"/>
    <cellStyle name="Calculation in Model 2 2 5 2" xfId="15939"/>
    <cellStyle name="Calculation in Model 2 2 5 3" xfId="17018"/>
    <cellStyle name="Calculation in Model 2 2 5 4" xfId="18042"/>
    <cellStyle name="Calculation in Model 2 2 5 5" xfId="19012"/>
    <cellStyle name="Calculation in Model 2 2 5 6" xfId="19918"/>
    <cellStyle name="Calculation in Model 2 2 6" xfId="12687"/>
    <cellStyle name="Calculation in Model 2 2 7" xfId="12496"/>
    <cellStyle name="Calculation in Model 2 2 8" xfId="14632"/>
    <cellStyle name="Calculation in Model 2 2 9" xfId="12468"/>
    <cellStyle name="Calculation in Model 2 3" xfId="6036"/>
    <cellStyle name="Calculation in Model 2 3 2" xfId="11132"/>
    <cellStyle name="Calculation in Model 2 3 2 2" xfId="15438"/>
    <cellStyle name="Calculation in Model 2 3 2 3" xfId="16517"/>
    <cellStyle name="Calculation in Model 2 3 2 4" xfId="17551"/>
    <cellStyle name="Calculation in Model 2 3 2 5" xfId="18521"/>
    <cellStyle name="Calculation in Model 2 3 2 6" xfId="19427"/>
    <cellStyle name="Calculation in Model 2 3 3" xfId="11714"/>
    <cellStyle name="Calculation in Model 2 3 3 2" xfId="16020"/>
    <cellStyle name="Calculation in Model 2 3 3 3" xfId="17099"/>
    <cellStyle name="Calculation in Model 2 3 3 4" xfId="18121"/>
    <cellStyle name="Calculation in Model 2 3 3 5" xfId="19091"/>
    <cellStyle name="Calculation in Model 2 3 3 6" xfId="19997"/>
    <cellStyle name="Calculation in Model 2 3 4" xfId="11886"/>
    <cellStyle name="Calculation in Model 2 3 4 2" xfId="16192"/>
    <cellStyle name="Calculation in Model 2 3 4 3" xfId="17271"/>
    <cellStyle name="Calculation in Model 2 3 4 4" xfId="18289"/>
    <cellStyle name="Calculation in Model 2 3 4 5" xfId="19259"/>
    <cellStyle name="Calculation in Model 2 3 4 6" xfId="20165"/>
    <cellStyle name="Calculation in Model 2 3 5" xfId="13769"/>
    <cellStyle name="Calculation in Model 2 3 6" xfId="15354"/>
    <cellStyle name="Calculation in Model 2 3 7" xfId="16437"/>
    <cellStyle name="Calculation in Model 2 3 8" xfId="13412"/>
    <cellStyle name="Calculation in Model 2 3 9" xfId="16302"/>
    <cellStyle name="Calculation in Model 2 4" xfId="7357"/>
    <cellStyle name="Calculation in Model 2 4 2" xfId="14286"/>
    <cellStyle name="Calculation in Model 2 4 3" xfId="12106"/>
    <cellStyle name="Calculation in Model 2 4 4" xfId="13136"/>
    <cellStyle name="Calculation in Model 2 4 5" xfId="13441"/>
    <cellStyle name="Calculation in Model 2 4 6" xfId="18399"/>
    <cellStyle name="Calculation in Model 2 5" xfId="11317"/>
    <cellStyle name="Calculation in Model 2 5 2" xfId="15623"/>
    <cellStyle name="Calculation in Model 2 5 3" xfId="16702"/>
    <cellStyle name="Calculation in Model 2 5 4" xfId="17731"/>
    <cellStyle name="Calculation in Model 2 5 5" xfId="18701"/>
    <cellStyle name="Calculation in Model 2 5 6" xfId="19607"/>
    <cellStyle name="Calculation in Model 2 6" xfId="11286"/>
    <cellStyle name="Calculation in Model 2 6 2" xfId="15592"/>
    <cellStyle name="Calculation in Model 2 6 3" xfId="16671"/>
    <cellStyle name="Calculation in Model 2 6 4" xfId="17701"/>
    <cellStyle name="Calculation in Model 2 6 5" xfId="18671"/>
    <cellStyle name="Calculation in Model 2 6 6" xfId="19577"/>
    <cellStyle name="Calculation in Model 2 7" xfId="12584"/>
    <cellStyle name="Calculation in Model 2 8" xfId="14628"/>
    <cellStyle name="Calculation in Model 2 9" xfId="14046"/>
    <cellStyle name="Calculation in Model 3" xfId="3583"/>
    <cellStyle name="Calculation in Model 3 10" xfId="15202"/>
    <cellStyle name="Calculation in Model 3 2" xfId="6141"/>
    <cellStyle name="Calculation in Model 3 2 2" xfId="11237"/>
    <cellStyle name="Calculation in Model 3 2 2 2" xfId="15543"/>
    <cellStyle name="Calculation in Model 3 2 2 3" xfId="16622"/>
    <cellStyle name="Calculation in Model 3 2 2 4" xfId="17654"/>
    <cellStyle name="Calculation in Model 3 2 2 5" xfId="18624"/>
    <cellStyle name="Calculation in Model 3 2 2 6" xfId="19530"/>
    <cellStyle name="Calculation in Model 3 2 3" xfId="11819"/>
    <cellStyle name="Calculation in Model 3 2 3 2" xfId="16125"/>
    <cellStyle name="Calculation in Model 3 2 3 3" xfId="17204"/>
    <cellStyle name="Calculation in Model 3 2 3 4" xfId="18224"/>
    <cellStyle name="Calculation in Model 3 2 3 5" xfId="19194"/>
    <cellStyle name="Calculation in Model 3 2 3 6" xfId="20100"/>
    <cellStyle name="Calculation in Model 3 2 4" xfId="11991"/>
    <cellStyle name="Calculation in Model 3 2 4 2" xfId="16297"/>
    <cellStyle name="Calculation in Model 3 2 4 3" xfId="17376"/>
    <cellStyle name="Calculation in Model 3 2 4 4" xfId="18392"/>
    <cellStyle name="Calculation in Model 3 2 4 5" xfId="19362"/>
    <cellStyle name="Calculation in Model 3 2 4 6" xfId="20268"/>
    <cellStyle name="Calculation in Model 3 2 5" xfId="13874"/>
    <cellStyle name="Calculation in Model 3 2 6" xfId="12375"/>
    <cellStyle name="Calculation in Model 3 2 7" xfId="12951"/>
    <cellStyle name="Calculation in Model 3 2 8" xfId="11999"/>
    <cellStyle name="Calculation in Model 3 2 9" xfId="13174"/>
    <cellStyle name="Calculation in Model 3 3" xfId="8686"/>
    <cellStyle name="Calculation in Model 3 3 2" xfId="14697"/>
    <cellStyle name="Calculation in Model 3 3 3" xfId="13014"/>
    <cellStyle name="Calculation in Model 3 3 4" xfId="12032"/>
    <cellStyle name="Calculation in Model 3 3 5" xfId="14530"/>
    <cellStyle name="Calculation in Model 3 3 6" xfId="13068"/>
    <cellStyle name="Calculation in Model 3 4" xfId="11468"/>
    <cellStyle name="Calculation in Model 3 4 2" xfId="15774"/>
    <cellStyle name="Calculation in Model 3 4 3" xfId="16853"/>
    <cellStyle name="Calculation in Model 3 4 4" xfId="17880"/>
    <cellStyle name="Calculation in Model 3 4 5" xfId="18850"/>
    <cellStyle name="Calculation in Model 3 4 6" xfId="19756"/>
    <cellStyle name="Calculation in Model 3 5" xfId="11422"/>
    <cellStyle name="Calculation in Model 3 5 2" xfId="15728"/>
    <cellStyle name="Calculation in Model 3 5 3" xfId="16807"/>
    <cellStyle name="Calculation in Model 3 5 4" xfId="17836"/>
    <cellStyle name="Calculation in Model 3 5 5" xfId="18806"/>
    <cellStyle name="Calculation in Model 3 5 6" xfId="19712"/>
    <cellStyle name="Calculation in Model 3 6" xfId="13013"/>
    <cellStyle name="Calculation in Model 3 7" xfId="12173"/>
    <cellStyle name="Calculation in Model 3 8" xfId="13985"/>
    <cellStyle name="Calculation in Model 3 9" xfId="12669"/>
    <cellStyle name="Calculation in Model 4" xfId="6018"/>
    <cellStyle name="Calculation in Model 4 2" xfId="11114"/>
    <cellStyle name="Calculation in Model 4 2 2" xfId="15420"/>
    <cellStyle name="Calculation in Model 4 2 3" xfId="16499"/>
    <cellStyle name="Calculation in Model 4 2 4" xfId="17534"/>
    <cellStyle name="Calculation in Model 4 2 5" xfId="18504"/>
    <cellStyle name="Calculation in Model 4 2 6" xfId="19410"/>
    <cellStyle name="Calculation in Model 4 3" xfId="11696"/>
    <cellStyle name="Calculation in Model 4 3 2" xfId="16002"/>
    <cellStyle name="Calculation in Model 4 3 3" xfId="17081"/>
    <cellStyle name="Calculation in Model 4 3 4" xfId="18104"/>
    <cellStyle name="Calculation in Model 4 3 5" xfId="19074"/>
    <cellStyle name="Calculation in Model 4 3 6" xfId="19980"/>
    <cellStyle name="Calculation in Model 4 4" xfId="11868"/>
    <cellStyle name="Calculation in Model 4 4 2" xfId="16174"/>
    <cellStyle name="Calculation in Model 4 4 3" xfId="17253"/>
    <cellStyle name="Calculation in Model 4 4 4" xfId="18272"/>
    <cellStyle name="Calculation in Model 4 4 5" xfId="19242"/>
    <cellStyle name="Calculation in Model 4 4 6" xfId="20148"/>
    <cellStyle name="Calculation in Model 4 5" xfId="13751"/>
    <cellStyle name="Calculation in Model 4 6" xfId="13354"/>
    <cellStyle name="Calculation in Model 4 7" xfId="14176"/>
    <cellStyle name="Calculation in Model 4 8" xfId="148"/>
    <cellStyle name="Calculation in Model 4 9" xfId="18460"/>
    <cellStyle name="Calculation in Model 5" xfId="6722"/>
    <cellStyle name="Calculation in Model 5 2" xfId="14107"/>
    <cellStyle name="Calculation in Model 5 3" xfId="14111"/>
    <cellStyle name="Calculation in Model 5 4" xfId="13523"/>
    <cellStyle name="Calculation in Model 5 5" xfId="12565"/>
    <cellStyle name="Calculation in Model 5 6" xfId="13621"/>
    <cellStyle name="Calculation in Model 6" xfId="11251"/>
    <cellStyle name="Calculation in Model 6 2" xfId="15557"/>
    <cellStyle name="Calculation in Model 6 3" xfId="16636"/>
    <cellStyle name="Calculation in Model 6 4" xfId="17668"/>
    <cellStyle name="Calculation in Model 6 5" xfId="18638"/>
    <cellStyle name="Calculation in Model 6 6" xfId="19544"/>
    <cellStyle name="Calculation in Model 7" xfId="11295"/>
    <cellStyle name="Calculation in Model 7 2" xfId="15601"/>
    <cellStyle name="Calculation in Model 7 3" xfId="16680"/>
    <cellStyle name="Calculation in Model 7 4" xfId="17709"/>
    <cellStyle name="Calculation in Model 7 5" xfId="18679"/>
    <cellStyle name="Calculation in Model 7 6" xfId="19585"/>
    <cellStyle name="Calculation in Model 8" xfId="12328"/>
    <cellStyle name="Calculation in Model 9" xfId="12963"/>
    <cellStyle name="Check Cell" xfId="120" builtinId="23" customBuiltin="1"/>
    <cellStyle name="Check Cell 2" xfId="40"/>
    <cellStyle name="Check Cell 2 2" xfId="840"/>
    <cellStyle name="Check Cell 2 3" xfId="1386"/>
    <cellStyle name="Check Cell 3" xfId="336"/>
    <cellStyle name="Check Cell 3 2" xfId="841"/>
    <cellStyle name="Check Cell 4" xfId="337"/>
    <cellStyle name="Check Cell 5" xfId="338"/>
    <cellStyle name="Check Cell 6" xfId="339"/>
    <cellStyle name="Check Cell 7" xfId="340"/>
    <cellStyle name="Check Cell 8" xfId="341"/>
    <cellStyle name="Check Cell 9" xfId="904"/>
    <cellStyle name="ColLevel_" xfId="1387"/>
    <cellStyle name="column1" xfId="1388"/>
    <cellStyle name="Comma" xfId="1" builtinId="3"/>
    <cellStyle name="Comma  - Style1" xfId="1389"/>
    <cellStyle name="Comma  - Style2" xfId="1390"/>
    <cellStyle name="Comma  - Style3" xfId="1391"/>
    <cellStyle name="Comma  - Style4" xfId="1392"/>
    <cellStyle name="Comma  - Style5" xfId="1393"/>
    <cellStyle name="Comma  - Style6" xfId="1394"/>
    <cellStyle name="Comma  - Style7" xfId="1395"/>
    <cellStyle name="Comma  - Style8" xfId="1396"/>
    <cellStyle name="Comma [0] 2" xfId="1397"/>
    <cellStyle name="Comma 10" xfId="1398"/>
    <cellStyle name="Comma 10 2" xfId="1399"/>
    <cellStyle name="Comma 10 2 2" xfId="2892"/>
    <cellStyle name="Comma 10 2 2 2" xfId="5291"/>
    <cellStyle name="Comma 10 2 2 2 2" xfId="10387"/>
    <cellStyle name="Comma 10 2 2 3" xfId="7995"/>
    <cellStyle name="Comma 10 2 3" xfId="4099"/>
    <cellStyle name="Comma 10 2 3 2" xfId="9195"/>
    <cellStyle name="Comma 10 2 4" xfId="6724"/>
    <cellStyle name="Comma 10 3" xfId="1400"/>
    <cellStyle name="Comma 10 3 2" xfId="2893"/>
    <cellStyle name="Comma 10 3 2 2" xfId="5292"/>
    <cellStyle name="Comma 10 3 2 2 2" xfId="10388"/>
    <cellStyle name="Comma 10 3 2 3" xfId="7996"/>
    <cellStyle name="Comma 10 3 3" xfId="4100"/>
    <cellStyle name="Comma 10 3 3 2" xfId="9196"/>
    <cellStyle name="Comma 10 3 4" xfId="6725"/>
    <cellStyle name="Comma 11" xfId="1401"/>
    <cellStyle name="Comma 11 2" xfId="1402"/>
    <cellStyle name="Comma 11 2 2" xfId="2894"/>
    <cellStyle name="Comma 11 2 2 2" xfId="5293"/>
    <cellStyle name="Comma 11 2 2 2 2" xfId="10389"/>
    <cellStyle name="Comma 11 2 2 3" xfId="7997"/>
    <cellStyle name="Comma 11 2 3" xfId="4101"/>
    <cellStyle name="Comma 11 2 3 2" xfId="9197"/>
    <cellStyle name="Comma 11 2 4" xfId="6726"/>
    <cellStyle name="Comma 11 3" xfId="1403"/>
    <cellStyle name="Comma 11 3 2" xfId="2895"/>
    <cellStyle name="Comma 11 3 2 2" xfId="5294"/>
    <cellStyle name="Comma 11 3 2 2 2" xfId="10390"/>
    <cellStyle name="Comma 11 3 2 3" xfId="7998"/>
    <cellStyle name="Comma 11 3 3" xfId="4102"/>
    <cellStyle name="Comma 11 3 3 2" xfId="9198"/>
    <cellStyle name="Comma 11 3 4" xfId="6727"/>
    <cellStyle name="Comma 12" xfId="1404"/>
    <cellStyle name="Comma 13" xfId="1405"/>
    <cellStyle name="Comma 14" xfId="1406"/>
    <cellStyle name="Comma 15" xfId="1407"/>
    <cellStyle name="Comma 16" xfId="1408"/>
    <cellStyle name="Comma 17" xfId="1409"/>
    <cellStyle name="Comma 18" xfId="1410"/>
    <cellStyle name="Comma 19" xfId="1411"/>
    <cellStyle name="Comma 2" xfId="342"/>
    <cellStyle name="Comma 2 2" xfId="95"/>
    <cellStyle name="Comma 2 3" xfId="1413"/>
    <cellStyle name="Comma 2 3 2" xfId="1414"/>
    <cellStyle name="Comma 2 3 2 2" xfId="1415"/>
    <cellStyle name="Comma 2 3 2 2 2" xfId="2900"/>
    <cellStyle name="Comma 2 3 2 2 2 2" xfId="5298"/>
    <cellStyle name="Comma 2 3 2 2 2 2 2" xfId="10394"/>
    <cellStyle name="Comma 2 3 2 2 2 3" xfId="8003"/>
    <cellStyle name="Comma 2 3 2 2 3" xfId="4106"/>
    <cellStyle name="Comma 2 3 2 2 3 2" xfId="9202"/>
    <cellStyle name="Comma 2 3 2 2 4" xfId="6731"/>
    <cellStyle name="Comma 2 3 2 3" xfId="2899"/>
    <cellStyle name="Comma 2 3 2 3 2" xfId="5297"/>
    <cellStyle name="Comma 2 3 2 3 2 2" xfId="10393"/>
    <cellStyle name="Comma 2 3 2 3 3" xfId="8002"/>
    <cellStyle name="Comma 2 3 2 4" xfId="4105"/>
    <cellStyle name="Comma 2 3 2 4 2" xfId="9201"/>
    <cellStyle name="Comma 2 3 2 5" xfId="6730"/>
    <cellStyle name="Comma 2 3 3" xfId="1416"/>
    <cellStyle name="Comma 2 3 3 2" xfId="2901"/>
    <cellStyle name="Comma 2 3 3 2 2" xfId="5299"/>
    <cellStyle name="Comma 2 3 3 2 2 2" xfId="10395"/>
    <cellStyle name="Comma 2 3 3 2 3" xfId="8004"/>
    <cellStyle name="Comma 2 3 3 3" xfId="4107"/>
    <cellStyle name="Comma 2 3 3 3 2" xfId="9203"/>
    <cellStyle name="Comma 2 3 3 4" xfId="6732"/>
    <cellStyle name="Comma 2 3 4" xfId="1417"/>
    <cellStyle name="Comma 2 3 4 2" xfId="2902"/>
    <cellStyle name="Comma 2 3 4 2 2" xfId="5300"/>
    <cellStyle name="Comma 2 3 4 2 2 2" xfId="10396"/>
    <cellStyle name="Comma 2 3 4 2 3" xfId="8005"/>
    <cellStyle name="Comma 2 3 4 3" xfId="4108"/>
    <cellStyle name="Comma 2 3 4 3 2" xfId="9204"/>
    <cellStyle name="Comma 2 3 4 4" xfId="6733"/>
    <cellStyle name="Comma 2 3 5" xfId="2898"/>
    <cellStyle name="Comma 2 3 5 2" xfId="5296"/>
    <cellStyle name="Comma 2 3 5 2 2" xfId="10392"/>
    <cellStyle name="Comma 2 3 5 3" xfId="8001"/>
    <cellStyle name="Comma 2 3 6" xfId="4104"/>
    <cellStyle name="Comma 2 3 6 2" xfId="9200"/>
    <cellStyle name="Comma 2 3 7" xfId="6729"/>
    <cellStyle name="Comma 2 4" xfId="1418"/>
    <cellStyle name="Comma 2 4 2" xfId="1419"/>
    <cellStyle name="Comma 2 4 2 2" xfId="1420"/>
    <cellStyle name="Comma 2 4 2 2 2" xfId="2905"/>
    <cellStyle name="Comma 2 4 2 2 2 2" xfId="5303"/>
    <cellStyle name="Comma 2 4 2 2 2 2 2" xfId="10399"/>
    <cellStyle name="Comma 2 4 2 2 2 3" xfId="8008"/>
    <cellStyle name="Comma 2 4 2 2 3" xfId="4111"/>
    <cellStyle name="Comma 2 4 2 2 3 2" xfId="9207"/>
    <cellStyle name="Comma 2 4 2 2 4" xfId="6736"/>
    <cellStyle name="Comma 2 4 2 3" xfId="2904"/>
    <cellStyle name="Comma 2 4 2 3 2" xfId="5302"/>
    <cellStyle name="Comma 2 4 2 3 2 2" xfId="10398"/>
    <cellStyle name="Comma 2 4 2 3 3" xfId="8007"/>
    <cellStyle name="Comma 2 4 2 4" xfId="4110"/>
    <cellStyle name="Comma 2 4 2 4 2" xfId="9206"/>
    <cellStyle name="Comma 2 4 2 5" xfId="6735"/>
    <cellStyle name="Comma 2 4 3" xfId="1421"/>
    <cellStyle name="Comma 2 4 3 2" xfId="2906"/>
    <cellStyle name="Comma 2 4 3 2 2" xfId="5304"/>
    <cellStyle name="Comma 2 4 3 2 2 2" xfId="10400"/>
    <cellStyle name="Comma 2 4 3 2 3" xfId="8009"/>
    <cellStyle name="Comma 2 4 3 3" xfId="4112"/>
    <cellStyle name="Comma 2 4 3 3 2" xfId="9208"/>
    <cellStyle name="Comma 2 4 3 4" xfId="6737"/>
    <cellStyle name="Comma 2 4 4" xfId="1422"/>
    <cellStyle name="Comma 2 4 4 2" xfId="2907"/>
    <cellStyle name="Comma 2 4 4 2 2" xfId="5305"/>
    <cellStyle name="Comma 2 4 4 2 2 2" xfId="10401"/>
    <cellStyle name="Comma 2 4 4 2 3" xfId="8010"/>
    <cellStyle name="Comma 2 4 4 3" xfId="4113"/>
    <cellStyle name="Comma 2 4 4 3 2" xfId="9209"/>
    <cellStyle name="Comma 2 4 4 4" xfId="6738"/>
    <cellStyle name="Comma 2 4 5" xfId="2903"/>
    <cellStyle name="Comma 2 4 5 2" xfId="5301"/>
    <cellStyle name="Comma 2 4 5 2 2" xfId="10397"/>
    <cellStyle name="Comma 2 4 5 3" xfId="8006"/>
    <cellStyle name="Comma 2 4 6" xfId="4109"/>
    <cellStyle name="Comma 2 4 6 2" xfId="9205"/>
    <cellStyle name="Comma 2 4 7" xfId="6734"/>
    <cellStyle name="Comma 2 5" xfId="1423"/>
    <cellStyle name="Comma 2 5 2" xfId="1424"/>
    <cellStyle name="Comma 2 5 2 2" xfId="1425"/>
    <cellStyle name="Comma 2 5 2 2 2" xfId="2910"/>
    <cellStyle name="Comma 2 5 2 2 2 2" xfId="5308"/>
    <cellStyle name="Comma 2 5 2 2 2 2 2" xfId="10404"/>
    <cellStyle name="Comma 2 5 2 2 2 3" xfId="8013"/>
    <cellStyle name="Comma 2 5 2 2 3" xfId="4116"/>
    <cellStyle name="Comma 2 5 2 2 3 2" xfId="9212"/>
    <cellStyle name="Comma 2 5 2 2 4" xfId="6741"/>
    <cellStyle name="Comma 2 5 2 3" xfId="2909"/>
    <cellStyle name="Comma 2 5 2 3 2" xfId="5307"/>
    <cellStyle name="Comma 2 5 2 3 2 2" xfId="10403"/>
    <cellStyle name="Comma 2 5 2 3 3" xfId="8012"/>
    <cellStyle name="Comma 2 5 2 4" xfId="4115"/>
    <cellStyle name="Comma 2 5 2 4 2" xfId="9211"/>
    <cellStyle name="Comma 2 5 2 5" xfId="6740"/>
    <cellStyle name="Comma 2 5 3" xfId="1426"/>
    <cellStyle name="Comma 2 5 3 2" xfId="2911"/>
    <cellStyle name="Comma 2 5 3 2 2" xfId="5309"/>
    <cellStyle name="Comma 2 5 3 2 2 2" xfId="10405"/>
    <cellStyle name="Comma 2 5 3 2 3" xfId="8014"/>
    <cellStyle name="Comma 2 5 3 3" xfId="4117"/>
    <cellStyle name="Comma 2 5 3 3 2" xfId="9213"/>
    <cellStyle name="Comma 2 5 3 4" xfId="6742"/>
    <cellStyle name="Comma 2 5 4" xfId="1427"/>
    <cellStyle name="Comma 2 5 4 2" xfId="2912"/>
    <cellStyle name="Comma 2 5 4 2 2" xfId="5310"/>
    <cellStyle name="Comma 2 5 4 2 2 2" xfId="10406"/>
    <cellStyle name="Comma 2 5 4 2 3" xfId="8015"/>
    <cellStyle name="Comma 2 5 4 3" xfId="4118"/>
    <cellStyle name="Comma 2 5 4 3 2" xfId="9214"/>
    <cellStyle name="Comma 2 5 4 4" xfId="6743"/>
    <cellStyle name="Comma 2 5 5" xfId="2908"/>
    <cellStyle name="Comma 2 5 5 2" xfId="5306"/>
    <cellStyle name="Comma 2 5 5 2 2" xfId="10402"/>
    <cellStyle name="Comma 2 5 5 3" xfId="8011"/>
    <cellStyle name="Comma 2 5 6" xfId="4114"/>
    <cellStyle name="Comma 2 5 6 2" xfId="9210"/>
    <cellStyle name="Comma 2 5 7" xfId="6739"/>
    <cellStyle name="Comma 2 6" xfId="1428"/>
    <cellStyle name="Comma 2 7" xfId="1412"/>
    <cellStyle name="Comma 2 7 2" xfId="2897"/>
    <cellStyle name="Comma 2 7 2 2" xfId="5295"/>
    <cellStyle name="Comma 2 7 2 2 2" xfId="10391"/>
    <cellStyle name="Comma 2 7 2 3" xfId="8000"/>
    <cellStyle name="Comma 2 7 3" xfId="4103"/>
    <cellStyle name="Comma 2 7 3 2" xfId="9199"/>
    <cellStyle name="Comma 2 7 4" xfId="6728"/>
    <cellStyle name="Comma 20" xfId="1429"/>
    <cellStyle name="Comma 21" xfId="1430"/>
    <cellStyle name="Comma 22" xfId="1431"/>
    <cellStyle name="Comma 23" xfId="1432"/>
    <cellStyle name="Comma 24" xfId="1433"/>
    <cellStyle name="Comma 25" xfId="1434"/>
    <cellStyle name="Comma 26" xfId="1435"/>
    <cellStyle name="Comma 27" xfId="1436"/>
    <cellStyle name="Comma 27 2" xfId="2913"/>
    <cellStyle name="Comma 27 2 2" xfId="5311"/>
    <cellStyle name="Comma 27 2 2 2" xfId="10407"/>
    <cellStyle name="Comma 27 2 3" xfId="8016"/>
    <cellStyle name="Comma 27 3" xfId="4119"/>
    <cellStyle name="Comma 27 3 2" xfId="9215"/>
    <cellStyle name="Comma 27 4" xfId="6745"/>
    <cellStyle name="Comma 28" xfId="1437"/>
    <cellStyle name="Comma 28 2" xfId="2914"/>
    <cellStyle name="Comma 28 2 2" xfId="5312"/>
    <cellStyle name="Comma 28 2 2 2" xfId="10408"/>
    <cellStyle name="Comma 28 2 3" xfId="8017"/>
    <cellStyle name="Comma 28 3" xfId="4120"/>
    <cellStyle name="Comma 28 3 2" xfId="9216"/>
    <cellStyle name="Comma 28 4" xfId="6746"/>
    <cellStyle name="Comma 29" xfId="1154"/>
    <cellStyle name="Comma 29 2" xfId="2739"/>
    <cellStyle name="Comma 29 2 2" xfId="5141"/>
    <cellStyle name="Comma 29 2 2 2" xfId="10237"/>
    <cellStyle name="Comma 29 2 3" xfId="7842"/>
    <cellStyle name="Comma 29 3" xfId="3949"/>
    <cellStyle name="Comma 29 3 2" xfId="9045"/>
    <cellStyle name="Comma 29 4" xfId="6554"/>
    <cellStyle name="Comma 3" xfId="343"/>
    <cellStyle name="Comma 3 10" xfId="1438"/>
    <cellStyle name="Comma 3 10 2" xfId="2915"/>
    <cellStyle name="Comma 3 10 2 2" xfId="5313"/>
    <cellStyle name="Comma 3 10 2 2 2" xfId="10409"/>
    <cellStyle name="Comma 3 10 2 3" xfId="8018"/>
    <cellStyle name="Comma 3 10 3" xfId="4121"/>
    <cellStyle name="Comma 3 10 3 2" xfId="9217"/>
    <cellStyle name="Comma 3 10 4" xfId="6747"/>
    <cellStyle name="Comma 3 2" xfId="1439"/>
    <cellStyle name="Comma 3 3" xfId="1440"/>
    <cellStyle name="Comma 3 3 2" xfId="1441"/>
    <cellStyle name="Comma 3 3 2 2" xfId="1442"/>
    <cellStyle name="Comma 3 3 2 2 2" xfId="1443"/>
    <cellStyle name="Comma 3 3 2 2 2 2" xfId="2919"/>
    <cellStyle name="Comma 3 3 2 2 2 2 2" xfId="5317"/>
    <cellStyle name="Comma 3 3 2 2 2 2 2 2" xfId="10413"/>
    <cellStyle name="Comma 3 3 2 2 2 2 3" xfId="8022"/>
    <cellStyle name="Comma 3 3 2 2 2 3" xfId="4125"/>
    <cellStyle name="Comma 3 3 2 2 2 3 2" xfId="9221"/>
    <cellStyle name="Comma 3 3 2 2 2 4" xfId="6751"/>
    <cellStyle name="Comma 3 3 2 2 3" xfId="2918"/>
    <cellStyle name="Comma 3 3 2 2 3 2" xfId="5316"/>
    <cellStyle name="Comma 3 3 2 2 3 2 2" xfId="10412"/>
    <cellStyle name="Comma 3 3 2 2 3 3" xfId="8021"/>
    <cellStyle name="Comma 3 3 2 2 4" xfId="4124"/>
    <cellStyle name="Comma 3 3 2 2 4 2" xfId="9220"/>
    <cellStyle name="Comma 3 3 2 2 5" xfId="6750"/>
    <cellStyle name="Comma 3 3 2 3" xfId="1444"/>
    <cellStyle name="Comma 3 3 2 3 2" xfId="2920"/>
    <cellStyle name="Comma 3 3 2 3 2 2" xfId="5318"/>
    <cellStyle name="Comma 3 3 2 3 2 2 2" xfId="10414"/>
    <cellStyle name="Comma 3 3 2 3 2 3" xfId="8023"/>
    <cellStyle name="Comma 3 3 2 3 3" xfId="4126"/>
    <cellStyle name="Comma 3 3 2 3 3 2" xfId="9222"/>
    <cellStyle name="Comma 3 3 2 3 4" xfId="6752"/>
    <cellStyle name="Comma 3 3 2 4" xfId="1445"/>
    <cellStyle name="Comma 3 3 2 4 2" xfId="2921"/>
    <cellStyle name="Comma 3 3 2 4 2 2" xfId="5319"/>
    <cellStyle name="Comma 3 3 2 4 2 2 2" xfId="10415"/>
    <cellStyle name="Comma 3 3 2 4 2 3" xfId="8024"/>
    <cellStyle name="Comma 3 3 2 4 3" xfId="4127"/>
    <cellStyle name="Comma 3 3 2 4 3 2" xfId="9223"/>
    <cellStyle name="Comma 3 3 2 4 4" xfId="6753"/>
    <cellStyle name="Comma 3 3 2 5" xfId="2917"/>
    <cellStyle name="Comma 3 3 2 5 2" xfId="5315"/>
    <cellStyle name="Comma 3 3 2 5 2 2" xfId="10411"/>
    <cellStyle name="Comma 3 3 2 5 3" xfId="8020"/>
    <cellStyle name="Comma 3 3 2 6" xfId="4123"/>
    <cellStyle name="Comma 3 3 2 6 2" xfId="9219"/>
    <cellStyle name="Comma 3 3 2 7" xfId="6749"/>
    <cellStyle name="Comma 3 3 3" xfId="1446"/>
    <cellStyle name="Comma 3 3 3 2" xfId="1447"/>
    <cellStyle name="Comma 3 3 3 2 2" xfId="2923"/>
    <cellStyle name="Comma 3 3 3 2 2 2" xfId="5321"/>
    <cellStyle name="Comma 3 3 3 2 2 2 2" xfId="10417"/>
    <cellStyle name="Comma 3 3 3 2 2 3" xfId="8026"/>
    <cellStyle name="Comma 3 3 3 2 3" xfId="4129"/>
    <cellStyle name="Comma 3 3 3 2 3 2" xfId="9225"/>
    <cellStyle name="Comma 3 3 3 2 4" xfId="6755"/>
    <cellStyle name="Comma 3 3 3 3" xfId="2922"/>
    <cellStyle name="Comma 3 3 3 3 2" xfId="5320"/>
    <cellStyle name="Comma 3 3 3 3 2 2" xfId="10416"/>
    <cellStyle name="Comma 3 3 3 3 3" xfId="8025"/>
    <cellStyle name="Comma 3 3 3 4" xfId="4128"/>
    <cellStyle name="Comma 3 3 3 4 2" xfId="9224"/>
    <cellStyle name="Comma 3 3 3 5" xfId="6754"/>
    <cellStyle name="Comma 3 3 4" xfId="1448"/>
    <cellStyle name="Comma 3 3 4 2" xfId="2924"/>
    <cellStyle name="Comma 3 3 4 2 2" xfId="5322"/>
    <cellStyle name="Comma 3 3 4 2 2 2" xfId="10418"/>
    <cellStyle name="Comma 3 3 4 2 3" xfId="8027"/>
    <cellStyle name="Comma 3 3 4 3" xfId="4130"/>
    <cellStyle name="Comma 3 3 4 3 2" xfId="9226"/>
    <cellStyle name="Comma 3 3 4 4" xfId="6756"/>
    <cellStyle name="Comma 3 3 5" xfId="1449"/>
    <cellStyle name="Comma 3 3 5 2" xfId="2925"/>
    <cellStyle name="Comma 3 3 5 2 2" xfId="5323"/>
    <cellStyle name="Comma 3 3 5 2 2 2" xfId="10419"/>
    <cellStyle name="Comma 3 3 5 2 3" xfId="8028"/>
    <cellStyle name="Comma 3 3 5 3" xfId="4131"/>
    <cellStyle name="Comma 3 3 5 3 2" xfId="9227"/>
    <cellStyle name="Comma 3 3 5 4" xfId="6757"/>
    <cellStyle name="Comma 3 3 6" xfId="2916"/>
    <cellStyle name="Comma 3 3 6 2" xfId="5314"/>
    <cellStyle name="Comma 3 3 6 2 2" xfId="10410"/>
    <cellStyle name="Comma 3 3 6 3" xfId="8019"/>
    <cellStyle name="Comma 3 3 7" xfId="4122"/>
    <cellStyle name="Comma 3 3 7 2" xfId="9218"/>
    <cellStyle name="Comma 3 3 8" xfId="6748"/>
    <cellStyle name="Comma 3 4" xfId="1450"/>
    <cellStyle name="Comma 3 4 2" xfId="1451"/>
    <cellStyle name="Comma 3 4 2 2" xfId="1452"/>
    <cellStyle name="Comma 3 4 2 2 2" xfId="2928"/>
    <cellStyle name="Comma 3 4 2 2 2 2" xfId="5326"/>
    <cellStyle name="Comma 3 4 2 2 2 2 2" xfId="10422"/>
    <cellStyle name="Comma 3 4 2 2 2 3" xfId="8031"/>
    <cellStyle name="Comma 3 4 2 2 3" xfId="4134"/>
    <cellStyle name="Comma 3 4 2 2 3 2" xfId="9230"/>
    <cellStyle name="Comma 3 4 2 2 4" xfId="6760"/>
    <cellStyle name="Comma 3 4 2 3" xfId="2927"/>
    <cellStyle name="Comma 3 4 2 3 2" xfId="5325"/>
    <cellStyle name="Comma 3 4 2 3 2 2" xfId="10421"/>
    <cellStyle name="Comma 3 4 2 3 3" xfId="8030"/>
    <cellStyle name="Comma 3 4 2 4" xfId="4133"/>
    <cellStyle name="Comma 3 4 2 4 2" xfId="9229"/>
    <cellStyle name="Comma 3 4 2 5" xfId="6759"/>
    <cellStyle name="Comma 3 4 3" xfId="1453"/>
    <cellStyle name="Comma 3 4 3 2" xfId="2929"/>
    <cellStyle name="Comma 3 4 3 2 2" xfId="5327"/>
    <cellStyle name="Comma 3 4 3 2 2 2" xfId="10423"/>
    <cellStyle name="Comma 3 4 3 2 3" xfId="8032"/>
    <cellStyle name="Comma 3 4 3 3" xfId="4135"/>
    <cellStyle name="Comma 3 4 3 3 2" xfId="9231"/>
    <cellStyle name="Comma 3 4 3 4" xfId="6761"/>
    <cellStyle name="Comma 3 4 4" xfId="1454"/>
    <cellStyle name="Comma 3 4 4 2" xfId="2930"/>
    <cellStyle name="Comma 3 4 4 2 2" xfId="5328"/>
    <cellStyle name="Comma 3 4 4 2 2 2" xfId="10424"/>
    <cellStyle name="Comma 3 4 4 2 3" xfId="8033"/>
    <cellStyle name="Comma 3 4 4 3" xfId="4136"/>
    <cellStyle name="Comma 3 4 4 3 2" xfId="9232"/>
    <cellStyle name="Comma 3 4 4 4" xfId="6762"/>
    <cellStyle name="Comma 3 4 5" xfId="2926"/>
    <cellStyle name="Comma 3 4 5 2" xfId="5324"/>
    <cellStyle name="Comma 3 4 5 2 2" xfId="10420"/>
    <cellStyle name="Comma 3 4 5 3" xfId="8029"/>
    <cellStyle name="Comma 3 4 6" xfId="4132"/>
    <cellStyle name="Comma 3 4 6 2" xfId="9228"/>
    <cellStyle name="Comma 3 4 7" xfId="6758"/>
    <cellStyle name="Comma 3 5" xfId="1455"/>
    <cellStyle name="Comma 3 5 2" xfId="1456"/>
    <cellStyle name="Comma 3 5 2 2" xfId="1457"/>
    <cellStyle name="Comma 3 5 2 2 2" xfId="2933"/>
    <cellStyle name="Comma 3 5 2 2 2 2" xfId="5331"/>
    <cellStyle name="Comma 3 5 2 2 2 2 2" xfId="10427"/>
    <cellStyle name="Comma 3 5 2 2 2 3" xfId="8036"/>
    <cellStyle name="Comma 3 5 2 2 3" xfId="4139"/>
    <cellStyle name="Comma 3 5 2 2 3 2" xfId="9235"/>
    <cellStyle name="Comma 3 5 2 2 4" xfId="6765"/>
    <cellStyle name="Comma 3 5 2 3" xfId="2932"/>
    <cellStyle name="Comma 3 5 2 3 2" xfId="5330"/>
    <cellStyle name="Comma 3 5 2 3 2 2" xfId="10426"/>
    <cellStyle name="Comma 3 5 2 3 3" xfId="8035"/>
    <cellStyle name="Comma 3 5 2 4" xfId="4138"/>
    <cellStyle name="Comma 3 5 2 4 2" xfId="9234"/>
    <cellStyle name="Comma 3 5 2 5" xfId="6764"/>
    <cellStyle name="Comma 3 5 3" xfId="1458"/>
    <cellStyle name="Comma 3 5 3 2" xfId="2934"/>
    <cellStyle name="Comma 3 5 3 2 2" xfId="5332"/>
    <cellStyle name="Comma 3 5 3 2 2 2" xfId="10428"/>
    <cellStyle name="Comma 3 5 3 2 3" xfId="8037"/>
    <cellStyle name="Comma 3 5 3 3" xfId="4140"/>
    <cellStyle name="Comma 3 5 3 3 2" xfId="9236"/>
    <cellStyle name="Comma 3 5 3 4" xfId="6766"/>
    <cellStyle name="Comma 3 5 4" xfId="1459"/>
    <cellStyle name="Comma 3 5 4 2" xfId="2935"/>
    <cellStyle name="Comma 3 5 4 2 2" xfId="5333"/>
    <cellStyle name="Comma 3 5 4 2 2 2" xfId="10429"/>
    <cellStyle name="Comma 3 5 4 2 3" xfId="8038"/>
    <cellStyle name="Comma 3 5 4 3" xfId="4141"/>
    <cellStyle name="Comma 3 5 4 3 2" xfId="9237"/>
    <cellStyle name="Comma 3 5 4 4" xfId="6767"/>
    <cellStyle name="Comma 3 5 5" xfId="2931"/>
    <cellStyle name="Comma 3 5 5 2" xfId="5329"/>
    <cellStyle name="Comma 3 5 5 2 2" xfId="10425"/>
    <cellStyle name="Comma 3 5 5 3" xfId="8034"/>
    <cellStyle name="Comma 3 5 6" xfId="4137"/>
    <cellStyle name="Comma 3 5 6 2" xfId="9233"/>
    <cellStyle name="Comma 3 5 7" xfId="6763"/>
    <cellStyle name="Comma 3 6" xfId="1460"/>
    <cellStyle name="Comma 3 6 2" xfId="1461"/>
    <cellStyle name="Comma 3 6 2 2" xfId="1462"/>
    <cellStyle name="Comma 3 6 2 2 2" xfId="2938"/>
    <cellStyle name="Comma 3 6 2 2 2 2" xfId="5336"/>
    <cellStyle name="Comma 3 6 2 2 2 2 2" xfId="10432"/>
    <cellStyle name="Comma 3 6 2 2 2 3" xfId="8041"/>
    <cellStyle name="Comma 3 6 2 2 3" xfId="4144"/>
    <cellStyle name="Comma 3 6 2 2 3 2" xfId="9240"/>
    <cellStyle name="Comma 3 6 2 2 4" xfId="6770"/>
    <cellStyle name="Comma 3 6 2 3" xfId="2937"/>
    <cellStyle name="Comma 3 6 2 3 2" xfId="5335"/>
    <cellStyle name="Comma 3 6 2 3 2 2" xfId="10431"/>
    <cellStyle name="Comma 3 6 2 3 3" xfId="8040"/>
    <cellStyle name="Comma 3 6 2 4" xfId="4143"/>
    <cellStyle name="Comma 3 6 2 4 2" xfId="9239"/>
    <cellStyle name="Comma 3 6 2 5" xfId="6769"/>
    <cellStyle name="Comma 3 6 3" xfId="1463"/>
    <cellStyle name="Comma 3 6 3 2" xfId="2939"/>
    <cellStyle name="Comma 3 6 3 2 2" xfId="5337"/>
    <cellStyle name="Comma 3 6 3 2 2 2" xfId="10433"/>
    <cellStyle name="Comma 3 6 3 2 3" xfId="8042"/>
    <cellStyle name="Comma 3 6 3 3" xfId="4145"/>
    <cellStyle name="Comma 3 6 3 3 2" xfId="9241"/>
    <cellStyle name="Comma 3 6 3 4" xfId="6771"/>
    <cellStyle name="Comma 3 6 4" xfId="1464"/>
    <cellStyle name="Comma 3 6 4 2" xfId="2940"/>
    <cellStyle name="Comma 3 6 4 2 2" xfId="5338"/>
    <cellStyle name="Comma 3 6 4 2 2 2" xfId="10434"/>
    <cellStyle name="Comma 3 6 4 2 3" xfId="8043"/>
    <cellStyle name="Comma 3 6 4 3" xfId="4146"/>
    <cellStyle name="Comma 3 6 4 3 2" xfId="9242"/>
    <cellStyle name="Comma 3 6 4 4" xfId="6772"/>
    <cellStyle name="Comma 3 6 5" xfId="2936"/>
    <cellStyle name="Comma 3 6 5 2" xfId="5334"/>
    <cellStyle name="Comma 3 6 5 2 2" xfId="10430"/>
    <cellStyle name="Comma 3 6 5 3" xfId="8039"/>
    <cellStyle name="Comma 3 6 6" xfId="4142"/>
    <cellStyle name="Comma 3 6 6 2" xfId="9238"/>
    <cellStyle name="Comma 3 6 7" xfId="6768"/>
    <cellStyle name="Comma 3 7" xfId="1465"/>
    <cellStyle name="Comma 3 7 2" xfId="1466"/>
    <cellStyle name="Comma 3 7 2 2" xfId="2942"/>
    <cellStyle name="Comma 3 7 2 2 2" xfId="5340"/>
    <cellStyle name="Comma 3 7 2 2 2 2" xfId="10436"/>
    <cellStyle name="Comma 3 7 2 2 3" xfId="8045"/>
    <cellStyle name="Comma 3 7 2 3" xfId="4148"/>
    <cellStyle name="Comma 3 7 2 3 2" xfId="9244"/>
    <cellStyle name="Comma 3 7 2 4" xfId="6774"/>
    <cellStyle name="Comma 3 7 3" xfId="2941"/>
    <cellStyle name="Comma 3 7 3 2" xfId="5339"/>
    <cellStyle name="Comma 3 7 3 2 2" xfId="10435"/>
    <cellStyle name="Comma 3 7 3 3" xfId="8044"/>
    <cellStyle name="Comma 3 7 4" xfId="4147"/>
    <cellStyle name="Comma 3 7 4 2" xfId="9243"/>
    <cellStyle name="Comma 3 7 5" xfId="6773"/>
    <cellStyle name="Comma 3 8" xfId="1467"/>
    <cellStyle name="Comma 3 8 2" xfId="2943"/>
    <cellStyle name="Comma 3 8 2 2" xfId="5341"/>
    <cellStyle name="Comma 3 8 2 2 2" xfId="10437"/>
    <cellStyle name="Comma 3 8 2 3" xfId="8046"/>
    <cellStyle name="Comma 3 8 3" xfId="4149"/>
    <cellStyle name="Comma 3 8 3 2" xfId="9245"/>
    <cellStyle name="Comma 3 8 4" xfId="6775"/>
    <cellStyle name="Comma 3 9" xfId="1468"/>
    <cellStyle name="Comma 3 9 2" xfId="2944"/>
    <cellStyle name="Comma 3 9 2 2" xfId="5342"/>
    <cellStyle name="Comma 3 9 2 2 2" xfId="10438"/>
    <cellStyle name="Comma 3 9 2 3" xfId="8047"/>
    <cellStyle name="Comma 3 9 3" xfId="4150"/>
    <cellStyle name="Comma 3 9 3 2" xfId="9246"/>
    <cellStyle name="Comma 3 9 4" xfId="6776"/>
    <cellStyle name="Comma 30" xfId="1842"/>
    <cellStyle name="Comma 30 2" xfId="3232"/>
    <cellStyle name="Comma 30 2 2" xfId="5628"/>
    <cellStyle name="Comma 30 2 2 2" xfId="10724"/>
    <cellStyle name="Comma 30 2 3" xfId="8335"/>
    <cellStyle name="Comma 30 3" xfId="4436"/>
    <cellStyle name="Comma 30 3 2" xfId="9532"/>
    <cellStyle name="Comma 30 4" xfId="7074"/>
    <cellStyle name="Comma 31" xfId="2268"/>
    <cellStyle name="Comma 31 2" xfId="3521"/>
    <cellStyle name="Comma 31 2 2" xfId="5916"/>
    <cellStyle name="Comma 31 2 2 2" xfId="11012"/>
    <cellStyle name="Comma 31 2 3" xfId="8624"/>
    <cellStyle name="Comma 31 3" xfId="4727"/>
    <cellStyle name="Comma 31 3 2" xfId="9823"/>
    <cellStyle name="Comma 31 4" xfId="7377"/>
    <cellStyle name="Comma 32" xfId="2270"/>
    <cellStyle name="Comma 32 2" xfId="3523"/>
    <cellStyle name="Comma 32 2 2" xfId="5918"/>
    <cellStyle name="Comma 32 2 2 2" xfId="11014"/>
    <cellStyle name="Comma 32 2 3" xfId="8626"/>
    <cellStyle name="Comma 32 3" xfId="4729"/>
    <cellStyle name="Comma 32 3 2" xfId="9825"/>
    <cellStyle name="Comma 32 4" xfId="7379"/>
    <cellStyle name="Comma 33" xfId="2272"/>
    <cellStyle name="Comma 33 2" xfId="3525"/>
    <cellStyle name="Comma 33 2 2" xfId="5920"/>
    <cellStyle name="Comma 33 2 2 2" xfId="11016"/>
    <cellStyle name="Comma 33 2 3" xfId="8628"/>
    <cellStyle name="Comma 33 3" xfId="4731"/>
    <cellStyle name="Comma 33 3 2" xfId="9827"/>
    <cellStyle name="Comma 33 4" xfId="7381"/>
    <cellStyle name="Comma 34" xfId="2274"/>
    <cellStyle name="Comma 34 2" xfId="3527"/>
    <cellStyle name="Comma 34 2 2" xfId="5922"/>
    <cellStyle name="Comma 34 2 2 2" xfId="11018"/>
    <cellStyle name="Comma 34 2 3" xfId="8630"/>
    <cellStyle name="Comma 34 3" xfId="4733"/>
    <cellStyle name="Comma 34 3 2" xfId="9829"/>
    <cellStyle name="Comma 34 4" xfId="7383"/>
    <cellStyle name="Comma 35" xfId="2277"/>
    <cellStyle name="Comma 35 2" xfId="3530"/>
    <cellStyle name="Comma 35 2 2" xfId="5925"/>
    <cellStyle name="Comma 35 2 2 2" xfId="11021"/>
    <cellStyle name="Comma 35 2 3" xfId="8633"/>
    <cellStyle name="Comma 35 3" xfId="4736"/>
    <cellStyle name="Comma 35 3 2" xfId="9832"/>
    <cellStyle name="Comma 35 4" xfId="7386"/>
    <cellStyle name="Comma 36" xfId="2280"/>
    <cellStyle name="Comma 36 2" xfId="3533"/>
    <cellStyle name="Comma 36 2 2" xfId="5928"/>
    <cellStyle name="Comma 36 2 2 2" xfId="11024"/>
    <cellStyle name="Comma 36 2 3" xfId="8636"/>
    <cellStyle name="Comma 36 3" xfId="4739"/>
    <cellStyle name="Comma 36 3 2" xfId="9835"/>
    <cellStyle name="Comma 36 4" xfId="7389"/>
    <cellStyle name="Comma 37" xfId="2276"/>
    <cellStyle name="Comma 37 2" xfId="3529"/>
    <cellStyle name="Comma 37 2 2" xfId="5924"/>
    <cellStyle name="Comma 37 2 2 2" xfId="11020"/>
    <cellStyle name="Comma 37 2 3" xfId="8632"/>
    <cellStyle name="Comma 37 3" xfId="4735"/>
    <cellStyle name="Comma 37 3 2" xfId="9831"/>
    <cellStyle name="Comma 37 4" xfId="7385"/>
    <cellStyle name="Comma 38" xfId="2256"/>
    <cellStyle name="Comma 38 2" xfId="3509"/>
    <cellStyle name="Comma 38 2 2" xfId="5904"/>
    <cellStyle name="Comma 38 2 2 2" xfId="11000"/>
    <cellStyle name="Comma 38 2 3" xfId="8612"/>
    <cellStyle name="Comma 38 3" xfId="4715"/>
    <cellStyle name="Comma 38 3 2" xfId="9811"/>
    <cellStyle name="Comma 38 4" xfId="7365"/>
    <cellStyle name="Comma 39" xfId="2254"/>
    <cellStyle name="Comma 39 2" xfId="3507"/>
    <cellStyle name="Comma 39 2 2" xfId="5902"/>
    <cellStyle name="Comma 39 2 2 2" xfId="10998"/>
    <cellStyle name="Comma 39 2 3" xfId="8610"/>
    <cellStyle name="Comma 39 3" xfId="4713"/>
    <cellStyle name="Comma 39 3 2" xfId="9809"/>
    <cellStyle name="Comma 39 4" xfId="7363"/>
    <cellStyle name="Comma 4" xfId="868"/>
    <cellStyle name="Comma 4 10" xfId="2573"/>
    <cellStyle name="Comma 4 10 2" xfId="5017"/>
    <cellStyle name="Comma 4 10 2 2" xfId="10113"/>
    <cellStyle name="Comma 4 10 3" xfId="7676"/>
    <cellStyle name="Comma 4 11" xfId="3834"/>
    <cellStyle name="Comma 4 11 2" xfId="8933"/>
    <cellStyle name="Comma 4 12" xfId="6419"/>
    <cellStyle name="Comma 4 2" xfId="1040"/>
    <cellStyle name="Comma 4 2 2" xfId="1471"/>
    <cellStyle name="Comma 4 2 2 2" xfId="1472"/>
    <cellStyle name="Comma 4 2 2 2 2" xfId="1473"/>
    <cellStyle name="Comma 4 2 2 2 2 2" xfId="2949"/>
    <cellStyle name="Comma 4 2 2 2 2 2 2" xfId="5347"/>
    <cellStyle name="Comma 4 2 2 2 2 2 2 2" xfId="10443"/>
    <cellStyle name="Comma 4 2 2 2 2 2 3" xfId="8052"/>
    <cellStyle name="Comma 4 2 2 2 2 3" xfId="4155"/>
    <cellStyle name="Comma 4 2 2 2 2 3 2" xfId="9251"/>
    <cellStyle name="Comma 4 2 2 2 2 4" xfId="6781"/>
    <cellStyle name="Comma 4 2 2 2 3" xfId="2948"/>
    <cellStyle name="Comma 4 2 2 2 3 2" xfId="5346"/>
    <cellStyle name="Comma 4 2 2 2 3 2 2" xfId="10442"/>
    <cellStyle name="Comma 4 2 2 2 3 3" xfId="8051"/>
    <cellStyle name="Comma 4 2 2 2 4" xfId="4154"/>
    <cellStyle name="Comma 4 2 2 2 4 2" xfId="9250"/>
    <cellStyle name="Comma 4 2 2 2 5" xfId="6780"/>
    <cellStyle name="Comma 4 2 2 3" xfId="1474"/>
    <cellStyle name="Comma 4 2 2 3 2" xfId="2950"/>
    <cellStyle name="Comma 4 2 2 3 2 2" xfId="5348"/>
    <cellStyle name="Comma 4 2 2 3 2 2 2" xfId="10444"/>
    <cellStyle name="Comma 4 2 2 3 2 3" xfId="8053"/>
    <cellStyle name="Comma 4 2 2 3 3" xfId="4156"/>
    <cellStyle name="Comma 4 2 2 3 3 2" xfId="9252"/>
    <cellStyle name="Comma 4 2 2 3 4" xfId="6782"/>
    <cellStyle name="Comma 4 2 2 4" xfId="1475"/>
    <cellStyle name="Comma 4 2 2 4 2" xfId="2951"/>
    <cellStyle name="Comma 4 2 2 4 2 2" xfId="5349"/>
    <cellStyle name="Comma 4 2 2 4 2 2 2" xfId="10445"/>
    <cellStyle name="Comma 4 2 2 4 2 3" xfId="8054"/>
    <cellStyle name="Comma 4 2 2 4 3" xfId="4157"/>
    <cellStyle name="Comma 4 2 2 4 3 2" xfId="9253"/>
    <cellStyle name="Comma 4 2 2 4 4" xfId="6783"/>
    <cellStyle name="Comma 4 2 2 5" xfId="2947"/>
    <cellStyle name="Comma 4 2 2 5 2" xfId="5345"/>
    <cellStyle name="Comma 4 2 2 5 2 2" xfId="10441"/>
    <cellStyle name="Comma 4 2 2 5 3" xfId="8050"/>
    <cellStyle name="Comma 4 2 2 6" xfId="4153"/>
    <cellStyle name="Comma 4 2 2 6 2" xfId="9249"/>
    <cellStyle name="Comma 4 2 2 7" xfId="6779"/>
    <cellStyle name="Comma 4 2 3" xfId="1476"/>
    <cellStyle name="Comma 4 2 3 2" xfId="1477"/>
    <cellStyle name="Comma 4 2 3 2 2" xfId="2953"/>
    <cellStyle name="Comma 4 2 3 2 2 2" xfId="5351"/>
    <cellStyle name="Comma 4 2 3 2 2 2 2" xfId="10447"/>
    <cellStyle name="Comma 4 2 3 2 2 3" xfId="8056"/>
    <cellStyle name="Comma 4 2 3 2 3" xfId="4159"/>
    <cellStyle name="Comma 4 2 3 2 3 2" xfId="9255"/>
    <cellStyle name="Comma 4 2 3 2 4" xfId="6785"/>
    <cellStyle name="Comma 4 2 3 3" xfId="2952"/>
    <cellStyle name="Comma 4 2 3 3 2" xfId="5350"/>
    <cellStyle name="Comma 4 2 3 3 2 2" xfId="10446"/>
    <cellStyle name="Comma 4 2 3 3 3" xfId="8055"/>
    <cellStyle name="Comma 4 2 3 4" xfId="4158"/>
    <cellStyle name="Comma 4 2 3 4 2" xfId="9254"/>
    <cellStyle name="Comma 4 2 3 5" xfId="6784"/>
    <cellStyle name="Comma 4 2 4" xfId="1478"/>
    <cellStyle name="Comma 4 2 4 2" xfId="2954"/>
    <cellStyle name="Comma 4 2 4 2 2" xfId="5352"/>
    <cellStyle name="Comma 4 2 4 2 2 2" xfId="10448"/>
    <cellStyle name="Comma 4 2 4 2 3" xfId="8057"/>
    <cellStyle name="Comma 4 2 4 3" xfId="4160"/>
    <cellStyle name="Comma 4 2 4 3 2" xfId="9256"/>
    <cellStyle name="Comma 4 2 4 4" xfId="6786"/>
    <cellStyle name="Comma 4 2 5" xfId="1479"/>
    <cellStyle name="Comma 4 2 5 2" xfId="2955"/>
    <cellStyle name="Comma 4 2 5 2 2" xfId="5353"/>
    <cellStyle name="Comma 4 2 5 2 2 2" xfId="10449"/>
    <cellStyle name="Comma 4 2 5 2 3" xfId="8058"/>
    <cellStyle name="Comma 4 2 5 3" xfId="4161"/>
    <cellStyle name="Comma 4 2 5 3 2" xfId="9257"/>
    <cellStyle name="Comma 4 2 5 4" xfId="6787"/>
    <cellStyle name="Comma 4 2 6" xfId="1470"/>
    <cellStyle name="Comma 4 2 6 2" xfId="2946"/>
    <cellStyle name="Comma 4 2 6 2 2" xfId="5344"/>
    <cellStyle name="Comma 4 2 6 2 2 2" xfId="10440"/>
    <cellStyle name="Comma 4 2 6 2 3" xfId="8049"/>
    <cellStyle name="Comma 4 2 6 3" xfId="4152"/>
    <cellStyle name="Comma 4 2 6 3 2" xfId="9248"/>
    <cellStyle name="Comma 4 2 6 4" xfId="6778"/>
    <cellStyle name="Comma 4 2 7" xfId="2670"/>
    <cellStyle name="Comma 4 2 7 2" xfId="5079"/>
    <cellStyle name="Comma 4 2 7 2 2" xfId="10175"/>
    <cellStyle name="Comma 4 2 7 3" xfId="7773"/>
    <cellStyle name="Comma 4 2 8" xfId="3896"/>
    <cellStyle name="Comma 4 2 8 2" xfId="8995"/>
    <cellStyle name="Comma 4 2 9" xfId="6517"/>
    <cellStyle name="Comma 4 3" xfId="1480"/>
    <cellStyle name="Comma 4 3 2" xfId="1481"/>
    <cellStyle name="Comma 4 3 2 2" xfId="1482"/>
    <cellStyle name="Comma 4 3 2 2 2" xfId="2958"/>
    <cellStyle name="Comma 4 3 2 2 2 2" xfId="5356"/>
    <cellStyle name="Comma 4 3 2 2 2 2 2" xfId="10452"/>
    <cellStyle name="Comma 4 3 2 2 2 3" xfId="8061"/>
    <cellStyle name="Comma 4 3 2 2 3" xfId="4164"/>
    <cellStyle name="Comma 4 3 2 2 3 2" xfId="9260"/>
    <cellStyle name="Comma 4 3 2 2 4" xfId="6790"/>
    <cellStyle name="Comma 4 3 2 3" xfId="2957"/>
    <cellStyle name="Comma 4 3 2 3 2" xfId="5355"/>
    <cellStyle name="Comma 4 3 2 3 2 2" xfId="10451"/>
    <cellStyle name="Comma 4 3 2 3 3" xfId="8060"/>
    <cellStyle name="Comma 4 3 2 4" xfId="4163"/>
    <cellStyle name="Comma 4 3 2 4 2" xfId="9259"/>
    <cellStyle name="Comma 4 3 2 5" xfId="6789"/>
    <cellStyle name="Comma 4 3 3" xfId="1483"/>
    <cellStyle name="Comma 4 3 3 2" xfId="2959"/>
    <cellStyle name="Comma 4 3 3 2 2" xfId="5357"/>
    <cellStyle name="Comma 4 3 3 2 2 2" xfId="10453"/>
    <cellStyle name="Comma 4 3 3 2 3" xfId="8062"/>
    <cellStyle name="Comma 4 3 3 3" xfId="4165"/>
    <cellStyle name="Comma 4 3 3 3 2" xfId="9261"/>
    <cellStyle name="Comma 4 3 3 4" xfId="6791"/>
    <cellStyle name="Comma 4 3 4" xfId="1484"/>
    <cellStyle name="Comma 4 3 4 2" xfId="2960"/>
    <cellStyle name="Comma 4 3 4 2 2" xfId="5358"/>
    <cellStyle name="Comma 4 3 4 2 2 2" xfId="10454"/>
    <cellStyle name="Comma 4 3 4 2 3" xfId="8063"/>
    <cellStyle name="Comma 4 3 4 3" xfId="4166"/>
    <cellStyle name="Comma 4 3 4 3 2" xfId="9262"/>
    <cellStyle name="Comma 4 3 4 4" xfId="6792"/>
    <cellStyle name="Comma 4 3 5" xfId="2956"/>
    <cellStyle name="Comma 4 3 5 2" xfId="5354"/>
    <cellStyle name="Comma 4 3 5 2 2" xfId="10450"/>
    <cellStyle name="Comma 4 3 5 3" xfId="8059"/>
    <cellStyle name="Comma 4 3 6" xfId="4162"/>
    <cellStyle name="Comma 4 3 6 2" xfId="9258"/>
    <cellStyle name="Comma 4 3 7" xfId="6788"/>
    <cellStyle name="Comma 4 4" xfId="1485"/>
    <cellStyle name="Comma 4 4 2" xfId="1486"/>
    <cellStyle name="Comma 4 4 2 2" xfId="1487"/>
    <cellStyle name="Comma 4 4 2 2 2" xfId="2963"/>
    <cellStyle name="Comma 4 4 2 2 2 2" xfId="5361"/>
    <cellStyle name="Comma 4 4 2 2 2 2 2" xfId="10457"/>
    <cellStyle name="Comma 4 4 2 2 2 3" xfId="8066"/>
    <cellStyle name="Comma 4 4 2 2 3" xfId="4169"/>
    <cellStyle name="Comma 4 4 2 2 3 2" xfId="9265"/>
    <cellStyle name="Comma 4 4 2 2 4" xfId="6795"/>
    <cellStyle name="Comma 4 4 2 3" xfId="2962"/>
    <cellStyle name="Comma 4 4 2 3 2" xfId="5360"/>
    <cellStyle name="Comma 4 4 2 3 2 2" xfId="10456"/>
    <cellStyle name="Comma 4 4 2 3 3" xfId="8065"/>
    <cellStyle name="Comma 4 4 2 4" xfId="4168"/>
    <cellStyle name="Comma 4 4 2 4 2" xfId="9264"/>
    <cellStyle name="Comma 4 4 2 5" xfId="6794"/>
    <cellStyle name="Comma 4 4 3" xfId="1488"/>
    <cellStyle name="Comma 4 4 3 2" xfId="2964"/>
    <cellStyle name="Comma 4 4 3 2 2" xfId="5362"/>
    <cellStyle name="Comma 4 4 3 2 2 2" xfId="10458"/>
    <cellStyle name="Comma 4 4 3 2 3" xfId="8067"/>
    <cellStyle name="Comma 4 4 3 3" xfId="4170"/>
    <cellStyle name="Comma 4 4 3 3 2" xfId="9266"/>
    <cellStyle name="Comma 4 4 3 4" xfId="6796"/>
    <cellStyle name="Comma 4 4 4" xfId="1489"/>
    <cellStyle name="Comma 4 4 4 2" xfId="2965"/>
    <cellStyle name="Comma 4 4 4 2 2" xfId="5363"/>
    <cellStyle name="Comma 4 4 4 2 2 2" xfId="10459"/>
    <cellStyle name="Comma 4 4 4 2 3" xfId="8068"/>
    <cellStyle name="Comma 4 4 4 3" xfId="4171"/>
    <cellStyle name="Comma 4 4 4 3 2" xfId="9267"/>
    <cellStyle name="Comma 4 4 4 4" xfId="6797"/>
    <cellStyle name="Comma 4 4 5" xfId="2961"/>
    <cellStyle name="Comma 4 4 5 2" xfId="5359"/>
    <cellStyle name="Comma 4 4 5 2 2" xfId="10455"/>
    <cellStyle name="Comma 4 4 5 3" xfId="8064"/>
    <cellStyle name="Comma 4 4 6" xfId="4167"/>
    <cellStyle name="Comma 4 4 6 2" xfId="9263"/>
    <cellStyle name="Comma 4 4 7" xfId="6793"/>
    <cellStyle name="Comma 4 5" xfId="1490"/>
    <cellStyle name="Comma 4 5 2" xfId="1491"/>
    <cellStyle name="Comma 4 5 2 2" xfId="1492"/>
    <cellStyle name="Comma 4 5 2 2 2" xfId="2968"/>
    <cellStyle name="Comma 4 5 2 2 2 2" xfId="5366"/>
    <cellStyle name="Comma 4 5 2 2 2 2 2" xfId="10462"/>
    <cellStyle name="Comma 4 5 2 2 2 3" xfId="8071"/>
    <cellStyle name="Comma 4 5 2 2 3" xfId="4174"/>
    <cellStyle name="Comma 4 5 2 2 3 2" xfId="9270"/>
    <cellStyle name="Comma 4 5 2 2 4" xfId="6800"/>
    <cellStyle name="Comma 4 5 2 3" xfId="2967"/>
    <cellStyle name="Comma 4 5 2 3 2" xfId="5365"/>
    <cellStyle name="Comma 4 5 2 3 2 2" xfId="10461"/>
    <cellStyle name="Comma 4 5 2 3 3" xfId="8070"/>
    <cellStyle name="Comma 4 5 2 4" xfId="4173"/>
    <cellStyle name="Comma 4 5 2 4 2" xfId="9269"/>
    <cellStyle name="Comma 4 5 2 5" xfId="6799"/>
    <cellStyle name="Comma 4 5 3" xfId="1493"/>
    <cellStyle name="Comma 4 5 3 2" xfId="2969"/>
    <cellStyle name="Comma 4 5 3 2 2" xfId="5367"/>
    <cellStyle name="Comma 4 5 3 2 2 2" xfId="10463"/>
    <cellStyle name="Comma 4 5 3 2 3" xfId="8072"/>
    <cellStyle name="Comma 4 5 3 3" xfId="4175"/>
    <cellStyle name="Comma 4 5 3 3 2" xfId="9271"/>
    <cellStyle name="Comma 4 5 3 4" xfId="6801"/>
    <cellStyle name="Comma 4 5 4" xfId="1494"/>
    <cellStyle name="Comma 4 5 4 2" xfId="2970"/>
    <cellStyle name="Comma 4 5 4 2 2" xfId="5368"/>
    <cellStyle name="Comma 4 5 4 2 2 2" xfId="10464"/>
    <cellStyle name="Comma 4 5 4 2 3" xfId="8073"/>
    <cellStyle name="Comma 4 5 4 3" xfId="4176"/>
    <cellStyle name="Comma 4 5 4 3 2" xfId="9272"/>
    <cellStyle name="Comma 4 5 4 4" xfId="6802"/>
    <cellStyle name="Comma 4 5 5" xfId="2966"/>
    <cellStyle name="Comma 4 5 5 2" xfId="5364"/>
    <cellStyle name="Comma 4 5 5 2 2" xfId="10460"/>
    <cellStyle name="Comma 4 5 5 3" xfId="8069"/>
    <cellStyle name="Comma 4 5 6" xfId="4172"/>
    <cellStyle name="Comma 4 5 6 2" xfId="9268"/>
    <cellStyle name="Comma 4 5 7" xfId="6798"/>
    <cellStyle name="Comma 4 6" xfId="1495"/>
    <cellStyle name="Comma 4 6 2" xfId="1496"/>
    <cellStyle name="Comma 4 6 2 2" xfId="2972"/>
    <cellStyle name="Comma 4 6 2 2 2" xfId="5370"/>
    <cellStyle name="Comma 4 6 2 2 2 2" xfId="10466"/>
    <cellStyle name="Comma 4 6 2 2 3" xfId="8075"/>
    <cellStyle name="Comma 4 6 2 3" xfId="4178"/>
    <cellStyle name="Comma 4 6 2 3 2" xfId="9274"/>
    <cellStyle name="Comma 4 6 2 4" xfId="6804"/>
    <cellStyle name="Comma 4 6 3" xfId="2971"/>
    <cellStyle name="Comma 4 6 3 2" xfId="5369"/>
    <cellStyle name="Comma 4 6 3 2 2" xfId="10465"/>
    <cellStyle name="Comma 4 6 3 3" xfId="8074"/>
    <cellStyle name="Comma 4 6 4" xfId="4177"/>
    <cellStyle name="Comma 4 6 4 2" xfId="9273"/>
    <cellStyle name="Comma 4 6 5" xfId="6803"/>
    <cellStyle name="Comma 4 7" xfId="1497"/>
    <cellStyle name="Comma 4 7 2" xfId="2973"/>
    <cellStyle name="Comma 4 7 2 2" xfId="5371"/>
    <cellStyle name="Comma 4 7 2 2 2" xfId="10467"/>
    <cellStyle name="Comma 4 7 2 3" xfId="8076"/>
    <cellStyle name="Comma 4 7 3" xfId="4179"/>
    <cellStyle name="Comma 4 7 3 2" xfId="9275"/>
    <cellStyle name="Comma 4 7 4" xfId="6805"/>
    <cellStyle name="Comma 4 8" xfId="1498"/>
    <cellStyle name="Comma 4 8 2" xfId="2974"/>
    <cellStyle name="Comma 4 8 2 2" xfId="5372"/>
    <cellStyle name="Comma 4 8 2 2 2" xfId="10468"/>
    <cellStyle name="Comma 4 8 2 3" xfId="8077"/>
    <cellStyle name="Comma 4 8 3" xfId="4180"/>
    <cellStyle name="Comma 4 8 3 2" xfId="9276"/>
    <cellStyle name="Comma 4 8 4" xfId="6806"/>
    <cellStyle name="Comma 4 9" xfId="1469"/>
    <cellStyle name="Comma 4 9 2" xfId="2945"/>
    <cellStyle name="Comma 4 9 2 2" xfId="5343"/>
    <cellStyle name="Comma 4 9 2 2 2" xfId="10439"/>
    <cellStyle name="Comma 4 9 2 3" xfId="8048"/>
    <cellStyle name="Comma 4 9 3" xfId="4151"/>
    <cellStyle name="Comma 4 9 3 2" xfId="9247"/>
    <cellStyle name="Comma 4 9 4" xfId="6777"/>
    <cellStyle name="Comma 40" xfId="2253"/>
    <cellStyle name="Comma 40 2" xfId="3506"/>
    <cellStyle name="Comma 40 2 2" xfId="5901"/>
    <cellStyle name="Comma 40 2 2 2" xfId="10997"/>
    <cellStyle name="Comma 40 2 3" xfId="8609"/>
    <cellStyle name="Comma 40 3" xfId="4712"/>
    <cellStyle name="Comma 40 3 2" xfId="9808"/>
    <cellStyle name="Comma 40 4" xfId="7362"/>
    <cellStyle name="Comma 41" xfId="2264"/>
    <cellStyle name="Comma 41 2" xfId="3517"/>
    <cellStyle name="Comma 41 2 2" xfId="5912"/>
    <cellStyle name="Comma 41 2 2 2" xfId="11008"/>
    <cellStyle name="Comma 41 2 3" xfId="8620"/>
    <cellStyle name="Comma 41 3" xfId="4723"/>
    <cellStyle name="Comma 41 3 2" xfId="9819"/>
    <cellStyle name="Comma 41 4" xfId="7373"/>
    <cellStyle name="Comma 42" xfId="2255"/>
    <cellStyle name="Comma 42 2" xfId="3508"/>
    <cellStyle name="Comma 42 2 2" xfId="5903"/>
    <cellStyle name="Comma 42 2 2 2" xfId="10999"/>
    <cellStyle name="Comma 42 2 3" xfId="8611"/>
    <cellStyle name="Comma 42 3" xfId="4714"/>
    <cellStyle name="Comma 42 3 2" xfId="9810"/>
    <cellStyle name="Comma 42 4" xfId="7364"/>
    <cellStyle name="Comma 43" xfId="2249"/>
    <cellStyle name="Comma 43 2" xfId="3502"/>
    <cellStyle name="Comma 43 2 2" xfId="5897"/>
    <cellStyle name="Comma 43 2 2 2" xfId="10993"/>
    <cellStyle name="Comma 43 2 3" xfId="8605"/>
    <cellStyle name="Comma 43 3" xfId="4708"/>
    <cellStyle name="Comma 43 3 2" xfId="9804"/>
    <cellStyle name="Comma 43 4" xfId="7358"/>
    <cellStyle name="Comma 44" xfId="2257"/>
    <cellStyle name="Comma 44 2" xfId="3510"/>
    <cellStyle name="Comma 44 2 2" xfId="5905"/>
    <cellStyle name="Comma 44 2 2 2" xfId="11001"/>
    <cellStyle name="Comma 44 2 3" xfId="8613"/>
    <cellStyle name="Comma 44 3" xfId="4716"/>
    <cellStyle name="Comma 44 3 2" xfId="9812"/>
    <cellStyle name="Comma 44 4" xfId="7366"/>
    <cellStyle name="Comma 45" xfId="2291"/>
    <cellStyle name="Comma 45 2" xfId="3544"/>
    <cellStyle name="Comma 45 2 2" xfId="5939"/>
    <cellStyle name="Comma 45 2 2 2" xfId="11035"/>
    <cellStyle name="Comma 45 2 3" xfId="8647"/>
    <cellStyle name="Comma 45 3" xfId="4750"/>
    <cellStyle name="Comma 45 3 2" xfId="9846"/>
    <cellStyle name="Comma 45 4" xfId="7400"/>
    <cellStyle name="Comma 46" xfId="2293"/>
    <cellStyle name="Comma 46 2" xfId="3546"/>
    <cellStyle name="Comma 46 2 2" xfId="5941"/>
    <cellStyle name="Comma 46 2 2 2" xfId="11037"/>
    <cellStyle name="Comma 46 2 3" xfId="8649"/>
    <cellStyle name="Comma 46 3" xfId="4752"/>
    <cellStyle name="Comma 46 3 2" xfId="9848"/>
    <cellStyle name="Comma 46 4" xfId="7402"/>
    <cellStyle name="Comma 47" xfId="2295"/>
    <cellStyle name="Comma 47 2" xfId="3548"/>
    <cellStyle name="Comma 47 2 2" xfId="5943"/>
    <cellStyle name="Comma 47 2 2 2" xfId="11039"/>
    <cellStyle name="Comma 47 2 3" xfId="8651"/>
    <cellStyle name="Comma 47 3" xfId="4754"/>
    <cellStyle name="Comma 47 3 2" xfId="9850"/>
    <cellStyle name="Comma 47 4" xfId="7404"/>
    <cellStyle name="Comma 48" xfId="2297"/>
    <cellStyle name="Comma 48 2" xfId="3550"/>
    <cellStyle name="Comma 48 2 2" xfId="5945"/>
    <cellStyle name="Comma 48 2 2 2" xfId="11041"/>
    <cellStyle name="Comma 48 2 3" xfId="8653"/>
    <cellStyle name="Comma 48 3" xfId="4756"/>
    <cellStyle name="Comma 48 3 2" xfId="9852"/>
    <cellStyle name="Comma 48 4" xfId="7406"/>
    <cellStyle name="Comma 49" xfId="2299"/>
    <cellStyle name="Comma 49 2" xfId="3552"/>
    <cellStyle name="Comma 49 2 2" xfId="5947"/>
    <cellStyle name="Comma 49 2 2 2" xfId="11043"/>
    <cellStyle name="Comma 49 2 3" xfId="8655"/>
    <cellStyle name="Comma 49 3" xfId="4758"/>
    <cellStyle name="Comma 49 3 2" xfId="9854"/>
    <cellStyle name="Comma 49 4" xfId="7408"/>
    <cellStyle name="Comma 5" xfId="937"/>
    <cellStyle name="Comma 5 2" xfId="1500"/>
    <cellStyle name="Comma 5 2 2" xfId="1501"/>
    <cellStyle name="Comma 5 2 2 2" xfId="1502"/>
    <cellStyle name="Comma 5 2 2 2 2" xfId="1503"/>
    <cellStyle name="Comma 5 2 2 2 2 2" xfId="2979"/>
    <cellStyle name="Comma 5 2 2 2 2 2 2" xfId="5377"/>
    <cellStyle name="Comma 5 2 2 2 2 2 2 2" xfId="10473"/>
    <cellStyle name="Comma 5 2 2 2 2 2 3" xfId="8082"/>
    <cellStyle name="Comma 5 2 2 2 2 3" xfId="4185"/>
    <cellStyle name="Comma 5 2 2 2 2 3 2" xfId="9281"/>
    <cellStyle name="Comma 5 2 2 2 2 4" xfId="6811"/>
    <cellStyle name="Comma 5 2 2 2 3" xfId="2978"/>
    <cellStyle name="Comma 5 2 2 2 3 2" xfId="5376"/>
    <cellStyle name="Comma 5 2 2 2 3 2 2" xfId="10472"/>
    <cellStyle name="Comma 5 2 2 2 3 3" xfId="8081"/>
    <cellStyle name="Comma 5 2 2 2 4" xfId="4184"/>
    <cellStyle name="Comma 5 2 2 2 4 2" xfId="9280"/>
    <cellStyle name="Comma 5 2 2 2 5" xfId="6810"/>
    <cellStyle name="Comma 5 2 2 3" xfId="1504"/>
    <cellStyle name="Comma 5 2 2 3 2" xfId="2980"/>
    <cellStyle name="Comma 5 2 2 3 2 2" xfId="5378"/>
    <cellStyle name="Comma 5 2 2 3 2 2 2" xfId="10474"/>
    <cellStyle name="Comma 5 2 2 3 2 3" xfId="8083"/>
    <cellStyle name="Comma 5 2 2 3 3" xfId="4186"/>
    <cellStyle name="Comma 5 2 2 3 3 2" xfId="9282"/>
    <cellStyle name="Comma 5 2 2 3 4" xfId="6812"/>
    <cellStyle name="Comma 5 2 2 4" xfId="1505"/>
    <cellStyle name="Comma 5 2 2 4 2" xfId="2981"/>
    <cellStyle name="Comma 5 2 2 4 2 2" xfId="5379"/>
    <cellStyle name="Comma 5 2 2 4 2 2 2" xfId="10475"/>
    <cellStyle name="Comma 5 2 2 4 2 3" xfId="8084"/>
    <cellStyle name="Comma 5 2 2 4 3" xfId="4187"/>
    <cellStyle name="Comma 5 2 2 4 3 2" xfId="9283"/>
    <cellStyle name="Comma 5 2 2 4 4" xfId="6813"/>
    <cellStyle name="Comma 5 2 2 5" xfId="2977"/>
    <cellStyle name="Comma 5 2 2 5 2" xfId="5375"/>
    <cellStyle name="Comma 5 2 2 5 2 2" xfId="10471"/>
    <cellStyle name="Comma 5 2 2 5 3" xfId="8080"/>
    <cellStyle name="Comma 5 2 2 6" xfId="4183"/>
    <cellStyle name="Comma 5 2 2 6 2" xfId="9279"/>
    <cellStyle name="Comma 5 2 2 7" xfId="6809"/>
    <cellStyle name="Comma 5 2 3" xfId="1506"/>
    <cellStyle name="Comma 5 2 3 2" xfId="1507"/>
    <cellStyle name="Comma 5 2 3 2 2" xfId="2983"/>
    <cellStyle name="Comma 5 2 3 2 2 2" xfId="5381"/>
    <cellStyle name="Comma 5 2 3 2 2 2 2" xfId="10477"/>
    <cellStyle name="Comma 5 2 3 2 2 3" xfId="8086"/>
    <cellStyle name="Comma 5 2 3 2 3" xfId="4189"/>
    <cellStyle name="Comma 5 2 3 2 3 2" xfId="9285"/>
    <cellStyle name="Comma 5 2 3 2 4" xfId="6815"/>
    <cellStyle name="Comma 5 2 3 3" xfId="2982"/>
    <cellStyle name="Comma 5 2 3 3 2" xfId="5380"/>
    <cellStyle name="Comma 5 2 3 3 2 2" xfId="10476"/>
    <cellStyle name="Comma 5 2 3 3 3" xfId="8085"/>
    <cellStyle name="Comma 5 2 3 4" xfId="4188"/>
    <cellStyle name="Comma 5 2 3 4 2" xfId="9284"/>
    <cellStyle name="Comma 5 2 3 5" xfId="6814"/>
    <cellStyle name="Comma 5 2 4" xfId="1508"/>
    <cellStyle name="Comma 5 2 4 2" xfId="2984"/>
    <cellStyle name="Comma 5 2 4 2 2" xfId="5382"/>
    <cellStyle name="Comma 5 2 4 2 2 2" xfId="10478"/>
    <cellStyle name="Comma 5 2 4 2 3" xfId="8087"/>
    <cellStyle name="Comma 5 2 4 3" xfId="4190"/>
    <cellStyle name="Comma 5 2 4 3 2" xfId="9286"/>
    <cellStyle name="Comma 5 2 4 4" xfId="6816"/>
    <cellStyle name="Comma 5 2 5" xfId="1509"/>
    <cellStyle name="Comma 5 2 5 2" xfId="2985"/>
    <cellStyle name="Comma 5 2 5 2 2" xfId="5383"/>
    <cellStyle name="Comma 5 2 5 2 2 2" xfId="10479"/>
    <cellStyle name="Comma 5 2 5 2 3" xfId="8088"/>
    <cellStyle name="Comma 5 2 5 3" xfId="4191"/>
    <cellStyle name="Comma 5 2 5 3 2" xfId="9287"/>
    <cellStyle name="Comma 5 2 5 4" xfId="6817"/>
    <cellStyle name="Comma 5 2 6" xfId="2976"/>
    <cellStyle name="Comma 5 2 6 2" xfId="5374"/>
    <cellStyle name="Comma 5 2 6 2 2" xfId="10470"/>
    <cellStyle name="Comma 5 2 6 3" xfId="8079"/>
    <cellStyle name="Comma 5 2 7" xfId="4182"/>
    <cellStyle name="Comma 5 2 7 2" xfId="9278"/>
    <cellStyle name="Comma 5 2 8" xfId="6808"/>
    <cellStyle name="Comma 5 3" xfId="1510"/>
    <cellStyle name="Comma 5 3 2" xfId="1511"/>
    <cellStyle name="Comma 5 3 2 2" xfId="1512"/>
    <cellStyle name="Comma 5 3 2 2 2" xfId="2988"/>
    <cellStyle name="Comma 5 3 2 2 2 2" xfId="5386"/>
    <cellStyle name="Comma 5 3 2 2 2 2 2" xfId="10482"/>
    <cellStyle name="Comma 5 3 2 2 2 3" xfId="8091"/>
    <cellStyle name="Comma 5 3 2 2 3" xfId="4194"/>
    <cellStyle name="Comma 5 3 2 2 3 2" xfId="9290"/>
    <cellStyle name="Comma 5 3 2 2 4" xfId="6820"/>
    <cellStyle name="Comma 5 3 2 3" xfId="2987"/>
    <cellStyle name="Comma 5 3 2 3 2" xfId="5385"/>
    <cellStyle name="Comma 5 3 2 3 2 2" xfId="10481"/>
    <cellStyle name="Comma 5 3 2 3 3" xfId="8090"/>
    <cellStyle name="Comma 5 3 2 4" xfId="4193"/>
    <cellStyle name="Comma 5 3 2 4 2" xfId="9289"/>
    <cellStyle name="Comma 5 3 2 5" xfId="6819"/>
    <cellStyle name="Comma 5 3 3" xfId="1513"/>
    <cellStyle name="Comma 5 3 3 2" xfId="2989"/>
    <cellStyle name="Comma 5 3 3 2 2" xfId="5387"/>
    <cellStyle name="Comma 5 3 3 2 2 2" xfId="10483"/>
    <cellStyle name="Comma 5 3 3 2 3" xfId="8092"/>
    <cellStyle name="Comma 5 3 3 3" xfId="4195"/>
    <cellStyle name="Comma 5 3 3 3 2" xfId="9291"/>
    <cellStyle name="Comma 5 3 3 4" xfId="6821"/>
    <cellStyle name="Comma 5 3 4" xfId="1514"/>
    <cellStyle name="Comma 5 3 4 2" xfId="2990"/>
    <cellStyle name="Comma 5 3 4 2 2" xfId="5388"/>
    <cellStyle name="Comma 5 3 4 2 2 2" xfId="10484"/>
    <cellStyle name="Comma 5 3 4 2 3" xfId="8093"/>
    <cellStyle name="Comma 5 3 4 3" xfId="4196"/>
    <cellStyle name="Comma 5 3 4 3 2" xfId="9292"/>
    <cellStyle name="Comma 5 3 4 4" xfId="6822"/>
    <cellStyle name="Comma 5 3 5" xfId="2986"/>
    <cellStyle name="Comma 5 3 5 2" xfId="5384"/>
    <cellStyle name="Comma 5 3 5 2 2" xfId="10480"/>
    <cellStyle name="Comma 5 3 5 3" xfId="8089"/>
    <cellStyle name="Comma 5 3 6" xfId="4192"/>
    <cellStyle name="Comma 5 3 6 2" xfId="9288"/>
    <cellStyle name="Comma 5 3 7" xfId="6818"/>
    <cellStyle name="Comma 5 4" xfId="1515"/>
    <cellStyle name="Comma 5 4 2" xfId="1516"/>
    <cellStyle name="Comma 5 4 2 2" xfId="1517"/>
    <cellStyle name="Comma 5 4 2 2 2" xfId="2993"/>
    <cellStyle name="Comma 5 4 2 2 2 2" xfId="5391"/>
    <cellStyle name="Comma 5 4 2 2 2 2 2" xfId="10487"/>
    <cellStyle name="Comma 5 4 2 2 2 3" xfId="8096"/>
    <cellStyle name="Comma 5 4 2 2 3" xfId="4199"/>
    <cellStyle name="Comma 5 4 2 2 3 2" xfId="9295"/>
    <cellStyle name="Comma 5 4 2 2 4" xfId="6825"/>
    <cellStyle name="Comma 5 4 2 3" xfId="2992"/>
    <cellStyle name="Comma 5 4 2 3 2" xfId="5390"/>
    <cellStyle name="Comma 5 4 2 3 2 2" xfId="10486"/>
    <cellStyle name="Comma 5 4 2 3 3" xfId="8095"/>
    <cellStyle name="Comma 5 4 2 4" xfId="4198"/>
    <cellStyle name="Comma 5 4 2 4 2" xfId="9294"/>
    <cellStyle name="Comma 5 4 2 5" xfId="6824"/>
    <cellStyle name="Comma 5 4 3" xfId="1518"/>
    <cellStyle name="Comma 5 4 3 2" xfId="2994"/>
    <cellStyle name="Comma 5 4 3 2 2" xfId="5392"/>
    <cellStyle name="Comma 5 4 3 2 2 2" xfId="10488"/>
    <cellStyle name="Comma 5 4 3 2 3" xfId="8097"/>
    <cellStyle name="Comma 5 4 3 3" xfId="4200"/>
    <cellStyle name="Comma 5 4 3 3 2" xfId="9296"/>
    <cellStyle name="Comma 5 4 3 4" xfId="6826"/>
    <cellStyle name="Comma 5 4 4" xfId="1519"/>
    <cellStyle name="Comma 5 4 4 2" xfId="2995"/>
    <cellStyle name="Comma 5 4 4 2 2" xfId="5393"/>
    <cellStyle name="Comma 5 4 4 2 2 2" xfId="10489"/>
    <cellStyle name="Comma 5 4 4 2 3" xfId="8098"/>
    <cellStyle name="Comma 5 4 4 3" xfId="4201"/>
    <cellStyle name="Comma 5 4 4 3 2" xfId="9297"/>
    <cellStyle name="Comma 5 4 4 4" xfId="6827"/>
    <cellStyle name="Comma 5 4 5" xfId="2991"/>
    <cellStyle name="Comma 5 4 5 2" xfId="5389"/>
    <cellStyle name="Comma 5 4 5 2 2" xfId="10485"/>
    <cellStyle name="Comma 5 4 5 3" xfId="8094"/>
    <cellStyle name="Comma 5 4 6" xfId="4197"/>
    <cellStyle name="Comma 5 4 6 2" xfId="9293"/>
    <cellStyle name="Comma 5 4 7" xfId="6823"/>
    <cellStyle name="Comma 5 5" xfId="1520"/>
    <cellStyle name="Comma 5 5 2" xfId="1521"/>
    <cellStyle name="Comma 5 5 2 2" xfId="1522"/>
    <cellStyle name="Comma 5 5 2 2 2" xfId="2998"/>
    <cellStyle name="Comma 5 5 2 2 2 2" xfId="5396"/>
    <cellStyle name="Comma 5 5 2 2 2 2 2" xfId="10492"/>
    <cellStyle name="Comma 5 5 2 2 2 3" xfId="8101"/>
    <cellStyle name="Comma 5 5 2 2 3" xfId="4204"/>
    <cellStyle name="Comma 5 5 2 2 3 2" xfId="9300"/>
    <cellStyle name="Comma 5 5 2 2 4" xfId="6830"/>
    <cellStyle name="Comma 5 5 2 3" xfId="2997"/>
    <cellStyle name="Comma 5 5 2 3 2" xfId="5395"/>
    <cellStyle name="Comma 5 5 2 3 2 2" xfId="10491"/>
    <cellStyle name="Comma 5 5 2 3 3" xfId="8100"/>
    <cellStyle name="Comma 5 5 2 4" xfId="4203"/>
    <cellStyle name="Comma 5 5 2 4 2" xfId="9299"/>
    <cellStyle name="Comma 5 5 2 5" xfId="6829"/>
    <cellStyle name="Comma 5 5 3" xfId="1523"/>
    <cellStyle name="Comma 5 5 3 2" xfId="2999"/>
    <cellStyle name="Comma 5 5 3 2 2" xfId="5397"/>
    <cellStyle name="Comma 5 5 3 2 2 2" xfId="10493"/>
    <cellStyle name="Comma 5 5 3 2 3" xfId="8102"/>
    <cellStyle name="Comma 5 5 3 3" xfId="4205"/>
    <cellStyle name="Comma 5 5 3 3 2" xfId="9301"/>
    <cellStyle name="Comma 5 5 3 4" xfId="6831"/>
    <cellStyle name="Comma 5 5 4" xfId="1524"/>
    <cellStyle name="Comma 5 5 4 2" xfId="3000"/>
    <cellStyle name="Comma 5 5 4 2 2" xfId="5398"/>
    <cellStyle name="Comma 5 5 4 2 2 2" xfId="10494"/>
    <cellStyle name="Comma 5 5 4 2 3" xfId="8103"/>
    <cellStyle name="Comma 5 5 4 3" xfId="4206"/>
    <cellStyle name="Comma 5 5 4 3 2" xfId="9302"/>
    <cellStyle name="Comma 5 5 4 4" xfId="6832"/>
    <cellStyle name="Comma 5 5 5" xfId="2996"/>
    <cellStyle name="Comma 5 5 5 2" xfId="5394"/>
    <cellStyle name="Comma 5 5 5 2 2" xfId="10490"/>
    <cellStyle name="Comma 5 5 5 3" xfId="8099"/>
    <cellStyle name="Comma 5 5 6" xfId="4202"/>
    <cellStyle name="Comma 5 5 6 2" xfId="9298"/>
    <cellStyle name="Comma 5 5 7" xfId="6828"/>
    <cellStyle name="Comma 5 6" xfId="1525"/>
    <cellStyle name="Comma 5 6 2" xfId="1526"/>
    <cellStyle name="Comma 5 6 2 2" xfId="3002"/>
    <cellStyle name="Comma 5 6 2 2 2" xfId="5400"/>
    <cellStyle name="Comma 5 6 2 2 2 2" xfId="10496"/>
    <cellStyle name="Comma 5 6 2 2 3" xfId="8105"/>
    <cellStyle name="Comma 5 6 2 3" xfId="4208"/>
    <cellStyle name="Comma 5 6 2 3 2" xfId="9304"/>
    <cellStyle name="Comma 5 6 2 4" xfId="6834"/>
    <cellStyle name="Comma 5 6 3" xfId="3001"/>
    <cellStyle name="Comma 5 6 3 2" xfId="5399"/>
    <cellStyle name="Comma 5 6 3 2 2" xfId="10495"/>
    <cellStyle name="Comma 5 6 3 3" xfId="8104"/>
    <cellStyle name="Comma 5 6 4" xfId="4207"/>
    <cellStyle name="Comma 5 6 4 2" xfId="9303"/>
    <cellStyle name="Comma 5 6 5" xfId="6833"/>
    <cellStyle name="Comma 5 7" xfId="1527"/>
    <cellStyle name="Comma 5 7 2" xfId="3003"/>
    <cellStyle name="Comma 5 7 2 2" xfId="5401"/>
    <cellStyle name="Comma 5 7 2 2 2" xfId="10497"/>
    <cellStyle name="Comma 5 7 2 3" xfId="8106"/>
    <cellStyle name="Comma 5 7 3" xfId="4209"/>
    <cellStyle name="Comma 5 7 3 2" xfId="9305"/>
    <cellStyle name="Comma 5 7 4" xfId="6835"/>
    <cellStyle name="Comma 5 8" xfId="1528"/>
    <cellStyle name="Comma 5 8 2" xfId="3004"/>
    <cellStyle name="Comma 5 8 2 2" xfId="5402"/>
    <cellStyle name="Comma 5 8 2 2 2" xfId="10498"/>
    <cellStyle name="Comma 5 8 2 3" xfId="8107"/>
    <cellStyle name="Comma 5 8 3" xfId="4210"/>
    <cellStyle name="Comma 5 8 3 2" xfId="9306"/>
    <cellStyle name="Comma 5 8 4" xfId="6836"/>
    <cellStyle name="Comma 5 9" xfId="1499"/>
    <cellStyle name="Comma 5 9 2" xfId="2975"/>
    <cellStyle name="Comma 5 9 2 2" xfId="5373"/>
    <cellStyle name="Comma 5 9 2 2 2" xfId="10469"/>
    <cellStyle name="Comma 5 9 2 3" xfId="8078"/>
    <cellStyle name="Comma 5 9 3" xfId="4181"/>
    <cellStyle name="Comma 5 9 3 2" xfId="9277"/>
    <cellStyle name="Comma 5 9 4" xfId="6807"/>
    <cellStyle name="Comma 50" xfId="2301"/>
    <cellStyle name="Comma 50 2" xfId="3554"/>
    <cellStyle name="Comma 50 2 2" xfId="5949"/>
    <cellStyle name="Comma 50 2 2 2" xfId="11045"/>
    <cellStyle name="Comma 50 2 3" xfId="8657"/>
    <cellStyle name="Comma 50 3" xfId="4760"/>
    <cellStyle name="Comma 50 3 2" xfId="9856"/>
    <cellStyle name="Comma 50 4" xfId="7410"/>
    <cellStyle name="Comma 51" xfId="2303"/>
    <cellStyle name="Comma 51 2" xfId="3556"/>
    <cellStyle name="Comma 51 2 2" xfId="5951"/>
    <cellStyle name="Comma 51 2 2 2" xfId="11047"/>
    <cellStyle name="Comma 51 2 3" xfId="8659"/>
    <cellStyle name="Comma 51 3" xfId="4762"/>
    <cellStyle name="Comma 51 3 2" xfId="9858"/>
    <cellStyle name="Comma 51 4" xfId="7412"/>
    <cellStyle name="Comma 52" xfId="2305"/>
    <cellStyle name="Comma 52 2" xfId="3558"/>
    <cellStyle name="Comma 52 2 2" xfId="5953"/>
    <cellStyle name="Comma 52 2 2 2" xfId="11049"/>
    <cellStyle name="Comma 52 2 3" xfId="8661"/>
    <cellStyle name="Comma 52 3" xfId="4764"/>
    <cellStyle name="Comma 52 3 2" xfId="9860"/>
    <cellStyle name="Comma 52 4" xfId="7414"/>
    <cellStyle name="Comma 53" xfId="2307"/>
    <cellStyle name="Comma 53 2" xfId="3560"/>
    <cellStyle name="Comma 53 2 2" xfId="5955"/>
    <cellStyle name="Comma 53 2 2 2" xfId="11051"/>
    <cellStyle name="Comma 53 2 3" xfId="8663"/>
    <cellStyle name="Comma 53 3" xfId="4766"/>
    <cellStyle name="Comma 53 3 2" xfId="9862"/>
    <cellStyle name="Comma 53 4" xfId="7416"/>
    <cellStyle name="Comma 54" xfId="2309"/>
    <cellStyle name="Comma 54 2" xfId="3562"/>
    <cellStyle name="Comma 54 2 2" xfId="5957"/>
    <cellStyle name="Comma 54 2 2 2" xfId="11053"/>
    <cellStyle name="Comma 54 2 3" xfId="8665"/>
    <cellStyle name="Comma 54 3" xfId="4768"/>
    <cellStyle name="Comma 54 3 2" xfId="9864"/>
    <cellStyle name="Comma 54 4" xfId="7418"/>
    <cellStyle name="Comma 55" xfId="2311"/>
    <cellStyle name="Comma 55 2" xfId="3564"/>
    <cellStyle name="Comma 55 2 2" xfId="5959"/>
    <cellStyle name="Comma 55 2 2 2" xfId="11055"/>
    <cellStyle name="Comma 55 2 3" xfId="8667"/>
    <cellStyle name="Comma 55 3" xfId="4770"/>
    <cellStyle name="Comma 55 3 2" xfId="9866"/>
    <cellStyle name="Comma 55 4" xfId="7420"/>
    <cellStyle name="Comma 56" xfId="2313"/>
    <cellStyle name="Comma 56 2" xfId="3566"/>
    <cellStyle name="Comma 56 2 2" xfId="5961"/>
    <cellStyle name="Comma 56 2 2 2" xfId="11057"/>
    <cellStyle name="Comma 56 2 3" xfId="8669"/>
    <cellStyle name="Comma 56 3" xfId="4772"/>
    <cellStyle name="Comma 56 3 2" xfId="9868"/>
    <cellStyle name="Comma 56 4" xfId="7422"/>
    <cellStyle name="Comma 57" xfId="2315"/>
    <cellStyle name="Comma 57 2" xfId="3568"/>
    <cellStyle name="Comma 57 2 2" xfId="5963"/>
    <cellStyle name="Comma 57 2 2 2" xfId="11059"/>
    <cellStyle name="Comma 57 2 3" xfId="8671"/>
    <cellStyle name="Comma 57 3" xfId="4774"/>
    <cellStyle name="Comma 57 3 2" xfId="9870"/>
    <cellStyle name="Comma 57 4" xfId="7424"/>
    <cellStyle name="Comma 58" xfId="2317"/>
    <cellStyle name="Comma 58 2" xfId="3570"/>
    <cellStyle name="Comma 58 2 2" xfId="5965"/>
    <cellStyle name="Comma 58 2 2 2" xfId="11061"/>
    <cellStyle name="Comma 58 2 3" xfId="8673"/>
    <cellStyle name="Comma 58 3" xfId="4776"/>
    <cellStyle name="Comma 58 3 2" xfId="9872"/>
    <cellStyle name="Comma 58 4" xfId="7426"/>
    <cellStyle name="Comma 59" xfId="2319"/>
    <cellStyle name="Comma 59 2" xfId="3572"/>
    <cellStyle name="Comma 59 2 2" xfId="5967"/>
    <cellStyle name="Comma 59 2 2 2" xfId="11063"/>
    <cellStyle name="Comma 59 2 3" xfId="8675"/>
    <cellStyle name="Comma 59 3" xfId="4778"/>
    <cellStyle name="Comma 59 3 2" xfId="9874"/>
    <cellStyle name="Comma 59 4" xfId="7428"/>
    <cellStyle name="Comma 6" xfId="1139"/>
    <cellStyle name="Comma 6 2" xfId="1530"/>
    <cellStyle name="Comma 6 2 2" xfId="1531"/>
    <cellStyle name="Comma 6 3" xfId="1532"/>
    <cellStyle name="Comma 6 3 2" xfId="1533"/>
    <cellStyle name="Comma 6 3 3" xfId="1534"/>
    <cellStyle name="Comma 6 3 3 2" xfId="3006"/>
    <cellStyle name="Comma 6 3 3 2 2" xfId="5404"/>
    <cellStyle name="Comma 6 3 3 2 2 2" xfId="10500"/>
    <cellStyle name="Comma 6 3 3 2 3" xfId="8109"/>
    <cellStyle name="Comma 6 3 3 3" xfId="4212"/>
    <cellStyle name="Comma 6 3 3 3 2" xfId="9308"/>
    <cellStyle name="Comma 6 3 3 4" xfId="6838"/>
    <cellStyle name="Comma 6 3 4" xfId="3005"/>
    <cellStyle name="Comma 6 3 4 2" xfId="5403"/>
    <cellStyle name="Comma 6 3 4 2 2" xfId="10499"/>
    <cellStyle name="Comma 6 3 4 3" xfId="8108"/>
    <cellStyle name="Comma 6 3 5" xfId="4211"/>
    <cellStyle name="Comma 6 3 5 2" xfId="9307"/>
    <cellStyle name="Comma 6 3 6" xfId="6837"/>
    <cellStyle name="Comma 6 4" xfId="1535"/>
    <cellStyle name="Comma 6 5" xfId="1529"/>
    <cellStyle name="Comma 60" xfId="2321"/>
    <cellStyle name="Comma 60 2" xfId="3574"/>
    <cellStyle name="Comma 60 2 2" xfId="5969"/>
    <cellStyle name="Comma 60 2 2 2" xfId="11065"/>
    <cellStyle name="Comma 60 2 3" xfId="8677"/>
    <cellStyle name="Comma 60 3" xfId="4780"/>
    <cellStyle name="Comma 60 3 2" xfId="9876"/>
    <cellStyle name="Comma 60 4" xfId="7430"/>
    <cellStyle name="Comma 61" xfId="2323"/>
    <cellStyle name="Comma 61 2" xfId="3576"/>
    <cellStyle name="Comma 61 2 2" xfId="5971"/>
    <cellStyle name="Comma 61 2 2 2" xfId="11067"/>
    <cellStyle name="Comma 61 2 3" xfId="8679"/>
    <cellStyle name="Comma 61 3" xfId="4782"/>
    <cellStyle name="Comma 61 3 2" xfId="9878"/>
    <cellStyle name="Comma 61 4" xfId="7432"/>
    <cellStyle name="Comma 62" xfId="2325"/>
    <cellStyle name="Comma 62 2" xfId="3578"/>
    <cellStyle name="Comma 62 2 2" xfId="5973"/>
    <cellStyle name="Comma 62 2 2 2" xfId="11069"/>
    <cellStyle name="Comma 62 2 3" xfId="8681"/>
    <cellStyle name="Comma 62 3" xfId="4784"/>
    <cellStyle name="Comma 62 3 2" xfId="9880"/>
    <cellStyle name="Comma 62 4" xfId="7434"/>
    <cellStyle name="Comma 63" xfId="3600"/>
    <cellStyle name="Comma 64" xfId="3947"/>
    <cellStyle name="Comma 65" xfId="3585"/>
    <cellStyle name="Comma 65 2" xfId="8688"/>
    <cellStyle name="Comma 66" xfId="4684"/>
    <cellStyle name="Comma 66 2" xfId="9780"/>
    <cellStyle name="Comma 7" xfId="1536"/>
    <cellStyle name="Comma 7 2" xfId="1537"/>
    <cellStyle name="Comma 7 2 2" xfId="1538"/>
    <cellStyle name="Comma 7 3" xfId="1539"/>
    <cellStyle name="Comma 7 3 2" xfId="1540"/>
    <cellStyle name="Comma 8" xfId="1541"/>
    <cellStyle name="Comma 8 2" xfId="1542"/>
    <cellStyle name="Comma 8 3" xfId="1543"/>
    <cellStyle name="Comma 8 4" xfId="1544"/>
    <cellStyle name="Comma 8 4 2" xfId="3007"/>
    <cellStyle name="Comma 8 4 2 2" xfId="5405"/>
    <cellStyle name="Comma 8 4 2 2 2" xfId="10501"/>
    <cellStyle name="Comma 8 4 2 3" xfId="8110"/>
    <cellStyle name="Comma 8 4 3" xfId="4213"/>
    <cellStyle name="Comma 8 4 3 2" xfId="9309"/>
    <cellStyle name="Comma 8 4 4" xfId="6839"/>
    <cellStyle name="Comma 8 5" xfId="1545"/>
    <cellStyle name="Comma 8 5 2" xfId="3008"/>
    <cellStyle name="Comma 8 5 2 2" xfId="5406"/>
    <cellStyle name="Comma 8 5 2 2 2" xfId="10502"/>
    <cellStyle name="Comma 8 5 2 3" xfId="8111"/>
    <cellStyle name="Comma 8 5 3" xfId="4214"/>
    <cellStyle name="Comma 8 5 3 2" xfId="9310"/>
    <cellStyle name="Comma 8 5 4" xfId="6840"/>
    <cellStyle name="Comma 9" xfId="1546"/>
    <cellStyle name="Comma 9 2" xfId="1547"/>
    <cellStyle name="Comma 9 3" xfId="1548"/>
    <cellStyle name="Comma0" xfId="41"/>
    <cellStyle name="Comma0 2" xfId="1549"/>
    <cellStyle name="Condition" xfId="1550"/>
    <cellStyle name="Condition 10" xfId="12517"/>
    <cellStyle name="Condition 11" xfId="12477"/>
    <cellStyle name="Condition 12" xfId="14375"/>
    <cellStyle name="Condition 2" xfId="2242"/>
    <cellStyle name="Condition 2 2" xfId="3496"/>
    <cellStyle name="Condition 2 2 10" xfId="13962"/>
    <cellStyle name="Condition 2 2 11" xfId="13043"/>
    <cellStyle name="Condition 2 2 2" xfId="6137"/>
    <cellStyle name="Condition 2 2 2 2" xfId="11233"/>
    <cellStyle name="Condition 2 2 2 2 2" xfId="15539"/>
    <cellStyle name="Condition 2 2 2 2 3" xfId="16618"/>
    <cellStyle name="Condition 2 2 2 2 4" xfId="17650"/>
    <cellStyle name="Condition 2 2 2 2 5" xfId="18620"/>
    <cellStyle name="Condition 2 2 2 2 6" xfId="19526"/>
    <cellStyle name="Condition 2 2 2 3" xfId="11815"/>
    <cellStyle name="Condition 2 2 2 3 2" xfId="16121"/>
    <cellStyle name="Condition 2 2 2 3 3" xfId="17200"/>
    <cellStyle name="Condition 2 2 2 3 4" xfId="18220"/>
    <cellStyle name="Condition 2 2 2 3 5" xfId="19190"/>
    <cellStyle name="Condition 2 2 2 3 6" xfId="20096"/>
    <cellStyle name="Condition 2 2 2 4" xfId="11987"/>
    <cellStyle name="Condition 2 2 2 4 2" xfId="16293"/>
    <cellStyle name="Condition 2 2 2 4 3" xfId="17372"/>
    <cellStyle name="Condition 2 2 2 4 4" xfId="18388"/>
    <cellStyle name="Condition 2 2 2 4 5" xfId="19358"/>
    <cellStyle name="Condition 2 2 2 4 6" xfId="20264"/>
    <cellStyle name="Condition 2 2 2 5" xfId="13870"/>
    <cellStyle name="Condition 2 2 2 6" xfId="14550"/>
    <cellStyle name="Condition 2 2 2 7" xfId="14847"/>
    <cellStyle name="Condition 2 2 2 8" xfId="14657"/>
    <cellStyle name="Condition 2 2 2 9" xfId="12915"/>
    <cellStyle name="Condition 2 2 3" xfId="5891"/>
    <cellStyle name="Condition 2 2 3 2" xfId="10987"/>
    <cellStyle name="Condition 2 2 3 2 2" xfId="15351"/>
    <cellStyle name="Condition 2 2 3 2 3" xfId="16433"/>
    <cellStyle name="Condition 2 2 3 2 4" xfId="17469"/>
    <cellStyle name="Condition 2 2 3 2 5" xfId="18446"/>
    <cellStyle name="Condition 2 2 3 2 6" xfId="19366"/>
    <cellStyle name="Condition 2 2 3 3" xfId="11652"/>
    <cellStyle name="Condition 2 2 3 3 2" xfId="15958"/>
    <cellStyle name="Condition 2 2 3 3 3" xfId="17037"/>
    <cellStyle name="Condition 2 2 3 3 4" xfId="18060"/>
    <cellStyle name="Condition 2 2 3 3 5" xfId="19030"/>
    <cellStyle name="Condition 2 2 3 3 6" xfId="19936"/>
    <cellStyle name="Condition 2 2 3 4" xfId="11824"/>
    <cellStyle name="Condition 2 2 3 4 2" xfId="16130"/>
    <cellStyle name="Condition 2 2 3 4 3" xfId="17209"/>
    <cellStyle name="Condition 2 2 3 4 4" xfId="18228"/>
    <cellStyle name="Condition 2 2 3 4 5" xfId="19198"/>
    <cellStyle name="Condition 2 2 3 4 6" xfId="20104"/>
    <cellStyle name="Condition 2 2 3 5" xfId="13683"/>
    <cellStyle name="Condition 2 2 3 6" xfId="13555"/>
    <cellStyle name="Condition 2 2 3 7" xfId="15245"/>
    <cellStyle name="Condition 2 2 3 8" xfId="12680"/>
    <cellStyle name="Condition 2 2 3 9" xfId="13361"/>
    <cellStyle name="Condition 2 2 4" xfId="8599"/>
    <cellStyle name="Condition 2 2 4 2" xfId="14669"/>
    <cellStyle name="Condition 2 2 4 3" xfId="14074"/>
    <cellStyle name="Condition 2 2 4 4" xfId="14050"/>
    <cellStyle name="Condition 2 2 4 5" xfId="12066"/>
    <cellStyle name="Condition 2 2 4 6" xfId="16328"/>
    <cellStyle name="Condition 2 2 5" xfId="11463"/>
    <cellStyle name="Condition 2 2 5 2" xfId="15769"/>
    <cellStyle name="Condition 2 2 5 3" xfId="16848"/>
    <cellStyle name="Condition 2 2 5 4" xfId="17875"/>
    <cellStyle name="Condition 2 2 5 5" xfId="18845"/>
    <cellStyle name="Condition 2 2 5 6" xfId="19751"/>
    <cellStyle name="Condition 2 2 6" xfId="11519"/>
    <cellStyle name="Condition 2 2 6 2" xfId="15825"/>
    <cellStyle name="Condition 2 2 6 3" xfId="16904"/>
    <cellStyle name="Condition 2 2 6 4" xfId="17930"/>
    <cellStyle name="Condition 2 2 6 5" xfId="18900"/>
    <cellStyle name="Condition 2 2 6 6" xfId="19806"/>
    <cellStyle name="Condition 2 2 7" xfId="12984"/>
    <cellStyle name="Condition 2 2 8" xfId="14374"/>
    <cellStyle name="Condition 2 2 9" xfId="15125"/>
    <cellStyle name="Condition 2 3" xfId="4702"/>
    <cellStyle name="Condition 2 3 2" xfId="9798"/>
    <cellStyle name="Condition 2 3 2 2" xfId="15015"/>
    <cellStyle name="Condition 2 3 2 3" xfId="12283"/>
    <cellStyle name="Condition 2 3 2 4" xfId="12549"/>
    <cellStyle name="Condition 2 3 2 5" xfId="14737"/>
    <cellStyle name="Condition 2 3 2 6" xfId="12947"/>
    <cellStyle name="Condition 2 3 3" xfId="11563"/>
    <cellStyle name="Condition 2 3 3 2" xfId="15869"/>
    <cellStyle name="Condition 2 3 3 3" xfId="16948"/>
    <cellStyle name="Condition 2 3 3 4" xfId="17972"/>
    <cellStyle name="Condition 2 3 3 5" xfId="18942"/>
    <cellStyle name="Condition 2 3 3 6" xfId="19848"/>
    <cellStyle name="Condition 2 3 4" xfId="11473"/>
    <cellStyle name="Condition 2 3 4 2" xfId="15779"/>
    <cellStyle name="Condition 2 3 4 3" xfId="16858"/>
    <cellStyle name="Condition 2 3 4 4" xfId="17885"/>
    <cellStyle name="Condition 2 3 4 5" xfId="18855"/>
    <cellStyle name="Condition 2 3 4 6" xfId="19761"/>
    <cellStyle name="Condition 2 3 5" xfId="13340"/>
    <cellStyle name="Condition 2 3 6" xfId="13234"/>
    <cellStyle name="Condition 2 3 7" xfId="14182"/>
    <cellStyle name="Condition 2 3 8" xfId="15005"/>
    <cellStyle name="Condition 2 3 9" xfId="14540"/>
    <cellStyle name="Condition 3" xfId="2570"/>
    <cellStyle name="Condition 3 10" xfId="13175"/>
    <cellStyle name="Condition 3 2" xfId="6048"/>
    <cellStyle name="Condition 3 2 2" xfId="11144"/>
    <cellStyle name="Condition 3 2 2 2" xfId="15450"/>
    <cellStyle name="Condition 3 2 2 3" xfId="16529"/>
    <cellStyle name="Condition 3 2 2 4" xfId="17563"/>
    <cellStyle name="Condition 3 2 2 5" xfId="18533"/>
    <cellStyle name="Condition 3 2 2 6" xfId="19439"/>
    <cellStyle name="Condition 3 2 3" xfId="11726"/>
    <cellStyle name="Condition 3 2 3 2" xfId="16032"/>
    <cellStyle name="Condition 3 2 3 3" xfId="17111"/>
    <cellStyle name="Condition 3 2 3 4" xfId="18133"/>
    <cellStyle name="Condition 3 2 3 5" xfId="19103"/>
    <cellStyle name="Condition 3 2 3 6" xfId="20009"/>
    <cellStyle name="Condition 3 2 4" xfId="11898"/>
    <cellStyle name="Condition 3 2 4 2" xfId="16204"/>
    <cellStyle name="Condition 3 2 4 3" xfId="17283"/>
    <cellStyle name="Condition 3 2 4 4" xfId="18301"/>
    <cellStyle name="Condition 3 2 4 5" xfId="19271"/>
    <cellStyle name="Condition 3 2 4 6" xfId="20177"/>
    <cellStyle name="Condition 3 2 5" xfId="13781"/>
    <cellStyle name="Condition 3 2 6" xfId="14295"/>
    <cellStyle name="Condition 3 2 7" xfId="15050"/>
    <cellStyle name="Condition 3 2 8" xfId="15117"/>
    <cellStyle name="Condition 3 2 9" xfId="14217"/>
    <cellStyle name="Condition 3 3" xfId="7673"/>
    <cellStyle name="Condition 3 3 2" xfId="14389"/>
    <cellStyle name="Condition 3 3 3" xfId="12651"/>
    <cellStyle name="Condition 3 3 4" xfId="13288"/>
    <cellStyle name="Condition 3 3 5" xfId="15266"/>
    <cellStyle name="Condition 3 3 6" xfId="12633"/>
    <cellStyle name="Condition 3 4" xfId="11333"/>
    <cellStyle name="Condition 3 4 2" xfId="15639"/>
    <cellStyle name="Condition 3 4 3" xfId="16718"/>
    <cellStyle name="Condition 3 4 4" xfId="17747"/>
    <cellStyle name="Condition 3 4 5" xfId="18717"/>
    <cellStyle name="Condition 3 4 6" xfId="19623"/>
    <cellStyle name="Condition 3 5" xfId="11543"/>
    <cellStyle name="Condition 3 5 2" xfId="15849"/>
    <cellStyle name="Condition 3 5 3" xfId="16928"/>
    <cellStyle name="Condition 3 5 4" xfId="17953"/>
    <cellStyle name="Condition 3 5 5" xfId="18923"/>
    <cellStyle name="Condition 3 5 6" xfId="19829"/>
    <cellStyle name="Condition 3 6" xfId="12686"/>
    <cellStyle name="Condition 3 7" xfId="12929"/>
    <cellStyle name="Condition 3 8" xfId="13392"/>
    <cellStyle name="Condition 3 9" xfId="15094"/>
    <cellStyle name="Condition 4" xfId="6019"/>
    <cellStyle name="Condition 4 2" xfId="11115"/>
    <cellStyle name="Condition 4 2 2" xfId="15421"/>
    <cellStyle name="Condition 4 2 3" xfId="16500"/>
    <cellStyle name="Condition 4 2 4" xfId="17535"/>
    <cellStyle name="Condition 4 2 5" xfId="18505"/>
    <cellStyle name="Condition 4 2 6" xfId="19411"/>
    <cellStyle name="Condition 4 3" xfId="11697"/>
    <cellStyle name="Condition 4 3 2" xfId="16003"/>
    <cellStyle name="Condition 4 3 3" xfId="17082"/>
    <cellStyle name="Condition 4 3 4" xfId="18105"/>
    <cellStyle name="Condition 4 3 5" xfId="19075"/>
    <cellStyle name="Condition 4 3 6" xfId="19981"/>
    <cellStyle name="Condition 4 4" xfId="11869"/>
    <cellStyle name="Condition 4 4 2" xfId="16175"/>
    <cellStyle name="Condition 4 4 3" xfId="17254"/>
    <cellStyle name="Condition 4 4 4" xfId="18273"/>
    <cellStyle name="Condition 4 4 5" xfId="19243"/>
    <cellStyle name="Condition 4 4 6" xfId="20149"/>
    <cellStyle name="Condition 4 5" xfId="13752"/>
    <cellStyle name="Condition 4 6" xfId="14686"/>
    <cellStyle name="Condition 4 7" xfId="13413"/>
    <cellStyle name="Condition 4 8" xfId="15204"/>
    <cellStyle name="Condition 4 9" xfId="12271"/>
    <cellStyle name="Condition 5" xfId="6841"/>
    <cellStyle name="Condition 5 2" xfId="14155"/>
    <cellStyle name="Condition 5 3" xfId="15197"/>
    <cellStyle name="Condition 5 4" xfId="16316"/>
    <cellStyle name="Condition 5 5" xfId="13243"/>
    <cellStyle name="Condition 5 6" xfId="14395"/>
    <cellStyle name="Condition 6" xfId="11255"/>
    <cellStyle name="Condition 6 2" xfId="15561"/>
    <cellStyle name="Condition 6 3" xfId="16640"/>
    <cellStyle name="Condition 6 4" xfId="17672"/>
    <cellStyle name="Condition 6 5" xfId="18642"/>
    <cellStyle name="Condition 6 6" xfId="19548"/>
    <cellStyle name="Condition 7" xfId="11450"/>
    <cellStyle name="Condition 7 2" xfId="15756"/>
    <cellStyle name="Condition 7 3" xfId="16835"/>
    <cellStyle name="Condition 7 4" xfId="17863"/>
    <cellStyle name="Condition 7 5" xfId="18833"/>
    <cellStyle name="Condition 7 6" xfId="19739"/>
    <cellStyle name="Condition 8" xfId="12394"/>
    <cellStyle name="Condition 9" xfId="12535"/>
    <cellStyle name="Currency" xfId="2" builtinId="4"/>
    <cellStyle name="Currency 2" xfId="106"/>
    <cellStyle name="Currency 3" xfId="344"/>
    <cellStyle name="Currency 3 2" xfId="1551"/>
    <cellStyle name="Currency 4" xfId="3601"/>
    <cellStyle name="Currency0" xfId="42"/>
    <cellStyle name="Currency0 2" xfId="1552"/>
    <cellStyle name="Currency2" xfId="1553"/>
    <cellStyle name="Date" xfId="43"/>
    <cellStyle name="Date 2" xfId="1554"/>
    <cellStyle name="Dezimal [0]_fee projec" xfId="1555"/>
    <cellStyle name="Dezimal_fee projec" xfId="1556"/>
    <cellStyle name="Error" xfId="1557"/>
    <cellStyle name="Errortest" xfId="1558"/>
    <cellStyle name="Explanatory Text" xfId="122" builtinId="53" customBuiltin="1"/>
    <cellStyle name="Explanatory Text 2" xfId="44"/>
    <cellStyle name="Explanatory Text 2 2" xfId="842"/>
    <cellStyle name="Explanatory Text 2 3" xfId="1559"/>
    <cellStyle name="Explanatory Text 3" xfId="345"/>
    <cellStyle name="Explanatory Text 3 2" xfId="843"/>
    <cellStyle name="Explanatory Text 4" xfId="346"/>
    <cellStyle name="Explanatory Text 5" xfId="347"/>
    <cellStyle name="Explanatory Text 6" xfId="348"/>
    <cellStyle name="Explanatory Text 7" xfId="349"/>
    <cellStyle name="Explanatory Text 8" xfId="350"/>
    <cellStyle name="Explanatory Text 9" xfId="548"/>
    <cellStyle name="f" xfId="1560"/>
    <cellStyle name="f_vlookup" xfId="1561"/>
    <cellStyle name="File Input Cell" xfId="1562"/>
    <cellStyle name="Fixed" xfId="45"/>
    <cellStyle name="Fixed 2" xfId="1563"/>
    <cellStyle name="Fixed Inputs from Catawba Contracts" xfId="1564"/>
    <cellStyle name="Fixed Inputs from Catawba Contracts 10" xfId="13983"/>
    <cellStyle name="Fixed Inputs from Catawba Contracts 11" xfId="13365"/>
    <cellStyle name="Fixed Inputs from Catawba Contracts 12" xfId="13031"/>
    <cellStyle name="Fixed Inputs from Catawba Contracts 2" xfId="2241"/>
    <cellStyle name="Fixed Inputs from Catawba Contracts 2 10" xfId="12511"/>
    <cellStyle name="Fixed Inputs from Catawba Contracts 2 11" xfId="13277"/>
    <cellStyle name="Fixed Inputs from Catawba Contracts 2 2" xfId="2327"/>
    <cellStyle name="Fixed Inputs from Catawba Contracts 2 2 10" xfId="14270"/>
    <cellStyle name="Fixed Inputs from Catawba Contracts 2 2 2" xfId="6037"/>
    <cellStyle name="Fixed Inputs from Catawba Contracts 2 2 2 2" xfId="11133"/>
    <cellStyle name="Fixed Inputs from Catawba Contracts 2 2 2 2 2" xfId="15439"/>
    <cellStyle name="Fixed Inputs from Catawba Contracts 2 2 2 2 3" xfId="16518"/>
    <cellStyle name="Fixed Inputs from Catawba Contracts 2 2 2 2 4" xfId="17552"/>
    <cellStyle name="Fixed Inputs from Catawba Contracts 2 2 2 2 5" xfId="18522"/>
    <cellStyle name="Fixed Inputs from Catawba Contracts 2 2 2 2 6" xfId="19428"/>
    <cellStyle name="Fixed Inputs from Catawba Contracts 2 2 2 3" xfId="11715"/>
    <cellStyle name="Fixed Inputs from Catawba Contracts 2 2 2 3 2" xfId="16021"/>
    <cellStyle name="Fixed Inputs from Catawba Contracts 2 2 2 3 3" xfId="17100"/>
    <cellStyle name="Fixed Inputs from Catawba Contracts 2 2 2 3 4" xfId="18122"/>
    <cellStyle name="Fixed Inputs from Catawba Contracts 2 2 2 3 5" xfId="19092"/>
    <cellStyle name="Fixed Inputs from Catawba Contracts 2 2 2 3 6" xfId="19998"/>
    <cellStyle name="Fixed Inputs from Catawba Contracts 2 2 2 4" xfId="11887"/>
    <cellStyle name="Fixed Inputs from Catawba Contracts 2 2 2 4 2" xfId="16193"/>
    <cellStyle name="Fixed Inputs from Catawba Contracts 2 2 2 4 3" xfId="17272"/>
    <cellStyle name="Fixed Inputs from Catawba Contracts 2 2 2 4 4" xfId="18290"/>
    <cellStyle name="Fixed Inputs from Catawba Contracts 2 2 2 4 5" xfId="19260"/>
    <cellStyle name="Fixed Inputs from Catawba Contracts 2 2 2 4 6" xfId="20166"/>
    <cellStyle name="Fixed Inputs from Catawba Contracts 2 2 2 5" xfId="13770"/>
    <cellStyle name="Fixed Inputs from Catawba Contracts 2 2 2 6" xfId="13687"/>
    <cellStyle name="Fixed Inputs from Catawba Contracts 2 2 2 7" xfId="15239"/>
    <cellStyle name="Fixed Inputs from Catawba Contracts 2 2 2 8" xfId="12607"/>
    <cellStyle name="Fixed Inputs from Catawba Contracts 2 2 2 9" xfId="15043"/>
    <cellStyle name="Fixed Inputs from Catawba Contracts 2 2 3" xfId="7436"/>
    <cellStyle name="Fixed Inputs from Catawba Contracts 2 2 3 2" xfId="14312"/>
    <cellStyle name="Fixed Inputs from Catawba Contracts 2 2 3 3" xfId="12696"/>
    <cellStyle name="Fixed Inputs from Catawba Contracts 2 2 3 4" xfId="13637"/>
    <cellStyle name="Fixed Inputs from Catawba Contracts 2 2 3 5" xfId="15279"/>
    <cellStyle name="Fixed Inputs from Catawba Contracts 2 2 3 6" xfId="14839"/>
    <cellStyle name="Fixed Inputs from Catawba Contracts 2 2 4" xfId="11318"/>
    <cellStyle name="Fixed Inputs from Catawba Contracts 2 2 4 2" xfId="15624"/>
    <cellStyle name="Fixed Inputs from Catawba Contracts 2 2 4 3" xfId="16703"/>
    <cellStyle name="Fixed Inputs from Catawba Contracts 2 2 4 4" xfId="17732"/>
    <cellStyle name="Fixed Inputs from Catawba Contracts 2 2 4 5" xfId="18702"/>
    <cellStyle name="Fixed Inputs from Catawba Contracts 2 2 4 6" xfId="19608"/>
    <cellStyle name="Fixed Inputs from Catawba Contracts 2 2 5" xfId="11637"/>
    <cellStyle name="Fixed Inputs from Catawba Contracts 2 2 5 2" xfId="15943"/>
    <cellStyle name="Fixed Inputs from Catawba Contracts 2 2 5 3" xfId="17022"/>
    <cellStyle name="Fixed Inputs from Catawba Contracts 2 2 5 4" xfId="18046"/>
    <cellStyle name="Fixed Inputs from Catawba Contracts 2 2 5 5" xfId="19016"/>
    <cellStyle name="Fixed Inputs from Catawba Contracts 2 2 5 6" xfId="19922"/>
    <cellStyle name="Fixed Inputs from Catawba Contracts 2 2 6" xfId="12608"/>
    <cellStyle name="Fixed Inputs from Catawba Contracts 2 2 7" xfId="13295"/>
    <cellStyle name="Fixed Inputs from Catawba Contracts 2 2 8" xfId="13237"/>
    <cellStyle name="Fixed Inputs from Catawba Contracts 2 2 9" xfId="13216"/>
    <cellStyle name="Fixed Inputs from Catawba Contracts 2 3" xfId="6035"/>
    <cellStyle name="Fixed Inputs from Catawba Contracts 2 3 2" xfId="11131"/>
    <cellStyle name="Fixed Inputs from Catawba Contracts 2 3 2 2" xfId="15437"/>
    <cellStyle name="Fixed Inputs from Catawba Contracts 2 3 2 3" xfId="16516"/>
    <cellStyle name="Fixed Inputs from Catawba Contracts 2 3 2 4" xfId="17550"/>
    <cellStyle name="Fixed Inputs from Catawba Contracts 2 3 2 5" xfId="18520"/>
    <cellStyle name="Fixed Inputs from Catawba Contracts 2 3 2 6" xfId="19426"/>
    <cellStyle name="Fixed Inputs from Catawba Contracts 2 3 3" xfId="11713"/>
    <cellStyle name="Fixed Inputs from Catawba Contracts 2 3 3 2" xfId="16019"/>
    <cellStyle name="Fixed Inputs from Catawba Contracts 2 3 3 3" xfId="17098"/>
    <cellStyle name="Fixed Inputs from Catawba Contracts 2 3 3 4" xfId="18120"/>
    <cellStyle name="Fixed Inputs from Catawba Contracts 2 3 3 5" xfId="19090"/>
    <cellStyle name="Fixed Inputs from Catawba Contracts 2 3 3 6" xfId="19996"/>
    <cellStyle name="Fixed Inputs from Catawba Contracts 2 3 4" xfId="11885"/>
    <cellStyle name="Fixed Inputs from Catawba Contracts 2 3 4 2" xfId="16191"/>
    <cellStyle name="Fixed Inputs from Catawba Contracts 2 3 4 3" xfId="17270"/>
    <cellStyle name="Fixed Inputs from Catawba Contracts 2 3 4 4" xfId="18288"/>
    <cellStyle name="Fixed Inputs from Catawba Contracts 2 3 4 5" xfId="19258"/>
    <cellStyle name="Fixed Inputs from Catawba Contracts 2 3 4 6" xfId="20164"/>
    <cellStyle name="Fixed Inputs from Catawba Contracts 2 3 5" xfId="13768"/>
    <cellStyle name="Fixed Inputs from Catawba Contracts 2 3 6" xfId="14672"/>
    <cellStyle name="Fixed Inputs from Catawba Contracts 2 3 7" xfId="12804"/>
    <cellStyle name="Fixed Inputs from Catawba Contracts 2 3 8" xfId="12419"/>
    <cellStyle name="Fixed Inputs from Catawba Contracts 2 3 9" xfId="12927"/>
    <cellStyle name="Fixed Inputs from Catawba Contracts 2 4" xfId="7351"/>
    <cellStyle name="Fixed Inputs from Catawba Contracts 2 4 2" xfId="14283"/>
    <cellStyle name="Fixed Inputs from Catawba Contracts 2 4 3" xfId="13098"/>
    <cellStyle name="Fixed Inputs from Catawba Contracts 2 4 4" xfId="14950"/>
    <cellStyle name="Fixed Inputs from Catawba Contracts 2 4 5" xfId="15112"/>
    <cellStyle name="Fixed Inputs from Catawba Contracts 2 4 6" xfId="13698"/>
    <cellStyle name="Fixed Inputs from Catawba Contracts 2 5" xfId="11316"/>
    <cellStyle name="Fixed Inputs from Catawba Contracts 2 5 2" xfId="15622"/>
    <cellStyle name="Fixed Inputs from Catawba Contracts 2 5 3" xfId="16701"/>
    <cellStyle name="Fixed Inputs from Catawba Contracts 2 5 4" xfId="17730"/>
    <cellStyle name="Fixed Inputs from Catawba Contracts 2 5 5" xfId="18700"/>
    <cellStyle name="Fixed Inputs from Catawba Contracts 2 5 6" xfId="19606"/>
    <cellStyle name="Fixed Inputs from Catawba Contracts 2 6" xfId="11546"/>
    <cellStyle name="Fixed Inputs from Catawba Contracts 2 6 2" xfId="15852"/>
    <cellStyle name="Fixed Inputs from Catawba Contracts 2 6 3" xfId="16931"/>
    <cellStyle name="Fixed Inputs from Catawba Contracts 2 6 4" xfId="17956"/>
    <cellStyle name="Fixed Inputs from Catawba Contracts 2 6 5" xfId="18926"/>
    <cellStyle name="Fixed Inputs from Catawba Contracts 2 6 6" xfId="19832"/>
    <cellStyle name="Fixed Inputs from Catawba Contracts 2 7" xfId="12581"/>
    <cellStyle name="Fixed Inputs from Catawba Contracts 2 8" xfId="12102"/>
    <cellStyle name="Fixed Inputs from Catawba Contracts 2 9" xfId="14678"/>
    <cellStyle name="Fixed Inputs from Catawba Contracts 3" xfId="2334"/>
    <cellStyle name="Fixed Inputs from Catawba Contracts 3 10" xfId="1144"/>
    <cellStyle name="Fixed Inputs from Catawba Contracts 3 2" xfId="6043"/>
    <cellStyle name="Fixed Inputs from Catawba Contracts 3 2 2" xfId="11139"/>
    <cellStyle name="Fixed Inputs from Catawba Contracts 3 2 2 2" xfId="15445"/>
    <cellStyle name="Fixed Inputs from Catawba Contracts 3 2 2 3" xfId="16524"/>
    <cellStyle name="Fixed Inputs from Catawba Contracts 3 2 2 4" xfId="17558"/>
    <cellStyle name="Fixed Inputs from Catawba Contracts 3 2 2 5" xfId="18528"/>
    <cellStyle name="Fixed Inputs from Catawba Contracts 3 2 2 6" xfId="19434"/>
    <cellStyle name="Fixed Inputs from Catawba Contracts 3 2 3" xfId="11721"/>
    <cellStyle name="Fixed Inputs from Catawba Contracts 3 2 3 2" xfId="16027"/>
    <cellStyle name="Fixed Inputs from Catawba Contracts 3 2 3 3" xfId="17106"/>
    <cellStyle name="Fixed Inputs from Catawba Contracts 3 2 3 4" xfId="18128"/>
    <cellStyle name="Fixed Inputs from Catawba Contracts 3 2 3 5" xfId="19098"/>
    <cellStyle name="Fixed Inputs from Catawba Contracts 3 2 3 6" xfId="20004"/>
    <cellStyle name="Fixed Inputs from Catawba Contracts 3 2 4" xfId="11893"/>
    <cellStyle name="Fixed Inputs from Catawba Contracts 3 2 4 2" xfId="16199"/>
    <cellStyle name="Fixed Inputs from Catawba Contracts 3 2 4 3" xfId="17278"/>
    <cellStyle name="Fixed Inputs from Catawba Contracts 3 2 4 4" xfId="18296"/>
    <cellStyle name="Fixed Inputs from Catawba Contracts 3 2 4 5" xfId="19266"/>
    <cellStyle name="Fixed Inputs from Catawba Contracts 3 2 4 6" xfId="20172"/>
    <cellStyle name="Fixed Inputs from Catawba Contracts 3 2 5" xfId="13776"/>
    <cellStyle name="Fixed Inputs from Catawba Contracts 3 2 6" xfId="14674"/>
    <cellStyle name="Fixed Inputs from Catawba Contracts 3 2 7" xfId="14845"/>
    <cellStyle name="Fixed Inputs from Catawba Contracts 3 2 8" xfId="14362"/>
    <cellStyle name="Fixed Inputs from Catawba Contracts 3 2 9" xfId="17421"/>
    <cellStyle name="Fixed Inputs from Catawba Contracts 3 3" xfId="7443"/>
    <cellStyle name="Fixed Inputs from Catawba Contracts 3 3 2" xfId="14318"/>
    <cellStyle name="Fixed Inputs from Catawba Contracts 3 3 3" xfId="12819"/>
    <cellStyle name="Fixed Inputs from Catawba Contracts 3 3 4" xfId="12056"/>
    <cellStyle name="Fixed Inputs from Catawba Contracts 3 3 5" xfId="14514"/>
    <cellStyle name="Fixed Inputs from Catawba Contracts 3 3 6" xfId="17460"/>
    <cellStyle name="Fixed Inputs from Catawba Contracts 3 4" xfId="11324"/>
    <cellStyle name="Fixed Inputs from Catawba Contracts 3 4 2" xfId="15630"/>
    <cellStyle name="Fixed Inputs from Catawba Contracts 3 4 3" xfId="16709"/>
    <cellStyle name="Fixed Inputs from Catawba Contracts 3 4 4" xfId="17738"/>
    <cellStyle name="Fixed Inputs from Catawba Contracts 3 4 5" xfId="18708"/>
    <cellStyle name="Fixed Inputs from Catawba Contracts 3 4 6" xfId="19614"/>
    <cellStyle name="Fixed Inputs from Catawba Contracts 3 5" xfId="11544"/>
    <cellStyle name="Fixed Inputs from Catawba Contracts 3 5 2" xfId="15850"/>
    <cellStyle name="Fixed Inputs from Catawba Contracts 3 5 3" xfId="16929"/>
    <cellStyle name="Fixed Inputs from Catawba Contracts 3 5 4" xfId="17954"/>
    <cellStyle name="Fixed Inputs from Catawba Contracts 3 5 5" xfId="18924"/>
    <cellStyle name="Fixed Inputs from Catawba Contracts 3 5 6" xfId="19830"/>
    <cellStyle name="Fixed Inputs from Catawba Contracts 3 6" xfId="12615"/>
    <cellStyle name="Fixed Inputs from Catawba Contracts 3 7" xfId="14978"/>
    <cellStyle name="Fixed Inputs from Catawba Contracts 3 8" xfId="13493"/>
    <cellStyle name="Fixed Inputs from Catawba Contracts 3 9" xfId="17453"/>
    <cellStyle name="Fixed Inputs from Catawba Contracts 4" xfId="6020"/>
    <cellStyle name="Fixed Inputs from Catawba Contracts 4 2" xfId="11116"/>
    <cellStyle name="Fixed Inputs from Catawba Contracts 4 2 2" xfId="15422"/>
    <cellStyle name="Fixed Inputs from Catawba Contracts 4 2 3" xfId="16501"/>
    <cellStyle name="Fixed Inputs from Catawba Contracts 4 2 4" xfId="17536"/>
    <cellStyle name="Fixed Inputs from Catawba Contracts 4 2 5" xfId="18506"/>
    <cellStyle name="Fixed Inputs from Catawba Contracts 4 2 6" xfId="19412"/>
    <cellStyle name="Fixed Inputs from Catawba Contracts 4 3" xfId="11698"/>
    <cellStyle name="Fixed Inputs from Catawba Contracts 4 3 2" xfId="16004"/>
    <cellStyle name="Fixed Inputs from Catawba Contracts 4 3 3" xfId="17083"/>
    <cellStyle name="Fixed Inputs from Catawba Contracts 4 3 4" xfId="18106"/>
    <cellStyle name="Fixed Inputs from Catawba Contracts 4 3 5" xfId="19076"/>
    <cellStyle name="Fixed Inputs from Catawba Contracts 4 3 6" xfId="19982"/>
    <cellStyle name="Fixed Inputs from Catawba Contracts 4 4" xfId="11870"/>
    <cellStyle name="Fixed Inputs from Catawba Contracts 4 4 2" xfId="16176"/>
    <cellStyle name="Fixed Inputs from Catawba Contracts 4 4 3" xfId="17255"/>
    <cellStyle name="Fixed Inputs from Catawba Contracts 4 4 4" xfId="18274"/>
    <cellStyle name="Fixed Inputs from Catawba Contracts 4 4 5" xfId="19244"/>
    <cellStyle name="Fixed Inputs from Catawba Contracts 4 4 6" xfId="20150"/>
    <cellStyle name="Fixed Inputs from Catawba Contracts 4 5" xfId="13753"/>
    <cellStyle name="Fixed Inputs from Catawba Contracts 4 6" xfId="15368"/>
    <cellStyle name="Fixed Inputs from Catawba Contracts 4 7" xfId="16447"/>
    <cellStyle name="Fixed Inputs from Catawba Contracts 4 8" xfId="12996"/>
    <cellStyle name="Fixed Inputs from Catawba Contracts 4 9" xfId="12699"/>
    <cellStyle name="Fixed Inputs from Catawba Contracts 5" xfId="6843"/>
    <cellStyle name="Fixed Inputs from Catawba Contracts 5 2" xfId="14157"/>
    <cellStyle name="Fixed Inputs from Catawba Contracts 5 3" xfId="12824"/>
    <cellStyle name="Fixed Inputs from Catawba Contracts 5 4" xfId="12037"/>
    <cellStyle name="Fixed Inputs from Catawba Contracts 5 5" xfId="17391"/>
    <cellStyle name="Fixed Inputs from Catawba Contracts 5 6" xfId="12018"/>
    <cellStyle name="Fixed Inputs from Catawba Contracts 6" xfId="11256"/>
    <cellStyle name="Fixed Inputs from Catawba Contracts 6 2" xfId="15562"/>
    <cellStyle name="Fixed Inputs from Catawba Contracts 6 3" xfId="16641"/>
    <cellStyle name="Fixed Inputs from Catawba Contracts 6 4" xfId="17673"/>
    <cellStyle name="Fixed Inputs from Catawba Contracts 6 5" xfId="18643"/>
    <cellStyle name="Fixed Inputs from Catawba Contracts 6 6" xfId="19549"/>
    <cellStyle name="Fixed Inputs from Catawba Contracts 7" xfId="11329"/>
    <cellStyle name="Fixed Inputs from Catawba Contracts 7 2" xfId="15635"/>
    <cellStyle name="Fixed Inputs from Catawba Contracts 7 3" xfId="16714"/>
    <cellStyle name="Fixed Inputs from Catawba Contracts 7 4" xfId="17743"/>
    <cellStyle name="Fixed Inputs from Catawba Contracts 7 5" xfId="18713"/>
    <cellStyle name="Fixed Inputs from Catawba Contracts 7 6" xfId="19619"/>
    <cellStyle name="Fixed Inputs from Catawba Contracts 8" xfId="12398"/>
    <cellStyle name="Fixed Inputs from Catawba Contracts 9" xfId="14642"/>
    <cellStyle name="Good" xfId="113" builtinId="26" customBuiltin="1"/>
    <cellStyle name="Good 2" xfId="46"/>
    <cellStyle name="Good 2 2" xfId="844"/>
    <cellStyle name="Good 2 3" xfId="1565"/>
    <cellStyle name="Good 3" xfId="351"/>
    <cellStyle name="Good 3 2" xfId="845"/>
    <cellStyle name="Good 4" xfId="352"/>
    <cellStyle name="Good 5" xfId="353"/>
    <cellStyle name="Good 6" xfId="354"/>
    <cellStyle name="Good 7" xfId="355"/>
    <cellStyle name="Good 8" xfId="356"/>
    <cellStyle name="Good 9" xfId="753"/>
    <cellStyle name="Grey" xfId="1566"/>
    <cellStyle name="HEADER" xfId="1567"/>
    <cellStyle name="Header1" xfId="1568"/>
    <cellStyle name="Header2" xfId="1569"/>
    <cellStyle name="Header2 10" xfId="14779"/>
    <cellStyle name="Header2 11" xfId="12548"/>
    <cellStyle name="Header2 12" xfId="14385"/>
    <cellStyle name="Header2 2" xfId="2227"/>
    <cellStyle name="Header2 2 2" xfId="3487"/>
    <cellStyle name="Header2 2 2 10" xfId="12604"/>
    <cellStyle name="Header2 2 2 11" xfId="18433"/>
    <cellStyle name="Header2 2 2 2" xfId="6135"/>
    <cellStyle name="Header2 2 2 2 2" xfId="11231"/>
    <cellStyle name="Header2 2 2 2 2 2" xfId="15537"/>
    <cellStyle name="Header2 2 2 2 2 3" xfId="16616"/>
    <cellStyle name="Header2 2 2 2 2 4" xfId="17649"/>
    <cellStyle name="Header2 2 2 2 2 5" xfId="18619"/>
    <cellStyle name="Header2 2 2 2 2 6" xfId="19525"/>
    <cellStyle name="Header2 2 2 2 3" xfId="11813"/>
    <cellStyle name="Header2 2 2 2 3 2" xfId="16119"/>
    <cellStyle name="Header2 2 2 2 3 3" xfId="17198"/>
    <cellStyle name="Header2 2 2 2 3 4" xfId="18219"/>
    <cellStyle name="Header2 2 2 2 3 5" xfId="19189"/>
    <cellStyle name="Header2 2 2 2 3 6" xfId="20095"/>
    <cellStyle name="Header2 2 2 2 4" xfId="11985"/>
    <cellStyle name="Header2 2 2 2 4 2" xfId="16291"/>
    <cellStyle name="Header2 2 2 2 4 3" xfId="17370"/>
    <cellStyle name="Header2 2 2 2 4 4" xfId="18387"/>
    <cellStyle name="Header2 2 2 2 4 5" xfId="19357"/>
    <cellStyle name="Header2 2 2 2 4 6" xfId="20263"/>
    <cellStyle name="Header2 2 2 2 5" xfId="13868"/>
    <cellStyle name="Header2 2 2 2 6" xfId="14895"/>
    <cellStyle name="Header2 2 2 2 7" xfId="14714"/>
    <cellStyle name="Header2 2 2 2 8" xfId="17408"/>
    <cellStyle name="Header2 2 2 2 9" xfId="12917"/>
    <cellStyle name="Header2 2 2 3" xfId="5882"/>
    <cellStyle name="Header2 2 2 3 2" xfId="10978"/>
    <cellStyle name="Header2 2 2 3 2 2" xfId="15347"/>
    <cellStyle name="Header2 2 2 3 2 3" xfId="16431"/>
    <cellStyle name="Header2 2 2 3 2 4" xfId="17468"/>
    <cellStyle name="Header2 2 2 3 2 5" xfId="18445"/>
    <cellStyle name="Header2 2 2 3 2 6" xfId="19365"/>
    <cellStyle name="Header2 2 2 3 3" xfId="11650"/>
    <cellStyle name="Header2 2 2 3 3 2" xfId="15956"/>
    <cellStyle name="Header2 2 2 3 3 3" xfId="17035"/>
    <cellStyle name="Header2 2 2 3 3 4" xfId="18059"/>
    <cellStyle name="Header2 2 2 3 3 5" xfId="19029"/>
    <cellStyle name="Header2 2 2 3 3 6" xfId="19935"/>
    <cellStyle name="Header2 2 2 3 4" xfId="11822"/>
    <cellStyle name="Header2 2 2 3 4 2" xfId="16128"/>
    <cellStyle name="Header2 2 2 3 4 3" xfId="17207"/>
    <cellStyle name="Header2 2 2 3 4 4" xfId="18227"/>
    <cellStyle name="Header2 2 2 3 4 5" xfId="19197"/>
    <cellStyle name="Header2 2 2 3 4 6" xfId="20103"/>
    <cellStyle name="Header2 2 2 3 5" xfId="13679"/>
    <cellStyle name="Header2 2 2 3 6" xfId="15240"/>
    <cellStyle name="Header2 2 2 3 7" xfId="16349"/>
    <cellStyle name="Header2 2 2 3 8" xfId="13589"/>
    <cellStyle name="Header2 2 2 3 9" xfId="14387"/>
    <cellStyle name="Header2 2 2 4" xfId="8590"/>
    <cellStyle name="Header2 2 2 4 2" xfId="14664"/>
    <cellStyle name="Header2 2 2 4 3" xfId="12803"/>
    <cellStyle name="Header2 2 2 4 4" xfId="14723"/>
    <cellStyle name="Header2 2 2 4 5" xfId="17378"/>
    <cellStyle name="Header2 2 2 4 6" xfId="15307"/>
    <cellStyle name="Header2 2 2 5" xfId="11461"/>
    <cellStyle name="Header2 2 2 5 2" xfId="15767"/>
    <cellStyle name="Header2 2 2 5 3" xfId="16846"/>
    <cellStyle name="Header2 2 2 5 4" xfId="17874"/>
    <cellStyle name="Header2 2 2 5 5" xfId="18844"/>
    <cellStyle name="Header2 2 2 5 6" xfId="19750"/>
    <cellStyle name="Header2 2 2 6" xfId="11423"/>
    <cellStyle name="Header2 2 2 6 2" xfId="15729"/>
    <cellStyle name="Header2 2 2 6 3" xfId="16808"/>
    <cellStyle name="Header2 2 2 6 4" xfId="17837"/>
    <cellStyle name="Header2 2 2 6 5" xfId="18807"/>
    <cellStyle name="Header2 2 2 6 6" xfId="19713"/>
    <cellStyle name="Header2 2 2 7" xfId="12981"/>
    <cellStyle name="Header2 2 2 8" xfId="15293"/>
    <cellStyle name="Header2 2 2 9" xfId="16393"/>
    <cellStyle name="Header2 2 3" xfId="4693"/>
    <cellStyle name="Header2 2 3 2" xfId="9789"/>
    <cellStyle name="Header2 2 3 2 2" xfId="15012"/>
    <cellStyle name="Header2 2 3 2 3" xfId="13923"/>
    <cellStyle name="Header2 2 3 2 4" xfId="14134"/>
    <cellStyle name="Header2 2 3 2 5" xfId="14971"/>
    <cellStyle name="Header2 2 3 2 6" xfId="17448"/>
    <cellStyle name="Header2 2 3 3" xfId="11561"/>
    <cellStyle name="Header2 2 3 3 2" xfId="15867"/>
    <cellStyle name="Header2 2 3 3 3" xfId="16946"/>
    <cellStyle name="Header2 2 3 3 4" xfId="17971"/>
    <cellStyle name="Header2 2 3 3 5" xfId="18941"/>
    <cellStyle name="Header2 2 3 3 6" xfId="19847"/>
    <cellStyle name="Header2 2 3 4" xfId="6417"/>
    <cellStyle name="Header2 2 3 4 2" xfId="13978"/>
    <cellStyle name="Header2 2 3 4 3" xfId="14883"/>
    <cellStyle name="Header2 2 3 4 4" xfId="15124"/>
    <cellStyle name="Header2 2 3 4 5" xfId="12392"/>
    <cellStyle name="Header2 2 3 4 6" xfId="16362"/>
    <cellStyle name="Header2 2 3 5" xfId="13338"/>
    <cellStyle name="Header2 2 3 6" xfId="14178"/>
    <cellStyle name="Header2 2 3 7" xfId="12017"/>
    <cellStyle name="Header2 2 3 8" xfId="14196"/>
    <cellStyle name="Header2 2 3 9" xfId="13331"/>
    <cellStyle name="Header2 3" xfId="3009"/>
    <cellStyle name="Header2 3 10" xfId="13238"/>
    <cellStyle name="Header2 3 2" xfId="6130"/>
    <cellStyle name="Header2 3 2 2" xfId="11226"/>
    <cellStyle name="Header2 3 2 2 2" xfId="15532"/>
    <cellStyle name="Header2 3 2 2 3" xfId="16611"/>
    <cellStyle name="Header2 3 2 2 4" xfId="17645"/>
    <cellStyle name="Header2 3 2 2 5" xfId="18615"/>
    <cellStyle name="Header2 3 2 2 6" xfId="19521"/>
    <cellStyle name="Header2 3 2 3" xfId="11808"/>
    <cellStyle name="Header2 3 2 3 2" xfId="16114"/>
    <cellStyle name="Header2 3 2 3 3" xfId="17193"/>
    <cellStyle name="Header2 3 2 3 4" xfId="18215"/>
    <cellStyle name="Header2 3 2 3 5" xfId="19185"/>
    <cellStyle name="Header2 3 2 3 6" xfId="20091"/>
    <cellStyle name="Header2 3 2 4" xfId="11980"/>
    <cellStyle name="Header2 3 2 4 2" xfId="16286"/>
    <cellStyle name="Header2 3 2 4 3" xfId="17365"/>
    <cellStyle name="Header2 3 2 4 4" xfId="18383"/>
    <cellStyle name="Header2 3 2 4 5" xfId="19353"/>
    <cellStyle name="Header2 3 2 4 6" xfId="20259"/>
    <cellStyle name="Header2 3 2 5" xfId="13863"/>
    <cellStyle name="Header2 3 2 6" xfId="14549"/>
    <cellStyle name="Header2 3 2 7" xfId="14076"/>
    <cellStyle name="Header2 3 2 8" xfId="14861"/>
    <cellStyle name="Header2 3 2 9" xfId="12862"/>
    <cellStyle name="Header2 3 3" xfId="8112"/>
    <cellStyle name="Header2 3 3 2" xfId="14566"/>
    <cellStyle name="Header2 3 3 3" xfId="14504"/>
    <cellStyle name="Header2 3 3 4" xfId="13164"/>
    <cellStyle name="Header2 3 3 5" xfId="14584"/>
    <cellStyle name="Header2 3 3 6" xfId="14521"/>
    <cellStyle name="Header2 3 4" xfId="11424"/>
    <cellStyle name="Header2 3 4 2" xfId="15730"/>
    <cellStyle name="Header2 3 4 3" xfId="16809"/>
    <cellStyle name="Header2 3 4 4" xfId="17838"/>
    <cellStyle name="Header2 3 4 5" xfId="18808"/>
    <cellStyle name="Header2 3 4 6" xfId="19714"/>
    <cellStyle name="Header2 3 5" xfId="6171"/>
    <cellStyle name="Header2 3 5 2" xfId="13903"/>
    <cellStyle name="Header2 3 5 3" xfId="15221"/>
    <cellStyle name="Header2 3 5 4" xfId="16334"/>
    <cellStyle name="Header2 3 5 5" xfId="15173"/>
    <cellStyle name="Header2 3 5 6" xfId="14838"/>
    <cellStyle name="Header2 3 6" xfId="12865"/>
    <cellStyle name="Header2 3 7" xfId="12190"/>
    <cellStyle name="Header2 3 8" xfId="14381"/>
    <cellStyle name="Header2 3 9" xfId="13649"/>
    <cellStyle name="Header2 4" xfId="6021"/>
    <cellStyle name="Header2 4 2" xfId="11117"/>
    <cellStyle name="Header2 4 2 2" xfId="15423"/>
    <cellStyle name="Header2 4 2 3" xfId="16502"/>
    <cellStyle name="Header2 4 2 4" xfId="17537"/>
    <cellStyle name="Header2 4 2 5" xfId="18507"/>
    <cellStyle name="Header2 4 2 6" xfId="19413"/>
    <cellStyle name="Header2 4 3" xfId="11699"/>
    <cellStyle name="Header2 4 3 2" xfId="16005"/>
    <cellStyle name="Header2 4 3 3" xfId="17084"/>
    <cellStyle name="Header2 4 3 4" xfId="18107"/>
    <cellStyle name="Header2 4 3 5" xfId="19077"/>
    <cellStyle name="Header2 4 3 6" xfId="19983"/>
    <cellStyle name="Header2 4 4" xfId="11871"/>
    <cellStyle name="Header2 4 4 2" xfId="16177"/>
    <cellStyle name="Header2 4 4 3" xfId="17256"/>
    <cellStyle name="Header2 4 4 4" xfId="18275"/>
    <cellStyle name="Header2 4 4 5" xfId="19245"/>
    <cellStyle name="Header2 4 4 6" xfId="20151"/>
    <cellStyle name="Header2 4 5" xfId="13754"/>
    <cellStyle name="Header2 4 6" xfId="13699"/>
    <cellStyle name="Header2 4 7" xfId="12860"/>
    <cellStyle name="Header2 4 8" xfId="14208"/>
    <cellStyle name="Header2 4 9" xfId="14965"/>
    <cellStyle name="Header2 5" xfId="6844"/>
    <cellStyle name="Header2 5 2" xfId="14158"/>
    <cellStyle name="Header2 5 3" xfId="12337"/>
    <cellStyle name="Header2 5 4" xfId="14745"/>
    <cellStyle name="Header2 5 5" xfId="12139"/>
    <cellStyle name="Header2 5 6" xfId="14029"/>
    <cellStyle name="Header2 6" xfId="11257"/>
    <cellStyle name="Header2 6 2" xfId="15563"/>
    <cellStyle name="Header2 6 3" xfId="16642"/>
    <cellStyle name="Header2 6 4" xfId="17674"/>
    <cellStyle name="Header2 6 5" xfId="18644"/>
    <cellStyle name="Header2 6 6" xfId="19550"/>
    <cellStyle name="Header2 7" xfId="11294"/>
    <cellStyle name="Header2 7 2" xfId="15600"/>
    <cellStyle name="Header2 7 3" xfId="16679"/>
    <cellStyle name="Header2 7 4" xfId="17708"/>
    <cellStyle name="Header2 7 5" xfId="18678"/>
    <cellStyle name="Header2 7 6" xfId="19584"/>
    <cellStyle name="Header2 8" xfId="12399"/>
    <cellStyle name="Header2 9" xfId="14251"/>
    <cellStyle name="Heading 1" xfId="109" builtinId="16" customBuiltin="1"/>
    <cellStyle name="Heading 1 10" xfId="997"/>
    <cellStyle name="Heading 1 2" xfId="47"/>
    <cellStyle name="Heading 1 2 2" xfId="846"/>
    <cellStyle name="Heading 1 2 3" xfId="1570"/>
    <cellStyle name="Heading 1 3" xfId="357"/>
    <cellStyle name="Heading 1 3 2" xfId="847"/>
    <cellStyle name="Heading 1 4" xfId="358"/>
    <cellStyle name="Heading 1 5" xfId="359"/>
    <cellStyle name="Heading 1 6" xfId="360"/>
    <cellStyle name="Heading 1 7" xfId="361"/>
    <cellStyle name="Heading 1 8" xfId="362"/>
    <cellStyle name="Heading 1 9" xfId="902"/>
    <cellStyle name="Heading 1 9 2" xfId="960"/>
    <cellStyle name="Heading 2" xfId="110" builtinId="17" customBuiltin="1"/>
    <cellStyle name="Heading 2 10" xfId="998"/>
    <cellStyle name="Heading 2 2" xfId="48"/>
    <cellStyle name="Heading 2 2 2" xfId="848"/>
    <cellStyle name="Heading 2 2 3" xfId="1571"/>
    <cellStyle name="Heading 2 3" xfId="363"/>
    <cellStyle name="Heading 2 3 2" xfId="849"/>
    <cellStyle name="Heading 2 4" xfId="364"/>
    <cellStyle name="Heading 2 5" xfId="365"/>
    <cellStyle name="Heading 2 6" xfId="366"/>
    <cellStyle name="Heading 2 7" xfId="367"/>
    <cellStyle name="Heading 2 8" xfId="368"/>
    <cellStyle name="Heading 2 9" xfId="728"/>
    <cellStyle name="Heading 2 9 2" xfId="961"/>
    <cellStyle name="Heading 3" xfId="111" builtinId="18" customBuiltin="1"/>
    <cellStyle name="Heading 3 2" xfId="49"/>
    <cellStyle name="Heading 3 2 2" xfId="850"/>
    <cellStyle name="Heading 3 2 3" xfId="1572"/>
    <cellStyle name="Heading 3 3" xfId="369"/>
    <cellStyle name="Heading 3 3 2" xfId="851"/>
    <cellStyle name="Heading 3 4" xfId="370"/>
    <cellStyle name="Heading 3 5" xfId="371"/>
    <cellStyle name="Heading 3 6" xfId="372"/>
    <cellStyle name="Heading 3 7" xfId="373"/>
    <cellStyle name="Heading 3 8" xfId="374"/>
    <cellStyle name="Heading 3 9" xfId="727"/>
    <cellStyle name="Heading 4" xfId="112" builtinId="19" customBuiltin="1"/>
    <cellStyle name="Heading 4 2" xfId="50"/>
    <cellStyle name="Heading 4 2 2" xfId="852"/>
    <cellStyle name="Heading 4 2 3" xfId="1573"/>
    <cellStyle name="Heading 4 3" xfId="375"/>
    <cellStyle name="Heading 4 3 2" xfId="853"/>
    <cellStyle name="Heading 4 4" xfId="376"/>
    <cellStyle name="Heading 4 5" xfId="377"/>
    <cellStyle name="Heading 4 6" xfId="378"/>
    <cellStyle name="Heading 4 7" xfId="379"/>
    <cellStyle name="Heading 4 8" xfId="380"/>
    <cellStyle name="Heading 4 9" xfId="726"/>
    <cellStyle name="Heading1" xfId="1574"/>
    <cellStyle name="Heading2" xfId="1575"/>
    <cellStyle name="HIGHLIGHT" xfId="1576"/>
    <cellStyle name="Historical Inputs" xfId="1577"/>
    <cellStyle name="Hot Inputs" xfId="1578"/>
    <cellStyle name="Hot Inputs 10" xfId="12133"/>
    <cellStyle name="Hot Inputs 11" xfId="17456"/>
    <cellStyle name="Hot Inputs 12" xfId="12522"/>
    <cellStyle name="Hot Inputs 2" xfId="2240"/>
    <cellStyle name="Hot Inputs 2 10" xfId="12463"/>
    <cellStyle name="Hot Inputs 2 11" xfId="16367"/>
    <cellStyle name="Hot Inputs 2 2" xfId="3580"/>
    <cellStyle name="Hot Inputs 2 2 10" xfId="13655"/>
    <cellStyle name="Hot Inputs 2 2 2" xfId="6138"/>
    <cellStyle name="Hot Inputs 2 2 2 2" xfId="11234"/>
    <cellStyle name="Hot Inputs 2 2 2 2 2" xfId="15540"/>
    <cellStyle name="Hot Inputs 2 2 2 2 3" xfId="16619"/>
    <cellStyle name="Hot Inputs 2 2 2 2 4" xfId="17651"/>
    <cellStyle name="Hot Inputs 2 2 2 2 5" xfId="18621"/>
    <cellStyle name="Hot Inputs 2 2 2 2 6" xfId="19527"/>
    <cellStyle name="Hot Inputs 2 2 2 3" xfId="11816"/>
    <cellStyle name="Hot Inputs 2 2 2 3 2" xfId="16122"/>
    <cellStyle name="Hot Inputs 2 2 2 3 3" xfId="17201"/>
    <cellStyle name="Hot Inputs 2 2 2 3 4" xfId="18221"/>
    <cellStyle name="Hot Inputs 2 2 2 3 5" xfId="19191"/>
    <cellStyle name="Hot Inputs 2 2 2 3 6" xfId="20097"/>
    <cellStyle name="Hot Inputs 2 2 2 4" xfId="11988"/>
    <cellStyle name="Hot Inputs 2 2 2 4 2" xfId="16294"/>
    <cellStyle name="Hot Inputs 2 2 2 4 3" xfId="17373"/>
    <cellStyle name="Hot Inputs 2 2 2 4 4" xfId="18389"/>
    <cellStyle name="Hot Inputs 2 2 2 4 5" xfId="19359"/>
    <cellStyle name="Hot Inputs 2 2 2 4 6" xfId="20265"/>
    <cellStyle name="Hot Inputs 2 2 2 5" xfId="13871"/>
    <cellStyle name="Hot Inputs 2 2 2 6" xfId="15227"/>
    <cellStyle name="Hot Inputs 2 2 2 7" xfId="16339"/>
    <cellStyle name="Hot Inputs 2 2 2 8" xfId="15343"/>
    <cellStyle name="Hot Inputs 2 2 2 9" xfId="18413"/>
    <cellStyle name="Hot Inputs 2 2 3" xfId="8683"/>
    <cellStyle name="Hot Inputs 2 2 3 2" xfId="14694"/>
    <cellStyle name="Hot Inputs 2 2 3 3" xfId="164"/>
    <cellStyle name="Hot Inputs 2 2 3 4" xfId="167"/>
    <cellStyle name="Hot Inputs 2 2 3 5" xfId="12103"/>
    <cellStyle name="Hot Inputs 2 2 3 6" xfId="15100"/>
    <cellStyle name="Hot Inputs 2 2 4" xfId="11465"/>
    <cellStyle name="Hot Inputs 2 2 4 2" xfId="15771"/>
    <cellStyle name="Hot Inputs 2 2 4 3" xfId="16850"/>
    <cellStyle name="Hot Inputs 2 2 4 4" xfId="17877"/>
    <cellStyle name="Hot Inputs 2 2 4 5" xfId="18847"/>
    <cellStyle name="Hot Inputs 2 2 4 6" xfId="19753"/>
    <cellStyle name="Hot Inputs 2 2 5" xfId="11253"/>
    <cellStyle name="Hot Inputs 2 2 5 2" xfId="15559"/>
    <cellStyle name="Hot Inputs 2 2 5 3" xfId="16638"/>
    <cellStyle name="Hot Inputs 2 2 5 4" xfId="17670"/>
    <cellStyle name="Hot Inputs 2 2 5 5" xfId="18640"/>
    <cellStyle name="Hot Inputs 2 2 5 6" xfId="19546"/>
    <cellStyle name="Hot Inputs 2 2 6" xfId="13010"/>
    <cellStyle name="Hot Inputs 2 2 7" xfId="12188"/>
    <cellStyle name="Hot Inputs 2 2 8" xfId="12166"/>
    <cellStyle name="Hot Inputs 2 2 9" xfId="14538"/>
    <cellStyle name="Hot Inputs 2 3" xfId="6034"/>
    <cellStyle name="Hot Inputs 2 3 2" xfId="11130"/>
    <cellStyle name="Hot Inputs 2 3 2 2" xfId="15436"/>
    <cellStyle name="Hot Inputs 2 3 2 3" xfId="16515"/>
    <cellStyle name="Hot Inputs 2 3 2 4" xfId="17549"/>
    <cellStyle name="Hot Inputs 2 3 2 5" xfId="18519"/>
    <cellStyle name="Hot Inputs 2 3 2 6" xfId="19425"/>
    <cellStyle name="Hot Inputs 2 3 3" xfId="11712"/>
    <cellStyle name="Hot Inputs 2 3 3 2" xfId="16018"/>
    <cellStyle name="Hot Inputs 2 3 3 3" xfId="17097"/>
    <cellStyle name="Hot Inputs 2 3 3 4" xfId="18119"/>
    <cellStyle name="Hot Inputs 2 3 3 5" xfId="19089"/>
    <cellStyle name="Hot Inputs 2 3 3 6" xfId="19995"/>
    <cellStyle name="Hot Inputs 2 3 4" xfId="11884"/>
    <cellStyle name="Hot Inputs 2 3 4 2" xfId="16190"/>
    <cellStyle name="Hot Inputs 2 3 4 3" xfId="17269"/>
    <cellStyle name="Hot Inputs 2 3 4 4" xfId="18287"/>
    <cellStyle name="Hot Inputs 2 3 4 5" xfId="19257"/>
    <cellStyle name="Hot Inputs 2 3 4 6" xfId="20163"/>
    <cellStyle name="Hot Inputs 2 3 5" xfId="13767"/>
    <cellStyle name="Hot Inputs 2 3 6" xfId="13343"/>
    <cellStyle name="Hot Inputs 2 3 7" xfId="12426"/>
    <cellStyle name="Hot Inputs 2 3 8" xfId="13584"/>
    <cellStyle name="Hot Inputs 2 3 9" xfId="18458"/>
    <cellStyle name="Hot Inputs 2 4" xfId="7350"/>
    <cellStyle name="Hot Inputs 2 4 2" xfId="14282"/>
    <cellStyle name="Hot Inputs 2 4 3" xfId="14787"/>
    <cellStyle name="Hot Inputs 2 4 4" xfId="1145"/>
    <cellStyle name="Hot Inputs 2 4 5" xfId="13565"/>
    <cellStyle name="Hot Inputs 2 4 6" xfId="15163"/>
    <cellStyle name="Hot Inputs 2 5" xfId="11315"/>
    <cellStyle name="Hot Inputs 2 5 2" xfId="15621"/>
    <cellStyle name="Hot Inputs 2 5 3" xfId="16700"/>
    <cellStyle name="Hot Inputs 2 5 4" xfId="17729"/>
    <cellStyle name="Hot Inputs 2 5 5" xfId="18699"/>
    <cellStyle name="Hot Inputs 2 5 6" xfId="19605"/>
    <cellStyle name="Hot Inputs 2 6" xfId="11449"/>
    <cellStyle name="Hot Inputs 2 6 2" xfId="15755"/>
    <cellStyle name="Hot Inputs 2 6 3" xfId="16834"/>
    <cellStyle name="Hot Inputs 2 6 4" xfId="17862"/>
    <cellStyle name="Hot Inputs 2 6 5" xfId="18832"/>
    <cellStyle name="Hot Inputs 2 6 6" xfId="19738"/>
    <cellStyle name="Hot Inputs 2 7" xfId="12580"/>
    <cellStyle name="Hot Inputs 2 8" xfId="12193"/>
    <cellStyle name="Hot Inputs 2 9" xfId="12098"/>
    <cellStyle name="Hot Inputs 3" xfId="2841"/>
    <cellStyle name="Hot Inputs 3 10" xfId="18434"/>
    <cellStyle name="Hot Inputs 3 2" xfId="6126"/>
    <cellStyle name="Hot Inputs 3 2 2" xfId="11222"/>
    <cellStyle name="Hot Inputs 3 2 2 2" xfId="15528"/>
    <cellStyle name="Hot Inputs 3 2 2 3" xfId="16607"/>
    <cellStyle name="Hot Inputs 3 2 2 4" xfId="17641"/>
    <cellStyle name="Hot Inputs 3 2 2 5" xfId="18611"/>
    <cellStyle name="Hot Inputs 3 2 2 6" xfId="19517"/>
    <cellStyle name="Hot Inputs 3 2 3" xfId="11804"/>
    <cellStyle name="Hot Inputs 3 2 3 2" xfId="16110"/>
    <cellStyle name="Hot Inputs 3 2 3 3" xfId="17189"/>
    <cellStyle name="Hot Inputs 3 2 3 4" xfId="18211"/>
    <cellStyle name="Hot Inputs 3 2 3 5" xfId="19181"/>
    <cellStyle name="Hot Inputs 3 2 3 6" xfId="20087"/>
    <cellStyle name="Hot Inputs 3 2 4" xfId="11976"/>
    <cellStyle name="Hot Inputs 3 2 4 2" xfId="16282"/>
    <cellStyle name="Hot Inputs 3 2 4 3" xfId="17361"/>
    <cellStyle name="Hot Inputs 3 2 4 4" xfId="18379"/>
    <cellStyle name="Hot Inputs 3 2 4 5" xfId="19349"/>
    <cellStyle name="Hot Inputs 3 2 4 6" xfId="20255"/>
    <cellStyle name="Hot Inputs 3 2 5" xfId="13859"/>
    <cellStyle name="Hot Inputs 3 2 6" xfId="12376"/>
    <cellStyle name="Hot Inputs 3 2 7" xfId="12530"/>
    <cellStyle name="Hot Inputs 3 2 8" xfId="17414"/>
    <cellStyle name="Hot Inputs 3 2 9" xfId="12481"/>
    <cellStyle name="Hot Inputs 3 3" xfId="7944"/>
    <cellStyle name="Hot Inputs 3 3 2" xfId="14502"/>
    <cellStyle name="Hot Inputs 3 3 3" xfId="12116"/>
    <cellStyle name="Hot Inputs 3 3 4" xfId="14402"/>
    <cellStyle name="Hot Inputs 3 3 5" xfId="12912"/>
    <cellStyle name="Hot Inputs 3 3 6" xfId="14713"/>
    <cellStyle name="Hot Inputs 3 4" xfId="11417"/>
    <cellStyle name="Hot Inputs 3 4 2" xfId="15723"/>
    <cellStyle name="Hot Inputs 3 4 3" xfId="16802"/>
    <cellStyle name="Hot Inputs 3 4 4" xfId="17831"/>
    <cellStyle name="Hot Inputs 3 4 5" xfId="18801"/>
    <cellStyle name="Hot Inputs 3 4 6" xfId="19707"/>
    <cellStyle name="Hot Inputs 3 5" xfId="11464"/>
    <cellStyle name="Hot Inputs 3 5 2" xfId="15770"/>
    <cellStyle name="Hot Inputs 3 5 3" xfId="16849"/>
    <cellStyle name="Hot Inputs 3 5 4" xfId="17876"/>
    <cellStyle name="Hot Inputs 3 5 5" xfId="18846"/>
    <cellStyle name="Hot Inputs 3 5 6" xfId="19752"/>
    <cellStyle name="Hot Inputs 3 6" xfId="12806"/>
    <cellStyle name="Hot Inputs 3 7" xfId="15299"/>
    <cellStyle name="Hot Inputs 3 8" xfId="16395"/>
    <cellStyle name="Hot Inputs 3 9" xfId="16413"/>
    <cellStyle name="Hot Inputs 4" xfId="6022"/>
    <cellStyle name="Hot Inputs 4 2" xfId="11118"/>
    <cellStyle name="Hot Inputs 4 2 2" xfId="15424"/>
    <cellStyle name="Hot Inputs 4 2 3" xfId="16503"/>
    <cellStyle name="Hot Inputs 4 2 4" xfId="17538"/>
    <cellStyle name="Hot Inputs 4 2 5" xfId="18508"/>
    <cellStyle name="Hot Inputs 4 2 6" xfId="19414"/>
    <cellStyle name="Hot Inputs 4 3" xfId="11700"/>
    <cellStyle name="Hot Inputs 4 3 2" xfId="16006"/>
    <cellStyle name="Hot Inputs 4 3 3" xfId="17085"/>
    <cellStyle name="Hot Inputs 4 3 4" xfId="18108"/>
    <cellStyle name="Hot Inputs 4 3 5" xfId="19078"/>
    <cellStyle name="Hot Inputs 4 3 6" xfId="19984"/>
    <cellStyle name="Hot Inputs 4 4" xfId="11872"/>
    <cellStyle name="Hot Inputs 4 4 2" xfId="16178"/>
    <cellStyle name="Hot Inputs 4 4 3" xfId="17257"/>
    <cellStyle name="Hot Inputs 4 4 4" xfId="18276"/>
    <cellStyle name="Hot Inputs 4 4 5" xfId="19246"/>
    <cellStyle name="Hot Inputs 4 4 6" xfId="20152"/>
    <cellStyle name="Hot Inputs 4 5" xfId="13755"/>
    <cellStyle name="Hot Inputs 4 6" xfId="13000"/>
    <cellStyle name="Hot Inputs 4 7" xfId="15291"/>
    <cellStyle name="Hot Inputs 4 8" xfId="16298"/>
    <cellStyle name="Hot Inputs 4 9" xfId="12176"/>
    <cellStyle name="Hot Inputs 5" xfId="6845"/>
    <cellStyle name="Hot Inputs 5 2" xfId="14159"/>
    <cellStyle name="Hot Inputs 5 3" xfId="12336"/>
    <cellStyle name="Hot Inputs 5 4" xfId="13941"/>
    <cellStyle name="Hot Inputs 5 5" xfId="13333"/>
    <cellStyle name="Hot Inputs 5 6" xfId="14606"/>
    <cellStyle name="Hot Inputs 6" xfId="11258"/>
    <cellStyle name="Hot Inputs 6 2" xfId="15564"/>
    <cellStyle name="Hot Inputs 6 3" xfId="16643"/>
    <cellStyle name="Hot Inputs 6 4" xfId="17675"/>
    <cellStyle name="Hot Inputs 6 5" xfId="18645"/>
    <cellStyle name="Hot Inputs 6 6" xfId="19551"/>
    <cellStyle name="Hot Inputs 7" xfId="11292"/>
    <cellStyle name="Hot Inputs 7 2" xfId="15598"/>
    <cellStyle name="Hot Inputs 7 3" xfId="16677"/>
    <cellStyle name="Hot Inputs 7 4" xfId="17707"/>
    <cellStyle name="Hot Inputs 7 5" xfId="18677"/>
    <cellStyle name="Hot Inputs 7 6" xfId="19583"/>
    <cellStyle name="Hot Inputs 8" xfId="12400"/>
    <cellStyle name="Hot Inputs 9" xfId="14992"/>
    <cellStyle name="Hyperlink 2" xfId="178"/>
    <cellStyle name="Hyperlink 3" xfId="381"/>
    <cellStyle name="Imported data from another worksheet" xfId="1579"/>
    <cellStyle name="Imported data from another worksheet 10" xfId="13356"/>
    <cellStyle name="Imported data from another worksheet 11" xfId="13149"/>
    <cellStyle name="Imported data from another worksheet 12" xfId="12338"/>
    <cellStyle name="Imported data from another worksheet 2" xfId="2239"/>
    <cellStyle name="Imported data from another worksheet 2 10" xfId="13229"/>
    <cellStyle name="Imported data from another worksheet 2 11" xfId="14310"/>
    <cellStyle name="Imported data from another worksheet 2 2" xfId="2331"/>
    <cellStyle name="Imported data from another worksheet 2 2 10" xfId="12938"/>
    <cellStyle name="Imported data from another worksheet 2 2 2" xfId="6040"/>
    <cellStyle name="Imported data from another worksheet 2 2 2 2" xfId="11136"/>
    <cellStyle name="Imported data from another worksheet 2 2 2 2 2" xfId="15442"/>
    <cellStyle name="Imported data from another worksheet 2 2 2 2 3" xfId="16521"/>
    <cellStyle name="Imported data from another worksheet 2 2 2 2 4" xfId="17555"/>
    <cellStyle name="Imported data from another worksheet 2 2 2 2 5" xfId="18525"/>
    <cellStyle name="Imported data from another worksheet 2 2 2 2 6" xfId="19431"/>
    <cellStyle name="Imported data from another worksheet 2 2 2 3" xfId="11718"/>
    <cellStyle name="Imported data from another worksheet 2 2 2 3 2" xfId="16024"/>
    <cellStyle name="Imported data from another worksheet 2 2 2 3 3" xfId="17103"/>
    <cellStyle name="Imported data from another worksheet 2 2 2 3 4" xfId="18125"/>
    <cellStyle name="Imported data from another worksheet 2 2 2 3 5" xfId="19095"/>
    <cellStyle name="Imported data from another worksheet 2 2 2 3 6" xfId="20001"/>
    <cellStyle name="Imported data from another worksheet 2 2 2 4" xfId="11890"/>
    <cellStyle name="Imported data from another worksheet 2 2 2 4 2" xfId="16196"/>
    <cellStyle name="Imported data from another worksheet 2 2 2 4 3" xfId="17275"/>
    <cellStyle name="Imported data from another worksheet 2 2 2 4 4" xfId="18293"/>
    <cellStyle name="Imported data from another worksheet 2 2 2 4 5" xfId="19263"/>
    <cellStyle name="Imported data from another worksheet 2 2 2 4 6" xfId="20169"/>
    <cellStyle name="Imported data from another worksheet 2 2 2 5" xfId="13773"/>
    <cellStyle name="Imported data from another worksheet 2 2 2 6" xfId="14290"/>
    <cellStyle name="Imported data from another worksheet 2 2 2 7" xfId="13376"/>
    <cellStyle name="Imported data from another worksheet 2 2 2 8" xfId="14644"/>
    <cellStyle name="Imported data from another worksheet 2 2 2 9" xfId="13027"/>
    <cellStyle name="Imported data from another worksheet 2 2 3" xfId="7440"/>
    <cellStyle name="Imported data from another worksheet 2 2 3 2" xfId="14315"/>
    <cellStyle name="Imported data from another worksheet 2 2 3 3" xfId="14515"/>
    <cellStyle name="Imported data from another worksheet 2 2 3 4" xfId="14507"/>
    <cellStyle name="Imported data from another worksheet 2 2 3 5" xfId="13424"/>
    <cellStyle name="Imported data from another worksheet 2 2 3 6" xfId="18398"/>
    <cellStyle name="Imported data from another worksheet 2 2 4" xfId="11321"/>
    <cellStyle name="Imported data from another worksheet 2 2 4 2" xfId="15627"/>
    <cellStyle name="Imported data from another worksheet 2 2 4 3" xfId="16706"/>
    <cellStyle name="Imported data from another worksheet 2 2 4 4" xfId="17735"/>
    <cellStyle name="Imported data from another worksheet 2 2 4 5" xfId="18705"/>
    <cellStyle name="Imported data from another worksheet 2 2 4 6" xfId="19611"/>
    <cellStyle name="Imported data from another worksheet 2 2 5" xfId="11636"/>
    <cellStyle name="Imported data from another worksheet 2 2 5 2" xfId="15942"/>
    <cellStyle name="Imported data from another worksheet 2 2 5 3" xfId="17021"/>
    <cellStyle name="Imported data from another worksheet 2 2 5 4" xfId="18045"/>
    <cellStyle name="Imported data from another worksheet 2 2 5 5" xfId="19015"/>
    <cellStyle name="Imported data from another worksheet 2 2 5 6" xfId="19921"/>
    <cellStyle name="Imported data from another worksheet 2 2 6" xfId="12612"/>
    <cellStyle name="Imported data from another worksheet 2 2 7" xfId="12935"/>
    <cellStyle name="Imported data from another worksheet 2 2 8" xfId="13390"/>
    <cellStyle name="Imported data from another worksheet 2 2 9" xfId="12415"/>
    <cellStyle name="Imported data from another worksheet 2 3" xfId="6033"/>
    <cellStyle name="Imported data from another worksheet 2 3 2" xfId="11129"/>
    <cellStyle name="Imported data from another worksheet 2 3 2 2" xfId="15435"/>
    <cellStyle name="Imported data from another worksheet 2 3 2 3" xfId="16514"/>
    <cellStyle name="Imported data from another worksheet 2 3 2 4" xfId="17548"/>
    <cellStyle name="Imported data from another worksheet 2 3 2 5" xfId="18518"/>
    <cellStyle name="Imported data from another worksheet 2 3 2 6" xfId="19424"/>
    <cellStyle name="Imported data from another worksheet 2 3 3" xfId="11711"/>
    <cellStyle name="Imported data from another worksheet 2 3 3 2" xfId="16017"/>
    <cellStyle name="Imported data from another worksheet 2 3 3 3" xfId="17096"/>
    <cellStyle name="Imported data from another worksheet 2 3 3 4" xfId="18118"/>
    <cellStyle name="Imported data from another worksheet 2 3 3 5" xfId="19088"/>
    <cellStyle name="Imported data from another worksheet 2 3 3 6" xfId="19994"/>
    <cellStyle name="Imported data from another worksheet 2 3 4" xfId="11883"/>
    <cellStyle name="Imported data from another worksheet 2 3 4 2" xfId="16189"/>
    <cellStyle name="Imported data from another worksheet 2 3 4 3" xfId="17268"/>
    <cellStyle name="Imported data from another worksheet 2 3 4 4" xfId="18286"/>
    <cellStyle name="Imported data from another worksheet 2 3 4 5" xfId="19256"/>
    <cellStyle name="Imported data from another worksheet 2 3 4 6" xfId="20162"/>
    <cellStyle name="Imported data from another worksheet 2 3 5" xfId="13766"/>
    <cellStyle name="Imported data from another worksheet 2 3 6" xfId="15019"/>
    <cellStyle name="Imported data from another worksheet 2 3 7" xfId="13379"/>
    <cellStyle name="Imported data from another worksheet 2 3 8" xfId="12169"/>
    <cellStyle name="Imported data from another worksheet 2 3 9" xfId="13055"/>
    <cellStyle name="Imported data from another worksheet 2 4" xfId="7349"/>
    <cellStyle name="Imported data from another worksheet 2 4 2" xfId="14281"/>
    <cellStyle name="Imported data from another worksheet 2 4 3" xfId="14034"/>
    <cellStyle name="Imported data from another worksheet 2 4 4" xfId="13188"/>
    <cellStyle name="Imported data from another worksheet 2 4 5" xfId="14588"/>
    <cellStyle name="Imported data from another worksheet 2 4 6" xfId="12564"/>
    <cellStyle name="Imported data from another worksheet 2 5" xfId="11314"/>
    <cellStyle name="Imported data from another worksheet 2 5 2" xfId="15620"/>
    <cellStyle name="Imported data from another worksheet 2 5 3" xfId="16699"/>
    <cellStyle name="Imported data from another worksheet 2 5 4" xfId="17728"/>
    <cellStyle name="Imported data from another worksheet 2 5 5" xfId="18698"/>
    <cellStyle name="Imported data from another worksheet 2 5 6" xfId="19604"/>
    <cellStyle name="Imported data from another worksheet 2 6" xfId="11638"/>
    <cellStyle name="Imported data from another worksheet 2 6 2" xfId="15944"/>
    <cellStyle name="Imported data from another worksheet 2 6 3" xfId="17023"/>
    <cellStyle name="Imported data from another worksheet 2 6 4" xfId="18047"/>
    <cellStyle name="Imported data from another worksheet 2 6 5" xfId="19017"/>
    <cellStyle name="Imported data from another worksheet 2 6 6" xfId="19923"/>
    <cellStyle name="Imported data from another worksheet 2 7" xfId="12579"/>
    <cellStyle name="Imported data from another worksheet 2 8" xfId="12664"/>
    <cellStyle name="Imported data from another worksheet 2 9" xfId="14349"/>
    <cellStyle name="Imported data from another worksheet 3" xfId="2685"/>
    <cellStyle name="Imported data from another worksheet 3 10" xfId="16424"/>
    <cellStyle name="Imported data from another worksheet 3 2" xfId="6085"/>
    <cellStyle name="Imported data from another worksheet 3 2 2" xfId="11181"/>
    <cellStyle name="Imported data from another worksheet 3 2 2 2" xfId="15487"/>
    <cellStyle name="Imported data from another worksheet 3 2 2 3" xfId="16566"/>
    <cellStyle name="Imported data from another worksheet 3 2 2 4" xfId="17600"/>
    <cellStyle name="Imported data from another worksheet 3 2 2 5" xfId="18570"/>
    <cellStyle name="Imported data from another worksheet 3 2 2 6" xfId="19476"/>
    <cellStyle name="Imported data from another worksheet 3 2 3" xfId="11763"/>
    <cellStyle name="Imported data from another worksheet 3 2 3 2" xfId="16069"/>
    <cellStyle name="Imported data from another worksheet 3 2 3 3" xfId="17148"/>
    <cellStyle name="Imported data from another worksheet 3 2 3 4" xfId="18170"/>
    <cellStyle name="Imported data from another worksheet 3 2 3 5" xfId="19140"/>
    <cellStyle name="Imported data from another worksheet 3 2 3 6" xfId="20046"/>
    <cellStyle name="Imported data from another worksheet 3 2 4" xfId="11935"/>
    <cellStyle name="Imported data from another worksheet 3 2 4 2" xfId="16241"/>
    <cellStyle name="Imported data from another worksheet 3 2 4 3" xfId="17320"/>
    <cellStyle name="Imported data from another worksheet 3 2 4 4" xfId="18338"/>
    <cellStyle name="Imported data from another worksheet 3 2 4 5" xfId="19308"/>
    <cellStyle name="Imported data from another worksheet 3 2 4 6" xfId="20214"/>
    <cellStyle name="Imported data from another worksheet 3 2 5" xfId="13818"/>
    <cellStyle name="Imported data from another worksheet 3 2 6" xfId="13549"/>
    <cellStyle name="Imported data from another worksheet 3 2 7" xfId="12869"/>
    <cellStyle name="Imported data from another worksheet 3 2 8" xfId="14936"/>
    <cellStyle name="Imported data from another worksheet 3 2 9" xfId="14104"/>
    <cellStyle name="Imported data from another worksheet 3 3" xfId="7788"/>
    <cellStyle name="Imported data from another worksheet 3 3 2" xfId="14439"/>
    <cellStyle name="Imported data from another worksheet 3 3 3" xfId="12644"/>
    <cellStyle name="Imported data from another worksheet 3 3 4" xfId="15309"/>
    <cellStyle name="Imported data from another worksheet 3 3 5" xfId="13566"/>
    <cellStyle name="Imported data from another worksheet 3 3 6" xfId="14684"/>
    <cellStyle name="Imported data from another worksheet 3 4" xfId="11371"/>
    <cellStyle name="Imported data from another worksheet 3 4 2" xfId="15677"/>
    <cellStyle name="Imported data from another worksheet 3 4 3" xfId="16756"/>
    <cellStyle name="Imported data from another worksheet 3 4 4" xfId="17785"/>
    <cellStyle name="Imported data from another worksheet 3 4 5" xfId="18755"/>
    <cellStyle name="Imported data from another worksheet 3 4 6" xfId="19661"/>
    <cellStyle name="Imported data from another worksheet 3 5" xfId="11274"/>
    <cellStyle name="Imported data from another worksheet 3 5 2" xfId="15580"/>
    <cellStyle name="Imported data from another worksheet 3 5 3" xfId="16659"/>
    <cellStyle name="Imported data from another worksheet 3 5 4" xfId="17689"/>
    <cellStyle name="Imported data from another worksheet 3 5 5" xfId="18659"/>
    <cellStyle name="Imported data from another worksheet 3 5 6" xfId="19565"/>
    <cellStyle name="Imported data from another worksheet 3 6" xfId="12742"/>
    <cellStyle name="Imported data from another worksheet 3 7" xfId="14391"/>
    <cellStyle name="Imported data from another worksheet 3 8" xfId="12003"/>
    <cellStyle name="Imported data from another worksheet 3 9" xfId="14778"/>
    <cellStyle name="Imported data from another worksheet 4" xfId="6023"/>
    <cellStyle name="Imported data from another worksheet 4 2" xfId="11119"/>
    <cellStyle name="Imported data from another worksheet 4 2 2" xfId="15425"/>
    <cellStyle name="Imported data from another worksheet 4 2 3" xfId="16504"/>
    <cellStyle name="Imported data from another worksheet 4 2 4" xfId="17539"/>
    <cellStyle name="Imported data from another worksheet 4 2 5" xfId="18509"/>
    <cellStyle name="Imported data from another worksheet 4 2 6" xfId="19415"/>
    <cellStyle name="Imported data from another worksheet 4 3" xfId="11701"/>
    <cellStyle name="Imported data from another worksheet 4 3 2" xfId="16007"/>
    <cellStyle name="Imported data from another worksheet 4 3 3" xfId="17086"/>
    <cellStyle name="Imported data from another worksheet 4 3 4" xfId="18109"/>
    <cellStyle name="Imported data from another worksheet 4 3 5" xfId="19079"/>
    <cellStyle name="Imported data from another worksheet 4 3 6" xfId="19985"/>
    <cellStyle name="Imported data from another worksheet 4 4" xfId="11873"/>
    <cellStyle name="Imported data from another worksheet 4 4 2" xfId="16179"/>
    <cellStyle name="Imported data from another worksheet 4 4 3" xfId="17258"/>
    <cellStyle name="Imported data from another worksheet 4 4 4" xfId="18277"/>
    <cellStyle name="Imported data from another worksheet 4 4 5" xfId="19247"/>
    <cellStyle name="Imported data from another worksheet 4 4 6" xfId="20153"/>
    <cellStyle name="Imported data from another worksheet 4 5" xfId="13756"/>
    <cellStyle name="Imported data from another worksheet 4 6" xfId="12598"/>
    <cellStyle name="Imported data from another worksheet 4 7" xfId="12937"/>
    <cellStyle name="Imported data from another worksheet 4 8" xfId="17488"/>
    <cellStyle name="Imported data from another worksheet 4 9" xfId="14180"/>
    <cellStyle name="Imported data from another worksheet 5" xfId="6846"/>
    <cellStyle name="Imported data from another worksheet 5 2" xfId="14160"/>
    <cellStyle name="Imported data from another worksheet 5 3" xfId="12335"/>
    <cellStyle name="Imported data from another worksheet 5 4" xfId="12244"/>
    <cellStyle name="Imported data from another worksheet 5 5" xfId="14919"/>
    <cellStyle name="Imported data from another worksheet 5 6" xfId="18400"/>
    <cellStyle name="Imported data from another worksheet 6" xfId="11259"/>
    <cellStyle name="Imported data from another worksheet 6 2" xfId="15565"/>
    <cellStyle name="Imported data from another worksheet 6 3" xfId="16644"/>
    <cellStyle name="Imported data from another worksheet 6 4" xfId="17676"/>
    <cellStyle name="Imported data from another worksheet 6 5" xfId="18646"/>
    <cellStyle name="Imported data from another worksheet 6 6" xfId="19552"/>
    <cellStyle name="Imported data from another worksheet 7" xfId="11548"/>
    <cellStyle name="Imported data from another worksheet 7 2" xfId="15854"/>
    <cellStyle name="Imported data from another worksheet 7 3" xfId="16933"/>
    <cellStyle name="Imported data from another worksheet 7 4" xfId="17958"/>
    <cellStyle name="Imported data from another worksheet 7 5" xfId="18928"/>
    <cellStyle name="Imported data from another worksheet 7 6" xfId="19834"/>
    <cellStyle name="Imported data from another worksheet 8" xfId="12401"/>
    <cellStyle name="Imported data from another worksheet 9" xfId="13318"/>
    <cellStyle name="inc/dec" xfId="1580"/>
    <cellStyle name="IndirectReference" xfId="1581"/>
    <cellStyle name="Input" xfId="116" builtinId="20" customBuiltin="1"/>
    <cellStyle name="Input [yellow]" xfId="1582"/>
    <cellStyle name="Input [yellow] 10" xfId="14904"/>
    <cellStyle name="Input [yellow] 11" xfId="12983"/>
    <cellStyle name="Input [yellow] 12" xfId="14956"/>
    <cellStyle name="Input [yellow] 2" xfId="2228"/>
    <cellStyle name="Input [yellow] 2 2" xfId="3488"/>
    <cellStyle name="Input [yellow] 2 2 10" xfId="14916"/>
    <cellStyle name="Input [yellow] 2 2 11" xfId="12465"/>
    <cellStyle name="Input [yellow] 2 2 2" xfId="6136"/>
    <cellStyle name="Input [yellow] 2 2 2 2" xfId="11232"/>
    <cellStyle name="Input [yellow] 2 2 2 2 2" xfId="15538"/>
    <cellStyle name="Input [yellow] 2 2 2 2 3" xfId="16617"/>
    <cellStyle name="Input [yellow] 2 2 2 3" xfId="11814"/>
    <cellStyle name="Input [yellow] 2 2 2 3 2" xfId="16120"/>
    <cellStyle name="Input [yellow] 2 2 2 3 3" xfId="17199"/>
    <cellStyle name="Input [yellow] 2 2 2 4" xfId="11986"/>
    <cellStyle name="Input [yellow] 2 2 2 4 2" xfId="16292"/>
    <cellStyle name="Input [yellow] 2 2 2 4 3" xfId="17371"/>
    <cellStyle name="Input [yellow] 2 2 2 5" xfId="13869"/>
    <cellStyle name="Input [yellow] 2 2 2 6" xfId="13207"/>
    <cellStyle name="Input [yellow] 2 2 3" xfId="5883"/>
    <cellStyle name="Input [yellow] 2 2 3 2" xfId="10979"/>
    <cellStyle name="Input [yellow] 2 2 3 2 2" xfId="15348"/>
    <cellStyle name="Input [yellow] 2 2 3 2 3" xfId="16432"/>
    <cellStyle name="Input [yellow] 2 2 3 3" xfId="11651"/>
    <cellStyle name="Input [yellow] 2 2 3 3 2" xfId="15957"/>
    <cellStyle name="Input [yellow] 2 2 3 3 3" xfId="17036"/>
    <cellStyle name="Input [yellow] 2 2 3 4" xfId="11823"/>
    <cellStyle name="Input [yellow] 2 2 3 4 2" xfId="16129"/>
    <cellStyle name="Input [yellow] 2 2 3 4 3" xfId="17208"/>
    <cellStyle name="Input [yellow] 2 2 3 5" xfId="13680"/>
    <cellStyle name="Input [yellow] 2 2 3 6" xfId="13556"/>
    <cellStyle name="Input [yellow] 2 2 4" xfId="8591"/>
    <cellStyle name="Input [yellow] 2 2 4 2" xfId="14665"/>
    <cellStyle name="Input [yellow] 2 2 4 3" xfId="12299"/>
    <cellStyle name="Input [yellow] 2 2 5" xfId="11462"/>
    <cellStyle name="Input [yellow] 2 2 5 2" xfId="15768"/>
    <cellStyle name="Input [yellow] 2 2 5 3" xfId="16847"/>
    <cellStyle name="Input [yellow] 2 2 6" xfId="11521"/>
    <cellStyle name="Input [yellow] 2 2 6 2" xfId="15827"/>
    <cellStyle name="Input [yellow] 2 2 6 3" xfId="16906"/>
    <cellStyle name="Input [yellow] 2 2 7" xfId="12982"/>
    <cellStyle name="Input [yellow] 2 2 8" xfId="13614"/>
    <cellStyle name="Input [yellow] 2 2 9" xfId="12391"/>
    <cellStyle name="Input [yellow] 2 3" xfId="4694"/>
    <cellStyle name="Input [yellow] 2 3 2" xfId="9790"/>
    <cellStyle name="Input [yellow] 2 3 2 2" xfId="15013"/>
    <cellStyle name="Input [yellow] 2 3 2 3" xfId="14717"/>
    <cellStyle name="Input [yellow] 2 3 3" xfId="11562"/>
    <cellStyle name="Input [yellow] 2 3 3 2" xfId="15868"/>
    <cellStyle name="Input [yellow] 2 3 3 3" xfId="16947"/>
    <cellStyle name="Input [yellow] 2 3 4" xfId="11477"/>
    <cellStyle name="Input [yellow] 2 3 4 2" xfId="15783"/>
    <cellStyle name="Input [yellow] 2 3 4 3" xfId="16862"/>
    <cellStyle name="Input [yellow] 2 3 5" xfId="13339"/>
    <cellStyle name="Input [yellow] 2 3 6" xfId="14924"/>
    <cellStyle name="Input [yellow] 3" xfId="3010"/>
    <cellStyle name="Input [yellow] 3 2" xfId="6131"/>
    <cellStyle name="Input [yellow] 3 2 2" xfId="11227"/>
    <cellStyle name="Input [yellow] 3 2 2 2" xfId="15533"/>
    <cellStyle name="Input [yellow] 3 2 2 3" xfId="16612"/>
    <cellStyle name="Input [yellow] 3 2 3" xfId="11809"/>
    <cellStyle name="Input [yellow] 3 2 3 2" xfId="16115"/>
    <cellStyle name="Input [yellow] 3 2 3 3" xfId="17194"/>
    <cellStyle name="Input [yellow] 3 2 4" xfId="11981"/>
    <cellStyle name="Input [yellow] 3 2 4 2" xfId="16287"/>
    <cellStyle name="Input [yellow] 3 2 4 3" xfId="17366"/>
    <cellStyle name="Input [yellow] 3 2 5" xfId="13864"/>
    <cellStyle name="Input [yellow] 3 2 6" xfId="15226"/>
    <cellStyle name="Input [yellow] 3 3" xfId="8113"/>
    <cellStyle name="Input [yellow] 3 3 2" xfId="14567"/>
    <cellStyle name="Input [yellow] 3 3 3" xfId="15185"/>
    <cellStyle name="Input [yellow] 3 4" xfId="11425"/>
    <cellStyle name="Input [yellow] 3 4 2" xfId="15731"/>
    <cellStyle name="Input [yellow] 3 4 3" xfId="16810"/>
    <cellStyle name="Input [yellow] 3 5" xfId="11261"/>
    <cellStyle name="Input [yellow] 3 5 2" xfId="15567"/>
    <cellStyle name="Input [yellow] 3 5 3" xfId="16646"/>
    <cellStyle name="Input [yellow] 3 6" xfId="12866"/>
    <cellStyle name="Input [yellow] 3 7" xfId="12083"/>
    <cellStyle name="Input [yellow] 4" xfId="6024"/>
    <cellStyle name="Input [yellow] 4 2" xfId="11120"/>
    <cellStyle name="Input [yellow] 4 2 2" xfId="15426"/>
    <cellStyle name="Input [yellow] 4 2 3" xfId="16505"/>
    <cellStyle name="Input [yellow] 4 3" xfId="11702"/>
    <cellStyle name="Input [yellow] 4 3 2" xfId="16008"/>
    <cellStyle name="Input [yellow] 4 3 3" xfId="17087"/>
    <cellStyle name="Input [yellow] 4 4" xfId="11874"/>
    <cellStyle name="Input [yellow] 4 4 2" xfId="16180"/>
    <cellStyle name="Input [yellow] 4 4 3" xfId="17259"/>
    <cellStyle name="Input [yellow] 4 5" xfId="13757"/>
    <cellStyle name="Input [yellow] 4 6" xfId="14291"/>
    <cellStyle name="Input [yellow] 5" xfId="6847"/>
    <cellStyle name="Input [yellow] 5 2" xfId="14161"/>
    <cellStyle name="Input [yellow] 5 3" xfId="12334"/>
    <cellStyle name="Input [yellow] 6" xfId="11260"/>
    <cellStyle name="Input [yellow] 6 2" xfId="15566"/>
    <cellStyle name="Input [yellow] 6 3" xfId="16645"/>
    <cellStyle name="Input [yellow] 7" xfId="11293"/>
    <cellStyle name="Input [yellow] 7 2" xfId="15599"/>
    <cellStyle name="Input [yellow] 7 3" xfId="16678"/>
    <cellStyle name="Input [yellow] 8" xfId="12402"/>
    <cellStyle name="Input [yellow] 9" xfId="13657"/>
    <cellStyle name="Input 2" xfId="51"/>
    <cellStyle name="Input 2 2" xfId="521"/>
    <cellStyle name="Input 2 2 2" xfId="854"/>
    <cellStyle name="Input 2 2 3" xfId="2336"/>
    <cellStyle name="Input 2 2 3 10" xfId="15095"/>
    <cellStyle name="Input 2 2 3 11" xfId="15319"/>
    <cellStyle name="Input 2 2 3 2" xfId="6045"/>
    <cellStyle name="Input 2 2 3 2 2" xfId="11141"/>
    <cellStyle name="Input 2 2 3 2 2 2" xfId="15447"/>
    <cellStyle name="Input 2 2 3 2 2 3" xfId="16526"/>
    <cellStyle name="Input 2 2 3 2 2 4" xfId="17560"/>
    <cellStyle name="Input 2 2 3 2 2 5" xfId="18530"/>
    <cellStyle name="Input 2 2 3 2 2 6" xfId="19436"/>
    <cellStyle name="Input 2 2 3 2 3" xfId="11723"/>
    <cellStyle name="Input 2 2 3 2 3 2" xfId="16029"/>
    <cellStyle name="Input 2 2 3 2 3 3" xfId="17108"/>
    <cellStyle name="Input 2 2 3 2 3 4" xfId="18130"/>
    <cellStyle name="Input 2 2 3 2 3 5" xfId="19100"/>
    <cellStyle name="Input 2 2 3 2 3 6" xfId="20006"/>
    <cellStyle name="Input 2 2 3 2 4" xfId="11895"/>
    <cellStyle name="Input 2 2 3 2 4 2" xfId="16201"/>
    <cellStyle name="Input 2 2 3 2 4 3" xfId="17280"/>
    <cellStyle name="Input 2 2 3 2 4 4" xfId="18298"/>
    <cellStyle name="Input 2 2 3 2 4 5" xfId="19268"/>
    <cellStyle name="Input 2 2 3 2 4 6" xfId="20174"/>
    <cellStyle name="Input 2 2 3 2 5" xfId="13778"/>
    <cellStyle name="Input 2 2 3 2 6" xfId="13689"/>
    <cellStyle name="Input 2 2 3 2 7" xfId="14149"/>
    <cellStyle name="Input 2 2 3 2 8" xfId="12049"/>
    <cellStyle name="Input 2 2 3 2 9" xfId="12546"/>
    <cellStyle name="Input 2 2 3 3" xfId="4788"/>
    <cellStyle name="Input 2 2 3 3 2" xfId="9884"/>
    <cellStyle name="Input 2 2 3 3 2 2" xfId="15039"/>
    <cellStyle name="Input 2 2 3 3 2 3" xfId="12078"/>
    <cellStyle name="Input 2 2 3 3 2 4" xfId="12597"/>
    <cellStyle name="Input 2 2 3 3 2 5" xfId="16359"/>
    <cellStyle name="Input 2 2 3 3 2 6" xfId="12498"/>
    <cellStyle name="Input 2 2 3 3 3" xfId="11565"/>
    <cellStyle name="Input 2 2 3 3 3 2" xfId="15871"/>
    <cellStyle name="Input 2 2 3 3 3 3" xfId="16950"/>
    <cellStyle name="Input 2 2 3 3 3 4" xfId="17974"/>
    <cellStyle name="Input 2 2 3 3 3 5" xfId="18944"/>
    <cellStyle name="Input 2 2 3 3 3 6" xfId="19850"/>
    <cellStyle name="Input 2 2 3 3 4" xfId="6145"/>
    <cellStyle name="Input 2 2 3 3 4 2" xfId="13878"/>
    <cellStyle name="Input 2 2 3 3 4 3" xfId="14888"/>
    <cellStyle name="Input 2 2 3 3 4 4" xfId="15099"/>
    <cellStyle name="Input 2 2 3 3 4 5" xfId="15317"/>
    <cellStyle name="Input 2 2 3 3 4 6" xfId="18417"/>
    <cellStyle name="Input 2 2 3 3 5" xfId="13368"/>
    <cellStyle name="Input 2 2 3 3 6" xfId="12422"/>
    <cellStyle name="Input 2 2 3 3 7" xfId="12532"/>
    <cellStyle name="Input 2 2 3 3 8" xfId="12016"/>
    <cellStyle name="Input 2 2 3 3 9" xfId="14607"/>
    <cellStyle name="Input 2 2 3 4" xfId="7445"/>
    <cellStyle name="Input 2 2 3 4 2" xfId="14320"/>
    <cellStyle name="Input 2 2 3 4 3" xfId="12154"/>
    <cellStyle name="Input 2 2 3 4 4" xfId="12072"/>
    <cellStyle name="Input 2 2 3 4 5" xfId="14210"/>
    <cellStyle name="Input 2 2 3 4 6" xfId="13352"/>
    <cellStyle name="Input 2 2 3 5" xfId="11326"/>
    <cellStyle name="Input 2 2 3 5 2" xfId="15632"/>
    <cellStyle name="Input 2 2 3 5 3" xfId="16711"/>
    <cellStyle name="Input 2 2 3 5 4" xfId="17740"/>
    <cellStyle name="Input 2 2 3 5 5" xfId="18710"/>
    <cellStyle name="Input 2 2 3 5 6" xfId="19616"/>
    <cellStyle name="Input 2 2 3 6" xfId="11446"/>
    <cellStyle name="Input 2 2 3 6 2" xfId="15752"/>
    <cellStyle name="Input 2 2 3 6 3" xfId="16831"/>
    <cellStyle name="Input 2 2 3 6 4" xfId="17859"/>
    <cellStyle name="Input 2 2 3 6 5" xfId="18829"/>
    <cellStyle name="Input 2 2 3 6 6" xfId="19735"/>
    <cellStyle name="Input 2 2 3 7" xfId="12617"/>
    <cellStyle name="Input 2 2 3 8" xfId="14625"/>
    <cellStyle name="Input 2 2 3 9" xfId="13158"/>
    <cellStyle name="Input 2 2 4" xfId="3605"/>
    <cellStyle name="Input 2 2 4 2" xfId="8704"/>
    <cellStyle name="Input 2 2 4 2 2" xfId="14705"/>
    <cellStyle name="Input 2 2 4 2 3" xfId="13446"/>
    <cellStyle name="Input 2 2 4 2 4" xfId="13700"/>
    <cellStyle name="Input 2 2 4 2 5" xfId="17377"/>
    <cellStyle name="Input 2 2 4 2 6" xfId="16402"/>
    <cellStyle name="Input 2 2 4 3" xfId="11470"/>
    <cellStyle name="Input 2 2 4 3 2" xfId="15776"/>
    <cellStyle name="Input 2 2 4 3 3" xfId="16855"/>
    <cellStyle name="Input 2 2 4 3 4" xfId="17882"/>
    <cellStyle name="Input 2 2 4 3 5" xfId="18852"/>
    <cellStyle name="Input 2 2 4 3 6" xfId="19758"/>
    <cellStyle name="Input 2 2 4 4" xfId="11517"/>
    <cellStyle name="Input 2 2 4 4 2" xfId="15823"/>
    <cellStyle name="Input 2 2 4 4 3" xfId="16902"/>
    <cellStyle name="Input 2 2 4 4 4" xfId="17928"/>
    <cellStyle name="Input 2 2 4 4 5" xfId="18898"/>
    <cellStyle name="Input 2 2 4 4 6" xfId="19804"/>
    <cellStyle name="Input 2 2 4 5" xfId="13020"/>
    <cellStyle name="Input 2 2 4 6" xfId="13393"/>
    <cellStyle name="Input 2 2 4 7" xfId="14175"/>
    <cellStyle name="Input 2 2 4 8" xfId="15212"/>
    <cellStyle name="Input 2 2 4 9" xfId="14652"/>
    <cellStyle name="Input 2 3" xfId="1011"/>
    <cellStyle name="Input 2 3 10" xfId="12575"/>
    <cellStyle name="Input 2 3 11" xfId="14725"/>
    <cellStyle name="Input 2 3 12" xfId="14639"/>
    <cellStyle name="Input 2 3 2" xfId="1103"/>
    <cellStyle name="Input 2 3 2 2" xfId="2693"/>
    <cellStyle name="Input 2 3 2 2 10" xfId="13581"/>
    <cellStyle name="Input 2 3 2 2 11" xfId="13644"/>
    <cellStyle name="Input 2 3 2 2 2" xfId="6093"/>
    <cellStyle name="Input 2 3 2 2 2 2" xfId="11189"/>
    <cellStyle name="Input 2 3 2 2 2 2 2" xfId="15495"/>
    <cellStyle name="Input 2 3 2 2 2 2 3" xfId="16574"/>
    <cellStyle name="Input 2 3 2 2 2 2 4" xfId="17608"/>
    <cellStyle name="Input 2 3 2 2 2 2 5" xfId="18578"/>
    <cellStyle name="Input 2 3 2 2 2 2 6" xfId="19484"/>
    <cellStyle name="Input 2 3 2 2 2 3" xfId="11771"/>
    <cellStyle name="Input 2 3 2 2 2 3 2" xfId="16077"/>
    <cellStyle name="Input 2 3 2 2 2 3 3" xfId="17156"/>
    <cellStyle name="Input 2 3 2 2 2 3 4" xfId="18178"/>
    <cellStyle name="Input 2 3 2 2 2 3 5" xfId="19148"/>
    <cellStyle name="Input 2 3 2 2 2 3 6" xfId="20054"/>
    <cellStyle name="Input 2 3 2 2 2 4" xfId="11943"/>
    <cellStyle name="Input 2 3 2 2 2 4 2" xfId="16249"/>
    <cellStyle name="Input 2 3 2 2 2 4 3" xfId="17328"/>
    <cellStyle name="Input 2 3 2 2 2 4 4" xfId="18346"/>
    <cellStyle name="Input 2 3 2 2 2 4 5" xfId="19316"/>
    <cellStyle name="Input 2 3 2 2 2 4 6" xfId="20222"/>
    <cellStyle name="Input 2 3 2 2 2 5" xfId="13826"/>
    <cellStyle name="Input 2 3 2 2 2 6" xfId="13547"/>
    <cellStyle name="Input 2 3 2 2 2 7" xfId="15247"/>
    <cellStyle name="Input 2 3 2 2 2 8" xfId="13084"/>
    <cellStyle name="Input 2 3 2 2 2 9" xfId="17454"/>
    <cellStyle name="Input 2 3 2 2 3" xfId="5101"/>
    <cellStyle name="Input 2 3 2 2 3 2" xfId="10197"/>
    <cellStyle name="Input 2 3 2 2 3 2 2" xfId="15135"/>
    <cellStyle name="Input 2 3 2 2 3 2 3" xfId="13141"/>
    <cellStyle name="Input 2 3 2 2 3 2 4" xfId="12446"/>
    <cellStyle name="Input 2 3 2 2 3 2 5" xfId="13088"/>
    <cellStyle name="Input 2 3 2 2 3 2 6" xfId="12703"/>
    <cellStyle name="Input 2 3 2 2 3 3" xfId="11579"/>
    <cellStyle name="Input 2 3 2 2 3 3 2" xfId="15885"/>
    <cellStyle name="Input 2 3 2 2 3 3 3" xfId="16964"/>
    <cellStyle name="Input 2 3 2 2 3 3 4" xfId="17988"/>
    <cellStyle name="Input 2 3 2 2 3 3 5" xfId="18958"/>
    <cellStyle name="Input 2 3 2 2 3 3 6" xfId="19864"/>
    <cellStyle name="Input 2 3 2 2 3 4" xfId="11242"/>
    <cellStyle name="Input 2 3 2 2 3 4 2" xfId="15548"/>
    <cellStyle name="Input 2 3 2 2 3 4 3" xfId="16627"/>
    <cellStyle name="Input 2 3 2 2 3 4 4" xfId="17659"/>
    <cellStyle name="Input 2 3 2 2 3 4 5" xfId="18629"/>
    <cellStyle name="Input 2 3 2 2 3 4 6" xfId="19535"/>
    <cellStyle name="Input 2 3 2 2 3 5" xfId="13455"/>
    <cellStyle name="Input 2 3 2 2 3 6" xfId="12985"/>
    <cellStyle name="Input 2 3 2 2 3 7" xfId="12671"/>
    <cellStyle name="Input 2 3 2 2 3 8" xfId="14344"/>
    <cellStyle name="Input 2 3 2 2 3 9" xfId="12289"/>
    <cellStyle name="Input 2 3 2 2 4" xfId="7796"/>
    <cellStyle name="Input 2 3 2 2 4 2" xfId="14447"/>
    <cellStyle name="Input 2 3 2 2 4 3" xfId="12313"/>
    <cellStyle name="Input 2 3 2 2 4 4" xfId="12544"/>
    <cellStyle name="Input 2 3 2 2 4 5" xfId="17384"/>
    <cellStyle name="Input 2 3 2 2 4 6" xfId="14373"/>
    <cellStyle name="Input 2 3 2 2 5" xfId="11379"/>
    <cellStyle name="Input 2 3 2 2 5 2" xfId="15685"/>
    <cellStyle name="Input 2 3 2 2 5 3" xfId="16764"/>
    <cellStyle name="Input 2 3 2 2 5 4" xfId="17793"/>
    <cellStyle name="Input 2 3 2 2 5 5" xfId="18763"/>
    <cellStyle name="Input 2 3 2 2 5 6" xfId="19669"/>
    <cellStyle name="Input 2 3 2 2 6" xfId="11532"/>
    <cellStyle name="Input 2 3 2 2 6 2" xfId="15838"/>
    <cellStyle name="Input 2 3 2 2 6 3" xfId="16917"/>
    <cellStyle name="Input 2 3 2 2 6 4" xfId="17942"/>
    <cellStyle name="Input 2 3 2 2 6 5" xfId="18912"/>
    <cellStyle name="Input 2 3 2 2 6 6" xfId="19818"/>
    <cellStyle name="Input 2 3 2 2 7" xfId="12750"/>
    <cellStyle name="Input 2 3 2 2 8" xfId="12054"/>
    <cellStyle name="Input 2 3 2 2 9" xfId="13682"/>
    <cellStyle name="Input 2 3 2 3" xfId="3918"/>
    <cellStyle name="Input 2 3 2 3 2" xfId="9017"/>
    <cellStyle name="Input 2 3 2 3 2 2" xfId="14795"/>
    <cellStyle name="Input 2 3 2 3 2 3" xfId="13990"/>
    <cellStyle name="Input 2 3 2 3 2 4" xfId="13533"/>
    <cellStyle name="Input 2 3 2 3 2 5" xfId="12628"/>
    <cellStyle name="Input 2 3 2 3 2 6" xfId="14591"/>
    <cellStyle name="Input 2 3 2 3 3" xfId="11485"/>
    <cellStyle name="Input 2 3 2 3 3 2" xfId="15791"/>
    <cellStyle name="Input 2 3 2 3 3 3" xfId="16870"/>
    <cellStyle name="Input 2 3 2 3 3 4" xfId="17896"/>
    <cellStyle name="Input 2 3 2 3 3 5" xfId="18866"/>
    <cellStyle name="Input 2 3 2 3 3 6" xfId="19772"/>
    <cellStyle name="Input 2 3 2 3 4" xfId="6181"/>
    <cellStyle name="Input 2 3 2 3 4 2" xfId="13913"/>
    <cellStyle name="Input 2 3 2 3 4 3" xfId="12370"/>
    <cellStyle name="Input 2 3 2 3 4 4" xfId="14989"/>
    <cellStyle name="Input 2 3 2 3 4 5" xfId="12555"/>
    <cellStyle name="Input 2 3 2 3 4 6" xfId="12920"/>
    <cellStyle name="Input 2 3 2 3 5" xfId="13107"/>
    <cellStyle name="Input 2 3 2 3 6" xfId="15286"/>
    <cellStyle name="Input 2 3 2 3 7" xfId="16382"/>
    <cellStyle name="Input 2 3 2 3 8" xfId="13650"/>
    <cellStyle name="Input 2 3 2 3 9" xfId="18432"/>
    <cellStyle name="Input 2 3 3" xfId="2641"/>
    <cellStyle name="Input 2 3 3 10" xfId="16422"/>
    <cellStyle name="Input 2 3 3 2" xfId="6057"/>
    <cellStyle name="Input 2 3 3 2 2" xfId="11153"/>
    <cellStyle name="Input 2 3 3 2 2 2" xfId="15459"/>
    <cellStyle name="Input 2 3 3 2 2 3" xfId="16538"/>
    <cellStyle name="Input 2 3 3 2 2 4" xfId="17572"/>
    <cellStyle name="Input 2 3 3 2 2 5" xfId="18542"/>
    <cellStyle name="Input 2 3 3 2 2 6" xfId="19448"/>
    <cellStyle name="Input 2 3 3 2 3" xfId="11735"/>
    <cellStyle name="Input 2 3 3 2 3 2" xfId="16041"/>
    <cellStyle name="Input 2 3 3 2 3 3" xfId="17120"/>
    <cellStyle name="Input 2 3 3 2 3 4" xfId="18142"/>
    <cellStyle name="Input 2 3 3 2 3 5" xfId="19112"/>
    <cellStyle name="Input 2 3 3 2 3 6" xfId="20018"/>
    <cellStyle name="Input 2 3 3 2 4" xfId="11907"/>
    <cellStyle name="Input 2 3 3 2 4 2" xfId="16213"/>
    <cellStyle name="Input 2 3 3 2 4 3" xfId="17292"/>
    <cellStyle name="Input 2 3 3 2 4 4" xfId="18310"/>
    <cellStyle name="Input 2 3 3 2 4 5" xfId="19280"/>
    <cellStyle name="Input 2 3 3 2 4 6" xfId="20186"/>
    <cellStyle name="Input 2 3 3 2 5" xfId="13790"/>
    <cellStyle name="Input 2 3 3 2 6" xfId="15020"/>
    <cellStyle name="Input 2 3 3 2 7" xfId="12282"/>
    <cellStyle name="Input 2 3 3 2 8" xfId="13240"/>
    <cellStyle name="Input 2 3 3 2 9" xfId="15296"/>
    <cellStyle name="Input 2 3 3 3" xfId="7744"/>
    <cellStyle name="Input 2 3 3 3 2" xfId="14410"/>
    <cellStyle name="Input 2 3 3 3 3" xfId="13081"/>
    <cellStyle name="Input 2 3 3 3 4" xfId="15288"/>
    <cellStyle name="Input 2 3 3 3 5" xfId="14194"/>
    <cellStyle name="Input 2 3 3 3 6" xfId="12304"/>
    <cellStyle name="Input 2 3 3 4" xfId="11343"/>
    <cellStyle name="Input 2 3 3 4 2" xfId="15649"/>
    <cellStyle name="Input 2 3 3 4 3" xfId="16728"/>
    <cellStyle name="Input 2 3 3 4 4" xfId="17757"/>
    <cellStyle name="Input 2 3 3 4 5" xfId="18727"/>
    <cellStyle name="Input 2 3 3 4 6" xfId="19633"/>
    <cellStyle name="Input 2 3 3 5" xfId="11542"/>
    <cellStyle name="Input 2 3 3 5 2" xfId="15848"/>
    <cellStyle name="Input 2 3 3 5 3" xfId="16927"/>
    <cellStyle name="Input 2 3 3 5 4" xfId="17952"/>
    <cellStyle name="Input 2 3 3 5 5" xfId="18922"/>
    <cellStyle name="Input 2 3 3 5 6" xfId="19828"/>
    <cellStyle name="Input 2 3 3 6" xfId="12711"/>
    <cellStyle name="Input 2 3 3 7" xfId="13948"/>
    <cellStyle name="Input 2 3 3 8" xfId="12589"/>
    <cellStyle name="Input 2 3 3 9" xfId="15278"/>
    <cellStyle name="Input 2 3 4" xfId="5982"/>
    <cellStyle name="Input 2 3 4 2" xfId="11078"/>
    <cellStyle name="Input 2 3 4 2 2" xfId="15384"/>
    <cellStyle name="Input 2 3 4 2 3" xfId="16463"/>
    <cellStyle name="Input 2 3 4 2 4" xfId="17498"/>
    <cellStyle name="Input 2 3 4 2 5" xfId="18468"/>
    <cellStyle name="Input 2 3 4 2 6" xfId="19374"/>
    <cellStyle name="Input 2 3 4 3" xfId="11660"/>
    <cellStyle name="Input 2 3 4 3 2" xfId="15966"/>
    <cellStyle name="Input 2 3 4 3 3" xfId="17045"/>
    <cellStyle name="Input 2 3 4 3 4" xfId="18068"/>
    <cellStyle name="Input 2 3 4 3 5" xfId="19038"/>
    <cellStyle name="Input 2 3 4 3 6" xfId="19944"/>
    <cellStyle name="Input 2 3 4 4" xfId="11832"/>
    <cellStyle name="Input 2 3 4 4 2" xfId="16138"/>
    <cellStyle name="Input 2 3 4 4 3" xfId="17217"/>
    <cellStyle name="Input 2 3 4 4 4" xfId="18236"/>
    <cellStyle name="Input 2 3 4 4 5" xfId="19206"/>
    <cellStyle name="Input 2 3 4 4 6" xfId="20112"/>
    <cellStyle name="Input 2 3 4 5" xfId="13715"/>
    <cellStyle name="Input 2 3 4 6" xfId="12382"/>
    <cellStyle name="Input 2 3 4 7" xfId="13660"/>
    <cellStyle name="Input 2 3 4 8" xfId="15287"/>
    <cellStyle name="Input 2 3 4 9" xfId="158"/>
    <cellStyle name="Input 2 3 5" xfId="6488"/>
    <cellStyle name="Input 2 3 5 2" xfId="14001"/>
    <cellStyle name="Input 2 3 5 3" xfId="14878"/>
    <cellStyle name="Input 2 3 5 4" xfId="15092"/>
    <cellStyle name="Input 2 3 5 5" xfId="14386"/>
    <cellStyle name="Input 2 3 5 6" xfId="13670"/>
    <cellStyle name="Input 2 3 6" xfId="6704"/>
    <cellStyle name="Input 2 3 6 2" xfId="14100"/>
    <cellStyle name="Input 2 3 6 3" xfId="12351"/>
    <cellStyle name="Input 2 3 6 4" xfId="15331"/>
    <cellStyle name="Input 2 3 6 5" xfId="17392"/>
    <cellStyle name="Input 2 3 6 6" xfId="15305"/>
    <cellStyle name="Input 2 3 7" xfId="11558"/>
    <cellStyle name="Input 2 3 7 2" xfId="15864"/>
    <cellStyle name="Input 2 3 7 3" xfId="16943"/>
    <cellStyle name="Input 2 3 7 4" xfId="17968"/>
    <cellStyle name="Input 2 3 7 5" xfId="18938"/>
    <cellStyle name="Input 2 3 7 6" xfId="19844"/>
    <cellStyle name="Input 2 3 8" xfId="12203"/>
    <cellStyle name="Input 2 3 9" xfId="12069"/>
    <cellStyle name="Input 2 4" xfId="1583"/>
    <cellStyle name="Input 2 5" xfId="161"/>
    <cellStyle name="Input 3" xfId="382"/>
    <cellStyle name="Input 3 2" xfId="855"/>
    <cellStyle name="Input 3 3" xfId="1012"/>
    <cellStyle name="Input 3 3 10" xfId="12595"/>
    <cellStyle name="Input 3 3 11" xfId="13292"/>
    <cellStyle name="Input 3 3 12" xfId="17484"/>
    <cellStyle name="Input 3 3 2" xfId="1104"/>
    <cellStyle name="Input 3 3 2 2" xfId="2694"/>
    <cellStyle name="Input 3 3 2 2 10" xfId="14274"/>
    <cellStyle name="Input 3 3 2 2 11" xfId="15203"/>
    <cellStyle name="Input 3 3 2 2 2" xfId="6094"/>
    <cellStyle name="Input 3 3 2 2 2 2" xfId="11190"/>
    <cellStyle name="Input 3 3 2 2 2 2 2" xfId="15496"/>
    <cellStyle name="Input 3 3 2 2 2 2 3" xfId="16575"/>
    <cellStyle name="Input 3 3 2 2 2 2 4" xfId="17609"/>
    <cellStyle name="Input 3 3 2 2 2 2 5" xfId="18579"/>
    <cellStyle name="Input 3 3 2 2 2 2 6" xfId="19485"/>
    <cellStyle name="Input 3 3 2 2 2 3" xfId="11772"/>
    <cellStyle name="Input 3 3 2 2 2 3 2" xfId="16078"/>
    <cellStyle name="Input 3 3 2 2 2 3 3" xfId="17157"/>
    <cellStyle name="Input 3 3 2 2 2 3 4" xfId="18179"/>
    <cellStyle name="Input 3 3 2 2 2 3 5" xfId="19149"/>
    <cellStyle name="Input 3 3 2 2 2 3 6" xfId="20055"/>
    <cellStyle name="Input 3 3 2 2 2 4" xfId="11944"/>
    <cellStyle name="Input 3 3 2 2 2 4 2" xfId="16250"/>
    <cellStyle name="Input 3 3 2 2 2 4 3" xfId="17329"/>
    <cellStyle name="Input 3 3 2 2 2 4 4" xfId="18347"/>
    <cellStyle name="Input 3 3 2 2 2 4 5" xfId="19317"/>
    <cellStyle name="Input 3 3 2 2 2 4 6" xfId="20223"/>
    <cellStyle name="Input 3 3 2 2 2 5" xfId="13827"/>
    <cellStyle name="Input 3 3 2 2 2 6" xfId="12854"/>
    <cellStyle name="Input 3 3 2 2 2 7" xfId="14752"/>
    <cellStyle name="Input 3 3 2 2 2 8" xfId="16305"/>
    <cellStyle name="Input 3 3 2 2 2 9" xfId="12329"/>
    <cellStyle name="Input 3 3 2 2 3" xfId="5102"/>
    <cellStyle name="Input 3 3 2 2 3 2" xfId="10198"/>
    <cellStyle name="Input 3 3 2 2 3 2 2" xfId="15136"/>
    <cellStyle name="Input 3 3 2 2 3 2 3" xfId="14485"/>
    <cellStyle name="Input 3 3 2 2 3 2 4" xfId="13929"/>
    <cellStyle name="Input 3 3 2 2 3 2 5" xfId="15282"/>
    <cellStyle name="Input 3 3 2 2 3 2 6" xfId="13147"/>
    <cellStyle name="Input 3 3 2 2 3 3" xfId="11580"/>
    <cellStyle name="Input 3 3 2 2 3 3 2" xfId="15886"/>
    <cellStyle name="Input 3 3 2 2 3 3 3" xfId="16965"/>
    <cellStyle name="Input 3 3 2 2 3 3 4" xfId="17989"/>
    <cellStyle name="Input 3 3 2 2 3 3 5" xfId="18959"/>
    <cellStyle name="Input 3 3 2 2 3 3 6" xfId="19865"/>
    <cellStyle name="Input 3 3 2 2 3 4" xfId="11475"/>
    <cellStyle name="Input 3 3 2 2 3 4 2" xfId="15781"/>
    <cellStyle name="Input 3 3 2 2 3 4 3" xfId="16860"/>
    <cellStyle name="Input 3 3 2 2 3 4 4" xfId="17887"/>
    <cellStyle name="Input 3 3 2 2 3 4 5" xfId="18857"/>
    <cellStyle name="Input 3 3 2 2 3 4 6" xfId="19763"/>
    <cellStyle name="Input 3 3 2 2 3 5" xfId="13456"/>
    <cellStyle name="Input 3 3 2 2 3 6" xfId="12582"/>
    <cellStyle name="Input 3 3 2 2 3 7" xfId="14232"/>
    <cellStyle name="Input 3 3 2 2 3 8" xfId="14990"/>
    <cellStyle name="Input 3 3 2 2 3 9" xfId="13187"/>
    <cellStyle name="Input 3 3 2 2 4" xfId="7797"/>
    <cellStyle name="Input 3 3 2 2 4 2" xfId="14448"/>
    <cellStyle name="Input 3 3 2 2 4 3" xfId="12084"/>
    <cellStyle name="Input 3 3 2 2 4 4" xfId="15016"/>
    <cellStyle name="Input 3 3 2 2 4 5" xfId="14494"/>
    <cellStyle name="Input 3 3 2 2 4 6" xfId="12969"/>
    <cellStyle name="Input 3 3 2 2 5" xfId="11380"/>
    <cellStyle name="Input 3 3 2 2 5 2" xfId="15686"/>
    <cellStyle name="Input 3 3 2 2 5 3" xfId="16765"/>
    <cellStyle name="Input 3 3 2 2 5 4" xfId="17794"/>
    <cellStyle name="Input 3 3 2 2 5 5" xfId="18764"/>
    <cellStyle name="Input 3 3 2 2 5 6" xfId="19670"/>
    <cellStyle name="Input 3 3 2 2 6" xfId="11623"/>
    <cellStyle name="Input 3 3 2 2 6 2" xfId="15929"/>
    <cellStyle name="Input 3 3 2 2 6 3" xfId="17008"/>
    <cellStyle name="Input 3 3 2 2 6 4" xfId="18032"/>
    <cellStyle name="Input 3 3 2 2 6 5" xfId="19002"/>
    <cellStyle name="Input 3 3 2 2 6 6" xfId="19908"/>
    <cellStyle name="Input 3 3 2 2 7" xfId="12751"/>
    <cellStyle name="Input 3 3 2 2 8" xfId="12041"/>
    <cellStyle name="Input 3 3 2 2 9" xfId="15339"/>
    <cellStyle name="Input 3 3 2 3" xfId="3919"/>
    <cellStyle name="Input 3 3 2 3 2" xfId="9018"/>
    <cellStyle name="Input 3 3 2 3 2 2" xfId="14796"/>
    <cellStyle name="Input 3 3 2 3 2 3" xfId="14782"/>
    <cellStyle name="Input 3 3 2 3 2 4" xfId="13026"/>
    <cellStyle name="Input 3 3 2 3 2 5" xfId="12396"/>
    <cellStyle name="Input 3 3 2 3 2 6" xfId="12867"/>
    <cellStyle name="Input 3 3 2 3 3" xfId="11486"/>
    <cellStyle name="Input 3 3 2 3 3 2" xfId="15792"/>
    <cellStyle name="Input 3 3 2 3 3 3" xfId="16871"/>
    <cellStyle name="Input 3 3 2 3 3 4" xfId="17897"/>
    <cellStyle name="Input 3 3 2 3 3 5" xfId="18867"/>
    <cellStyle name="Input 3 3 2 3 3 6" xfId="19773"/>
    <cellStyle name="Input 3 3 2 3 4" xfId="6177"/>
    <cellStyle name="Input 3 3 2 3 4 2" xfId="13909"/>
    <cellStyle name="Input 3 3 2 3 4 3" xfId="14545"/>
    <cellStyle name="Input 3 3 2 3 4 4" xfId="12306"/>
    <cellStyle name="Input 3 3 2 3 4 5" xfId="13094"/>
    <cellStyle name="Input 3 3 2 3 4 6" xfId="12067"/>
    <cellStyle name="Input 3 3 2 3 5" xfId="13108"/>
    <cellStyle name="Input 3 3 2 3 6" xfId="13606"/>
    <cellStyle name="Input 3 3 2 3 7" xfId="171"/>
    <cellStyle name="Input 3 3 2 3 8" xfId="14202"/>
    <cellStyle name="Input 3 3 2 3 9" xfId="12643"/>
    <cellStyle name="Input 3 3 3" xfId="2642"/>
    <cellStyle name="Input 3 3 3 10" xfId="13707"/>
    <cellStyle name="Input 3 3 3 2" xfId="6058"/>
    <cellStyle name="Input 3 3 3 2 2" xfId="11154"/>
    <cellStyle name="Input 3 3 3 2 2 2" xfId="15460"/>
    <cellStyle name="Input 3 3 3 2 2 3" xfId="16539"/>
    <cellStyle name="Input 3 3 3 2 2 4" xfId="17573"/>
    <cellStyle name="Input 3 3 3 2 2 5" xfId="18543"/>
    <cellStyle name="Input 3 3 3 2 2 6" xfId="19449"/>
    <cellStyle name="Input 3 3 3 2 3" xfId="11736"/>
    <cellStyle name="Input 3 3 3 2 3 2" xfId="16042"/>
    <cellStyle name="Input 3 3 3 2 3 3" xfId="17121"/>
    <cellStyle name="Input 3 3 3 2 3 4" xfId="18143"/>
    <cellStyle name="Input 3 3 3 2 3 5" xfId="19113"/>
    <cellStyle name="Input 3 3 3 2 3 6" xfId="20019"/>
    <cellStyle name="Input 3 3 3 2 4" xfId="11908"/>
    <cellStyle name="Input 3 3 3 2 4 2" xfId="16214"/>
    <cellStyle name="Input 3 3 3 2 4 3" xfId="17293"/>
    <cellStyle name="Input 3 3 3 2 4 4" xfId="18311"/>
    <cellStyle name="Input 3 3 3 2 4 5" xfId="19281"/>
    <cellStyle name="Input 3 3 3 2 4 6" xfId="20187"/>
    <cellStyle name="Input 3 3 3 2 5" xfId="13791"/>
    <cellStyle name="Input 3 3 3 2 6" xfId="13344"/>
    <cellStyle name="Input 3 3 3 2 7" xfId="13233"/>
    <cellStyle name="Input 3 3 3 2 8" xfId="13706"/>
    <cellStyle name="Input 3 3 3 2 9" xfId="18452"/>
    <cellStyle name="Input 3 3 3 3" xfId="7745"/>
    <cellStyle name="Input 3 3 3 3 2" xfId="14411"/>
    <cellStyle name="Input 3 3 3 3 3" xfId="14388"/>
    <cellStyle name="Input 3 3 3 3 4" xfId="14736"/>
    <cellStyle name="Input 3 3 3 3 5" xfId="14677"/>
    <cellStyle name="Input 3 3 3 3 6" xfId="13383"/>
    <cellStyle name="Input 3 3 3 4" xfId="11344"/>
    <cellStyle name="Input 3 3 3 4 2" xfId="15650"/>
    <cellStyle name="Input 3 3 3 4 3" xfId="16729"/>
    <cellStyle name="Input 3 3 3 4 4" xfId="17758"/>
    <cellStyle name="Input 3 3 3 4 5" xfId="18728"/>
    <cellStyle name="Input 3 3 3 4 6" xfId="19634"/>
    <cellStyle name="Input 3 3 3 5" xfId="11632"/>
    <cellStyle name="Input 3 3 3 5 2" xfId="15938"/>
    <cellStyle name="Input 3 3 3 5 3" xfId="17017"/>
    <cellStyle name="Input 3 3 3 5 4" xfId="18041"/>
    <cellStyle name="Input 3 3 3 5 5" xfId="19011"/>
    <cellStyle name="Input 3 3 3 5 6" xfId="19917"/>
    <cellStyle name="Input 3 3 3 6" xfId="12712"/>
    <cellStyle name="Input 3 3 3 7" xfId="14751"/>
    <cellStyle name="Input 3 3 3 8" xfId="14071"/>
    <cellStyle name="Input 3 3 3 9" xfId="14875"/>
    <cellStyle name="Input 3 3 4" xfId="5983"/>
    <cellStyle name="Input 3 3 4 2" xfId="11079"/>
    <cellStyle name="Input 3 3 4 2 2" xfId="15385"/>
    <cellStyle name="Input 3 3 4 2 3" xfId="16464"/>
    <cellStyle name="Input 3 3 4 2 4" xfId="17499"/>
    <cellStyle name="Input 3 3 4 2 5" xfId="18469"/>
    <cellStyle name="Input 3 3 4 2 6" xfId="19375"/>
    <cellStyle name="Input 3 3 4 3" xfId="11661"/>
    <cellStyle name="Input 3 3 4 3 2" xfId="15967"/>
    <cellStyle name="Input 3 3 4 3 3" xfId="17046"/>
    <cellStyle name="Input 3 3 4 3 4" xfId="18069"/>
    <cellStyle name="Input 3 3 4 3 5" xfId="19039"/>
    <cellStyle name="Input 3 3 4 3 6" xfId="19945"/>
    <cellStyle name="Input 3 3 4 4" xfId="11833"/>
    <cellStyle name="Input 3 3 4 4 2" xfId="16139"/>
    <cellStyle name="Input 3 3 4 4 3" xfId="17218"/>
    <cellStyle name="Input 3 3 4 4 4" xfId="18237"/>
    <cellStyle name="Input 3 3 4 4 5" xfId="19207"/>
    <cellStyle name="Input 3 3 4 4 6" xfId="20113"/>
    <cellStyle name="Input 3 3 4 5" xfId="13716"/>
    <cellStyle name="Input 3 3 4 6" xfId="12172"/>
    <cellStyle name="Input 3 3 4 7" xfId="12691"/>
    <cellStyle name="Input 3 3 4 8" xfId="15267"/>
    <cellStyle name="Input 3 3 4 9" xfId="18426"/>
    <cellStyle name="Input 3 3 5" xfId="6489"/>
    <cellStyle name="Input 3 3 5 2" xfId="14002"/>
    <cellStyle name="Input 3 3 5 3" xfId="13191"/>
    <cellStyle name="Input 3 3 5 4" xfId="14187"/>
    <cellStyle name="Input 3 3 5 5" xfId="12797"/>
    <cellStyle name="Input 3 3 5 6" xfId="18407"/>
    <cellStyle name="Input 3 3 6" xfId="6162"/>
    <cellStyle name="Input 3 3 6 2" xfId="13894"/>
    <cellStyle name="Input 3 3 6 3" xfId="14546"/>
    <cellStyle name="Input 3 3 6 4" xfId="12168"/>
    <cellStyle name="Input 3 3 6 5" xfId="13377"/>
    <cellStyle name="Input 3 3 6 6" xfId="16304"/>
    <cellStyle name="Input 3 3 7" xfId="11647"/>
    <cellStyle name="Input 3 3 7 2" xfId="15953"/>
    <cellStyle name="Input 3 3 7 3" xfId="17032"/>
    <cellStyle name="Input 3 3 7 4" xfId="18056"/>
    <cellStyle name="Input 3 3 7 5" xfId="19026"/>
    <cellStyle name="Input 3 3 7 6" xfId="19932"/>
    <cellStyle name="Input 3 3 8" xfId="12204"/>
    <cellStyle name="Input 3 3 9" xfId="13959"/>
    <cellStyle name="Input 3 4" xfId="1584"/>
    <cellStyle name="Input 4" xfId="383"/>
    <cellStyle name="Input 4 2" xfId="1013"/>
    <cellStyle name="Input 4 2 10" xfId="12697"/>
    <cellStyle name="Input 4 2 11" xfId="12420"/>
    <cellStyle name="Input 4 2 12" xfId="15114"/>
    <cellStyle name="Input 4 2 2" xfId="1105"/>
    <cellStyle name="Input 4 2 2 2" xfId="2695"/>
    <cellStyle name="Input 4 2 2 2 10" xfId="14302"/>
    <cellStyle name="Input 4 2 2 2 11" xfId="16391"/>
    <cellStyle name="Input 4 2 2 2 2" xfId="6095"/>
    <cellStyle name="Input 4 2 2 2 2 2" xfId="11191"/>
    <cellStyle name="Input 4 2 2 2 2 2 2" xfId="15497"/>
    <cellStyle name="Input 4 2 2 2 2 2 3" xfId="16576"/>
    <cellStyle name="Input 4 2 2 2 2 2 4" xfId="17610"/>
    <cellStyle name="Input 4 2 2 2 2 2 5" xfId="18580"/>
    <cellStyle name="Input 4 2 2 2 2 2 6" xfId="19486"/>
    <cellStyle name="Input 4 2 2 2 2 3" xfId="11773"/>
    <cellStyle name="Input 4 2 2 2 2 3 2" xfId="16079"/>
    <cellStyle name="Input 4 2 2 2 2 3 3" xfId="17158"/>
    <cellStyle name="Input 4 2 2 2 2 3 4" xfId="18180"/>
    <cellStyle name="Input 4 2 2 2 2 3 5" xfId="19150"/>
    <cellStyle name="Input 4 2 2 2 2 3 6" xfId="20056"/>
    <cellStyle name="Input 4 2 2 2 2 4" xfId="11945"/>
    <cellStyle name="Input 4 2 2 2 2 4 2" xfId="16251"/>
    <cellStyle name="Input 4 2 2 2 2 4 3" xfId="17330"/>
    <cellStyle name="Input 4 2 2 2 2 4 4" xfId="18348"/>
    <cellStyle name="Input 4 2 2 2 2 4 5" xfId="19318"/>
    <cellStyle name="Input 4 2 2 2 2 4 6" xfId="20224"/>
    <cellStyle name="Input 4 2 2 2 2 5" xfId="13828"/>
    <cellStyle name="Input 4 2 2 2 2 6" xfId="14146"/>
    <cellStyle name="Input 4 2 2 2 2 7" xfId="12343"/>
    <cellStyle name="Input 4 2 2 2 2 8" xfId="17404"/>
    <cellStyle name="Input 4 2 2 2 2 9" xfId="12389"/>
    <cellStyle name="Input 4 2 2 2 3" xfId="5103"/>
    <cellStyle name="Input 4 2 2 2 3 2" xfId="10199"/>
    <cellStyle name="Input 4 2 2 2 3 2 2" xfId="15137"/>
    <cellStyle name="Input 4 2 2 2 3 2 3" xfId="15169"/>
    <cellStyle name="Input 4 2 2 2 3 2 4" xfId="13403"/>
    <cellStyle name="Input 4 2 2 2 3 2 5" xfId="12305"/>
    <cellStyle name="Input 4 2 2 2 3 2 6" xfId="16455"/>
    <cellStyle name="Input 4 2 2 2 3 3" xfId="11581"/>
    <cellStyle name="Input 4 2 2 2 3 3 2" xfId="15887"/>
    <cellStyle name="Input 4 2 2 2 3 3 3" xfId="16966"/>
    <cellStyle name="Input 4 2 2 2 3 3 4" xfId="17990"/>
    <cellStyle name="Input 4 2 2 2 3 3 5" xfId="18960"/>
    <cellStyle name="Input 4 2 2 2 3 3 6" xfId="19866"/>
    <cellStyle name="Input 4 2 2 2 3 4" xfId="11570"/>
    <cellStyle name="Input 4 2 2 2 3 4 2" xfId="15876"/>
    <cellStyle name="Input 4 2 2 2 3 4 3" xfId="16955"/>
    <cellStyle name="Input 4 2 2 2 3 4 4" xfId="17979"/>
    <cellStyle name="Input 4 2 2 2 3 4 5" xfId="18949"/>
    <cellStyle name="Input 4 2 2 2 3 4 6" xfId="19855"/>
    <cellStyle name="Input 4 2 2 2 3 5" xfId="13457"/>
    <cellStyle name="Input 4 2 2 2 3 6" xfId="14285"/>
    <cellStyle name="Input 4 2 2 2 3 7" xfId="12234"/>
    <cellStyle name="Input 4 2 2 2 3 8" xfId="15252"/>
    <cellStyle name="Input 4 2 2 2 3 9" xfId="12974"/>
    <cellStyle name="Input 4 2 2 2 4" xfId="7798"/>
    <cellStyle name="Input 4 2 2 2 4 2" xfId="14449"/>
    <cellStyle name="Input 4 2 2 2 4 3" xfId="12135"/>
    <cellStyle name="Input 4 2 2 2 4 4" xfId="14747"/>
    <cellStyle name="Input 4 2 2 2 4 5" xfId="13964"/>
    <cellStyle name="Input 4 2 2 2 4 6" xfId="14603"/>
    <cellStyle name="Input 4 2 2 2 5" xfId="11381"/>
    <cellStyle name="Input 4 2 2 2 5 2" xfId="15687"/>
    <cellStyle name="Input 4 2 2 2 5 3" xfId="16766"/>
    <cellStyle name="Input 4 2 2 2 5 4" xfId="17795"/>
    <cellStyle name="Input 4 2 2 2 5 5" xfId="18765"/>
    <cellStyle name="Input 4 2 2 2 5 6" xfId="19671"/>
    <cellStyle name="Input 4 2 2 2 6" xfId="11435"/>
    <cellStyle name="Input 4 2 2 2 6 2" xfId="15741"/>
    <cellStyle name="Input 4 2 2 2 6 3" xfId="16820"/>
    <cellStyle name="Input 4 2 2 2 6 4" xfId="17848"/>
    <cellStyle name="Input 4 2 2 2 6 5" xfId="18818"/>
    <cellStyle name="Input 4 2 2 2 6 6" xfId="19724"/>
    <cellStyle name="Input 4 2 2 2 7" xfId="12752"/>
    <cellStyle name="Input 4 2 2 2 8" xfId="12040"/>
    <cellStyle name="Input 4 2 2 2 9" xfId="14655"/>
    <cellStyle name="Input 4 2 2 3" xfId="3920"/>
    <cellStyle name="Input 4 2 2 3 2" xfId="9019"/>
    <cellStyle name="Input 4 2 2 3 2 2" xfId="14797"/>
    <cellStyle name="Input 4 2 2 3 2 3" xfId="13091"/>
    <cellStyle name="Input 4 2 2 3 2 4" xfId="12453"/>
    <cellStyle name="Input 4 2 2 3 2 5" xfId="15003"/>
    <cellStyle name="Input 4 2 2 3 2 6" xfId="13560"/>
    <cellStyle name="Input 4 2 2 3 3" xfId="11487"/>
    <cellStyle name="Input 4 2 2 3 3 2" xfId="15793"/>
    <cellStyle name="Input 4 2 2 3 3 3" xfId="16872"/>
    <cellStyle name="Input 4 2 2 3 3 4" xfId="17898"/>
    <cellStyle name="Input 4 2 2 3 3 5" xfId="18868"/>
    <cellStyle name="Input 4 2 2 3 3 6" xfId="19774"/>
    <cellStyle name="Input 4 2 2 3 4" xfId="11239"/>
    <cellStyle name="Input 4 2 2 3 4 2" xfId="15545"/>
    <cellStyle name="Input 4 2 2 3 4 3" xfId="16624"/>
    <cellStyle name="Input 4 2 2 3 4 4" xfId="17656"/>
    <cellStyle name="Input 4 2 2 3 4 5" xfId="18626"/>
    <cellStyle name="Input 4 2 2 3 4 6" xfId="19532"/>
    <cellStyle name="Input 4 2 2 3 5" xfId="13109"/>
    <cellStyle name="Input 4 2 2 3 6" xfId="12904"/>
    <cellStyle name="Input 4 2 2 3 7" xfId="13622"/>
    <cellStyle name="Input 4 2 2 3 8" xfId="14153"/>
    <cellStyle name="Input 4 2 2 3 9" xfId="12878"/>
    <cellStyle name="Input 4 2 3" xfId="2643"/>
    <cellStyle name="Input 4 2 3 10" xfId="14907"/>
    <cellStyle name="Input 4 2 3 2" xfId="6059"/>
    <cellStyle name="Input 4 2 3 2 2" xfId="11155"/>
    <cellStyle name="Input 4 2 3 2 2 2" xfId="15461"/>
    <cellStyle name="Input 4 2 3 2 2 3" xfId="16540"/>
    <cellStyle name="Input 4 2 3 2 2 4" xfId="17574"/>
    <cellStyle name="Input 4 2 3 2 2 5" xfId="18544"/>
    <cellStyle name="Input 4 2 3 2 2 6" xfId="19450"/>
    <cellStyle name="Input 4 2 3 2 3" xfId="11737"/>
    <cellStyle name="Input 4 2 3 2 3 2" xfId="16043"/>
    <cellStyle name="Input 4 2 3 2 3 3" xfId="17122"/>
    <cellStyle name="Input 4 2 3 2 3 4" xfId="18144"/>
    <cellStyle name="Input 4 2 3 2 3 5" xfId="19114"/>
    <cellStyle name="Input 4 2 3 2 3 6" xfId="20020"/>
    <cellStyle name="Input 4 2 3 2 4" xfId="11909"/>
    <cellStyle name="Input 4 2 3 2 4 2" xfId="16215"/>
    <cellStyle name="Input 4 2 3 2 4 3" xfId="17294"/>
    <cellStyle name="Input 4 2 3 2 4 4" xfId="18312"/>
    <cellStyle name="Input 4 2 3 2 4 5" xfId="19282"/>
    <cellStyle name="Input 4 2 3 2 4 6" xfId="20188"/>
    <cellStyle name="Input 4 2 3 2 5" xfId="13792"/>
    <cellStyle name="Input 4 2 3 2 6" xfId="14673"/>
    <cellStyle name="Input 4 2 3 2 7" xfId="11993"/>
    <cellStyle name="Input 4 2 3 2 8" xfId="14259"/>
    <cellStyle name="Input 4 2 3 2 9" xfId="12149"/>
    <cellStyle name="Input 4 2 3 3" xfId="7746"/>
    <cellStyle name="Input 4 2 3 3 2" xfId="14412"/>
    <cellStyle name="Input 4 2 3 3 3" xfId="15107"/>
    <cellStyle name="Input 4 2 3 3 4" xfId="14829"/>
    <cellStyle name="Input 4 2 3 3 5" xfId="12906"/>
    <cellStyle name="Input 4 2 3 3 6" xfId="17405"/>
    <cellStyle name="Input 4 2 3 4" xfId="11345"/>
    <cellStyle name="Input 4 2 3 4 2" xfId="15651"/>
    <cellStyle name="Input 4 2 3 4 3" xfId="16730"/>
    <cellStyle name="Input 4 2 3 4 4" xfId="17759"/>
    <cellStyle name="Input 4 2 3 4 5" xfId="18729"/>
    <cellStyle name="Input 4 2 3 4 6" xfId="19635"/>
    <cellStyle name="Input 4 2 3 5" xfId="11444"/>
    <cellStyle name="Input 4 2 3 5 2" xfId="15750"/>
    <cellStyle name="Input 4 2 3 5 3" xfId="16829"/>
    <cellStyle name="Input 4 2 3 5 4" xfId="17857"/>
    <cellStyle name="Input 4 2 3 5 5" xfId="18827"/>
    <cellStyle name="Input 4 2 3 5 6" xfId="19733"/>
    <cellStyle name="Input 4 2 3 6" xfId="12713"/>
    <cellStyle name="Input 4 2 3 7" xfId="13065"/>
    <cellStyle name="Input 4 2 3 8" xfId="15290"/>
    <cellStyle name="Input 4 2 3 9" xfId="12256"/>
    <cellStyle name="Input 4 2 4" xfId="5984"/>
    <cellStyle name="Input 4 2 4 2" xfId="11080"/>
    <cellStyle name="Input 4 2 4 2 2" xfId="15386"/>
    <cellStyle name="Input 4 2 4 2 3" xfId="16465"/>
    <cellStyle name="Input 4 2 4 2 4" xfId="17500"/>
    <cellStyle name="Input 4 2 4 2 5" xfId="18470"/>
    <cellStyle name="Input 4 2 4 2 6" xfId="19376"/>
    <cellStyle name="Input 4 2 4 3" xfId="11662"/>
    <cellStyle name="Input 4 2 4 3 2" xfId="15968"/>
    <cellStyle name="Input 4 2 4 3 3" xfId="17047"/>
    <cellStyle name="Input 4 2 4 3 4" xfId="18070"/>
    <cellStyle name="Input 4 2 4 3 5" xfId="19040"/>
    <cellStyle name="Input 4 2 4 3 6" xfId="19946"/>
    <cellStyle name="Input 4 2 4 4" xfId="11834"/>
    <cellStyle name="Input 4 2 4 4 2" xfId="16140"/>
    <cellStyle name="Input 4 2 4 4 3" xfId="17219"/>
    <cellStyle name="Input 4 2 4 4 4" xfId="18238"/>
    <cellStyle name="Input 4 2 4 4 5" xfId="19208"/>
    <cellStyle name="Input 4 2 4 4 6" xfId="20114"/>
    <cellStyle name="Input 4 2 4 5" xfId="13717"/>
    <cellStyle name="Input 4 2 4 6" xfId="14308"/>
    <cellStyle name="Input 4 2 4 7" xfId="13173"/>
    <cellStyle name="Input 4 2 4 8" xfId="13522"/>
    <cellStyle name="Input 4 2 4 9" xfId="15253"/>
    <cellStyle name="Input 4 2 5" xfId="6490"/>
    <cellStyle name="Input 4 2 5 2" xfId="14003"/>
    <cellStyle name="Input 4 2 5 3" xfId="14536"/>
    <cellStyle name="Input 4 2 5 4" xfId="13163"/>
    <cellStyle name="Input 4 2 5 5" xfId="13416"/>
    <cellStyle name="Input 4 2 5 6" xfId="17424"/>
    <cellStyle name="Input 4 2 6" xfId="6702"/>
    <cellStyle name="Input 4 2 6 2" xfId="14098"/>
    <cellStyle name="Input 4 2 6 3" xfId="13525"/>
    <cellStyle name="Input 4 2 6 4" xfId="12412"/>
    <cellStyle name="Input 4 2 6 5" xfId="14846"/>
    <cellStyle name="Input 4 2 6 6" xfId="13244"/>
    <cellStyle name="Input 4 2 7" xfId="11457"/>
    <cellStyle name="Input 4 2 7 2" xfId="15763"/>
    <cellStyle name="Input 4 2 7 3" xfId="16842"/>
    <cellStyle name="Input 4 2 7 4" xfId="17870"/>
    <cellStyle name="Input 4 2 7 5" xfId="18840"/>
    <cellStyle name="Input 4 2 7 6" xfId="19746"/>
    <cellStyle name="Input 4 2 8" xfId="12205"/>
    <cellStyle name="Input 4 2 9" xfId="14759"/>
    <cellStyle name="Input 4 3" xfId="1585"/>
    <cellStyle name="Input 5" xfId="384"/>
    <cellStyle name="Input 5 2" xfId="1014"/>
    <cellStyle name="Input 5 2 10" xfId="14953"/>
    <cellStyle name="Input 5 2 11" xfId="12257"/>
    <cellStyle name="Input 5 2 12" xfId="17444"/>
    <cellStyle name="Input 5 2 2" xfId="1106"/>
    <cellStyle name="Input 5 2 2 2" xfId="2696"/>
    <cellStyle name="Input 5 2 2 2 10" xfId="13590"/>
    <cellStyle name="Input 5 2 2 2 11" xfId="16350"/>
    <cellStyle name="Input 5 2 2 2 2" xfId="6096"/>
    <cellStyle name="Input 5 2 2 2 2 2" xfId="11192"/>
    <cellStyle name="Input 5 2 2 2 2 2 2" xfId="15498"/>
    <cellStyle name="Input 5 2 2 2 2 2 3" xfId="16577"/>
    <cellStyle name="Input 5 2 2 2 2 2 4" xfId="17611"/>
    <cellStyle name="Input 5 2 2 2 2 2 5" xfId="18581"/>
    <cellStyle name="Input 5 2 2 2 2 2 6" xfId="19487"/>
    <cellStyle name="Input 5 2 2 2 2 3" xfId="11774"/>
    <cellStyle name="Input 5 2 2 2 2 3 2" xfId="16080"/>
    <cellStyle name="Input 5 2 2 2 2 3 3" xfId="17159"/>
    <cellStyle name="Input 5 2 2 2 2 3 4" xfId="18181"/>
    <cellStyle name="Input 5 2 2 2 2 3 5" xfId="19151"/>
    <cellStyle name="Input 5 2 2 2 2 3 6" xfId="20057"/>
    <cellStyle name="Input 5 2 2 2 2 4" xfId="11946"/>
    <cellStyle name="Input 5 2 2 2 2 4 2" xfId="16252"/>
    <cellStyle name="Input 5 2 2 2 2 4 3" xfId="17331"/>
    <cellStyle name="Input 5 2 2 2 2 4 4" xfId="18349"/>
    <cellStyle name="Input 5 2 2 2 2 4 5" xfId="19319"/>
    <cellStyle name="Input 5 2 2 2 2 4 6" xfId="20225"/>
    <cellStyle name="Input 5 2 2 2 2 5" xfId="13829"/>
    <cellStyle name="Input 5 2 2 2 2 6" xfId="14899"/>
    <cellStyle name="Input 5 2 2 2 2 7" xfId="13374"/>
    <cellStyle name="Input 5 2 2 2 2 8" xfId="14777"/>
    <cellStyle name="Input 5 2 2 2 2 9" xfId="13309"/>
    <cellStyle name="Input 5 2 2 2 3" xfId="5104"/>
    <cellStyle name="Input 5 2 2 2 3 2" xfId="10200"/>
    <cellStyle name="Input 5 2 2 2 3 2 2" xfId="15138"/>
    <cellStyle name="Input 5 2 2 2 3 2 3" xfId="13488"/>
    <cellStyle name="Input 5 2 2 2 3 2 4" xfId="15364"/>
    <cellStyle name="Input 5 2 2 2 3 2 5" xfId="12457"/>
    <cellStyle name="Input 5 2 2 2 3 2 6" xfId="12659"/>
    <cellStyle name="Input 5 2 2 2 3 3" xfId="11582"/>
    <cellStyle name="Input 5 2 2 2 3 3 2" xfId="15888"/>
    <cellStyle name="Input 5 2 2 2 3 3 3" xfId="16967"/>
    <cellStyle name="Input 5 2 2 2 3 3 4" xfId="17991"/>
    <cellStyle name="Input 5 2 2 2 3 3 5" xfId="18961"/>
    <cellStyle name="Input 5 2 2 2 3 3 6" xfId="19867"/>
    <cellStyle name="Input 5 2 2 2 3 4" xfId="11332"/>
    <cellStyle name="Input 5 2 2 2 3 4 2" xfId="15638"/>
    <cellStyle name="Input 5 2 2 2 3 4 3" xfId="16717"/>
    <cellStyle name="Input 5 2 2 2 3 4 4" xfId="17746"/>
    <cellStyle name="Input 5 2 2 2 3 4 5" xfId="18716"/>
    <cellStyle name="Input 5 2 2 2 3 4 6" xfId="19622"/>
    <cellStyle name="Input 5 2 2 2 3 5" xfId="13458"/>
    <cellStyle name="Input 5 2 2 2 3 6" xfId="15018"/>
    <cellStyle name="Input 5 2 2 2 3 7" xfId="15051"/>
    <cellStyle name="Input 5 2 2 2 3 8" xfId="17472"/>
    <cellStyle name="Input 5 2 2 2 3 9" xfId="12129"/>
    <cellStyle name="Input 5 2 2 2 4" xfId="7799"/>
    <cellStyle name="Input 5 2 2 2 4 2" xfId="14450"/>
    <cellStyle name="Input 5 2 2 2 4 3" xfId="12002"/>
    <cellStyle name="Input 5 2 2 2 4 4" xfId="14267"/>
    <cellStyle name="Input 5 2 2 2 4 5" xfId="12940"/>
    <cellStyle name="Input 5 2 2 2 4 6" xfId="18396"/>
    <cellStyle name="Input 5 2 2 2 5" xfId="11382"/>
    <cellStyle name="Input 5 2 2 2 5 2" xfId="15688"/>
    <cellStyle name="Input 5 2 2 2 5 3" xfId="16767"/>
    <cellStyle name="Input 5 2 2 2 5 4" xfId="17796"/>
    <cellStyle name="Input 5 2 2 2 5 5" xfId="18766"/>
    <cellStyle name="Input 5 2 2 2 5 6" xfId="19672"/>
    <cellStyle name="Input 5 2 2 2 6" xfId="11272"/>
    <cellStyle name="Input 5 2 2 2 6 2" xfId="15578"/>
    <cellStyle name="Input 5 2 2 2 6 3" xfId="16657"/>
    <cellStyle name="Input 5 2 2 2 6 4" xfId="17687"/>
    <cellStyle name="Input 5 2 2 2 6 5" xfId="18657"/>
    <cellStyle name="Input 5 2 2 2 6 6" xfId="19563"/>
    <cellStyle name="Input 5 2 2 2 7" xfId="12753"/>
    <cellStyle name="Input 5 2 2 2 8" xfId="12039"/>
    <cellStyle name="Input 5 2 2 2 9" xfId="13332"/>
    <cellStyle name="Input 5 2 2 3" xfId="3921"/>
    <cellStyle name="Input 5 2 2 3 2" xfId="9020"/>
    <cellStyle name="Input 5 2 2 3 2 2" xfId="14798"/>
    <cellStyle name="Input 5 2 2 3 2 3" xfId="14399"/>
    <cellStyle name="Input 5 2 2 3 2 4" xfId="12077"/>
    <cellStyle name="Input 5 2 2 3 2 5" xfId="12930"/>
    <cellStyle name="Input 5 2 2 3 2 6" xfId="12275"/>
    <cellStyle name="Input 5 2 2 3 3" xfId="11488"/>
    <cellStyle name="Input 5 2 2 3 3 2" xfId="15794"/>
    <cellStyle name="Input 5 2 2 3 3 3" xfId="16873"/>
    <cellStyle name="Input 5 2 2 3 3 4" xfId="17899"/>
    <cellStyle name="Input 5 2 2 3 3 5" xfId="18869"/>
    <cellStyle name="Input 5 2 2 3 3 6" xfId="19775"/>
    <cellStyle name="Input 5 2 2 3 4" xfId="6842"/>
    <cellStyle name="Input 5 2 2 3 4 2" xfId="14156"/>
    <cellStyle name="Input 5 2 2 3 4 3" xfId="13516"/>
    <cellStyle name="Input 5 2 2 3 4 4" xfId="15248"/>
    <cellStyle name="Input 5 2 2 3 4 5" xfId="12898"/>
    <cellStyle name="Input 5 2 2 3 4 6" xfId="13258"/>
    <cellStyle name="Input 5 2 2 3 5" xfId="13110"/>
    <cellStyle name="Input 5 2 2 3 6" xfId="12452"/>
    <cellStyle name="Input 5 2 2 3 7" xfId="12525"/>
    <cellStyle name="Input 5 2 2 3 8" xfId="14658"/>
    <cellStyle name="Input 5 2 2 3 9" xfId="12858"/>
    <cellStyle name="Input 5 2 3" xfId="2644"/>
    <cellStyle name="Input 5 2 3 10" xfId="12793"/>
    <cellStyle name="Input 5 2 3 2" xfId="6060"/>
    <cellStyle name="Input 5 2 3 2 2" xfId="11156"/>
    <cellStyle name="Input 5 2 3 2 2 2" xfId="15462"/>
    <cellStyle name="Input 5 2 3 2 2 3" xfId="16541"/>
    <cellStyle name="Input 5 2 3 2 2 4" xfId="17575"/>
    <cellStyle name="Input 5 2 3 2 2 5" xfId="18545"/>
    <cellStyle name="Input 5 2 3 2 2 6" xfId="19451"/>
    <cellStyle name="Input 5 2 3 2 3" xfId="11738"/>
    <cellStyle name="Input 5 2 3 2 3 2" xfId="16044"/>
    <cellStyle name="Input 5 2 3 2 3 3" xfId="17123"/>
    <cellStyle name="Input 5 2 3 2 3 4" xfId="18145"/>
    <cellStyle name="Input 5 2 3 2 3 5" xfId="19115"/>
    <cellStyle name="Input 5 2 3 2 3 6" xfId="20021"/>
    <cellStyle name="Input 5 2 3 2 4" xfId="11910"/>
    <cellStyle name="Input 5 2 3 2 4 2" xfId="16216"/>
    <cellStyle name="Input 5 2 3 2 4 3" xfId="17295"/>
    <cellStyle name="Input 5 2 3 2 4 4" xfId="18313"/>
    <cellStyle name="Input 5 2 3 2 4 5" xfId="19283"/>
    <cellStyle name="Input 5 2 3 2 4 6" xfId="20189"/>
    <cellStyle name="Input 5 2 3 2 5" xfId="13793"/>
    <cellStyle name="Input 5 2 3 2 6" xfId="15357"/>
    <cellStyle name="Input 5 2 3 2 7" xfId="16438"/>
    <cellStyle name="Input 5 2 3 2 8" xfId="12880"/>
    <cellStyle name="Input 5 2 3 2 9" xfId="15329"/>
    <cellStyle name="Input 5 2 3 3" xfId="7747"/>
    <cellStyle name="Input 5 2 3 3 2" xfId="14413"/>
    <cellStyle name="Input 5 2 3 3 3" xfId="13426"/>
    <cellStyle name="Input 5 2 3 3 4" xfId="12876"/>
    <cellStyle name="Input 5 2 3 3 5" xfId="14732"/>
    <cellStyle name="Input 5 2 3 3 6" xfId="13635"/>
    <cellStyle name="Input 5 2 3 4" xfId="11346"/>
    <cellStyle name="Input 5 2 3 4 2" xfId="15652"/>
    <cellStyle name="Input 5 2 3 4 3" xfId="16731"/>
    <cellStyle name="Input 5 2 3 4 4" xfId="17760"/>
    <cellStyle name="Input 5 2 3 4 5" xfId="18730"/>
    <cellStyle name="Input 5 2 3 4 6" xfId="19636"/>
    <cellStyle name="Input 5 2 3 5" xfId="11280"/>
    <cellStyle name="Input 5 2 3 5 2" xfId="15586"/>
    <cellStyle name="Input 5 2 3 5 3" xfId="16665"/>
    <cellStyle name="Input 5 2 3 5 4" xfId="17695"/>
    <cellStyle name="Input 5 2 3 5 5" xfId="18665"/>
    <cellStyle name="Input 5 2 3 5 6" xfId="19571"/>
    <cellStyle name="Input 5 2 3 6" xfId="12714"/>
    <cellStyle name="Input 5 2 3 7" xfId="14365"/>
    <cellStyle name="Input 5 2 3 8" xfId="13170"/>
    <cellStyle name="Input 5 2 3 9" xfId="15320"/>
    <cellStyle name="Input 5 2 4" xfId="5985"/>
    <cellStyle name="Input 5 2 4 2" xfId="11081"/>
    <cellStyle name="Input 5 2 4 2 2" xfId="15387"/>
    <cellStyle name="Input 5 2 4 2 3" xfId="16466"/>
    <cellStyle name="Input 5 2 4 2 4" xfId="17501"/>
    <cellStyle name="Input 5 2 4 2 5" xfId="18471"/>
    <cellStyle name="Input 5 2 4 2 6" xfId="19377"/>
    <cellStyle name="Input 5 2 4 3" xfId="11663"/>
    <cellStyle name="Input 5 2 4 3 2" xfId="15969"/>
    <cellStyle name="Input 5 2 4 3 3" xfId="17048"/>
    <cellStyle name="Input 5 2 4 3 4" xfId="18071"/>
    <cellStyle name="Input 5 2 4 3 5" xfId="19041"/>
    <cellStyle name="Input 5 2 4 3 6" xfId="19947"/>
    <cellStyle name="Input 5 2 4 4" xfId="11835"/>
    <cellStyle name="Input 5 2 4 4 2" xfId="16141"/>
    <cellStyle name="Input 5 2 4 4 3" xfId="17220"/>
    <cellStyle name="Input 5 2 4 4 4" xfId="18239"/>
    <cellStyle name="Input 5 2 4 4 5" xfId="19209"/>
    <cellStyle name="Input 5 2 4 4 6" xfId="20115"/>
    <cellStyle name="Input 5 2 4 5" xfId="13718"/>
    <cellStyle name="Input 5 2 4 6" xfId="15035"/>
    <cellStyle name="Input 5 2 4 7" xfId="13072"/>
    <cellStyle name="Input 5 2 4 8" xfId="12095"/>
    <cellStyle name="Input 5 2 4 9" xfId="13483"/>
    <cellStyle name="Input 5 2 5" xfId="6491"/>
    <cellStyle name="Input 5 2 5 2" xfId="14004"/>
    <cellStyle name="Input 5 2 5 3" xfId="15209"/>
    <cellStyle name="Input 5 2 5 4" xfId="16325"/>
    <cellStyle name="Input 5 2 5 5" xfId="16375"/>
    <cellStyle name="Input 5 2 5 6" xfId="12167"/>
    <cellStyle name="Input 5 2 6" xfId="6161"/>
    <cellStyle name="Input 5 2 6 2" xfId="13893"/>
    <cellStyle name="Input 5 2 6 3" xfId="13203"/>
    <cellStyle name="Input 5 2 6 4" xfId="12439"/>
    <cellStyle name="Input 5 2 6 5" xfId="12096"/>
    <cellStyle name="Input 5 2 6 6" xfId="18414"/>
    <cellStyle name="Input 5 2 7" xfId="11304"/>
    <cellStyle name="Input 5 2 7 2" xfId="15610"/>
    <cellStyle name="Input 5 2 7 3" xfId="16689"/>
    <cellStyle name="Input 5 2 7 4" xfId="17718"/>
    <cellStyle name="Input 5 2 7 5" xfId="18688"/>
    <cellStyle name="Input 5 2 7 6" xfId="19594"/>
    <cellStyle name="Input 5 2 8" xfId="12206"/>
    <cellStyle name="Input 5 2 9" xfId="13073"/>
    <cellStyle name="Input 5 3" xfId="1586"/>
    <cellStyle name="Input 6" xfId="385"/>
    <cellStyle name="Input 6 2" xfId="1015"/>
    <cellStyle name="Input 6 2 10" xfId="12631"/>
    <cellStyle name="Input 6 2 11" xfId="13951"/>
    <cellStyle name="Input 6 2 12" xfId="14083"/>
    <cellStyle name="Input 6 2 2" xfId="1107"/>
    <cellStyle name="Input 6 2 2 2" xfId="2697"/>
    <cellStyle name="Input 6 2 2 2 10" xfId="13568"/>
    <cellStyle name="Input 6 2 2 2 11" xfId="12231"/>
    <cellStyle name="Input 6 2 2 2 2" xfId="6097"/>
    <cellStyle name="Input 6 2 2 2 2 2" xfId="11193"/>
    <cellStyle name="Input 6 2 2 2 2 2 2" xfId="15499"/>
    <cellStyle name="Input 6 2 2 2 2 2 3" xfId="16578"/>
    <cellStyle name="Input 6 2 2 2 2 2 4" xfId="17612"/>
    <cellStyle name="Input 6 2 2 2 2 2 5" xfId="18582"/>
    <cellStyle name="Input 6 2 2 2 2 2 6" xfId="19488"/>
    <cellStyle name="Input 6 2 2 2 2 3" xfId="11775"/>
    <cellStyle name="Input 6 2 2 2 2 3 2" xfId="16081"/>
    <cellStyle name="Input 6 2 2 2 2 3 3" xfId="17160"/>
    <cellStyle name="Input 6 2 2 2 2 3 4" xfId="18182"/>
    <cellStyle name="Input 6 2 2 2 2 3 5" xfId="19152"/>
    <cellStyle name="Input 6 2 2 2 2 3 6" xfId="20058"/>
    <cellStyle name="Input 6 2 2 2 2 4" xfId="11947"/>
    <cellStyle name="Input 6 2 2 2 2 4 2" xfId="16253"/>
    <cellStyle name="Input 6 2 2 2 2 4 3" xfId="17332"/>
    <cellStyle name="Input 6 2 2 2 2 4 4" xfId="18350"/>
    <cellStyle name="Input 6 2 2 2 2 4 5" xfId="19320"/>
    <cellStyle name="Input 6 2 2 2 2 4 6" xfId="20226"/>
    <cellStyle name="Input 6 2 2 2 2 5" xfId="13830"/>
    <cellStyle name="Input 6 2 2 2 2 6" xfId="13211"/>
    <cellStyle name="Input 6 2 2 2 2 7" xfId="15272"/>
    <cellStyle name="Input 6 2 2 2 2 8" xfId="14341"/>
    <cellStyle name="Input 6 2 2 2 2 9" xfId="12433"/>
    <cellStyle name="Input 6 2 2 2 3" xfId="5105"/>
    <cellStyle name="Input 6 2 2 2 3 2" xfId="10201"/>
    <cellStyle name="Input 6 2 2 2 3 2 2" xfId="15139"/>
    <cellStyle name="Input 6 2 2 2 3 2 3" xfId="12786"/>
    <cellStyle name="Input 6 2 2 2 3 2 4" xfId="12479"/>
    <cellStyle name="Input 6 2 2 2 3 2 5" xfId="170"/>
    <cellStyle name="Input 6 2 2 2 3 2 6" xfId="12005"/>
    <cellStyle name="Input 6 2 2 2 3 3" xfId="11583"/>
    <cellStyle name="Input 6 2 2 2 3 3 2" xfId="15889"/>
    <cellStyle name="Input 6 2 2 2 3 3 3" xfId="16968"/>
    <cellStyle name="Input 6 2 2 2 3 3 4" xfId="17992"/>
    <cellStyle name="Input 6 2 2 2 3 3 5" xfId="18962"/>
    <cellStyle name="Input 6 2 2 2 3 3 6" xfId="19868"/>
    <cellStyle name="Input 6 2 2 2 3 4" xfId="11515"/>
    <cellStyle name="Input 6 2 2 2 3 4 2" xfId="15821"/>
    <cellStyle name="Input 6 2 2 2 3 4 3" xfId="16900"/>
    <cellStyle name="Input 6 2 2 2 3 4 4" xfId="17926"/>
    <cellStyle name="Input 6 2 2 2 3 4 5" xfId="18896"/>
    <cellStyle name="Input 6 2 2 2 3 4 6" xfId="19802"/>
    <cellStyle name="Input 6 2 2 2 3 5" xfId="13459"/>
    <cellStyle name="Input 6 2 2 2 3 6" xfId="13342"/>
    <cellStyle name="Input 6 2 2 2 3 7" xfId="12427"/>
    <cellStyle name="Input 6 2 2 2 3 8" xfId="13402"/>
    <cellStyle name="Input 6 2 2 2 3 9" xfId="12560"/>
    <cellStyle name="Input 6 2 2 2 4" xfId="7800"/>
    <cellStyle name="Input 6 2 2 2 4 2" xfId="14451"/>
    <cellStyle name="Input 6 2 2 2 4 3" xfId="14082"/>
    <cellStyle name="Input 6 2 2 2 4 4" xfId="14862"/>
    <cellStyle name="Input 6 2 2 2 4 5" xfId="12634"/>
    <cellStyle name="Input 6 2 2 2 4 6" xfId="17430"/>
    <cellStyle name="Input 6 2 2 2 5" xfId="11383"/>
    <cellStyle name="Input 6 2 2 2 5 2" xfId="15689"/>
    <cellStyle name="Input 6 2 2 2 5 3" xfId="16768"/>
    <cellStyle name="Input 6 2 2 2 5 4" xfId="17797"/>
    <cellStyle name="Input 6 2 2 2 5 5" xfId="18767"/>
    <cellStyle name="Input 6 2 2 2 5 6" xfId="19673"/>
    <cellStyle name="Input 6 2 2 2 6" xfId="11271"/>
    <cellStyle name="Input 6 2 2 2 6 2" xfId="15577"/>
    <cellStyle name="Input 6 2 2 2 6 3" xfId="16656"/>
    <cellStyle name="Input 6 2 2 2 6 4" xfId="17686"/>
    <cellStyle name="Input 6 2 2 2 6 5" xfId="18656"/>
    <cellStyle name="Input 6 2 2 2 6 6" xfId="19562"/>
    <cellStyle name="Input 6 2 2 2 7" xfId="12754"/>
    <cellStyle name="Input 6 2 2 2 8" xfId="14211"/>
    <cellStyle name="Input 6 2 2 2 9" xfId="12006"/>
    <cellStyle name="Input 6 2 2 3" xfId="3922"/>
    <cellStyle name="Input 6 2 2 3 2" xfId="9021"/>
    <cellStyle name="Input 6 2 2 3 2 2" xfId="14799"/>
    <cellStyle name="Input 6 2 2 3 2 3" xfId="15118"/>
    <cellStyle name="Input 6 2 2 3 2 4" xfId="13486"/>
    <cellStyle name="Input 6 2 2 3 2 5" xfId="16357"/>
    <cellStyle name="Input 6 2 2 3 2 6" xfId="15341"/>
    <cellStyle name="Input 6 2 2 3 3" xfId="11489"/>
    <cellStyle name="Input 6 2 2 3 3 2" xfId="15795"/>
    <cellStyle name="Input 6 2 2 3 3 3" xfId="16874"/>
    <cellStyle name="Input 6 2 2 3 3 4" xfId="17900"/>
    <cellStyle name="Input 6 2 2 3 3 5" xfId="18870"/>
    <cellStyle name="Input 6 2 2 3 3 6" xfId="19776"/>
    <cellStyle name="Input 6 2 2 3 4" xfId="6187"/>
    <cellStyle name="Input 6 2 2 3 4 2" xfId="13919"/>
    <cellStyle name="Input 6 2 2 3 4 3" xfId="14542"/>
    <cellStyle name="Input 6 2 2 3 4 4" xfId="14077"/>
    <cellStyle name="Input 6 2 2 3 4 5" xfId="12739"/>
    <cellStyle name="Input 6 2 2 3 4 6" xfId="14266"/>
    <cellStyle name="Input 6 2 2 3 5" xfId="13111"/>
    <cellStyle name="Input 6 2 2 3 6" xfId="12451"/>
    <cellStyle name="Input 6 2 2 3 7" xfId="12950"/>
    <cellStyle name="Input 6 2 2 3 8" xfId="13410"/>
    <cellStyle name="Input 6 2 2 3 9" xfId="15164"/>
    <cellStyle name="Input 6 2 3" xfId="2645"/>
    <cellStyle name="Input 6 2 3 10" xfId="14610"/>
    <cellStyle name="Input 6 2 3 2" xfId="6061"/>
    <cellStyle name="Input 6 2 3 2 2" xfId="11157"/>
    <cellStyle name="Input 6 2 3 2 2 2" xfId="15463"/>
    <cellStyle name="Input 6 2 3 2 2 3" xfId="16542"/>
    <cellStyle name="Input 6 2 3 2 2 4" xfId="17576"/>
    <cellStyle name="Input 6 2 3 2 2 5" xfId="18546"/>
    <cellStyle name="Input 6 2 3 2 2 6" xfId="19452"/>
    <cellStyle name="Input 6 2 3 2 3" xfId="11739"/>
    <cellStyle name="Input 6 2 3 2 3 2" xfId="16045"/>
    <cellStyle name="Input 6 2 3 2 3 3" xfId="17124"/>
    <cellStyle name="Input 6 2 3 2 3 4" xfId="18146"/>
    <cellStyle name="Input 6 2 3 2 3 5" xfId="19116"/>
    <cellStyle name="Input 6 2 3 2 3 6" xfId="20022"/>
    <cellStyle name="Input 6 2 3 2 4" xfId="11911"/>
    <cellStyle name="Input 6 2 3 2 4 2" xfId="16217"/>
    <cellStyle name="Input 6 2 3 2 4 3" xfId="17296"/>
    <cellStyle name="Input 6 2 3 2 4 4" xfId="18314"/>
    <cellStyle name="Input 6 2 3 2 4 5" xfId="19284"/>
    <cellStyle name="Input 6 2 3 2 4 6" xfId="20190"/>
    <cellStyle name="Input 6 2 3 2 5" xfId="13794"/>
    <cellStyle name="Input 6 2 3 2 6" xfId="13688"/>
    <cellStyle name="Input 6 2 3 2 7" xfId="12387"/>
    <cellStyle name="Input 6 2 3 2 8" xfId="14247"/>
    <cellStyle name="Input 6 2 3 2 9" xfId="13307"/>
    <cellStyle name="Input 6 2 3 3" xfId="7748"/>
    <cellStyle name="Input 6 2 3 3 2" xfId="14414"/>
    <cellStyle name="Input 6 2 3 3 3" xfId="12685"/>
    <cellStyle name="Input 6 2 3 3 4" xfId="14215"/>
    <cellStyle name="Input 6 2 3 3 5" xfId="14702"/>
    <cellStyle name="Input 6 2 3 3 6" xfId="14273"/>
    <cellStyle name="Input 6 2 3 4" xfId="11347"/>
    <cellStyle name="Input 6 2 3 4 2" xfId="15653"/>
    <cellStyle name="Input 6 2 3 4 3" xfId="16732"/>
    <cellStyle name="Input 6 2 3 4 4" xfId="17761"/>
    <cellStyle name="Input 6 2 3 4 5" xfId="18731"/>
    <cellStyle name="Input 6 2 3 4 6" xfId="19637"/>
    <cellStyle name="Input 6 2 3 5" xfId="11541"/>
    <cellStyle name="Input 6 2 3 5 2" xfId="15847"/>
    <cellStyle name="Input 6 2 3 5 3" xfId="16926"/>
    <cellStyle name="Input 6 2 3 5 4" xfId="17951"/>
    <cellStyle name="Input 6 2 3 5 5" xfId="18921"/>
    <cellStyle name="Input 6 2 3 5 6" xfId="19827"/>
    <cellStyle name="Input 6 2 3 6" xfId="12715"/>
    <cellStyle name="Input 6 2 3 7" xfId="15085"/>
    <cellStyle name="Input 6 2 3 8" xfId="14045"/>
    <cellStyle name="Input 6 2 3 9" xfId="13375"/>
    <cellStyle name="Input 6 2 4" xfId="5986"/>
    <cellStyle name="Input 6 2 4 2" xfId="11082"/>
    <cellStyle name="Input 6 2 4 2 2" xfId="15388"/>
    <cellStyle name="Input 6 2 4 2 3" xfId="16467"/>
    <cellStyle name="Input 6 2 4 2 4" xfId="17502"/>
    <cellStyle name="Input 6 2 4 2 5" xfId="18472"/>
    <cellStyle name="Input 6 2 4 2 6" xfId="19378"/>
    <cellStyle name="Input 6 2 4 3" xfId="11664"/>
    <cellStyle name="Input 6 2 4 3 2" xfId="15970"/>
    <cellStyle name="Input 6 2 4 3 3" xfId="17049"/>
    <cellStyle name="Input 6 2 4 3 4" xfId="18072"/>
    <cellStyle name="Input 6 2 4 3 5" xfId="19042"/>
    <cellStyle name="Input 6 2 4 3 6" xfId="19948"/>
    <cellStyle name="Input 6 2 4 4" xfId="11836"/>
    <cellStyle name="Input 6 2 4 4 2" xfId="16142"/>
    <cellStyle name="Input 6 2 4 4 3" xfId="17221"/>
    <cellStyle name="Input 6 2 4 4 4" xfId="18240"/>
    <cellStyle name="Input 6 2 4 4 5" xfId="19210"/>
    <cellStyle name="Input 6 2 4 4 6" xfId="20116"/>
    <cellStyle name="Input 6 2 4 5" xfId="13719"/>
    <cellStyle name="Input 6 2 4 6" xfId="13360"/>
    <cellStyle name="Input 6 2 4 7" xfId="14923"/>
    <cellStyle name="Input 6 2 4 8" xfId="16371"/>
    <cellStyle name="Input 6 2 4 9" xfId="16351"/>
    <cellStyle name="Input 6 2 5" xfId="6492"/>
    <cellStyle name="Input 6 2 5 2" xfId="14005"/>
    <cellStyle name="Input 6 2 5 3" xfId="13531"/>
    <cellStyle name="Input 6 2 5 4" xfId="13382"/>
    <cellStyle name="Input 6 2 5 5" xfId="13627"/>
    <cellStyle name="Input 6 2 5 6" xfId="12121"/>
    <cellStyle name="Input 6 2 6" xfId="6416"/>
    <cellStyle name="Input 6 2 6 2" xfId="13977"/>
    <cellStyle name="Input 6 2 6 3" xfId="14129"/>
    <cellStyle name="Input 6 2 6 4" xfId="15200"/>
    <cellStyle name="Input 6 2 6 5" xfId="12700"/>
    <cellStyle name="Input 6 2 6 6" xfId="13658"/>
    <cellStyle name="Input 6 2 7" xfId="11303"/>
    <cellStyle name="Input 6 2 7 2" xfId="15609"/>
    <cellStyle name="Input 6 2 7 3" xfId="16688"/>
    <cellStyle name="Input 6 2 7 4" xfId="17717"/>
    <cellStyle name="Input 6 2 7 5" xfId="18687"/>
    <cellStyle name="Input 6 2 7 6" xfId="19593"/>
    <cellStyle name="Input 6 2 8" xfId="12207"/>
    <cellStyle name="Input 6 2 9" xfId="14378"/>
    <cellStyle name="Input 6 3" xfId="1587"/>
    <cellStyle name="Input 7" xfId="386"/>
    <cellStyle name="Input 7 2" xfId="1016"/>
    <cellStyle name="Input 7 2 10" xfId="13381"/>
    <cellStyle name="Input 7 2 11" xfId="14124"/>
    <cellStyle name="Input 7 2 12" xfId="16360"/>
    <cellStyle name="Input 7 2 2" xfId="1108"/>
    <cellStyle name="Input 7 2 2 2" xfId="2698"/>
    <cellStyle name="Input 7 2 2 2 10" xfId="17449"/>
    <cellStyle name="Input 7 2 2 2 11" xfId="14984"/>
    <cellStyle name="Input 7 2 2 2 2" xfId="6098"/>
    <cellStyle name="Input 7 2 2 2 2 2" xfId="11194"/>
    <cellStyle name="Input 7 2 2 2 2 2 2" xfId="15500"/>
    <cellStyle name="Input 7 2 2 2 2 2 3" xfId="16579"/>
    <cellStyle name="Input 7 2 2 2 2 2 4" xfId="17613"/>
    <cellStyle name="Input 7 2 2 2 2 2 5" xfId="18583"/>
    <cellStyle name="Input 7 2 2 2 2 2 6" xfId="19489"/>
    <cellStyle name="Input 7 2 2 2 2 3" xfId="11776"/>
    <cellStyle name="Input 7 2 2 2 2 3 2" xfId="16082"/>
    <cellStyle name="Input 7 2 2 2 2 3 3" xfId="17161"/>
    <cellStyle name="Input 7 2 2 2 2 3 4" xfId="18183"/>
    <cellStyle name="Input 7 2 2 2 2 3 5" xfId="19153"/>
    <cellStyle name="Input 7 2 2 2 2 3 6" xfId="20059"/>
    <cellStyle name="Input 7 2 2 2 2 4" xfId="11948"/>
    <cellStyle name="Input 7 2 2 2 2 4 2" xfId="16254"/>
    <cellStyle name="Input 7 2 2 2 2 4 3" xfId="17333"/>
    <cellStyle name="Input 7 2 2 2 2 4 4" xfId="18351"/>
    <cellStyle name="Input 7 2 2 2 2 4 5" xfId="19321"/>
    <cellStyle name="Input 7 2 2 2 2 4 6" xfId="20227"/>
    <cellStyle name="Input 7 2 2 2 2 5" xfId="13831"/>
    <cellStyle name="Input 7 2 2 2 2 6" xfId="14554"/>
    <cellStyle name="Input 7 2 2 2 2 7" xfId="13506"/>
    <cellStyle name="Input 7 2 2 2 2 8" xfId="15196"/>
    <cellStyle name="Input 7 2 2 2 2 9" xfId="18410"/>
    <cellStyle name="Input 7 2 2 2 3" xfId="5106"/>
    <cellStyle name="Input 7 2 2 2 3 2" xfId="10202"/>
    <cellStyle name="Input 7 2 2 2 3 2 2" xfId="15140"/>
    <cellStyle name="Input 7 2 2 2 3 2 3" xfId="12277"/>
    <cellStyle name="Input 7 2 2 2 3 2 4" xfId="14049"/>
    <cellStyle name="Input 7 2 2 2 3 2 5" xfId="16312"/>
    <cellStyle name="Input 7 2 2 2 3 2 6" xfId="12516"/>
    <cellStyle name="Input 7 2 2 2 3 3" xfId="11584"/>
    <cellStyle name="Input 7 2 2 2 3 3 2" xfId="15890"/>
    <cellStyle name="Input 7 2 2 2 3 3 3" xfId="16969"/>
    <cellStyle name="Input 7 2 2 2 3 3 4" xfId="17993"/>
    <cellStyle name="Input 7 2 2 2 3 3 5" xfId="18963"/>
    <cellStyle name="Input 7 2 2 2 3 3 6" xfId="19869"/>
    <cellStyle name="Input 7 2 2 2 3 4" xfId="11609"/>
    <cellStyle name="Input 7 2 2 2 3 4 2" xfId="15915"/>
    <cellStyle name="Input 7 2 2 2 3 4 3" xfId="16994"/>
    <cellStyle name="Input 7 2 2 2 3 4 4" xfId="18018"/>
    <cellStyle name="Input 7 2 2 2 3 4 5" xfId="18988"/>
    <cellStyle name="Input 7 2 2 2 3 4 6" xfId="19894"/>
    <cellStyle name="Input 7 2 2 2 3 5" xfId="13460"/>
    <cellStyle name="Input 7 2 2 2 3 6" xfId="14671"/>
    <cellStyle name="Input 7 2 2 2 3 7" xfId="13502"/>
    <cellStyle name="Input 7 2 2 2 3 8" xfId="12272"/>
    <cellStyle name="Input 7 2 2 2 3 9" xfId="13046"/>
    <cellStyle name="Input 7 2 2 2 4" xfId="7801"/>
    <cellStyle name="Input 7 2 2 2 4 2" xfId="14452"/>
    <cellStyle name="Input 7 2 2 2 4 3" xfId="14850"/>
    <cellStyle name="Input 7 2 2 2 4 4" xfId="14780"/>
    <cellStyle name="Input 7 2 2 2 4 5" xfId="12540"/>
    <cellStyle name="Input 7 2 2 2 4 6" xfId="15009"/>
    <cellStyle name="Input 7 2 2 2 5" xfId="11384"/>
    <cellStyle name="Input 7 2 2 2 5 2" xfId="15690"/>
    <cellStyle name="Input 7 2 2 2 5 3" xfId="16769"/>
    <cellStyle name="Input 7 2 2 2 5 4" xfId="17798"/>
    <cellStyle name="Input 7 2 2 2 5 5" xfId="18768"/>
    <cellStyle name="Input 7 2 2 2 5 6" xfId="19674"/>
    <cellStyle name="Input 7 2 2 2 6" xfId="11526"/>
    <cellStyle name="Input 7 2 2 2 6 2" xfId="15832"/>
    <cellStyle name="Input 7 2 2 2 6 3" xfId="16911"/>
    <cellStyle name="Input 7 2 2 2 6 4" xfId="17936"/>
    <cellStyle name="Input 7 2 2 2 6 5" xfId="18906"/>
    <cellStyle name="Input 7 2 2 2 6 6" xfId="19812"/>
    <cellStyle name="Input 7 2 2 2 7" xfId="12755"/>
    <cellStyle name="Input 7 2 2 2 8" xfId="14968"/>
    <cellStyle name="Input 7 2 2 2 9" xfId="153"/>
    <cellStyle name="Input 7 2 2 3" xfId="3923"/>
    <cellStyle name="Input 7 2 2 3 2" xfId="9022"/>
    <cellStyle name="Input 7 2 2 3 2 2" xfId="14800"/>
    <cellStyle name="Input 7 2 2 3 2 3" xfId="13439"/>
    <cellStyle name="Input 7 2 2 3 2 4" xfId="12875"/>
    <cellStyle name="Input 7 2 2 3 2 5" xfId="12322"/>
    <cellStyle name="Input 7 2 2 3 2 6" xfId="12051"/>
    <cellStyle name="Input 7 2 2 3 3" xfId="11490"/>
    <cellStyle name="Input 7 2 2 3 3 2" xfId="15796"/>
    <cellStyle name="Input 7 2 2 3 3 3" xfId="16875"/>
    <cellStyle name="Input 7 2 2 3 3 4" xfId="17901"/>
    <cellStyle name="Input 7 2 2 3 3 5" xfId="18871"/>
    <cellStyle name="Input 7 2 2 3 3 6" xfId="19777"/>
    <cellStyle name="Input 7 2 2 3 4" xfId="7138"/>
    <cellStyle name="Input 7 2 2 3 4 2" xfId="14218"/>
    <cellStyle name="Input 7 2 2 3 4 3" xfId="13178"/>
    <cellStyle name="Input 7 2 2 3 4 4" xfId="15275"/>
    <cellStyle name="Input 7 2 2 3 4 5" xfId="16386"/>
    <cellStyle name="Input 7 2 2 3 4 6" xfId="12273"/>
    <cellStyle name="Input 7 2 2 3 5" xfId="13112"/>
    <cellStyle name="Input 7 2 2 3 6" xfId="12450"/>
    <cellStyle name="Input 7 2 2 3 7" xfId="13654"/>
    <cellStyle name="Input 7 2 2 3 8" xfId="14934"/>
    <cellStyle name="Input 7 2 2 3 9" xfId="14955"/>
    <cellStyle name="Input 7 2 3" xfId="2646"/>
    <cellStyle name="Input 7 2 3 10" xfId="13642"/>
    <cellStyle name="Input 7 2 3 2" xfId="6062"/>
    <cellStyle name="Input 7 2 3 2 2" xfId="11158"/>
    <cellStyle name="Input 7 2 3 2 2 2" xfId="15464"/>
    <cellStyle name="Input 7 2 3 2 2 3" xfId="16543"/>
    <cellStyle name="Input 7 2 3 2 2 4" xfId="17577"/>
    <cellStyle name="Input 7 2 3 2 2 5" xfId="18547"/>
    <cellStyle name="Input 7 2 3 2 2 6" xfId="19453"/>
    <cellStyle name="Input 7 2 3 2 3" xfId="11740"/>
    <cellStyle name="Input 7 2 3 2 3 2" xfId="16046"/>
    <cellStyle name="Input 7 2 3 2 3 3" xfId="17125"/>
    <cellStyle name="Input 7 2 3 2 3 4" xfId="18147"/>
    <cellStyle name="Input 7 2 3 2 3 5" xfId="19117"/>
    <cellStyle name="Input 7 2 3 2 3 6" xfId="20023"/>
    <cellStyle name="Input 7 2 3 2 4" xfId="11912"/>
    <cellStyle name="Input 7 2 3 2 4 2" xfId="16218"/>
    <cellStyle name="Input 7 2 3 2 4 3" xfId="17297"/>
    <cellStyle name="Input 7 2 3 2 4 4" xfId="18315"/>
    <cellStyle name="Input 7 2 3 2 4 5" xfId="19285"/>
    <cellStyle name="Input 7 2 3 2 4 6" xfId="20191"/>
    <cellStyle name="Input 7 2 3 2 5" xfId="13795"/>
    <cellStyle name="Input 7 2 3 2 6" xfId="12988"/>
    <cellStyle name="Input 7 2 3 2 7" xfId="12910"/>
    <cellStyle name="Input 7 2 3 2 8" xfId="13037"/>
    <cellStyle name="Input 7 2 3 2 9" xfId="15061"/>
    <cellStyle name="Input 7 2 3 3" xfId="7749"/>
    <cellStyle name="Input 7 2 3 3 2" xfId="14415"/>
    <cellStyle name="Input 7 2 3 3 3" xfId="14088"/>
    <cellStyle name="Input 7 2 3 3 4" xfId="14866"/>
    <cellStyle name="Input 7 2 3 3 5" xfId="12128"/>
    <cellStyle name="Input 7 2 3 3 6" xfId="15242"/>
    <cellStyle name="Input 7 2 3 4" xfId="11348"/>
    <cellStyle name="Input 7 2 3 4 2" xfId="15654"/>
    <cellStyle name="Input 7 2 3 4 3" xfId="16733"/>
    <cellStyle name="Input 7 2 3 4 4" xfId="17762"/>
    <cellStyle name="Input 7 2 3 4 5" xfId="18732"/>
    <cellStyle name="Input 7 2 3 4 6" xfId="19638"/>
    <cellStyle name="Input 7 2 3 5" xfId="11631"/>
    <cellStyle name="Input 7 2 3 5 2" xfId="15937"/>
    <cellStyle name="Input 7 2 3 5 3" xfId="17016"/>
    <cellStyle name="Input 7 2 3 5 4" xfId="18040"/>
    <cellStyle name="Input 7 2 3 5 5" xfId="19010"/>
    <cellStyle name="Input 7 2 3 5 6" xfId="19916"/>
    <cellStyle name="Input 7 2 3 6" xfId="12716"/>
    <cellStyle name="Input 7 2 3 7" xfId="13408"/>
    <cellStyle name="Input 7 2 3 8" xfId="13574"/>
    <cellStyle name="Input 7 2 3 9" xfId="12079"/>
    <cellStyle name="Input 7 2 4" xfId="5987"/>
    <cellStyle name="Input 7 2 4 2" xfId="11083"/>
    <cellStyle name="Input 7 2 4 2 2" xfId="15389"/>
    <cellStyle name="Input 7 2 4 2 3" xfId="16468"/>
    <cellStyle name="Input 7 2 4 2 4" xfId="17503"/>
    <cellStyle name="Input 7 2 4 2 5" xfId="18473"/>
    <cellStyle name="Input 7 2 4 2 6" xfId="19379"/>
    <cellStyle name="Input 7 2 4 3" xfId="11665"/>
    <cellStyle name="Input 7 2 4 3 2" xfId="15971"/>
    <cellStyle name="Input 7 2 4 3 3" xfId="17050"/>
    <cellStyle name="Input 7 2 4 3 4" xfId="18073"/>
    <cellStyle name="Input 7 2 4 3 5" xfId="19043"/>
    <cellStyle name="Input 7 2 4 3 6" xfId="19949"/>
    <cellStyle name="Input 7 2 4 4" xfId="11837"/>
    <cellStyle name="Input 7 2 4 4 2" xfId="16143"/>
    <cellStyle name="Input 7 2 4 4 3" xfId="17222"/>
    <cellStyle name="Input 7 2 4 4 4" xfId="18241"/>
    <cellStyle name="Input 7 2 4 4 5" xfId="19211"/>
    <cellStyle name="Input 7 2 4 4 6" xfId="20117"/>
    <cellStyle name="Input 7 2 4 5" xfId="13720"/>
    <cellStyle name="Input 7 2 4 6" xfId="14690"/>
    <cellStyle name="Input 7 2 4 7" xfId="12802"/>
    <cellStyle name="Input 7 2 4 8" xfId="14174"/>
    <cellStyle name="Input 7 2 4 9" xfId="14335"/>
    <cellStyle name="Input 7 2 5" xfId="6493"/>
    <cellStyle name="Input 7 2 5 2" xfId="14006"/>
    <cellStyle name="Input 7 2 5 3" xfId="12838"/>
    <cellStyle name="Input 7 2 5 4" xfId="13965"/>
    <cellStyle name="Input 7 2 5 5" xfId="17403"/>
    <cellStyle name="Input 7 2 5 6" xfId="12055"/>
    <cellStyle name="Input 7 2 6" xfId="6160"/>
    <cellStyle name="Input 7 2 6 2" xfId="13892"/>
    <cellStyle name="Input 7 2 6 3" xfId="14891"/>
    <cellStyle name="Input 7 2 6 4" xfId="12120"/>
    <cellStyle name="Input 7 2 6 5" xfId="13310"/>
    <cellStyle name="Input 7 2 6 6" xfId="12425"/>
    <cellStyle name="Input 7 2 7" xfId="11302"/>
    <cellStyle name="Input 7 2 7 2" xfId="15608"/>
    <cellStyle name="Input 7 2 7 3" xfId="16687"/>
    <cellStyle name="Input 7 2 7 4" xfId="17716"/>
    <cellStyle name="Input 7 2 7 5" xfId="18686"/>
    <cellStyle name="Input 7 2 7 6" xfId="19592"/>
    <cellStyle name="Input 7 2 8" xfId="12208"/>
    <cellStyle name="Input 7 2 9" xfId="15097"/>
    <cellStyle name="Input 8" xfId="387"/>
    <cellStyle name="Input 8 2" xfId="1017"/>
    <cellStyle name="Input 8 2 10" xfId="13573"/>
    <cellStyle name="Input 8 2 11" xfId="12432"/>
    <cellStyle name="Input 8 2 12" xfId="12801"/>
    <cellStyle name="Input 8 2 2" xfId="1109"/>
    <cellStyle name="Input 8 2 2 2" xfId="2699"/>
    <cellStyle name="Input 8 2 2 2 10" xfId="13320"/>
    <cellStyle name="Input 8 2 2 2 11" xfId="12064"/>
    <cellStyle name="Input 8 2 2 2 2" xfId="6099"/>
    <cellStyle name="Input 8 2 2 2 2 2" xfId="11195"/>
    <cellStyle name="Input 8 2 2 2 2 2 2" xfId="15501"/>
    <cellStyle name="Input 8 2 2 2 2 2 3" xfId="16580"/>
    <cellStyle name="Input 8 2 2 2 2 2 4" xfId="17614"/>
    <cellStyle name="Input 8 2 2 2 2 2 5" xfId="18584"/>
    <cellStyle name="Input 8 2 2 2 2 2 6" xfId="19490"/>
    <cellStyle name="Input 8 2 2 2 2 3" xfId="11777"/>
    <cellStyle name="Input 8 2 2 2 2 3 2" xfId="16083"/>
    <cellStyle name="Input 8 2 2 2 2 3 3" xfId="17162"/>
    <cellStyle name="Input 8 2 2 2 2 3 4" xfId="18184"/>
    <cellStyle name="Input 8 2 2 2 2 3 5" xfId="19154"/>
    <cellStyle name="Input 8 2 2 2 2 3 6" xfId="20060"/>
    <cellStyle name="Input 8 2 2 2 2 4" xfId="11949"/>
    <cellStyle name="Input 8 2 2 2 2 4 2" xfId="16255"/>
    <cellStyle name="Input 8 2 2 2 2 4 3" xfId="17334"/>
    <cellStyle name="Input 8 2 2 2 2 4 4" xfId="18352"/>
    <cellStyle name="Input 8 2 2 2 2 4 5" xfId="19322"/>
    <cellStyle name="Input 8 2 2 2 2 4 6" xfId="20228"/>
    <cellStyle name="Input 8 2 2 2 2 5" xfId="13832"/>
    <cellStyle name="Input 8 2 2 2 2 6" xfId="15231"/>
    <cellStyle name="Input 8 2 2 2 2 7" xfId="16343"/>
    <cellStyle name="Input 8 2 2 2 2 8" xfId="15332"/>
    <cellStyle name="Input 8 2 2 2 2 9" xfId="17429"/>
    <cellStyle name="Input 8 2 2 2 3" xfId="5107"/>
    <cellStyle name="Input 8 2 2 2 3 2" xfId="10203"/>
    <cellStyle name="Input 8 2 2 2 3 2 2" xfId="15141"/>
    <cellStyle name="Input 8 2 2 2 3 2 3" xfId="12148"/>
    <cellStyle name="Input 8 2 2 2 3 2 4" xfId="14654"/>
    <cellStyle name="Input 8 2 2 2 3 2 5" xfId="14363"/>
    <cellStyle name="Input 8 2 2 2 3 2 6" xfId="13312"/>
    <cellStyle name="Input 8 2 2 2 3 3" xfId="11585"/>
    <cellStyle name="Input 8 2 2 2 3 3 2" xfId="15891"/>
    <cellStyle name="Input 8 2 2 2 3 3 3" xfId="16970"/>
    <cellStyle name="Input 8 2 2 2 3 3 4" xfId="17994"/>
    <cellStyle name="Input 8 2 2 2 3 3 5" xfId="18964"/>
    <cellStyle name="Input 8 2 2 2 3 3 6" xfId="19870"/>
    <cellStyle name="Input 8 2 2 2 3 4" xfId="11415"/>
    <cellStyle name="Input 8 2 2 2 3 4 2" xfId="15721"/>
    <cellStyle name="Input 8 2 2 2 3 4 3" xfId="16800"/>
    <cellStyle name="Input 8 2 2 2 3 4 4" xfId="17829"/>
    <cellStyle name="Input 8 2 2 2 3 4 5" xfId="18799"/>
    <cellStyle name="Input 8 2 2 2 3 4 6" xfId="19705"/>
    <cellStyle name="Input 8 2 2 2 3 5" xfId="13461"/>
    <cellStyle name="Input 8 2 2 2 3 6" xfId="15353"/>
    <cellStyle name="Input 8 2 2 2 3 7" xfId="16436"/>
    <cellStyle name="Input 8 2 2 2 3 8" xfId="12430"/>
    <cellStyle name="Input 8 2 2 2 3 9" xfId="18448"/>
    <cellStyle name="Input 8 2 2 2 4" xfId="7802"/>
    <cellStyle name="Input 8 2 2 2 4 2" xfId="14453"/>
    <cellStyle name="Input 8 2 2 2 4 3" xfId="13165"/>
    <cellStyle name="Input 8 2 2 2 4 4" xfId="13599"/>
    <cellStyle name="Input 8 2 2 2 4 5" xfId="15337"/>
    <cellStyle name="Input 8 2 2 2 4 6" xfId="14118"/>
    <cellStyle name="Input 8 2 2 2 5" xfId="11385"/>
    <cellStyle name="Input 8 2 2 2 5 2" xfId="15691"/>
    <cellStyle name="Input 8 2 2 2 5 3" xfId="16770"/>
    <cellStyle name="Input 8 2 2 2 5 4" xfId="17799"/>
    <cellStyle name="Input 8 2 2 2 5 5" xfId="18769"/>
    <cellStyle name="Input 8 2 2 2 5 6" xfId="19675"/>
    <cellStyle name="Input 8 2 2 2 6" xfId="11617"/>
    <cellStyle name="Input 8 2 2 2 6 2" xfId="15923"/>
    <cellStyle name="Input 8 2 2 2 6 3" xfId="17002"/>
    <cellStyle name="Input 8 2 2 2 6 4" xfId="18026"/>
    <cellStyle name="Input 8 2 2 2 6 5" xfId="18996"/>
    <cellStyle name="Input 8 2 2 2 6 6" xfId="19902"/>
    <cellStyle name="Input 8 2 2 2 7" xfId="12756"/>
    <cellStyle name="Input 8 2 2 2 8" xfId="13282"/>
    <cellStyle name="Input 8 2 2 2 9" xfId="13239"/>
    <cellStyle name="Input 8 2 2 3" xfId="3924"/>
    <cellStyle name="Input 8 2 2 3 2" xfId="9023"/>
    <cellStyle name="Input 8 2 2 3 2 2" xfId="14801"/>
    <cellStyle name="Input 8 2 2 3 2 3" xfId="12702"/>
    <cellStyle name="Input 8 2 2 3 2 4" xfId="14972"/>
    <cellStyle name="Input 8 2 2 3 2 5" xfId="14368"/>
    <cellStyle name="Input 8 2 2 3 2 6" xfId="14197"/>
    <cellStyle name="Input 8 2 2 3 3" xfId="11491"/>
    <cellStyle name="Input 8 2 2 3 3 2" xfId="15797"/>
    <cellStyle name="Input 8 2 2 3 3 3" xfId="16876"/>
    <cellStyle name="Input 8 2 2 3 3 4" xfId="17902"/>
    <cellStyle name="Input 8 2 2 3 3 5" xfId="18872"/>
    <cellStyle name="Input 8 2 2 3 3 6" xfId="19778"/>
    <cellStyle name="Input 8 2 2 3 4" xfId="7139"/>
    <cellStyle name="Input 8 2 2 3 4 2" xfId="14219"/>
    <cellStyle name="Input 8 2 2 3 4 3" xfId="14517"/>
    <cellStyle name="Input 8 2 2 3 4 4" xfId="13427"/>
    <cellStyle name="Input 8 2 2 3 4 5" xfId="13979"/>
    <cellStyle name="Input 8 2 2 3 4 6" xfId="13018"/>
    <cellStyle name="Input 8 2 2 3 5" xfId="13113"/>
    <cellStyle name="Input 8 2 2 3 6" xfId="14188"/>
    <cellStyle name="Input 8 2 2 3 7" xfId="12012"/>
    <cellStyle name="Input 8 2 2 3 8" xfId="13681"/>
    <cellStyle name="Input 8 2 2 3 9" xfId="13482"/>
    <cellStyle name="Input 8 2 3" xfId="2647"/>
    <cellStyle name="Input 8 2 3 10" xfId="14640"/>
    <cellStyle name="Input 8 2 3 2" xfId="6063"/>
    <cellStyle name="Input 8 2 3 2 2" xfId="11159"/>
    <cellStyle name="Input 8 2 3 2 2 2" xfId="15465"/>
    <cellStyle name="Input 8 2 3 2 2 3" xfId="16544"/>
    <cellStyle name="Input 8 2 3 2 2 4" xfId="17578"/>
    <cellStyle name="Input 8 2 3 2 2 5" xfId="18548"/>
    <cellStyle name="Input 8 2 3 2 2 6" xfId="19454"/>
    <cellStyle name="Input 8 2 3 2 3" xfId="11741"/>
    <cellStyle name="Input 8 2 3 2 3 2" xfId="16047"/>
    <cellStyle name="Input 8 2 3 2 3 3" xfId="17126"/>
    <cellStyle name="Input 8 2 3 2 3 4" xfId="18148"/>
    <cellStyle name="Input 8 2 3 2 3 5" xfId="19118"/>
    <cellStyle name="Input 8 2 3 2 3 6" xfId="20024"/>
    <cellStyle name="Input 8 2 3 2 4" xfId="11913"/>
    <cellStyle name="Input 8 2 3 2 4 2" xfId="16219"/>
    <cellStyle name="Input 8 2 3 2 4 3" xfId="17298"/>
    <cellStyle name="Input 8 2 3 2 4 4" xfId="18316"/>
    <cellStyle name="Input 8 2 3 2 4 5" xfId="19286"/>
    <cellStyle name="Input 8 2 3 2 4 6" xfId="20192"/>
    <cellStyle name="Input 8 2 3 2 5" xfId="13796"/>
    <cellStyle name="Input 8 2 3 2 6" xfId="12587"/>
    <cellStyle name="Input 8 2 3 2 7" xfId="14980"/>
    <cellStyle name="Input 8 2 3 2 8" xfId="17473"/>
    <cellStyle name="Input 8 2 3 2 9" xfId="14248"/>
    <cellStyle name="Input 8 2 3 3" xfId="7750"/>
    <cellStyle name="Input 8 2 3 3 2" xfId="14416"/>
    <cellStyle name="Input 8 2 3 3 3" xfId="14856"/>
    <cellStyle name="Input 8 2 3 3 4" xfId="13074"/>
    <cellStyle name="Input 8 2 3 3 5" xfId="14063"/>
    <cellStyle name="Input 8 2 3 3 6" xfId="14716"/>
    <cellStyle name="Input 8 2 3 4" xfId="11349"/>
    <cellStyle name="Input 8 2 3 4 2" xfId="15655"/>
    <cellStyle name="Input 8 2 3 4 3" xfId="16734"/>
    <cellStyle name="Input 8 2 3 4 4" xfId="17763"/>
    <cellStyle name="Input 8 2 3 4 5" xfId="18733"/>
    <cellStyle name="Input 8 2 3 4 6" xfId="19639"/>
    <cellStyle name="Input 8 2 3 5" xfId="11443"/>
    <cellStyle name="Input 8 2 3 5 2" xfId="15749"/>
    <cellStyle name="Input 8 2 3 5 3" xfId="16828"/>
    <cellStyle name="Input 8 2 3 5 4" xfId="17856"/>
    <cellStyle name="Input 8 2 3 5 5" xfId="18826"/>
    <cellStyle name="Input 8 2 3 5 6" xfId="19732"/>
    <cellStyle name="Input 8 2 3 6" xfId="12717"/>
    <cellStyle name="Input 8 2 3 7" xfId="12667"/>
    <cellStyle name="Input 8 2 3 8" xfId="12497"/>
    <cellStyle name="Input 8 2 3 9" xfId="12317"/>
    <cellStyle name="Input 8 2 4" xfId="5988"/>
    <cellStyle name="Input 8 2 4 2" xfId="11084"/>
    <cellStyle name="Input 8 2 4 2 2" xfId="15390"/>
    <cellStyle name="Input 8 2 4 2 3" xfId="16469"/>
    <cellStyle name="Input 8 2 4 2 4" xfId="17504"/>
    <cellStyle name="Input 8 2 4 2 5" xfId="18474"/>
    <cellStyle name="Input 8 2 4 2 6" xfId="19380"/>
    <cellStyle name="Input 8 2 4 3" xfId="11666"/>
    <cellStyle name="Input 8 2 4 3 2" xfId="15972"/>
    <cellStyle name="Input 8 2 4 3 3" xfId="17051"/>
    <cellStyle name="Input 8 2 4 3 4" xfId="18074"/>
    <cellStyle name="Input 8 2 4 3 5" xfId="19044"/>
    <cellStyle name="Input 8 2 4 3 6" xfId="19950"/>
    <cellStyle name="Input 8 2 4 4" xfId="11838"/>
    <cellStyle name="Input 8 2 4 4 2" xfId="16144"/>
    <cellStyle name="Input 8 2 4 4 3" xfId="17223"/>
    <cellStyle name="Input 8 2 4 4 4" xfId="18242"/>
    <cellStyle name="Input 8 2 4 4 5" xfId="19212"/>
    <cellStyle name="Input 8 2 4 4 6" xfId="20118"/>
    <cellStyle name="Input 8 2 4 5" xfId="13721"/>
    <cellStyle name="Input 8 2 4 6" xfId="15372"/>
    <cellStyle name="Input 8 2 4 7" xfId="16452"/>
    <cellStyle name="Input 8 2 4 8" xfId="17419"/>
    <cellStyle name="Input 8 2 4 9" xfId="12641"/>
    <cellStyle name="Input 8 2 5" xfId="6494"/>
    <cellStyle name="Input 8 2 5 2" xfId="14007"/>
    <cellStyle name="Input 8 2 5 3" xfId="12363"/>
    <cellStyle name="Input 8 2 5 4" xfId="13662"/>
    <cellStyle name="Input 8 2 5 5" xfId="1141"/>
    <cellStyle name="Input 8 2 5 6" xfId="12942"/>
    <cellStyle name="Input 8 2 6" xfId="6415"/>
    <cellStyle name="Input 8 2 6 2" xfId="13976"/>
    <cellStyle name="Input 8 2 6 3" xfId="12366"/>
    <cellStyle name="Input 8 2 6 4" xfId="13661"/>
    <cellStyle name="Input 8 2 6 5" xfId="17483"/>
    <cellStyle name="Input 8 2 6 6" xfId="14560"/>
    <cellStyle name="Input 8 2 7" xfId="6479"/>
    <cellStyle name="Input 8 2 7 2" xfId="13992"/>
    <cellStyle name="Input 8 2 7 3" xfId="14128"/>
    <cellStyle name="Input 8 2 7 4" xfId="13520"/>
    <cellStyle name="Input 8 2 7 5" xfId="12809"/>
    <cellStyle name="Input 8 2 7 6" xfId="13419"/>
    <cellStyle name="Input 8 2 8" xfId="12209"/>
    <cellStyle name="Input 8 2 9" xfId="13415"/>
    <cellStyle name="Input 9" xfId="724"/>
    <cellStyle name="Input Percent" xfId="1588"/>
    <cellStyle name="Input Percent 10" xfId="16421"/>
    <cellStyle name="Input Percent 11" xfId="14691"/>
    <cellStyle name="Input Percent 12" xfId="18441"/>
    <cellStyle name="Input Percent 2" xfId="2237"/>
    <cellStyle name="Input Percent 2 10" xfId="14661"/>
    <cellStyle name="Input Percent 2 11" xfId="14095"/>
    <cellStyle name="Input Percent 2 2" xfId="3581"/>
    <cellStyle name="Input Percent 2 2 10" xfId="15265"/>
    <cellStyle name="Input Percent 2 2 2" xfId="6139"/>
    <cellStyle name="Input Percent 2 2 2 2" xfId="11235"/>
    <cellStyle name="Input Percent 2 2 2 2 2" xfId="15541"/>
    <cellStyle name="Input Percent 2 2 2 2 3" xfId="16620"/>
    <cellStyle name="Input Percent 2 2 2 2 4" xfId="17652"/>
    <cellStyle name="Input Percent 2 2 2 2 5" xfId="18622"/>
    <cellStyle name="Input Percent 2 2 2 2 6" xfId="19528"/>
    <cellStyle name="Input Percent 2 2 2 3" xfId="11817"/>
    <cellStyle name="Input Percent 2 2 2 3 2" xfId="16123"/>
    <cellStyle name="Input Percent 2 2 2 3 3" xfId="17202"/>
    <cellStyle name="Input Percent 2 2 2 3 4" xfId="18222"/>
    <cellStyle name="Input Percent 2 2 2 3 5" xfId="19192"/>
    <cellStyle name="Input Percent 2 2 2 3 6" xfId="20098"/>
    <cellStyle name="Input Percent 2 2 2 4" xfId="11989"/>
    <cellStyle name="Input Percent 2 2 2 4 2" xfId="16295"/>
    <cellStyle name="Input Percent 2 2 2 4 3" xfId="17374"/>
    <cellStyle name="Input Percent 2 2 2 4 4" xfId="18390"/>
    <cellStyle name="Input Percent 2 2 2 4 5" xfId="19360"/>
    <cellStyle name="Input Percent 2 2 2 4 6" xfId="20266"/>
    <cellStyle name="Input Percent 2 2 2 5" xfId="13872"/>
    <cellStyle name="Input Percent 2 2 2 6" xfId="13544"/>
    <cellStyle name="Input Percent 2 2 2 7" xfId="14910"/>
    <cellStyle name="Input Percent 2 2 2 8" xfId="14753"/>
    <cellStyle name="Input Percent 2 2 2 9" xfId="13577"/>
    <cellStyle name="Input Percent 2 2 3" xfId="8684"/>
    <cellStyle name="Input Percent 2 2 3 2" xfId="14695"/>
    <cellStyle name="Input Percent 2 2 3 3" xfId="14044"/>
    <cellStyle name="Input Percent 2 2 3 4" xfId="14123"/>
    <cellStyle name="Input Percent 2 2 3 5" xfId="15115"/>
    <cellStyle name="Input Percent 2 2 3 6" xfId="12413"/>
    <cellStyle name="Input Percent 2 2 4" xfId="11466"/>
    <cellStyle name="Input Percent 2 2 4 2" xfId="15772"/>
    <cellStyle name="Input Percent 2 2 4 3" xfId="16851"/>
    <cellStyle name="Input Percent 2 2 4 4" xfId="17878"/>
    <cellStyle name="Input Percent 2 2 4 5" xfId="18848"/>
    <cellStyle name="Input Percent 2 2 4 6" xfId="19754"/>
    <cellStyle name="Input Percent 2 2 5" xfId="11518"/>
    <cellStyle name="Input Percent 2 2 5 2" xfId="15824"/>
    <cellStyle name="Input Percent 2 2 5 3" xfId="16903"/>
    <cellStyle name="Input Percent 2 2 5 4" xfId="17929"/>
    <cellStyle name="Input Percent 2 2 5 5" xfId="18899"/>
    <cellStyle name="Input Percent 2 2 5 6" xfId="19805"/>
    <cellStyle name="Input Percent 2 2 6" xfId="13011"/>
    <cellStyle name="Input Percent 2 2 7" xfId="12113"/>
    <cellStyle name="Input Percent 2 2 8" xfId="12557"/>
    <cellStyle name="Input Percent 2 2 9" xfId="1148"/>
    <cellStyle name="Input Percent 2 3" xfId="6032"/>
    <cellStyle name="Input Percent 2 3 2" xfId="11128"/>
    <cellStyle name="Input Percent 2 3 2 2" xfId="15434"/>
    <cellStyle name="Input Percent 2 3 2 3" xfId="16513"/>
    <cellStyle name="Input Percent 2 3 2 4" xfId="17547"/>
    <cellStyle name="Input Percent 2 3 2 5" xfId="18517"/>
    <cellStyle name="Input Percent 2 3 2 6" xfId="19423"/>
    <cellStyle name="Input Percent 2 3 3" xfId="11710"/>
    <cellStyle name="Input Percent 2 3 3 2" xfId="16016"/>
    <cellStyle name="Input Percent 2 3 3 3" xfId="17095"/>
    <cellStyle name="Input Percent 2 3 3 4" xfId="18117"/>
    <cellStyle name="Input Percent 2 3 3 5" xfId="19087"/>
    <cellStyle name="Input Percent 2 3 3 6" xfId="19993"/>
    <cellStyle name="Input Percent 2 3 4" xfId="11882"/>
    <cellStyle name="Input Percent 2 3 4 2" xfId="16188"/>
    <cellStyle name="Input Percent 2 3 4 3" xfId="17267"/>
    <cellStyle name="Input Percent 2 3 4 4" xfId="18285"/>
    <cellStyle name="Input Percent 2 3 4 5" xfId="19255"/>
    <cellStyle name="Input Percent 2 3 4 6" xfId="20161"/>
    <cellStyle name="Input Percent 2 3 5" xfId="13765"/>
    <cellStyle name="Input Percent 2 3 6" xfId="14287"/>
    <cellStyle name="Input Percent 2 3 7" xfId="12320"/>
    <cellStyle name="Input Percent 2 3 8" xfId="13971"/>
    <cellStyle name="Input Percent 2 3 9" xfId="12559"/>
    <cellStyle name="Input Percent 2 4" xfId="7347"/>
    <cellStyle name="Input Percent 2 4 2" xfId="14280"/>
    <cellStyle name="Input Percent 2 4 3" xfId="13409"/>
    <cellStyle name="Input Percent 2 4 4" xfId="13572"/>
    <cellStyle name="Input Percent 2 4 5" xfId="15214"/>
    <cellStyle name="Input Percent 2 4 6" xfId="16314"/>
    <cellStyle name="Input Percent 2 5" xfId="11313"/>
    <cellStyle name="Input Percent 2 5 2" xfId="15619"/>
    <cellStyle name="Input Percent 2 5 3" xfId="16698"/>
    <cellStyle name="Input Percent 2 5 4" xfId="17727"/>
    <cellStyle name="Input Percent 2 5 5" xfId="18697"/>
    <cellStyle name="Input Percent 2 5 6" xfId="19603"/>
    <cellStyle name="Input Percent 2 6" xfId="11287"/>
    <cellStyle name="Input Percent 2 6 2" xfId="15593"/>
    <cellStyle name="Input Percent 2 6 3" xfId="16672"/>
    <cellStyle name="Input Percent 2 6 4" xfId="17702"/>
    <cellStyle name="Input Percent 2 6 5" xfId="18672"/>
    <cellStyle name="Input Percent 2 6 6" xfId="19578"/>
    <cellStyle name="Input Percent 2 7" xfId="12578"/>
    <cellStyle name="Input Percent 2 8" xfId="15082"/>
    <cellStyle name="Input Percent 2 9" xfId="14057"/>
    <cellStyle name="Input Percent 3" xfId="2328"/>
    <cellStyle name="Input Percent 3 10" xfId="15306"/>
    <cellStyle name="Input Percent 3 2" xfId="6038"/>
    <cellStyle name="Input Percent 3 2 2" xfId="11134"/>
    <cellStyle name="Input Percent 3 2 2 2" xfId="15440"/>
    <cellStyle name="Input Percent 3 2 2 3" xfId="16519"/>
    <cellStyle name="Input Percent 3 2 2 4" xfId="17553"/>
    <cellStyle name="Input Percent 3 2 2 5" xfId="18523"/>
    <cellStyle name="Input Percent 3 2 2 6" xfId="19429"/>
    <cellStyle name="Input Percent 3 2 3" xfId="11716"/>
    <cellStyle name="Input Percent 3 2 3 2" xfId="16022"/>
    <cellStyle name="Input Percent 3 2 3 3" xfId="17101"/>
    <cellStyle name="Input Percent 3 2 3 4" xfId="18123"/>
    <cellStyle name="Input Percent 3 2 3 5" xfId="19093"/>
    <cellStyle name="Input Percent 3 2 3 6" xfId="19999"/>
    <cellStyle name="Input Percent 3 2 4" xfId="11888"/>
    <cellStyle name="Input Percent 3 2 4 2" xfId="16194"/>
    <cellStyle name="Input Percent 3 2 4 3" xfId="17273"/>
    <cellStyle name="Input Percent 3 2 4 4" xfId="18291"/>
    <cellStyle name="Input Percent 3 2 4 5" xfId="19261"/>
    <cellStyle name="Input Percent 3 2 4 6" xfId="20167"/>
    <cellStyle name="Input Percent 3 2 5" xfId="13771"/>
    <cellStyle name="Input Percent 3 2 6" xfId="12987"/>
    <cellStyle name="Input Percent 3 2 7" xfId="13267"/>
    <cellStyle name="Input Percent 3 2 8" xfId="13526"/>
    <cellStyle name="Input Percent 3 2 9" xfId="13236"/>
    <cellStyle name="Input Percent 3 3" xfId="7437"/>
    <cellStyle name="Input Percent 3 3 2" xfId="14313"/>
    <cellStyle name="Input Percent 3 3 3" xfId="14099"/>
    <cellStyle name="Input Percent 3 3 4" xfId="12833"/>
    <cellStyle name="Input Percent 3 3 5" xfId="17388"/>
    <cellStyle name="Input Percent 3 3 6" xfId="14580"/>
    <cellStyle name="Input Percent 3 4" xfId="11319"/>
    <cellStyle name="Input Percent 3 4 2" xfId="15625"/>
    <cellStyle name="Input Percent 3 4 3" xfId="16704"/>
    <cellStyle name="Input Percent 3 4 4" xfId="17733"/>
    <cellStyle name="Input Percent 3 4 5" xfId="18703"/>
    <cellStyle name="Input Percent 3 4 6" xfId="19609"/>
    <cellStyle name="Input Percent 3 5" xfId="11448"/>
    <cellStyle name="Input Percent 3 5 2" xfId="15754"/>
    <cellStyle name="Input Percent 3 5 3" xfId="16833"/>
    <cellStyle name="Input Percent 3 5 4" xfId="17861"/>
    <cellStyle name="Input Percent 3 5 5" xfId="18831"/>
    <cellStyle name="Input Percent 3 5 6" xfId="19737"/>
    <cellStyle name="Input Percent 3 6" xfId="12609"/>
    <cellStyle name="Input Percent 3 7" xfId="14626"/>
    <cellStyle name="Input Percent 3 8" xfId="15182"/>
    <cellStyle name="Input Percent 3 9" xfId="13575"/>
    <cellStyle name="Input Percent 4" xfId="6025"/>
    <cellStyle name="Input Percent 4 2" xfId="11121"/>
    <cellStyle name="Input Percent 4 2 2" xfId="15427"/>
    <cellStyle name="Input Percent 4 2 3" xfId="16506"/>
    <cellStyle name="Input Percent 4 2 4" xfId="17540"/>
    <cellStyle name="Input Percent 4 2 5" xfId="18510"/>
    <cellStyle name="Input Percent 4 2 6" xfId="19416"/>
    <cellStyle name="Input Percent 4 3" xfId="11703"/>
    <cellStyle name="Input Percent 4 3 2" xfId="16009"/>
    <cellStyle name="Input Percent 4 3 3" xfId="17088"/>
    <cellStyle name="Input Percent 4 3 4" xfId="18110"/>
    <cellStyle name="Input Percent 4 3 5" xfId="19080"/>
    <cellStyle name="Input Percent 4 3 6" xfId="19986"/>
    <cellStyle name="Input Percent 4 4" xfId="11875"/>
    <cellStyle name="Input Percent 4 4 2" xfId="16181"/>
    <cellStyle name="Input Percent 4 4 3" xfId="17260"/>
    <cellStyle name="Input Percent 4 4 4" xfId="18278"/>
    <cellStyle name="Input Percent 4 4 5" xfId="19248"/>
    <cellStyle name="Input Percent 4 4 6" xfId="20154"/>
    <cellStyle name="Input Percent 4 5" xfId="13758"/>
    <cellStyle name="Input Percent 4 6" xfId="15022"/>
    <cellStyle name="Input Percent 4 7" xfId="14323"/>
    <cellStyle name="Input Percent 4 8" xfId="12887"/>
    <cellStyle name="Input Percent 4 9" xfId="13097"/>
    <cellStyle name="Input Percent 5" xfId="6848"/>
    <cellStyle name="Input Percent 5 2" xfId="14162"/>
    <cellStyle name="Input Percent 5 3" xfId="12333"/>
    <cellStyle name="Input Percent 5 4" xfId="12961"/>
    <cellStyle name="Input Percent 5 5" xfId="12152"/>
    <cellStyle name="Input Percent 5 6" xfId="14489"/>
    <cellStyle name="Input Percent 6" xfId="11262"/>
    <cellStyle name="Input Percent 6 2" xfId="15568"/>
    <cellStyle name="Input Percent 6 3" xfId="16647"/>
    <cellStyle name="Input Percent 6 4" xfId="17677"/>
    <cellStyle name="Input Percent 6 5" xfId="18647"/>
    <cellStyle name="Input Percent 6 6" xfId="19553"/>
    <cellStyle name="Input Percent 7" xfId="6849"/>
    <cellStyle name="Input Percent 7 2" xfId="14163"/>
    <cellStyle name="Input Percent 7 3" xfId="12332"/>
    <cellStyle name="Input Percent 7 4" xfId="13664"/>
    <cellStyle name="Input Percent 7 5" xfId="13148"/>
    <cellStyle name="Input Percent 7 6" xfId="14660"/>
    <cellStyle name="Input Percent 8" xfId="12404"/>
    <cellStyle name="Input Percent 9" xfId="15328"/>
    <cellStyle name="inputarea" xfId="1589"/>
    <cellStyle name="Lines" xfId="1590"/>
    <cellStyle name="Linked Cell" xfId="119" builtinId="24" customBuiltin="1"/>
    <cellStyle name="Linked Cell 2" xfId="52"/>
    <cellStyle name="Linked Cell 2 2" xfId="856"/>
    <cellStyle name="Linked Cell 2 3" xfId="1591"/>
    <cellStyle name="Linked Cell 3" xfId="388"/>
    <cellStyle name="Linked Cell 3 2" xfId="857"/>
    <cellStyle name="Linked Cell 4" xfId="389"/>
    <cellStyle name="Linked Cell 5" xfId="390"/>
    <cellStyle name="Linked Cell 6" xfId="391"/>
    <cellStyle name="Linked Cell 7" xfId="392"/>
    <cellStyle name="Linked Cell 8" xfId="393"/>
    <cellStyle name="Linked Cell 9" xfId="722"/>
    <cellStyle name="Manual Input" xfId="1592"/>
    <cellStyle name="Manual Input Cell" xfId="1593"/>
    <cellStyle name="Manual Input Cell 10" xfId="14337"/>
    <cellStyle name="Manual Input Cell 11" xfId="13215"/>
    <cellStyle name="Manual Input Cell 12" xfId="12123"/>
    <cellStyle name="Manual Input Cell 2" xfId="2236"/>
    <cellStyle name="Manual Input Cell 2 10" xfId="12622"/>
    <cellStyle name="Manual Input Cell 2 11" xfId="17386"/>
    <cellStyle name="Manual Input Cell 2 2" xfId="2333"/>
    <cellStyle name="Manual Input Cell 2 2 10" xfId="12681"/>
    <cellStyle name="Manual Input Cell 2 2 2" xfId="6042"/>
    <cellStyle name="Manual Input Cell 2 2 2 2" xfId="11138"/>
    <cellStyle name="Manual Input Cell 2 2 2 2 2" xfId="15444"/>
    <cellStyle name="Manual Input Cell 2 2 2 2 3" xfId="16523"/>
    <cellStyle name="Manual Input Cell 2 2 2 2 4" xfId="17557"/>
    <cellStyle name="Manual Input Cell 2 2 2 2 5" xfId="18527"/>
    <cellStyle name="Manual Input Cell 2 2 2 2 6" xfId="19433"/>
    <cellStyle name="Manual Input Cell 2 2 2 3" xfId="11720"/>
    <cellStyle name="Manual Input Cell 2 2 2 3 2" xfId="16026"/>
    <cellStyle name="Manual Input Cell 2 2 2 3 3" xfId="17105"/>
    <cellStyle name="Manual Input Cell 2 2 2 3 4" xfId="18127"/>
    <cellStyle name="Manual Input Cell 2 2 2 3 5" xfId="19097"/>
    <cellStyle name="Manual Input Cell 2 2 2 3 6" xfId="20003"/>
    <cellStyle name="Manual Input Cell 2 2 2 4" xfId="11892"/>
    <cellStyle name="Manual Input Cell 2 2 2 4 2" xfId="16198"/>
    <cellStyle name="Manual Input Cell 2 2 2 4 3" xfId="17277"/>
    <cellStyle name="Manual Input Cell 2 2 2 4 4" xfId="18295"/>
    <cellStyle name="Manual Input Cell 2 2 2 4 5" xfId="19265"/>
    <cellStyle name="Manual Input Cell 2 2 2 4 6" xfId="20171"/>
    <cellStyle name="Manual Input Cell 2 2 2 5" xfId="13775"/>
    <cellStyle name="Manual Input Cell 2 2 2 6" xfId="13345"/>
    <cellStyle name="Manual Input Cell 2 2 2 7" xfId="15262"/>
    <cellStyle name="Manual Input Cell 2 2 2 8" xfId="12068"/>
    <cellStyle name="Manual Input Cell 2 2 2 9" xfId="18457"/>
    <cellStyle name="Manual Input Cell 2 2 3" xfId="7442"/>
    <cellStyle name="Manual Input Cell 2 2 3 2" xfId="14317"/>
    <cellStyle name="Manual Input Cell 2 2 3 3" xfId="13515"/>
    <cellStyle name="Manual Input Cell 2 2 3 4" xfId="14913"/>
    <cellStyle name="Manual Input Cell 2 2 3 5" xfId="14032"/>
    <cellStyle name="Manual Input Cell 2 2 3 6" xfId="16414"/>
    <cellStyle name="Manual Input Cell 2 2 4" xfId="11323"/>
    <cellStyle name="Manual Input Cell 2 2 4 2" xfId="15629"/>
    <cellStyle name="Manual Input Cell 2 2 4 3" xfId="16708"/>
    <cellStyle name="Manual Input Cell 2 2 4 4" xfId="17737"/>
    <cellStyle name="Manual Input Cell 2 2 4 5" xfId="18707"/>
    <cellStyle name="Manual Input Cell 2 2 4 6" xfId="19613"/>
    <cellStyle name="Manual Input Cell 2 2 5" xfId="11284"/>
    <cellStyle name="Manual Input Cell 2 2 5 2" xfId="15590"/>
    <cellStyle name="Manual Input Cell 2 2 5 3" xfId="16669"/>
    <cellStyle name="Manual Input Cell 2 2 5 4" xfId="17699"/>
    <cellStyle name="Manual Input Cell 2 2 5 5" xfId="18669"/>
    <cellStyle name="Manual Input Cell 2 2 5 6" xfId="19575"/>
    <cellStyle name="Manual Input Cell 2 2 6" xfId="12614"/>
    <cellStyle name="Manual Input Cell 2 2 7" xfId="14221"/>
    <cellStyle name="Manual Input Cell 2 2 8" xfId="13024"/>
    <cellStyle name="Manual Input Cell 2 2 9" xfId="12445"/>
    <cellStyle name="Manual Input Cell 2 3" xfId="6031"/>
    <cellStyle name="Manual Input Cell 2 3 2" xfId="11127"/>
    <cellStyle name="Manual Input Cell 2 3 2 2" xfId="15433"/>
    <cellStyle name="Manual Input Cell 2 3 2 3" xfId="16512"/>
    <cellStyle name="Manual Input Cell 2 3 2 4" xfId="17546"/>
    <cellStyle name="Manual Input Cell 2 3 2 5" xfId="18516"/>
    <cellStyle name="Manual Input Cell 2 3 2 6" xfId="19422"/>
    <cellStyle name="Manual Input Cell 2 3 3" xfId="11709"/>
    <cellStyle name="Manual Input Cell 2 3 3 2" xfId="16015"/>
    <cellStyle name="Manual Input Cell 2 3 3 3" xfId="17094"/>
    <cellStyle name="Manual Input Cell 2 3 3 4" xfId="18116"/>
    <cellStyle name="Manual Input Cell 2 3 3 5" xfId="19086"/>
    <cellStyle name="Manual Input Cell 2 3 3 6" xfId="19992"/>
    <cellStyle name="Manual Input Cell 2 3 4" xfId="11881"/>
    <cellStyle name="Manual Input Cell 2 3 4 2" xfId="16187"/>
    <cellStyle name="Manual Input Cell 2 3 4 3" xfId="17266"/>
    <cellStyle name="Manual Input Cell 2 3 4 4" xfId="18284"/>
    <cellStyle name="Manual Input Cell 2 3 4 5" xfId="19254"/>
    <cellStyle name="Manual Input Cell 2 3 4 6" xfId="20160"/>
    <cellStyle name="Manual Input Cell 2 3 5" xfId="13764"/>
    <cellStyle name="Manual Input Cell 2 3 6" xfId="12590"/>
    <cellStyle name="Manual Input Cell 2 3 7" xfId="13647"/>
    <cellStyle name="Manual Input Cell 2 3 8" xfId="17487"/>
    <cellStyle name="Manual Input Cell 2 3 9" xfId="14297"/>
    <cellStyle name="Manual Input Cell 2 4" xfId="7346"/>
    <cellStyle name="Manual Input Cell 2 4 2" xfId="14279"/>
    <cellStyle name="Manual Input Cell 2 4 3" xfId="15090"/>
    <cellStyle name="Manual Input Cell 2 4 4" xfId="13096"/>
    <cellStyle name="Manual Input Cell 2 4 5" xfId="14945"/>
    <cellStyle name="Manual Input Cell 2 4 6" xfId="12137"/>
    <cellStyle name="Manual Input Cell 2 5" xfId="11312"/>
    <cellStyle name="Manual Input Cell 2 5 2" xfId="15618"/>
    <cellStyle name="Manual Input Cell 2 5 3" xfId="16697"/>
    <cellStyle name="Manual Input Cell 2 5 4" xfId="17726"/>
    <cellStyle name="Manual Input Cell 2 5 5" xfId="18696"/>
    <cellStyle name="Manual Input Cell 2 5 6" xfId="19602"/>
    <cellStyle name="Manual Input Cell 2 6" xfId="11288"/>
    <cellStyle name="Manual Input Cell 2 6 2" xfId="15594"/>
    <cellStyle name="Manual Input Cell 2 6 3" xfId="16673"/>
    <cellStyle name="Manual Input Cell 2 6 4" xfId="17703"/>
    <cellStyle name="Manual Input Cell 2 6 5" xfId="18673"/>
    <cellStyle name="Manual Input Cell 2 6 6" xfId="19579"/>
    <cellStyle name="Manual Input Cell 2 7" xfId="12577"/>
    <cellStyle name="Manual Input Cell 2 8" xfId="14360"/>
    <cellStyle name="Manual Input Cell 2 9" xfId="12817"/>
    <cellStyle name="Manual Input Cell 3" xfId="2896"/>
    <cellStyle name="Manual Input Cell 3 10" xfId="14666"/>
    <cellStyle name="Manual Input Cell 3 2" xfId="6129"/>
    <cellStyle name="Manual Input Cell 3 2 2" xfId="11225"/>
    <cellStyle name="Manual Input Cell 3 2 2 2" xfId="15531"/>
    <cellStyle name="Manual Input Cell 3 2 2 3" xfId="16610"/>
    <cellStyle name="Manual Input Cell 3 2 2 4" xfId="17644"/>
    <cellStyle name="Manual Input Cell 3 2 2 5" xfId="18614"/>
    <cellStyle name="Manual Input Cell 3 2 2 6" xfId="19520"/>
    <cellStyle name="Manual Input Cell 3 2 3" xfId="11807"/>
    <cellStyle name="Manual Input Cell 3 2 3 2" xfId="16113"/>
    <cellStyle name="Manual Input Cell 3 2 3 3" xfId="17192"/>
    <cellStyle name="Manual Input Cell 3 2 3 4" xfId="18214"/>
    <cellStyle name="Manual Input Cell 3 2 3 5" xfId="19184"/>
    <cellStyle name="Manual Input Cell 3 2 3 6" xfId="20090"/>
    <cellStyle name="Manual Input Cell 3 2 4" xfId="11979"/>
    <cellStyle name="Manual Input Cell 3 2 4 2" xfId="16285"/>
    <cellStyle name="Manual Input Cell 3 2 4 3" xfId="17364"/>
    <cellStyle name="Manual Input Cell 3 2 4 4" xfId="18382"/>
    <cellStyle name="Manual Input Cell 3 2 4 5" xfId="19352"/>
    <cellStyle name="Manual Input Cell 3 2 4 6" xfId="20258"/>
    <cellStyle name="Manual Input Cell 3 2 5" xfId="13862"/>
    <cellStyle name="Manual Input Cell 3 2 6" xfId="13206"/>
    <cellStyle name="Manual Input Cell 3 2 7" xfId="12436"/>
    <cellStyle name="Manual Input Cell 3 2 8" xfId="12285"/>
    <cellStyle name="Manual Input Cell 3 2 9" xfId="18419"/>
    <cellStyle name="Manual Input Cell 3 3" xfId="7999"/>
    <cellStyle name="Manual Input Cell 3 3 2" xfId="14520"/>
    <cellStyle name="Manual Input Cell 3 3 3" xfId="14505"/>
    <cellStyle name="Manual Input Cell 3 3 4" xfId="15187"/>
    <cellStyle name="Manual Input Cell 3 3 5" xfId="13219"/>
    <cellStyle name="Manual Input Cell 3 3 6" xfId="15047"/>
    <cellStyle name="Manual Input Cell 3 4" xfId="11420"/>
    <cellStyle name="Manual Input Cell 3 4 2" xfId="15726"/>
    <cellStyle name="Manual Input Cell 3 4 3" xfId="16805"/>
    <cellStyle name="Manual Input Cell 3 4 4" xfId="17834"/>
    <cellStyle name="Manual Input Cell 3 4 5" xfId="18804"/>
    <cellStyle name="Manual Input Cell 3 4 6" xfId="19710"/>
    <cellStyle name="Manual Input Cell 3 5" xfId="11426"/>
    <cellStyle name="Manual Input Cell 3 5 2" xfId="15732"/>
    <cellStyle name="Manual Input Cell 3 5 3" xfId="16811"/>
    <cellStyle name="Manual Input Cell 3 5 4" xfId="17839"/>
    <cellStyle name="Manual Input Cell 3 5 5" xfId="18809"/>
    <cellStyle name="Manual Input Cell 3 5 6" xfId="19715"/>
    <cellStyle name="Manual Input Cell 3 6" xfId="12825"/>
    <cellStyle name="Manual Input Cell 3 7" xfId="12473"/>
    <cellStyle name="Manual Input Cell 3 8" xfId="14239"/>
    <cellStyle name="Manual Input Cell 3 9" xfId="15274"/>
    <cellStyle name="Manual Input Cell 4" xfId="6026"/>
    <cellStyle name="Manual Input Cell 4 2" xfId="11122"/>
    <cellStyle name="Manual Input Cell 4 2 2" xfId="15428"/>
    <cellStyle name="Manual Input Cell 4 2 3" xfId="16507"/>
    <cellStyle name="Manual Input Cell 4 2 4" xfId="17541"/>
    <cellStyle name="Manual Input Cell 4 2 5" xfId="18511"/>
    <cellStyle name="Manual Input Cell 4 2 6" xfId="19417"/>
    <cellStyle name="Manual Input Cell 4 3" xfId="11704"/>
    <cellStyle name="Manual Input Cell 4 3 2" xfId="16010"/>
    <cellStyle name="Manual Input Cell 4 3 3" xfId="17089"/>
    <cellStyle name="Manual Input Cell 4 3 4" xfId="18111"/>
    <cellStyle name="Manual Input Cell 4 3 5" xfId="19081"/>
    <cellStyle name="Manual Input Cell 4 3 6" xfId="19987"/>
    <cellStyle name="Manual Input Cell 4 4" xfId="11876"/>
    <cellStyle name="Manual Input Cell 4 4 2" xfId="16182"/>
    <cellStyle name="Manual Input Cell 4 4 3" xfId="17261"/>
    <cellStyle name="Manual Input Cell 4 4 4" xfId="18279"/>
    <cellStyle name="Manual Input Cell 4 4 5" xfId="19249"/>
    <cellStyle name="Manual Input Cell 4 4 6" xfId="20155"/>
    <cellStyle name="Manual Input Cell 4 5" xfId="13759"/>
    <cellStyle name="Manual Input Cell 4 6" xfId="13346"/>
    <cellStyle name="Manual Input Cell 4 7" xfId="12881"/>
    <cellStyle name="Manual Input Cell 4 8" xfId="16408"/>
    <cellStyle name="Manual Input Cell 4 9" xfId="18459"/>
    <cellStyle name="Manual Input Cell 5" xfId="6850"/>
    <cellStyle name="Manual Input Cell 5 2" xfId="14164"/>
    <cellStyle name="Manual Input Cell 5 3" xfId="12331"/>
    <cellStyle name="Manual Input Cell 5 4" xfId="15333"/>
    <cellStyle name="Manual Input Cell 5 5" xfId="13150"/>
    <cellStyle name="Manual Input Cell 5 6" xfId="12623"/>
    <cellStyle name="Manual Input Cell 6" xfId="11263"/>
    <cellStyle name="Manual Input Cell 6 2" xfId="15569"/>
    <cellStyle name="Manual Input Cell 6 3" xfId="16648"/>
    <cellStyle name="Manual Input Cell 6 4" xfId="17678"/>
    <cellStyle name="Manual Input Cell 6 5" xfId="18648"/>
    <cellStyle name="Manual Input Cell 6 6" xfId="19554"/>
    <cellStyle name="Manual Input Cell 7" xfId="11290"/>
    <cellStyle name="Manual Input Cell 7 2" xfId="15596"/>
    <cellStyle name="Manual Input Cell 7 3" xfId="16675"/>
    <cellStyle name="Manual Input Cell 7 4" xfId="17705"/>
    <cellStyle name="Manual Input Cell 7 5" xfId="18675"/>
    <cellStyle name="Manual Input Cell 7 6" xfId="19581"/>
    <cellStyle name="Manual Input Cell 8" xfId="12405"/>
    <cellStyle name="Manual Input Cell 9" xfId="12181"/>
    <cellStyle name="mennu bar" xfId="1594"/>
    <cellStyle name="mennu bar 10" xfId="13176"/>
    <cellStyle name="mennu bar 11" xfId="14481"/>
    <cellStyle name="mennu bar 12" xfId="12871"/>
    <cellStyle name="mennu bar 2" xfId="2235"/>
    <cellStyle name="mennu bar 2 10" xfId="15374"/>
    <cellStyle name="mennu bar 2 11" xfId="13596"/>
    <cellStyle name="mennu bar 2 2" xfId="2332"/>
    <cellStyle name="mennu bar 2 2 10" xfId="12340"/>
    <cellStyle name="mennu bar 2 2 2" xfId="6041"/>
    <cellStyle name="mennu bar 2 2 2 2" xfId="11137"/>
    <cellStyle name="mennu bar 2 2 2 2 2" xfId="15443"/>
    <cellStyle name="mennu bar 2 2 2 2 3" xfId="16522"/>
    <cellStyle name="mennu bar 2 2 2 2 4" xfId="17556"/>
    <cellStyle name="mennu bar 2 2 2 2 5" xfId="18526"/>
    <cellStyle name="mennu bar 2 2 2 2 6" xfId="19432"/>
    <cellStyle name="mennu bar 2 2 2 3" xfId="11719"/>
    <cellStyle name="mennu bar 2 2 2 3 2" xfId="16025"/>
    <cellStyle name="mennu bar 2 2 2 3 3" xfId="17104"/>
    <cellStyle name="mennu bar 2 2 2 3 4" xfId="18126"/>
    <cellStyle name="mennu bar 2 2 2 3 5" xfId="19096"/>
    <cellStyle name="mennu bar 2 2 2 3 6" xfId="20002"/>
    <cellStyle name="mennu bar 2 2 2 4" xfId="11891"/>
    <cellStyle name="mennu bar 2 2 2 4 2" xfId="16197"/>
    <cellStyle name="mennu bar 2 2 2 4 3" xfId="17276"/>
    <cellStyle name="mennu bar 2 2 2 4 4" xfId="18294"/>
    <cellStyle name="mennu bar 2 2 2 4 5" xfId="19264"/>
    <cellStyle name="mennu bar 2 2 2 4 6" xfId="20170"/>
    <cellStyle name="mennu bar 2 2 2 5" xfId="13774"/>
    <cellStyle name="mennu bar 2 2 2 6" xfId="15021"/>
    <cellStyle name="mennu bar 2 2 2 7" xfId="14708"/>
    <cellStyle name="mennu bar 2 2 2 8" xfId="13276"/>
    <cellStyle name="mennu bar 2 2 2 9" xfId="12046"/>
    <cellStyle name="mennu bar 2 2 3" xfId="7441"/>
    <cellStyle name="mennu bar 2 2 3 2" xfId="14316"/>
    <cellStyle name="mennu bar 2 2 3 3" xfId="15195"/>
    <cellStyle name="mennu bar 2 2 3 4" xfId="16315"/>
    <cellStyle name="mennu bar 2 2 3 5" xfId="14593"/>
    <cellStyle name="mennu bar 2 2 3 6" xfId="13645"/>
    <cellStyle name="mennu bar 2 2 4" xfId="11322"/>
    <cellStyle name="mennu bar 2 2 4 2" xfId="15628"/>
    <cellStyle name="mennu bar 2 2 4 3" xfId="16707"/>
    <cellStyle name="mennu bar 2 2 4 4" xfId="17736"/>
    <cellStyle name="mennu bar 2 2 4 5" xfId="18706"/>
    <cellStyle name="mennu bar 2 2 4 6" xfId="19612"/>
    <cellStyle name="mennu bar 2 2 5" xfId="11447"/>
    <cellStyle name="mennu bar 2 2 5 2" xfId="15753"/>
    <cellStyle name="mennu bar 2 2 5 3" xfId="16832"/>
    <cellStyle name="mennu bar 2 2 5 4" xfId="17860"/>
    <cellStyle name="mennu bar 2 2 5 5" xfId="18830"/>
    <cellStyle name="mennu bar 2 2 5 6" xfId="19736"/>
    <cellStyle name="mennu bar 2 2 6" xfId="12613"/>
    <cellStyle name="mennu bar 2 2 7" xfId="12502"/>
    <cellStyle name="mennu bar 2 2 8" xfId="13308"/>
    <cellStyle name="mennu bar 2 2 9" xfId="12015"/>
    <cellStyle name="mennu bar 2 3" xfId="6030"/>
    <cellStyle name="mennu bar 2 3 2" xfId="11126"/>
    <cellStyle name="mennu bar 2 3 2 2" xfId="15432"/>
    <cellStyle name="mennu bar 2 3 2 3" xfId="16511"/>
    <cellStyle name="mennu bar 2 3 2 4" xfId="17545"/>
    <cellStyle name="mennu bar 2 3 2 5" xfId="18515"/>
    <cellStyle name="mennu bar 2 3 2 6" xfId="19421"/>
    <cellStyle name="mennu bar 2 3 3" xfId="11708"/>
    <cellStyle name="mennu bar 2 3 3 2" xfId="16014"/>
    <cellStyle name="mennu bar 2 3 3 3" xfId="17093"/>
    <cellStyle name="mennu bar 2 3 3 4" xfId="18115"/>
    <cellStyle name="mennu bar 2 3 3 5" xfId="19085"/>
    <cellStyle name="mennu bar 2 3 3 6" xfId="19991"/>
    <cellStyle name="mennu bar 2 3 4" xfId="11880"/>
    <cellStyle name="mennu bar 2 3 4 2" xfId="16186"/>
    <cellStyle name="mennu bar 2 3 4 3" xfId="17265"/>
    <cellStyle name="mennu bar 2 3 4 4" xfId="18283"/>
    <cellStyle name="mennu bar 2 3 4 5" xfId="19253"/>
    <cellStyle name="mennu bar 2 3 4 6" xfId="20159"/>
    <cellStyle name="mennu bar 2 3 5" xfId="13763"/>
    <cellStyle name="mennu bar 2 3 6" xfId="12991"/>
    <cellStyle name="mennu bar 2 3 7" xfId="13270"/>
    <cellStyle name="mennu bar 2 3 8" xfId="14596"/>
    <cellStyle name="mennu bar 2 3 9" xfId="14585"/>
    <cellStyle name="mennu bar 2 4" xfId="7345"/>
    <cellStyle name="mennu bar 2 4 2" xfId="14278"/>
    <cellStyle name="mennu bar 2 4 3" xfId="14370"/>
    <cellStyle name="mennu bar 2 4 4" xfId="13954"/>
    <cellStyle name="mennu bar 2 4 5" xfId="15324"/>
    <cellStyle name="mennu bar 2 4 6" xfId="12891"/>
    <cellStyle name="mennu bar 2 5" xfId="11311"/>
    <cellStyle name="mennu bar 2 5 2" xfId="15617"/>
    <cellStyle name="mennu bar 2 5 3" xfId="16696"/>
    <cellStyle name="mennu bar 2 5 4" xfId="17725"/>
    <cellStyle name="mennu bar 2 5 5" xfId="18695"/>
    <cellStyle name="mennu bar 2 5 6" xfId="19601"/>
    <cellStyle name="mennu bar 2 6" xfId="11289"/>
    <cellStyle name="mennu bar 2 6 2" xfId="15595"/>
    <cellStyle name="mennu bar 2 6 3" xfId="16674"/>
    <cellStyle name="mennu bar 2 6 4" xfId="17704"/>
    <cellStyle name="mennu bar 2 6 5" xfId="18674"/>
    <cellStyle name="mennu bar 2 6 6" xfId="19580"/>
    <cellStyle name="mennu bar 2 7" xfId="12576"/>
    <cellStyle name="mennu bar 2 8" xfId="13063"/>
    <cellStyle name="mennu bar 2 9" xfId="14195"/>
    <cellStyle name="mennu bar 3" xfId="2329"/>
    <cellStyle name="mennu bar 3 10" xfId="18440"/>
    <cellStyle name="mennu bar 3 2" xfId="6039"/>
    <cellStyle name="mennu bar 3 2 2" xfId="11135"/>
    <cellStyle name="mennu bar 3 2 2 2" xfId="15441"/>
    <cellStyle name="mennu bar 3 2 2 3" xfId="16520"/>
    <cellStyle name="mennu bar 3 2 2 4" xfId="17554"/>
    <cellStyle name="mennu bar 3 2 2 5" xfId="18524"/>
    <cellStyle name="mennu bar 3 2 2 6" xfId="19430"/>
    <cellStyle name="mennu bar 3 2 3" xfId="11717"/>
    <cellStyle name="mennu bar 3 2 3 2" xfId="16023"/>
    <cellStyle name="mennu bar 3 2 3 3" xfId="17102"/>
    <cellStyle name="mennu bar 3 2 3 4" xfId="18124"/>
    <cellStyle name="mennu bar 3 2 3 5" xfId="19094"/>
    <cellStyle name="mennu bar 3 2 3 6" xfId="20000"/>
    <cellStyle name="mennu bar 3 2 4" xfId="11889"/>
    <cellStyle name="mennu bar 3 2 4 2" xfId="16195"/>
    <cellStyle name="mennu bar 3 2 4 3" xfId="17274"/>
    <cellStyle name="mennu bar 3 2 4 4" xfId="18292"/>
    <cellStyle name="mennu bar 3 2 4 5" xfId="19262"/>
    <cellStyle name="mennu bar 3 2 4 6" xfId="20168"/>
    <cellStyle name="mennu bar 3 2 5" xfId="13772"/>
    <cellStyle name="mennu bar 3 2 6" xfId="12585"/>
    <cellStyle name="mennu bar 3 2 7" xfId="15315"/>
    <cellStyle name="mennu bar 3 2 8" xfId="17486"/>
    <cellStyle name="mennu bar 3 2 9" xfId="14988"/>
    <cellStyle name="mennu bar 3 3" xfId="7438"/>
    <cellStyle name="mennu bar 3 3 2" xfId="14314"/>
    <cellStyle name="mennu bar 3 3 3" xfId="14859"/>
    <cellStyle name="mennu bar 3 3 4" xfId="13981"/>
    <cellStyle name="mennu bar 3 3 5" xfId="12155"/>
    <cellStyle name="mennu bar 3 3 6" xfId="12458"/>
    <cellStyle name="mennu bar 3 4" xfId="11320"/>
    <cellStyle name="mennu bar 3 4 2" xfId="15626"/>
    <cellStyle name="mennu bar 3 4 3" xfId="16705"/>
    <cellStyle name="mennu bar 3 4 4" xfId="17734"/>
    <cellStyle name="mennu bar 3 4 5" xfId="18704"/>
    <cellStyle name="mennu bar 3 4 6" xfId="19610"/>
    <cellStyle name="mennu bar 3 5" xfId="11285"/>
    <cellStyle name="mennu bar 3 5 2" xfId="15591"/>
    <cellStyle name="mennu bar 3 5 3" xfId="16670"/>
    <cellStyle name="mennu bar 3 5 4" xfId="17700"/>
    <cellStyle name="mennu bar 3 5 5" xfId="18670"/>
    <cellStyle name="mennu bar 3 5 6" xfId="19576"/>
    <cellStyle name="mennu bar 3 6" xfId="12610"/>
    <cellStyle name="mennu bar 3 7" xfId="15312"/>
    <cellStyle name="mennu bar 3 8" xfId="16406"/>
    <cellStyle name="mennu bar 3 9" xfId="15036"/>
    <cellStyle name="mennu bar 4" xfId="6027"/>
    <cellStyle name="mennu bar 4 2" xfId="11123"/>
    <cellStyle name="mennu bar 4 2 2" xfId="15429"/>
    <cellStyle name="mennu bar 4 2 3" xfId="16508"/>
    <cellStyle name="mennu bar 4 2 4" xfId="17542"/>
    <cellStyle name="mennu bar 4 2 5" xfId="18512"/>
    <cellStyle name="mennu bar 4 2 6" xfId="19418"/>
    <cellStyle name="mennu bar 4 3" xfId="11705"/>
    <cellStyle name="mennu bar 4 3 2" xfId="16011"/>
    <cellStyle name="mennu bar 4 3 3" xfId="17090"/>
    <cellStyle name="mennu bar 4 3 4" xfId="18112"/>
    <cellStyle name="mennu bar 4 3 5" xfId="19082"/>
    <cellStyle name="mennu bar 4 3 6" xfId="19988"/>
    <cellStyle name="mennu bar 4 4" xfId="11877"/>
    <cellStyle name="mennu bar 4 4 2" xfId="16183"/>
    <cellStyle name="mennu bar 4 4 3" xfId="17262"/>
    <cellStyle name="mennu bar 4 4 4" xfId="18280"/>
    <cellStyle name="mennu bar 4 4 5" xfId="19250"/>
    <cellStyle name="mennu bar 4 4 6" xfId="20156"/>
    <cellStyle name="mennu bar 4 5" xfId="13760"/>
    <cellStyle name="mennu bar 4 6" xfId="14676"/>
    <cellStyle name="mennu bar 4 7" xfId="14498"/>
    <cellStyle name="mennu bar 4 8" xfId="12586"/>
    <cellStyle name="mennu bar 4 9" xfId="16317"/>
    <cellStyle name="mennu bar 5" xfId="6851"/>
    <cellStyle name="mennu bar 5 2" xfId="14165"/>
    <cellStyle name="mennu bar 5 3" xfId="12330"/>
    <cellStyle name="mennu bar 5 4" xfId="14646"/>
    <cellStyle name="mennu bar 5 5" xfId="17390"/>
    <cellStyle name="mennu bar 5 6" xfId="12978"/>
    <cellStyle name="mennu bar 6" xfId="11264"/>
    <cellStyle name="mennu bar 6 2" xfId="15570"/>
    <cellStyle name="mennu bar 6 3" xfId="16649"/>
    <cellStyle name="mennu bar 6 4" xfId="17679"/>
    <cellStyle name="mennu bar 6 5" xfId="18649"/>
    <cellStyle name="mennu bar 6 6" xfId="19555"/>
    <cellStyle name="mennu bar 7" xfId="11291"/>
    <cellStyle name="mennu bar 7 2" xfId="15597"/>
    <cellStyle name="mennu bar 7 3" xfId="16676"/>
    <cellStyle name="mennu bar 7 4" xfId="17706"/>
    <cellStyle name="mennu bar 7 5" xfId="18676"/>
    <cellStyle name="mennu bar 7 6" xfId="19582"/>
    <cellStyle name="mennu bar 8" xfId="12406"/>
    <cellStyle name="mennu bar 9" xfId="14249"/>
    <cellStyle name="Model Generated Cell" xfId="1595"/>
    <cellStyle name="ModGen" xfId="1596"/>
    <cellStyle name="Names" xfId="1597"/>
    <cellStyle name="Neutral" xfId="115" builtinId="28" customBuiltin="1"/>
    <cellStyle name="Neutral 2" xfId="53"/>
    <cellStyle name="Neutral 2 2" xfId="858"/>
    <cellStyle name="Neutral 2 3" xfId="1598"/>
    <cellStyle name="Neutral 3" xfId="394"/>
    <cellStyle name="Neutral 3 2" xfId="859"/>
    <cellStyle name="Neutral 4" xfId="395"/>
    <cellStyle name="Neutral 5" xfId="396"/>
    <cellStyle name="Neutral 6" xfId="397"/>
    <cellStyle name="Neutral 7" xfId="398"/>
    <cellStyle name="Neutral 8" xfId="399"/>
    <cellStyle name="Neutral 9" xfId="549"/>
    <cellStyle name="no dec" xfId="1599"/>
    <cellStyle name="Normal" xfId="0" builtinId="0"/>
    <cellStyle name="Normal - Style1" xfId="1600"/>
    <cellStyle name="Normal 10" xfId="73"/>
    <cellStyle name="Normal 10 2" xfId="576"/>
    <cellStyle name="Normal 10 2 2" xfId="1603"/>
    <cellStyle name="Normal 10 2 2 2" xfId="1604"/>
    <cellStyle name="Normal 10 2 2 2 2" xfId="1605"/>
    <cellStyle name="Normal 10 2 2 2 2 2" xfId="3015"/>
    <cellStyle name="Normal 10 2 2 2 2 2 2" xfId="5411"/>
    <cellStyle name="Normal 10 2 2 2 2 2 2 2" xfId="10507"/>
    <cellStyle name="Normal 10 2 2 2 2 2 3" xfId="8118"/>
    <cellStyle name="Normal 10 2 2 2 2 3" xfId="4219"/>
    <cellStyle name="Normal 10 2 2 2 2 3 2" xfId="9315"/>
    <cellStyle name="Normal 10 2 2 2 2 4" xfId="6856"/>
    <cellStyle name="Normal 10 2 2 2 3" xfId="3014"/>
    <cellStyle name="Normal 10 2 2 2 3 2" xfId="5410"/>
    <cellStyle name="Normal 10 2 2 2 3 2 2" xfId="10506"/>
    <cellStyle name="Normal 10 2 2 2 3 3" xfId="8117"/>
    <cellStyle name="Normal 10 2 2 2 4" xfId="4218"/>
    <cellStyle name="Normal 10 2 2 2 4 2" xfId="9314"/>
    <cellStyle name="Normal 10 2 2 2 5" xfId="6855"/>
    <cellStyle name="Normal 10 2 2 3" xfId="1606"/>
    <cellStyle name="Normal 10 2 2 3 2" xfId="3016"/>
    <cellStyle name="Normal 10 2 2 3 2 2" xfId="5412"/>
    <cellStyle name="Normal 10 2 2 3 2 2 2" xfId="10508"/>
    <cellStyle name="Normal 10 2 2 3 2 3" xfId="8119"/>
    <cellStyle name="Normal 10 2 2 3 3" xfId="4220"/>
    <cellStyle name="Normal 10 2 2 3 3 2" xfId="9316"/>
    <cellStyle name="Normal 10 2 2 3 4" xfId="6857"/>
    <cellStyle name="Normal 10 2 2 4" xfId="1607"/>
    <cellStyle name="Normal 10 2 2 4 2" xfId="3017"/>
    <cellStyle name="Normal 10 2 2 4 2 2" xfId="5413"/>
    <cellStyle name="Normal 10 2 2 4 2 2 2" xfId="10509"/>
    <cellStyle name="Normal 10 2 2 4 2 3" xfId="8120"/>
    <cellStyle name="Normal 10 2 2 4 3" xfId="4221"/>
    <cellStyle name="Normal 10 2 2 4 3 2" xfId="9317"/>
    <cellStyle name="Normal 10 2 2 4 4" xfId="6858"/>
    <cellStyle name="Normal 10 2 2 5" xfId="3013"/>
    <cellStyle name="Normal 10 2 2 5 2" xfId="5409"/>
    <cellStyle name="Normal 10 2 2 5 2 2" xfId="10505"/>
    <cellStyle name="Normal 10 2 2 5 3" xfId="8116"/>
    <cellStyle name="Normal 10 2 2 6" xfId="4217"/>
    <cellStyle name="Normal 10 2 2 6 2" xfId="9313"/>
    <cellStyle name="Normal 10 2 2 7" xfId="6854"/>
    <cellStyle name="Normal 10 2 3" xfId="1608"/>
    <cellStyle name="Normal 10 2 3 2" xfId="1609"/>
    <cellStyle name="Normal 10 2 3 2 2" xfId="3019"/>
    <cellStyle name="Normal 10 2 3 2 2 2" xfId="5415"/>
    <cellStyle name="Normal 10 2 3 2 2 2 2" xfId="10511"/>
    <cellStyle name="Normal 10 2 3 2 2 3" xfId="8122"/>
    <cellStyle name="Normal 10 2 3 2 3" xfId="4223"/>
    <cellStyle name="Normal 10 2 3 2 3 2" xfId="9319"/>
    <cellStyle name="Normal 10 2 3 2 4" xfId="6860"/>
    <cellStyle name="Normal 10 2 3 3" xfId="3018"/>
    <cellStyle name="Normal 10 2 3 3 2" xfId="5414"/>
    <cellStyle name="Normal 10 2 3 3 2 2" xfId="10510"/>
    <cellStyle name="Normal 10 2 3 3 3" xfId="8121"/>
    <cellStyle name="Normal 10 2 3 4" xfId="4222"/>
    <cellStyle name="Normal 10 2 3 4 2" xfId="9318"/>
    <cellStyle name="Normal 10 2 3 5" xfId="6859"/>
    <cellStyle name="Normal 10 2 4" xfId="1610"/>
    <cellStyle name="Normal 10 2 4 2" xfId="3020"/>
    <cellStyle name="Normal 10 2 4 2 2" xfId="5416"/>
    <cellStyle name="Normal 10 2 4 2 2 2" xfId="10512"/>
    <cellStyle name="Normal 10 2 4 2 3" xfId="8123"/>
    <cellStyle name="Normal 10 2 4 3" xfId="4224"/>
    <cellStyle name="Normal 10 2 4 3 2" xfId="9320"/>
    <cellStyle name="Normal 10 2 4 4" xfId="6861"/>
    <cellStyle name="Normal 10 2 5" xfId="1611"/>
    <cellStyle name="Normal 10 2 5 2" xfId="3021"/>
    <cellStyle name="Normal 10 2 5 2 2" xfId="5417"/>
    <cellStyle name="Normal 10 2 5 2 2 2" xfId="10513"/>
    <cellStyle name="Normal 10 2 5 2 3" xfId="8124"/>
    <cellStyle name="Normal 10 2 5 3" xfId="4225"/>
    <cellStyle name="Normal 10 2 5 3 2" xfId="9321"/>
    <cellStyle name="Normal 10 2 5 4" xfId="6862"/>
    <cellStyle name="Normal 10 2 6" xfId="1602"/>
    <cellStyle name="Normal 10 2 6 2" xfId="3012"/>
    <cellStyle name="Normal 10 2 6 2 2" xfId="5408"/>
    <cellStyle name="Normal 10 2 6 2 2 2" xfId="10504"/>
    <cellStyle name="Normal 10 2 6 2 3" xfId="8115"/>
    <cellStyle name="Normal 10 2 6 3" xfId="4216"/>
    <cellStyle name="Normal 10 2 6 3 2" xfId="9312"/>
    <cellStyle name="Normal 10 2 6 4" xfId="6853"/>
    <cellStyle name="Normal 10 2 7" xfId="2382"/>
    <cellStyle name="Normal 10 2 7 2" xfId="4829"/>
    <cellStyle name="Normal 10 2 7 2 2" xfId="9925"/>
    <cellStyle name="Normal 10 2 7 3" xfId="7486"/>
    <cellStyle name="Normal 10 2 8" xfId="3646"/>
    <cellStyle name="Normal 10 2 8 2" xfId="8745"/>
    <cellStyle name="Normal 10 2 9" xfId="6226"/>
    <cellStyle name="Normal 10 3" xfId="1612"/>
    <cellStyle name="Normal 10 3 2" xfId="1613"/>
    <cellStyle name="Normal 10 3 2 2" xfId="1614"/>
    <cellStyle name="Normal 10 3 2 2 2" xfId="3024"/>
    <cellStyle name="Normal 10 3 2 2 2 2" xfId="5420"/>
    <cellStyle name="Normal 10 3 2 2 2 2 2" xfId="10516"/>
    <cellStyle name="Normal 10 3 2 2 2 3" xfId="8127"/>
    <cellStyle name="Normal 10 3 2 2 3" xfId="4228"/>
    <cellStyle name="Normal 10 3 2 2 3 2" xfId="9324"/>
    <cellStyle name="Normal 10 3 2 2 4" xfId="6865"/>
    <cellStyle name="Normal 10 3 2 3" xfId="3023"/>
    <cellStyle name="Normal 10 3 2 3 2" xfId="5419"/>
    <cellStyle name="Normal 10 3 2 3 2 2" xfId="10515"/>
    <cellStyle name="Normal 10 3 2 3 3" xfId="8126"/>
    <cellStyle name="Normal 10 3 2 4" xfId="4227"/>
    <cellStyle name="Normal 10 3 2 4 2" xfId="9323"/>
    <cellStyle name="Normal 10 3 2 5" xfId="6864"/>
    <cellStyle name="Normal 10 3 3" xfId="1615"/>
    <cellStyle name="Normal 10 3 3 2" xfId="3025"/>
    <cellStyle name="Normal 10 3 3 2 2" xfId="5421"/>
    <cellStyle name="Normal 10 3 3 2 2 2" xfId="10517"/>
    <cellStyle name="Normal 10 3 3 2 3" xfId="8128"/>
    <cellStyle name="Normal 10 3 3 3" xfId="4229"/>
    <cellStyle name="Normal 10 3 3 3 2" xfId="9325"/>
    <cellStyle name="Normal 10 3 3 4" xfId="6866"/>
    <cellStyle name="Normal 10 3 4" xfId="1616"/>
    <cellStyle name="Normal 10 3 4 2" xfId="3026"/>
    <cellStyle name="Normal 10 3 4 2 2" xfId="5422"/>
    <cellStyle name="Normal 10 3 4 2 2 2" xfId="10518"/>
    <cellStyle name="Normal 10 3 4 2 3" xfId="8129"/>
    <cellStyle name="Normal 10 3 4 3" xfId="4230"/>
    <cellStyle name="Normal 10 3 4 3 2" xfId="9326"/>
    <cellStyle name="Normal 10 3 4 4" xfId="6867"/>
    <cellStyle name="Normal 10 3 5" xfId="3022"/>
    <cellStyle name="Normal 10 3 5 2" xfId="5418"/>
    <cellStyle name="Normal 10 3 5 2 2" xfId="10514"/>
    <cellStyle name="Normal 10 3 5 3" xfId="8125"/>
    <cellStyle name="Normal 10 3 6" xfId="4226"/>
    <cellStyle name="Normal 10 3 6 2" xfId="9322"/>
    <cellStyle name="Normal 10 3 7" xfId="6863"/>
    <cellStyle name="Normal 10 4" xfId="1617"/>
    <cellStyle name="Normal 10 4 2" xfId="1618"/>
    <cellStyle name="Normal 10 4 2 2" xfId="1619"/>
    <cellStyle name="Normal 10 4 2 2 2" xfId="3029"/>
    <cellStyle name="Normal 10 4 2 2 2 2" xfId="5425"/>
    <cellStyle name="Normal 10 4 2 2 2 2 2" xfId="10521"/>
    <cellStyle name="Normal 10 4 2 2 2 3" xfId="8132"/>
    <cellStyle name="Normal 10 4 2 2 3" xfId="4233"/>
    <cellStyle name="Normal 10 4 2 2 3 2" xfId="9329"/>
    <cellStyle name="Normal 10 4 2 2 4" xfId="6870"/>
    <cellStyle name="Normal 10 4 2 3" xfId="3028"/>
    <cellStyle name="Normal 10 4 2 3 2" xfId="5424"/>
    <cellStyle name="Normal 10 4 2 3 2 2" xfId="10520"/>
    <cellStyle name="Normal 10 4 2 3 3" xfId="8131"/>
    <cellStyle name="Normal 10 4 2 4" xfId="4232"/>
    <cellStyle name="Normal 10 4 2 4 2" xfId="9328"/>
    <cellStyle name="Normal 10 4 2 5" xfId="6869"/>
    <cellStyle name="Normal 10 4 3" xfId="1620"/>
    <cellStyle name="Normal 10 4 3 2" xfId="3030"/>
    <cellStyle name="Normal 10 4 3 2 2" xfId="5426"/>
    <cellStyle name="Normal 10 4 3 2 2 2" xfId="10522"/>
    <cellStyle name="Normal 10 4 3 2 3" xfId="8133"/>
    <cellStyle name="Normal 10 4 3 3" xfId="4234"/>
    <cellStyle name="Normal 10 4 3 3 2" xfId="9330"/>
    <cellStyle name="Normal 10 4 3 4" xfId="6871"/>
    <cellStyle name="Normal 10 4 4" xfId="1621"/>
    <cellStyle name="Normal 10 4 4 2" xfId="3031"/>
    <cellStyle name="Normal 10 4 4 2 2" xfId="5427"/>
    <cellStyle name="Normal 10 4 4 2 2 2" xfId="10523"/>
    <cellStyle name="Normal 10 4 4 2 3" xfId="8134"/>
    <cellStyle name="Normal 10 4 4 3" xfId="4235"/>
    <cellStyle name="Normal 10 4 4 3 2" xfId="9331"/>
    <cellStyle name="Normal 10 4 4 4" xfId="6872"/>
    <cellStyle name="Normal 10 4 5" xfId="3027"/>
    <cellStyle name="Normal 10 4 5 2" xfId="5423"/>
    <cellStyle name="Normal 10 4 5 2 2" xfId="10519"/>
    <cellStyle name="Normal 10 4 5 3" xfId="8130"/>
    <cellStyle name="Normal 10 4 6" xfId="4231"/>
    <cellStyle name="Normal 10 4 6 2" xfId="9327"/>
    <cellStyle name="Normal 10 4 7" xfId="6868"/>
    <cellStyle name="Normal 10 5" xfId="1622"/>
    <cellStyle name="Normal 10 5 2" xfId="1623"/>
    <cellStyle name="Normal 10 5 2 2" xfId="1624"/>
    <cellStyle name="Normal 10 5 2 2 2" xfId="3034"/>
    <cellStyle name="Normal 10 5 2 2 2 2" xfId="5430"/>
    <cellStyle name="Normal 10 5 2 2 2 2 2" xfId="10526"/>
    <cellStyle name="Normal 10 5 2 2 2 3" xfId="8137"/>
    <cellStyle name="Normal 10 5 2 2 3" xfId="4238"/>
    <cellStyle name="Normal 10 5 2 2 3 2" xfId="9334"/>
    <cellStyle name="Normal 10 5 2 2 4" xfId="6875"/>
    <cellStyle name="Normal 10 5 2 3" xfId="3033"/>
    <cellStyle name="Normal 10 5 2 3 2" xfId="5429"/>
    <cellStyle name="Normal 10 5 2 3 2 2" xfId="10525"/>
    <cellStyle name="Normal 10 5 2 3 3" xfId="8136"/>
    <cellStyle name="Normal 10 5 2 4" xfId="4237"/>
    <cellStyle name="Normal 10 5 2 4 2" xfId="9333"/>
    <cellStyle name="Normal 10 5 2 5" xfId="6874"/>
    <cellStyle name="Normal 10 5 3" xfId="1625"/>
    <cellStyle name="Normal 10 5 3 2" xfId="3035"/>
    <cellStyle name="Normal 10 5 3 2 2" xfId="5431"/>
    <cellStyle name="Normal 10 5 3 2 2 2" xfId="10527"/>
    <cellStyle name="Normal 10 5 3 2 3" xfId="8138"/>
    <cellStyle name="Normal 10 5 3 3" xfId="4239"/>
    <cellStyle name="Normal 10 5 3 3 2" xfId="9335"/>
    <cellStyle name="Normal 10 5 3 4" xfId="6876"/>
    <cellStyle name="Normal 10 5 4" xfId="1626"/>
    <cellStyle name="Normal 10 5 4 2" xfId="3036"/>
    <cellStyle name="Normal 10 5 4 2 2" xfId="5432"/>
    <cellStyle name="Normal 10 5 4 2 2 2" xfId="10528"/>
    <cellStyle name="Normal 10 5 4 2 3" xfId="8139"/>
    <cellStyle name="Normal 10 5 4 3" xfId="4240"/>
    <cellStyle name="Normal 10 5 4 3 2" xfId="9336"/>
    <cellStyle name="Normal 10 5 4 4" xfId="6877"/>
    <cellStyle name="Normal 10 5 5" xfId="3032"/>
    <cellStyle name="Normal 10 5 5 2" xfId="5428"/>
    <cellStyle name="Normal 10 5 5 2 2" xfId="10524"/>
    <cellStyle name="Normal 10 5 5 3" xfId="8135"/>
    <cellStyle name="Normal 10 5 6" xfId="4236"/>
    <cellStyle name="Normal 10 5 6 2" xfId="9332"/>
    <cellStyle name="Normal 10 5 7" xfId="6873"/>
    <cellStyle name="Normal 10 6" xfId="1627"/>
    <cellStyle name="Normal 10 6 2" xfId="1628"/>
    <cellStyle name="Normal 10 6 2 2" xfId="3038"/>
    <cellStyle name="Normal 10 6 2 2 2" xfId="5434"/>
    <cellStyle name="Normal 10 6 2 2 2 2" xfId="10530"/>
    <cellStyle name="Normal 10 6 2 2 3" xfId="8141"/>
    <cellStyle name="Normal 10 6 2 3" xfId="4242"/>
    <cellStyle name="Normal 10 6 2 3 2" xfId="9338"/>
    <cellStyle name="Normal 10 6 2 4" xfId="6879"/>
    <cellStyle name="Normal 10 6 3" xfId="3037"/>
    <cellStyle name="Normal 10 6 3 2" xfId="5433"/>
    <cellStyle name="Normal 10 6 3 2 2" xfId="10529"/>
    <cellStyle name="Normal 10 6 3 3" xfId="8140"/>
    <cellStyle name="Normal 10 6 4" xfId="4241"/>
    <cellStyle name="Normal 10 6 4 2" xfId="9337"/>
    <cellStyle name="Normal 10 6 5" xfId="6878"/>
    <cellStyle name="Normal 10 7" xfId="1629"/>
    <cellStyle name="Normal 10 7 2" xfId="3039"/>
    <cellStyle name="Normal 10 7 2 2" xfId="5435"/>
    <cellStyle name="Normal 10 7 2 2 2" xfId="10531"/>
    <cellStyle name="Normal 10 7 2 3" xfId="8142"/>
    <cellStyle name="Normal 10 7 3" xfId="4243"/>
    <cellStyle name="Normal 10 7 3 2" xfId="9339"/>
    <cellStyle name="Normal 10 7 4" xfId="6880"/>
    <cellStyle name="Normal 10 8" xfId="1630"/>
    <cellStyle name="Normal 10 8 2" xfId="3040"/>
    <cellStyle name="Normal 10 8 2 2" xfId="5436"/>
    <cellStyle name="Normal 10 8 2 2 2" xfId="10532"/>
    <cellStyle name="Normal 10 8 2 3" xfId="8143"/>
    <cellStyle name="Normal 10 8 3" xfId="4244"/>
    <cellStyle name="Normal 10 8 3 2" xfId="9340"/>
    <cellStyle name="Normal 10 8 4" xfId="6881"/>
    <cellStyle name="Normal 10 9" xfId="1601"/>
    <cellStyle name="Normal 10 9 2" xfId="3011"/>
    <cellStyle name="Normal 10 9 2 2" xfId="5407"/>
    <cellStyle name="Normal 10 9 2 2 2" xfId="10503"/>
    <cellStyle name="Normal 10 9 2 3" xfId="8114"/>
    <cellStyle name="Normal 10 9 3" xfId="4215"/>
    <cellStyle name="Normal 10 9 3 2" xfId="9311"/>
    <cellStyle name="Normal 10 9 4" xfId="6852"/>
    <cellStyle name="Normal 100" xfId="2281"/>
    <cellStyle name="Normal 100 2" xfId="3534"/>
    <cellStyle name="Normal 100 2 2" xfId="5929"/>
    <cellStyle name="Normal 100 2 2 2" xfId="11025"/>
    <cellStyle name="Normal 100 2 3" xfId="8637"/>
    <cellStyle name="Normal 100 3" xfId="4740"/>
    <cellStyle name="Normal 100 3 2" xfId="9836"/>
    <cellStyle name="Normal 100 4" xfId="7390"/>
    <cellStyle name="Normal 101" xfId="2267"/>
    <cellStyle name="Normal 101 2" xfId="3520"/>
    <cellStyle name="Normal 101 2 2" xfId="5915"/>
    <cellStyle name="Normal 101 2 2 2" xfId="11011"/>
    <cellStyle name="Normal 101 2 3" xfId="8623"/>
    <cellStyle name="Normal 101 3" xfId="4726"/>
    <cellStyle name="Normal 101 3 2" xfId="9822"/>
    <cellStyle name="Normal 101 4" xfId="7376"/>
    <cellStyle name="Normal 102" xfId="2258"/>
    <cellStyle name="Normal 102 2" xfId="3511"/>
    <cellStyle name="Normal 102 2 2" xfId="5906"/>
    <cellStyle name="Normal 102 2 2 2" xfId="11002"/>
    <cellStyle name="Normal 102 2 3" xfId="8614"/>
    <cellStyle name="Normal 102 3" xfId="4717"/>
    <cellStyle name="Normal 102 3 2" xfId="9813"/>
    <cellStyle name="Normal 102 4" xfId="7367"/>
    <cellStyle name="Normal 103" xfId="2279"/>
    <cellStyle name="Normal 103 2" xfId="3532"/>
    <cellStyle name="Normal 103 2 2" xfId="5927"/>
    <cellStyle name="Normal 103 2 2 2" xfId="11023"/>
    <cellStyle name="Normal 103 2 3" xfId="8635"/>
    <cellStyle name="Normal 103 3" xfId="4738"/>
    <cellStyle name="Normal 103 3 2" xfId="9834"/>
    <cellStyle name="Normal 103 4" xfId="7388"/>
    <cellStyle name="Normal 104" xfId="2259"/>
    <cellStyle name="Normal 104 2" xfId="3512"/>
    <cellStyle name="Normal 104 2 2" xfId="5907"/>
    <cellStyle name="Normal 104 2 2 2" xfId="11003"/>
    <cellStyle name="Normal 104 2 3" xfId="8615"/>
    <cellStyle name="Normal 104 3" xfId="4718"/>
    <cellStyle name="Normal 104 3 2" xfId="9814"/>
    <cellStyle name="Normal 104 4" xfId="7368"/>
    <cellStyle name="Normal 105" xfId="2265"/>
    <cellStyle name="Normal 105 2" xfId="3518"/>
    <cellStyle name="Normal 105 2 2" xfId="5913"/>
    <cellStyle name="Normal 105 2 2 2" xfId="11009"/>
    <cellStyle name="Normal 105 2 3" xfId="8621"/>
    <cellStyle name="Normal 105 3" xfId="4724"/>
    <cellStyle name="Normal 105 3 2" xfId="9820"/>
    <cellStyle name="Normal 105 4" xfId="7374"/>
    <cellStyle name="Normal 106" xfId="2262"/>
    <cellStyle name="Normal 106 2" xfId="3515"/>
    <cellStyle name="Normal 106 2 2" xfId="5910"/>
    <cellStyle name="Normal 106 2 2 2" xfId="11006"/>
    <cellStyle name="Normal 106 2 3" xfId="8618"/>
    <cellStyle name="Normal 106 3" xfId="4721"/>
    <cellStyle name="Normal 106 3 2" xfId="9817"/>
    <cellStyle name="Normal 106 4" xfId="7371"/>
    <cellStyle name="Normal 107" xfId="2247"/>
    <cellStyle name="Normal 107 2" xfId="3501"/>
    <cellStyle name="Normal 107 2 2" xfId="5896"/>
    <cellStyle name="Normal 107 2 2 2" xfId="10992"/>
    <cellStyle name="Normal 107 2 3" xfId="8604"/>
    <cellStyle name="Normal 107 3" xfId="4707"/>
    <cellStyle name="Normal 107 3 2" xfId="9803"/>
    <cellStyle name="Normal 107 4" xfId="7356"/>
    <cellStyle name="Normal 108" xfId="2245"/>
    <cellStyle name="Normal 108 2" xfId="3499"/>
    <cellStyle name="Normal 108 2 2" xfId="5894"/>
    <cellStyle name="Normal 108 2 2 2" xfId="10990"/>
    <cellStyle name="Normal 108 2 3" xfId="8602"/>
    <cellStyle name="Normal 108 3" xfId="4705"/>
    <cellStyle name="Normal 108 3 2" xfId="9801"/>
    <cellStyle name="Normal 108 4" xfId="7354"/>
    <cellStyle name="Normal 109" xfId="2292"/>
    <cellStyle name="Normal 109 2" xfId="3545"/>
    <cellStyle name="Normal 109 2 2" xfId="5940"/>
    <cellStyle name="Normal 109 2 2 2" xfId="11036"/>
    <cellStyle name="Normal 109 2 3" xfId="8648"/>
    <cellStyle name="Normal 109 3" xfId="4751"/>
    <cellStyle name="Normal 109 3 2" xfId="9847"/>
    <cellStyle name="Normal 109 4" xfId="7401"/>
    <cellStyle name="Normal 11" xfId="13"/>
    <cellStyle name="Normal 11 10" xfId="1631"/>
    <cellStyle name="Normal 11 10 2" xfId="3041"/>
    <cellStyle name="Normal 11 10 2 2" xfId="5437"/>
    <cellStyle name="Normal 11 10 2 2 2" xfId="10533"/>
    <cellStyle name="Normal 11 10 2 3" xfId="8144"/>
    <cellStyle name="Normal 11 10 3" xfId="4245"/>
    <cellStyle name="Normal 11 10 3 2" xfId="9341"/>
    <cellStyle name="Normal 11 10 4" xfId="6882"/>
    <cellStyle name="Normal 11 2" xfId="566"/>
    <cellStyle name="Normal 11 2 10" xfId="2372"/>
    <cellStyle name="Normal 11 2 10 2" xfId="4819"/>
    <cellStyle name="Normal 11 2 10 2 2" xfId="9915"/>
    <cellStyle name="Normal 11 2 10 3" xfId="7476"/>
    <cellStyle name="Normal 11 2 11" xfId="3636"/>
    <cellStyle name="Normal 11 2 11 2" xfId="8735"/>
    <cellStyle name="Normal 11 2 12" xfId="6216"/>
    <cellStyle name="Normal 11 2 2" xfId="1633"/>
    <cellStyle name="Normal 11 2 2 2" xfId="1634"/>
    <cellStyle name="Normal 11 2 2 2 2" xfId="1635"/>
    <cellStyle name="Normal 11 2 2 2 2 2" xfId="1636"/>
    <cellStyle name="Normal 11 2 2 2 2 2 2" xfId="3046"/>
    <cellStyle name="Normal 11 2 2 2 2 2 2 2" xfId="5442"/>
    <cellStyle name="Normal 11 2 2 2 2 2 2 2 2" xfId="10538"/>
    <cellStyle name="Normal 11 2 2 2 2 2 2 3" xfId="8149"/>
    <cellStyle name="Normal 11 2 2 2 2 2 3" xfId="4250"/>
    <cellStyle name="Normal 11 2 2 2 2 2 3 2" xfId="9346"/>
    <cellStyle name="Normal 11 2 2 2 2 2 4" xfId="6887"/>
    <cellStyle name="Normal 11 2 2 2 2 3" xfId="3045"/>
    <cellStyle name="Normal 11 2 2 2 2 3 2" xfId="5441"/>
    <cellStyle name="Normal 11 2 2 2 2 3 2 2" xfId="10537"/>
    <cellStyle name="Normal 11 2 2 2 2 3 3" xfId="8148"/>
    <cellStyle name="Normal 11 2 2 2 2 4" xfId="4249"/>
    <cellStyle name="Normal 11 2 2 2 2 4 2" xfId="9345"/>
    <cellStyle name="Normal 11 2 2 2 2 5" xfId="6886"/>
    <cellStyle name="Normal 11 2 2 2 3" xfId="1637"/>
    <cellStyle name="Normal 11 2 2 2 3 2" xfId="3047"/>
    <cellStyle name="Normal 11 2 2 2 3 2 2" xfId="5443"/>
    <cellStyle name="Normal 11 2 2 2 3 2 2 2" xfId="10539"/>
    <cellStyle name="Normal 11 2 2 2 3 2 3" xfId="8150"/>
    <cellStyle name="Normal 11 2 2 2 3 3" xfId="4251"/>
    <cellStyle name="Normal 11 2 2 2 3 3 2" xfId="9347"/>
    <cellStyle name="Normal 11 2 2 2 3 4" xfId="6888"/>
    <cellStyle name="Normal 11 2 2 2 4" xfId="1638"/>
    <cellStyle name="Normal 11 2 2 2 4 2" xfId="3048"/>
    <cellStyle name="Normal 11 2 2 2 4 2 2" xfId="5444"/>
    <cellStyle name="Normal 11 2 2 2 4 2 2 2" xfId="10540"/>
    <cellStyle name="Normal 11 2 2 2 4 2 3" xfId="8151"/>
    <cellStyle name="Normal 11 2 2 2 4 3" xfId="4252"/>
    <cellStyle name="Normal 11 2 2 2 4 3 2" xfId="9348"/>
    <cellStyle name="Normal 11 2 2 2 4 4" xfId="6889"/>
    <cellStyle name="Normal 11 2 2 2 5" xfId="3044"/>
    <cellStyle name="Normal 11 2 2 2 5 2" xfId="5440"/>
    <cellStyle name="Normal 11 2 2 2 5 2 2" xfId="10536"/>
    <cellStyle name="Normal 11 2 2 2 5 3" xfId="8147"/>
    <cellStyle name="Normal 11 2 2 2 6" xfId="4248"/>
    <cellStyle name="Normal 11 2 2 2 6 2" xfId="9344"/>
    <cellStyle name="Normal 11 2 2 2 7" xfId="6885"/>
    <cellStyle name="Normal 11 2 2 3" xfId="1639"/>
    <cellStyle name="Normal 11 2 2 3 2" xfId="1640"/>
    <cellStyle name="Normal 11 2 2 3 2 2" xfId="3050"/>
    <cellStyle name="Normal 11 2 2 3 2 2 2" xfId="5446"/>
    <cellStyle name="Normal 11 2 2 3 2 2 2 2" xfId="10542"/>
    <cellStyle name="Normal 11 2 2 3 2 2 3" xfId="8153"/>
    <cellStyle name="Normal 11 2 2 3 2 3" xfId="4254"/>
    <cellStyle name="Normal 11 2 2 3 2 3 2" xfId="9350"/>
    <cellStyle name="Normal 11 2 2 3 2 4" xfId="6891"/>
    <cellStyle name="Normal 11 2 2 3 3" xfId="3049"/>
    <cellStyle name="Normal 11 2 2 3 3 2" xfId="5445"/>
    <cellStyle name="Normal 11 2 2 3 3 2 2" xfId="10541"/>
    <cellStyle name="Normal 11 2 2 3 3 3" xfId="8152"/>
    <cellStyle name="Normal 11 2 2 3 4" xfId="4253"/>
    <cellStyle name="Normal 11 2 2 3 4 2" xfId="9349"/>
    <cellStyle name="Normal 11 2 2 3 5" xfId="6890"/>
    <cellStyle name="Normal 11 2 2 4" xfId="1641"/>
    <cellStyle name="Normal 11 2 2 4 2" xfId="3051"/>
    <cellStyle name="Normal 11 2 2 4 2 2" xfId="5447"/>
    <cellStyle name="Normal 11 2 2 4 2 2 2" xfId="10543"/>
    <cellStyle name="Normal 11 2 2 4 2 3" xfId="8154"/>
    <cellStyle name="Normal 11 2 2 4 3" xfId="4255"/>
    <cellStyle name="Normal 11 2 2 4 3 2" xfId="9351"/>
    <cellStyle name="Normal 11 2 2 4 4" xfId="6892"/>
    <cellStyle name="Normal 11 2 2 5" xfId="1642"/>
    <cellStyle name="Normal 11 2 2 5 2" xfId="3052"/>
    <cellStyle name="Normal 11 2 2 5 2 2" xfId="5448"/>
    <cellStyle name="Normal 11 2 2 5 2 2 2" xfId="10544"/>
    <cellStyle name="Normal 11 2 2 5 2 3" xfId="8155"/>
    <cellStyle name="Normal 11 2 2 5 3" xfId="4256"/>
    <cellStyle name="Normal 11 2 2 5 3 2" xfId="9352"/>
    <cellStyle name="Normal 11 2 2 5 4" xfId="6893"/>
    <cellStyle name="Normal 11 2 2 6" xfId="3043"/>
    <cellStyle name="Normal 11 2 2 6 2" xfId="5439"/>
    <cellStyle name="Normal 11 2 2 6 2 2" xfId="10535"/>
    <cellStyle name="Normal 11 2 2 6 3" xfId="8146"/>
    <cellStyle name="Normal 11 2 2 7" xfId="4247"/>
    <cellStyle name="Normal 11 2 2 7 2" xfId="9343"/>
    <cellStyle name="Normal 11 2 2 8" xfId="6884"/>
    <cellStyle name="Normal 11 2 3" xfId="1643"/>
    <cellStyle name="Normal 11 2 3 2" xfId="1644"/>
    <cellStyle name="Normal 11 2 3 2 2" xfId="1645"/>
    <cellStyle name="Normal 11 2 3 2 2 2" xfId="3055"/>
    <cellStyle name="Normal 11 2 3 2 2 2 2" xfId="5451"/>
    <cellStyle name="Normal 11 2 3 2 2 2 2 2" xfId="10547"/>
    <cellStyle name="Normal 11 2 3 2 2 2 3" xfId="8158"/>
    <cellStyle name="Normal 11 2 3 2 2 3" xfId="4259"/>
    <cellStyle name="Normal 11 2 3 2 2 3 2" xfId="9355"/>
    <cellStyle name="Normal 11 2 3 2 2 4" xfId="6896"/>
    <cellStyle name="Normal 11 2 3 2 3" xfId="3054"/>
    <cellStyle name="Normal 11 2 3 2 3 2" xfId="5450"/>
    <cellStyle name="Normal 11 2 3 2 3 2 2" xfId="10546"/>
    <cellStyle name="Normal 11 2 3 2 3 3" xfId="8157"/>
    <cellStyle name="Normal 11 2 3 2 4" xfId="4258"/>
    <cellStyle name="Normal 11 2 3 2 4 2" xfId="9354"/>
    <cellStyle name="Normal 11 2 3 2 5" xfId="6895"/>
    <cellStyle name="Normal 11 2 3 3" xfId="1646"/>
    <cellStyle name="Normal 11 2 3 3 2" xfId="3056"/>
    <cellStyle name="Normal 11 2 3 3 2 2" xfId="5452"/>
    <cellStyle name="Normal 11 2 3 3 2 2 2" xfId="10548"/>
    <cellStyle name="Normal 11 2 3 3 2 3" xfId="8159"/>
    <cellStyle name="Normal 11 2 3 3 3" xfId="4260"/>
    <cellStyle name="Normal 11 2 3 3 3 2" xfId="9356"/>
    <cellStyle name="Normal 11 2 3 3 4" xfId="6897"/>
    <cellStyle name="Normal 11 2 3 4" xfId="1647"/>
    <cellStyle name="Normal 11 2 3 4 2" xfId="3057"/>
    <cellStyle name="Normal 11 2 3 4 2 2" xfId="5453"/>
    <cellStyle name="Normal 11 2 3 4 2 2 2" xfId="10549"/>
    <cellStyle name="Normal 11 2 3 4 2 3" xfId="8160"/>
    <cellStyle name="Normal 11 2 3 4 3" xfId="4261"/>
    <cellStyle name="Normal 11 2 3 4 3 2" xfId="9357"/>
    <cellStyle name="Normal 11 2 3 4 4" xfId="6898"/>
    <cellStyle name="Normal 11 2 3 5" xfId="3053"/>
    <cellStyle name="Normal 11 2 3 5 2" xfId="5449"/>
    <cellStyle name="Normal 11 2 3 5 2 2" xfId="10545"/>
    <cellStyle name="Normal 11 2 3 5 3" xfId="8156"/>
    <cellStyle name="Normal 11 2 3 6" xfId="4257"/>
    <cellStyle name="Normal 11 2 3 6 2" xfId="9353"/>
    <cellStyle name="Normal 11 2 3 7" xfId="6894"/>
    <cellStyle name="Normal 11 2 4" xfId="1648"/>
    <cellStyle name="Normal 11 2 4 2" xfId="1649"/>
    <cellStyle name="Normal 11 2 4 2 2" xfId="1650"/>
    <cellStyle name="Normal 11 2 4 2 2 2" xfId="3060"/>
    <cellStyle name="Normal 11 2 4 2 2 2 2" xfId="5456"/>
    <cellStyle name="Normal 11 2 4 2 2 2 2 2" xfId="10552"/>
    <cellStyle name="Normal 11 2 4 2 2 2 3" xfId="8163"/>
    <cellStyle name="Normal 11 2 4 2 2 3" xfId="4264"/>
    <cellStyle name="Normal 11 2 4 2 2 3 2" xfId="9360"/>
    <cellStyle name="Normal 11 2 4 2 2 4" xfId="6901"/>
    <cellStyle name="Normal 11 2 4 2 3" xfId="3059"/>
    <cellStyle name="Normal 11 2 4 2 3 2" xfId="5455"/>
    <cellStyle name="Normal 11 2 4 2 3 2 2" xfId="10551"/>
    <cellStyle name="Normal 11 2 4 2 3 3" xfId="8162"/>
    <cellStyle name="Normal 11 2 4 2 4" xfId="4263"/>
    <cellStyle name="Normal 11 2 4 2 4 2" xfId="9359"/>
    <cellStyle name="Normal 11 2 4 2 5" xfId="6900"/>
    <cellStyle name="Normal 11 2 4 3" xfId="1651"/>
    <cellStyle name="Normal 11 2 4 3 2" xfId="3061"/>
    <cellStyle name="Normal 11 2 4 3 2 2" xfId="5457"/>
    <cellStyle name="Normal 11 2 4 3 2 2 2" xfId="10553"/>
    <cellStyle name="Normal 11 2 4 3 2 3" xfId="8164"/>
    <cellStyle name="Normal 11 2 4 3 3" xfId="4265"/>
    <cellStyle name="Normal 11 2 4 3 3 2" xfId="9361"/>
    <cellStyle name="Normal 11 2 4 3 4" xfId="6902"/>
    <cellStyle name="Normal 11 2 4 4" xfId="1652"/>
    <cellStyle name="Normal 11 2 4 4 2" xfId="3062"/>
    <cellStyle name="Normal 11 2 4 4 2 2" xfId="5458"/>
    <cellStyle name="Normal 11 2 4 4 2 2 2" xfId="10554"/>
    <cellStyle name="Normal 11 2 4 4 2 3" xfId="8165"/>
    <cellStyle name="Normal 11 2 4 4 3" xfId="4266"/>
    <cellStyle name="Normal 11 2 4 4 3 2" xfId="9362"/>
    <cellStyle name="Normal 11 2 4 4 4" xfId="6903"/>
    <cellStyle name="Normal 11 2 4 5" xfId="3058"/>
    <cellStyle name="Normal 11 2 4 5 2" xfId="5454"/>
    <cellStyle name="Normal 11 2 4 5 2 2" xfId="10550"/>
    <cellStyle name="Normal 11 2 4 5 3" xfId="8161"/>
    <cellStyle name="Normal 11 2 4 6" xfId="4262"/>
    <cellStyle name="Normal 11 2 4 6 2" xfId="9358"/>
    <cellStyle name="Normal 11 2 4 7" xfId="6899"/>
    <cellStyle name="Normal 11 2 5" xfId="1653"/>
    <cellStyle name="Normal 11 2 5 2" xfId="1654"/>
    <cellStyle name="Normal 11 2 5 2 2" xfId="1655"/>
    <cellStyle name="Normal 11 2 5 2 2 2" xfId="3065"/>
    <cellStyle name="Normal 11 2 5 2 2 2 2" xfId="5461"/>
    <cellStyle name="Normal 11 2 5 2 2 2 2 2" xfId="10557"/>
    <cellStyle name="Normal 11 2 5 2 2 2 3" xfId="8168"/>
    <cellStyle name="Normal 11 2 5 2 2 3" xfId="4269"/>
    <cellStyle name="Normal 11 2 5 2 2 3 2" xfId="9365"/>
    <cellStyle name="Normal 11 2 5 2 2 4" xfId="6906"/>
    <cellStyle name="Normal 11 2 5 2 3" xfId="3064"/>
    <cellStyle name="Normal 11 2 5 2 3 2" xfId="5460"/>
    <cellStyle name="Normal 11 2 5 2 3 2 2" xfId="10556"/>
    <cellStyle name="Normal 11 2 5 2 3 3" xfId="8167"/>
    <cellStyle name="Normal 11 2 5 2 4" xfId="4268"/>
    <cellStyle name="Normal 11 2 5 2 4 2" xfId="9364"/>
    <cellStyle name="Normal 11 2 5 2 5" xfId="6905"/>
    <cellStyle name="Normal 11 2 5 3" xfId="1656"/>
    <cellStyle name="Normal 11 2 5 3 2" xfId="3066"/>
    <cellStyle name="Normal 11 2 5 3 2 2" xfId="5462"/>
    <cellStyle name="Normal 11 2 5 3 2 2 2" xfId="10558"/>
    <cellStyle name="Normal 11 2 5 3 2 3" xfId="8169"/>
    <cellStyle name="Normal 11 2 5 3 3" xfId="4270"/>
    <cellStyle name="Normal 11 2 5 3 3 2" xfId="9366"/>
    <cellStyle name="Normal 11 2 5 3 4" xfId="6907"/>
    <cellStyle name="Normal 11 2 5 4" xfId="1657"/>
    <cellStyle name="Normal 11 2 5 4 2" xfId="3067"/>
    <cellStyle name="Normal 11 2 5 4 2 2" xfId="5463"/>
    <cellStyle name="Normal 11 2 5 4 2 2 2" xfId="10559"/>
    <cellStyle name="Normal 11 2 5 4 2 3" xfId="8170"/>
    <cellStyle name="Normal 11 2 5 4 3" xfId="4271"/>
    <cellStyle name="Normal 11 2 5 4 3 2" xfId="9367"/>
    <cellStyle name="Normal 11 2 5 4 4" xfId="6908"/>
    <cellStyle name="Normal 11 2 5 5" xfId="3063"/>
    <cellStyle name="Normal 11 2 5 5 2" xfId="5459"/>
    <cellStyle name="Normal 11 2 5 5 2 2" xfId="10555"/>
    <cellStyle name="Normal 11 2 5 5 3" xfId="8166"/>
    <cellStyle name="Normal 11 2 5 6" xfId="4267"/>
    <cellStyle name="Normal 11 2 5 6 2" xfId="9363"/>
    <cellStyle name="Normal 11 2 5 7" xfId="6904"/>
    <cellStyle name="Normal 11 2 6" xfId="1658"/>
    <cellStyle name="Normal 11 2 6 2" xfId="1659"/>
    <cellStyle name="Normal 11 2 6 2 2" xfId="3069"/>
    <cellStyle name="Normal 11 2 6 2 2 2" xfId="5465"/>
    <cellStyle name="Normal 11 2 6 2 2 2 2" xfId="10561"/>
    <cellStyle name="Normal 11 2 6 2 2 3" xfId="8172"/>
    <cellStyle name="Normal 11 2 6 2 3" xfId="4273"/>
    <cellStyle name="Normal 11 2 6 2 3 2" xfId="9369"/>
    <cellStyle name="Normal 11 2 6 2 4" xfId="6910"/>
    <cellStyle name="Normal 11 2 6 3" xfId="3068"/>
    <cellStyle name="Normal 11 2 6 3 2" xfId="5464"/>
    <cellStyle name="Normal 11 2 6 3 2 2" xfId="10560"/>
    <cellStyle name="Normal 11 2 6 3 3" xfId="8171"/>
    <cellStyle name="Normal 11 2 6 4" xfId="4272"/>
    <cellStyle name="Normal 11 2 6 4 2" xfId="9368"/>
    <cellStyle name="Normal 11 2 6 5" xfId="6909"/>
    <cellStyle name="Normal 11 2 7" xfId="1660"/>
    <cellStyle name="Normal 11 2 7 2" xfId="3070"/>
    <cellStyle name="Normal 11 2 7 2 2" xfId="5466"/>
    <cellStyle name="Normal 11 2 7 2 2 2" xfId="10562"/>
    <cellStyle name="Normal 11 2 7 2 3" xfId="8173"/>
    <cellStyle name="Normal 11 2 7 3" xfId="4274"/>
    <cellStyle name="Normal 11 2 7 3 2" xfId="9370"/>
    <cellStyle name="Normal 11 2 7 4" xfId="6911"/>
    <cellStyle name="Normal 11 2 8" xfId="1661"/>
    <cellStyle name="Normal 11 2 8 2" xfId="3071"/>
    <cellStyle name="Normal 11 2 8 2 2" xfId="5467"/>
    <cellStyle name="Normal 11 2 8 2 2 2" xfId="10563"/>
    <cellStyle name="Normal 11 2 8 2 3" xfId="8174"/>
    <cellStyle name="Normal 11 2 8 3" xfId="4275"/>
    <cellStyle name="Normal 11 2 8 3 2" xfId="9371"/>
    <cellStyle name="Normal 11 2 8 4" xfId="6912"/>
    <cellStyle name="Normal 11 2 9" xfId="1632"/>
    <cellStyle name="Normal 11 2 9 2" xfId="3042"/>
    <cellStyle name="Normal 11 2 9 2 2" xfId="5438"/>
    <cellStyle name="Normal 11 2 9 2 2 2" xfId="10534"/>
    <cellStyle name="Normal 11 2 9 2 3" xfId="8145"/>
    <cellStyle name="Normal 11 2 9 3" xfId="4246"/>
    <cellStyle name="Normal 11 2 9 3 2" xfId="9342"/>
    <cellStyle name="Normal 11 2 9 4" xfId="6883"/>
    <cellStyle name="Normal 11 3" xfId="1662"/>
    <cellStyle name="Normal 11 3 2" xfId="1663"/>
    <cellStyle name="Normal 11 3 2 2" xfId="1664"/>
    <cellStyle name="Normal 11 3 2 2 2" xfId="1665"/>
    <cellStyle name="Normal 11 3 2 2 2 2" xfId="3075"/>
    <cellStyle name="Normal 11 3 2 2 2 2 2" xfId="5471"/>
    <cellStyle name="Normal 11 3 2 2 2 2 2 2" xfId="10567"/>
    <cellStyle name="Normal 11 3 2 2 2 2 3" xfId="8178"/>
    <cellStyle name="Normal 11 3 2 2 2 3" xfId="4279"/>
    <cellStyle name="Normal 11 3 2 2 2 3 2" xfId="9375"/>
    <cellStyle name="Normal 11 3 2 2 2 4" xfId="6916"/>
    <cellStyle name="Normal 11 3 2 2 3" xfId="3074"/>
    <cellStyle name="Normal 11 3 2 2 3 2" xfId="5470"/>
    <cellStyle name="Normal 11 3 2 2 3 2 2" xfId="10566"/>
    <cellStyle name="Normal 11 3 2 2 3 3" xfId="8177"/>
    <cellStyle name="Normal 11 3 2 2 4" xfId="4278"/>
    <cellStyle name="Normal 11 3 2 2 4 2" xfId="9374"/>
    <cellStyle name="Normal 11 3 2 2 5" xfId="6915"/>
    <cellStyle name="Normal 11 3 2 3" xfId="1666"/>
    <cellStyle name="Normal 11 3 2 3 2" xfId="3076"/>
    <cellStyle name="Normal 11 3 2 3 2 2" xfId="5472"/>
    <cellStyle name="Normal 11 3 2 3 2 2 2" xfId="10568"/>
    <cellStyle name="Normal 11 3 2 3 2 3" xfId="8179"/>
    <cellStyle name="Normal 11 3 2 3 3" xfId="4280"/>
    <cellStyle name="Normal 11 3 2 3 3 2" xfId="9376"/>
    <cellStyle name="Normal 11 3 2 3 4" xfId="6917"/>
    <cellStyle name="Normal 11 3 2 4" xfId="1667"/>
    <cellStyle name="Normal 11 3 2 4 2" xfId="3077"/>
    <cellStyle name="Normal 11 3 2 4 2 2" xfId="5473"/>
    <cellStyle name="Normal 11 3 2 4 2 2 2" xfId="10569"/>
    <cellStyle name="Normal 11 3 2 4 2 3" xfId="8180"/>
    <cellStyle name="Normal 11 3 2 4 3" xfId="4281"/>
    <cellStyle name="Normal 11 3 2 4 3 2" xfId="9377"/>
    <cellStyle name="Normal 11 3 2 4 4" xfId="6918"/>
    <cellStyle name="Normal 11 3 2 5" xfId="3073"/>
    <cellStyle name="Normal 11 3 2 5 2" xfId="5469"/>
    <cellStyle name="Normal 11 3 2 5 2 2" xfId="10565"/>
    <cellStyle name="Normal 11 3 2 5 3" xfId="8176"/>
    <cellStyle name="Normal 11 3 2 6" xfId="4277"/>
    <cellStyle name="Normal 11 3 2 6 2" xfId="9373"/>
    <cellStyle name="Normal 11 3 2 7" xfId="6914"/>
    <cellStyle name="Normal 11 3 3" xfId="1668"/>
    <cellStyle name="Normal 11 3 3 2" xfId="1669"/>
    <cellStyle name="Normal 11 3 3 2 2" xfId="3079"/>
    <cellStyle name="Normal 11 3 3 2 2 2" xfId="5475"/>
    <cellStyle name="Normal 11 3 3 2 2 2 2" xfId="10571"/>
    <cellStyle name="Normal 11 3 3 2 2 3" xfId="8182"/>
    <cellStyle name="Normal 11 3 3 2 3" xfId="4283"/>
    <cellStyle name="Normal 11 3 3 2 3 2" xfId="9379"/>
    <cellStyle name="Normal 11 3 3 2 4" xfId="6920"/>
    <cellStyle name="Normal 11 3 3 3" xfId="3078"/>
    <cellStyle name="Normal 11 3 3 3 2" xfId="5474"/>
    <cellStyle name="Normal 11 3 3 3 2 2" xfId="10570"/>
    <cellStyle name="Normal 11 3 3 3 3" xfId="8181"/>
    <cellStyle name="Normal 11 3 3 4" xfId="4282"/>
    <cellStyle name="Normal 11 3 3 4 2" xfId="9378"/>
    <cellStyle name="Normal 11 3 3 5" xfId="6919"/>
    <cellStyle name="Normal 11 3 4" xfId="1670"/>
    <cellStyle name="Normal 11 3 4 2" xfId="3080"/>
    <cellStyle name="Normal 11 3 4 2 2" xfId="5476"/>
    <cellStyle name="Normal 11 3 4 2 2 2" xfId="10572"/>
    <cellStyle name="Normal 11 3 4 2 3" xfId="8183"/>
    <cellStyle name="Normal 11 3 4 3" xfId="4284"/>
    <cellStyle name="Normal 11 3 4 3 2" xfId="9380"/>
    <cellStyle name="Normal 11 3 4 4" xfId="6921"/>
    <cellStyle name="Normal 11 3 5" xfId="1671"/>
    <cellStyle name="Normal 11 3 5 2" xfId="3081"/>
    <cellStyle name="Normal 11 3 5 2 2" xfId="5477"/>
    <cellStyle name="Normal 11 3 5 2 2 2" xfId="10573"/>
    <cellStyle name="Normal 11 3 5 2 3" xfId="8184"/>
    <cellStyle name="Normal 11 3 5 3" xfId="4285"/>
    <cellStyle name="Normal 11 3 5 3 2" xfId="9381"/>
    <cellStyle name="Normal 11 3 5 4" xfId="6922"/>
    <cellStyle name="Normal 11 3 6" xfId="3072"/>
    <cellStyle name="Normal 11 3 6 2" xfId="5468"/>
    <cellStyle name="Normal 11 3 6 2 2" xfId="10564"/>
    <cellStyle name="Normal 11 3 6 3" xfId="8175"/>
    <cellStyle name="Normal 11 3 7" xfId="4276"/>
    <cellStyle name="Normal 11 3 7 2" xfId="9372"/>
    <cellStyle name="Normal 11 3 8" xfId="6913"/>
    <cellStyle name="Normal 11 4" xfId="1672"/>
    <cellStyle name="Normal 11 4 2" xfId="1673"/>
    <cellStyle name="Normal 11 4 2 2" xfId="1674"/>
    <cellStyle name="Normal 11 4 2 2 2" xfId="3084"/>
    <cellStyle name="Normal 11 4 2 2 2 2" xfId="5480"/>
    <cellStyle name="Normal 11 4 2 2 2 2 2" xfId="10576"/>
    <cellStyle name="Normal 11 4 2 2 2 3" xfId="8187"/>
    <cellStyle name="Normal 11 4 2 2 3" xfId="4288"/>
    <cellStyle name="Normal 11 4 2 2 3 2" xfId="9384"/>
    <cellStyle name="Normal 11 4 2 2 4" xfId="6925"/>
    <cellStyle name="Normal 11 4 2 3" xfId="3083"/>
    <cellStyle name="Normal 11 4 2 3 2" xfId="5479"/>
    <cellStyle name="Normal 11 4 2 3 2 2" xfId="10575"/>
    <cellStyle name="Normal 11 4 2 3 3" xfId="8186"/>
    <cellStyle name="Normal 11 4 2 4" xfId="4287"/>
    <cellStyle name="Normal 11 4 2 4 2" xfId="9383"/>
    <cellStyle name="Normal 11 4 2 5" xfId="6924"/>
    <cellStyle name="Normal 11 4 3" xfId="1675"/>
    <cellStyle name="Normal 11 4 3 2" xfId="3085"/>
    <cellStyle name="Normal 11 4 3 2 2" xfId="5481"/>
    <cellStyle name="Normal 11 4 3 2 2 2" xfId="10577"/>
    <cellStyle name="Normal 11 4 3 2 3" xfId="8188"/>
    <cellStyle name="Normal 11 4 3 3" xfId="4289"/>
    <cellStyle name="Normal 11 4 3 3 2" xfId="9385"/>
    <cellStyle name="Normal 11 4 3 4" xfId="6926"/>
    <cellStyle name="Normal 11 4 4" xfId="1676"/>
    <cellStyle name="Normal 11 4 4 2" xfId="3086"/>
    <cellStyle name="Normal 11 4 4 2 2" xfId="5482"/>
    <cellStyle name="Normal 11 4 4 2 2 2" xfId="10578"/>
    <cellStyle name="Normal 11 4 4 2 3" xfId="8189"/>
    <cellStyle name="Normal 11 4 4 3" xfId="4290"/>
    <cellStyle name="Normal 11 4 4 3 2" xfId="9386"/>
    <cellStyle name="Normal 11 4 4 4" xfId="6927"/>
    <cellStyle name="Normal 11 4 5" xfId="3082"/>
    <cellStyle name="Normal 11 4 5 2" xfId="5478"/>
    <cellStyle name="Normal 11 4 5 2 2" xfId="10574"/>
    <cellStyle name="Normal 11 4 5 3" xfId="8185"/>
    <cellStyle name="Normal 11 4 6" xfId="4286"/>
    <cellStyle name="Normal 11 4 6 2" xfId="9382"/>
    <cellStyle name="Normal 11 4 7" xfId="6923"/>
    <cellStyle name="Normal 11 5" xfId="1677"/>
    <cellStyle name="Normal 11 5 2" xfId="1678"/>
    <cellStyle name="Normal 11 5 2 2" xfId="1679"/>
    <cellStyle name="Normal 11 5 2 2 2" xfId="3089"/>
    <cellStyle name="Normal 11 5 2 2 2 2" xfId="5485"/>
    <cellStyle name="Normal 11 5 2 2 2 2 2" xfId="10581"/>
    <cellStyle name="Normal 11 5 2 2 2 3" xfId="8192"/>
    <cellStyle name="Normal 11 5 2 2 3" xfId="4293"/>
    <cellStyle name="Normal 11 5 2 2 3 2" xfId="9389"/>
    <cellStyle name="Normal 11 5 2 2 4" xfId="6930"/>
    <cellStyle name="Normal 11 5 2 3" xfId="3088"/>
    <cellStyle name="Normal 11 5 2 3 2" xfId="5484"/>
    <cellStyle name="Normal 11 5 2 3 2 2" xfId="10580"/>
    <cellStyle name="Normal 11 5 2 3 3" xfId="8191"/>
    <cellStyle name="Normal 11 5 2 4" xfId="4292"/>
    <cellStyle name="Normal 11 5 2 4 2" xfId="9388"/>
    <cellStyle name="Normal 11 5 2 5" xfId="6929"/>
    <cellStyle name="Normal 11 5 3" xfId="1680"/>
    <cellStyle name="Normal 11 5 3 2" xfId="3090"/>
    <cellStyle name="Normal 11 5 3 2 2" xfId="5486"/>
    <cellStyle name="Normal 11 5 3 2 2 2" xfId="10582"/>
    <cellStyle name="Normal 11 5 3 2 3" xfId="8193"/>
    <cellStyle name="Normal 11 5 3 3" xfId="4294"/>
    <cellStyle name="Normal 11 5 3 3 2" xfId="9390"/>
    <cellStyle name="Normal 11 5 3 4" xfId="6931"/>
    <cellStyle name="Normal 11 5 4" xfId="1681"/>
    <cellStyle name="Normal 11 5 4 2" xfId="3091"/>
    <cellStyle name="Normal 11 5 4 2 2" xfId="5487"/>
    <cellStyle name="Normal 11 5 4 2 2 2" xfId="10583"/>
    <cellStyle name="Normal 11 5 4 2 3" xfId="8194"/>
    <cellStyle name="Normal 11 5 4 3" xfId="4295"/>
    <cellStyle name="Normal 11 5 4 3 2" xfId="9391"/>
    <cellStyle name="Normal 11 5 4 4" xfId="6932"/>
    <cellStyle name="Normal 11 5 5" xfId="3087"/>
    <cellStyle name="Normal 11 5 5 2" xfId="5483"/>
    <cellStyle name="Normal 11 5 5 2 2" xfId="10579"/>
    <cellStyle name="Normal 11 5 5 3" xfId="8190"/>
    <cellStyle name="Normal 11 5 6" xfId="4291"/>
    <cellStyle name="Normal 11 5 6 2" xfId="9387"/>
    <cellStyle name="Normal 11 5 7" xfId="6928"/>
    <cellStyle name="Normal 11 6" xfId="1682"/>
    <cellStyle name="Normal 11 6 2" xfId="1683"/>
    <cellStyle name="Normal 11 6 2 2" xfId="1684"/>
    <cellStyle name="Normal 11 6 2 2 2" xfId="3094"/>
    <cellStyle name="Normal 11 6 2 2 2 2" xfId="5490"/>
    <cellStyle name="Normal 11 6 2 2 2 2 2" xfId="10586"/>
    <cellStyle name="Normal 11 6 2 2 2 3" xfId="8197"/>
    <cellStyle name="Normal 11 6 2 2 3" xfId="4298"/>
    <cellStyle name="Normal 11 6 2 2 3 2" xfId="9394"/>
    <cellStyle name="Normal 11 6 2 2 4" xfId="6935"/>
    <cellStyle name="Normal 11 6 2 3" xfId="3093"/>
    <cellStyle name="Normal 11 6 2 3 2" xfId="5489"/>
    <cellStyle name="Normal 11 6 2 3 2 2" xfId="10585"/>
    <cellStyle name="Normal 11 6 2 3 3" xfId="8196"/>
    <cellStyle name="Normal 11 6 2 4" xfId="4297"/>
    <cellStyle name="Normal 11 6 2 4 2" xfId="9393"/>
    <cellStyle name="Normal 11 6 2 5" xfId="6934"/>
    <cellStyle name="Normal 11 6 3" xfId="1685"/>
    <cellStyle name="Normal 11 6 3 2" xfId="3095"/>
    <cellStyle name="Normal 11 6 3 2 2" xfId="5491"/>
    <cellStyle name="Normal 11 6 3 2 2 2" xfId="10587"/>
    <cellStyle name="Normal 11 6 3 2 3" xfId="8198"/>
    <cellStyle name="Normal 11 6 3 3" xfId="4299"/>
    <cellStyle name="Normal 11 6 3 3 2" xfId="9395"/>
    <cellStyle name="Normal 11 6 3 4" xfId="6936"/>
    <cellStyle name="Normal 11 6 4" xfId="1686"/>
    <cellStyle name="Normal 11 6 4 2" xfId="3096"/>
    <cellStyle name="Normal 11 6 4 2 2" xfId="5492"/>
    <cellStyle name="Normal 11 6 4 2 2 2" xfId="10588"/>
    <cellStyle name="Normal 11 6 4 2 3" xfId="8199"/>
    <cellStyle name="Normal 11 6 4 3" xfId="4300"/>
    <cellStyle name="Normal 11 6 4 3 2" xfId="9396"/>
    <cellStyle name="Normal 11 6 4 4" xfId="6937"/>
    <cellStyle name="Normal 11 6 5" xfId="3092"/>
    <cellStyle name="Normal 11 6 5 2" xfId="5488"/>
    <cellStyle name="Normal 11 6 5 2 2" xfId="10584"/>
    <cellStyle name="Normal 11 6 5 3" xfId="8195"/>
    <cellStyle name="Normal 11 6 6" xfId="4296"/>
    <cellStyle name="Normal 11 6 6 2" xfId="9392"/>
    <cellStyle name="Normal 11 6 7" xfId="6933"/>
    <cellStyle name="Normal 11 7" xfId="1687"/>
    <cellStyle name="Normal 11 7 2" xfId="1688"/>
    <cellStyle name="Normal 11 7 2 2" xfId="3098"/>
    <cellStyle name="Normal 11 7 2 2 2" xfId="5494"/>
    <cellStyle name="Normal 11 7 2 2 2 2" xfId="10590"/>
    <cellStyle name="Normal 11 7 2 2 3" xfId="8201"/>
    <cellStyle name="Normal 11 7 2 3" xfId="4302"/>
    <cellStyle name="Normal 11 7 2 3 2" xfId="9398"/>
    <cellStyle name="Normal 11 7 2 4" xfId="6939"/>
    <cellStyle name="Normal 11 7 3" xfId="3097"/>
    <cellStyle name="Normal 11 7 3 2" xfId="5493"/>
    <cellStyle name="Normal 11 7 3 2 2" xfId="10589"/>
    <cellStyle name="Normal 11 7 3 3" xfId="8200"/>
    <cellStyle name="Normal 11 7 4" xfId="4301"/>
    <cellStyle name="Normal 11 7 4 2" xfId="9397"/>
    <cellStyle name="Normal 11 7 5" xfId="6938"/>
    <cellStyle name="Normal 11 8" xfId="1689"/>
    <cellStyle name="Normal 11 8 2" xfId="3099"/>
    <cellStyle name="Normal 11 8 2 2" xfId="5495"/>
    <cellStyle name="Normal 11 8 2 2 2" xfId="10591"/>
    <cellStyle name="Normal 11 8 2 3" xfId="8202"/>
    <cellStyle name="Normal 11 8 3" xfId="4303"/>
    <cellStyle name="Normal 11 8 3 2" xfId="9399"/>
    <cellStyle name="Normal 11 8 4" xfId="6940"/>
    <cellStyle name="Normal 11 9" xfId="1690"/>
    <cellStyle name="Normal 11 9 2" xfId="3100"/>
    <cellStyle name="Normal 11 9 2 2" xfId="5496"/>
    <cellStyle name="Normal 11 9 2 2 2" xfId="10592"/>
    <cellStyle name="Normal 11 9 2 3" xfId="8203"/>
    <cellStyle name="Normal 11 9 3" xfId="4304"/>
    <cellStyle name="Normal 11 9 3 2" xfId="9400"/>
    <cellStyle name="Normal 11 9 4" xfId="6941"/>
    <cellStyle name="Normal 110" xfId="2294"/>
    <cellStyle name="Normal 110 2" xfId="3547"/>
    <cellStyle name="Normal 110 2 2" xfId="5942"/>
    <cellStyle name="Normal 110 2 2 2" xfId="11038"/>
    <cellStyle name="Normal 110 2 3" xfId="8650"/>
    <cellStyle name="Normal 110 3" xfId="4753"/>
    <cellStyle name="Normal 110 3 2" xfId="9849"/>
    <cellStyle name="Normal 110 4" xfId="7403"/>
    <cellStyle name="Normal 111" xfId="2296"/>
    <cellStyle name="Normal 111 2" xfId="3549"/>
    <cellStyle name="Normal 111 2 2" xfId="5944"/>
    <cellStyle name="Normal 111 2 2 2" xfId="11040"/>
    <cellStyle name="Normal 111 2 3" xfId="8652"/>
    <cellStyle name="Normal 111 3" xfId="4755"/>
    <cellStyle name="Normal 111 3 2" xfId="9851"/>
    <cellStyle name="Normal 111 4" xfId="7405"/>
    <cellStyle name="Normal 112" xfId="2298"/>
    <cellStyle name="Normal 112 2" xfId="3551"/>
    <cellStyle name="Normal 112 2 2" xfId="5946"/>
    <cellStyle name="Normal 112 2 2 2" xfId="11042"/>
    <cellStyle name="Normal 112 2 3" xfId="8654"/>
    <cellStyle name="Normal 112 3" xfId="4757"/>
    <cellStyle name="Normal 112 3 2" xfId="9853"/>
    <cellStyle name="Normal 112 4" xfId="7407"/>
    <cellStyle name="Normal 113" xfId="2300"/>
    <cellStyle name="Normal 113 2" xfId="3553"/>
    <cellStyle name="Normal 113 2 2" xfId="5948"/>
    <cellStyle name="Normal 113 2 2 2" xfId="11044"/>
    <cellStyle name="Normal 113 2 3" xfId="8656"/>
    <cellStyle name="Normal 113 3" xfId="4759"/>
    <cellStyle name="Normal 113 3 2" xfId="9855"/>
    <cellStyle name="Normal 113 4" xfId="7409"/>
    <cellStyle name="Normal 114" xfId="2302"/>
    <cellStyle name="Normal 114 2" xfId="3555"/>
    <cellStyle name="Normal 114 2 2" xfId="5950"/>
    <cellStyle name="Normal 114 2 2 2" xfId="11046"/>
    <cellStyle name="Normal 114 2 3" xfId="8658"/>
    <cellStyle name="Normal 114 3" xfId="4761"/>
    <cellStyle name="Normal 114 3 2" xfId="9857"/>
    <cellStyle name="Normal 114 4" xfId="7411"/>
    <cellStyle name="Normal 115" xfId="2304"/>
    <cellStyle name="Normal 115 2" xfId="3557"/>
    <cellStyle name="Normal 115 2 2" xfId="5952"/>
    <cellStyle name="Normal 115 2 2 2" xfId="11048"/>
    <cellStyle name="Normal 115 2 3" xfId="8660"/>
    <cellStyle name="Normal 115 3" xfId="4763"/>
    <cellStyle name="Normal 115 3 2" xfId="9859"/>
    <cellStyle name="Normal 115 4" xfId="7413"/>
    <cellStyle name="Normal 116" xfId="2306"/>
    <cellStyle name="Normal 116 2" xfId="3559"/>
    <cellStyle name="Normal 116 2 2" xfId="5954"/>
    <cellStyle name="Normal 116 2 2 2" xfId="11050"/>
    <cellStyle name="Normal 116 2 3" xfId="8662"/>
    <cellStyle name="Normal 116 3" xfId="4765"/>
    <cellStyle name="Normal 116 3 2" xfId="9861"/>
    <cellStyle name="Normal 116 4" xfId="7415"/>
    <cellStyle name="Normal 117" xfId="2308"/>
    <cellStyle name="Normal 117 2" xfId="3561"/>
    <cellStyle name="Normal 117 2 2" xfId="5956"/>
    <cellStyle name="Normal 117 2 2 2" xfId="11052"/>
    <cellStyle name="Normal 117 2 3" xfId="8664"/>
    <cellStyle name="Normal 117 3" xfId="4767"/>
    <cellStyle name="Normal 117 3 2" xfId="9863"/>
    <cellStyle name="Normal 117 4" xfId="7417"/>
    <cellStyle name="Normal 118" xfId="2310"/>
    <cellStyle name="Normal 118 2" xfId="3563"/>
    <cellStyle name="Normal 118 2 2" xfId="5958"/>
    <cellStyle name="Normal 118 2 2 2" xfId="11054"/>
    <cellStyle name="Normal 118 2 3" xfId="8666"/>
    <cellStyle name="Normal 118 3" xfId="4769"/>
    <cellStyle name="Normal 118 3 2" xfId="9865"/>
    <cellStyle name="Normal 118 4" xfId="7419"/>
    <cellStyle name="Normal 119" xfId="2312"/>
    <cellStyle name="Normal 119 2" xfId="3565"/>
    <cellStyle name="Normal 119 2 2" xfId="5960"/>
    <cellStyle name="Normal 119 2 2 2" xfId="11056"/>
    <cellStyle name="Normal 119 2 3" xfId="8668"/>
    <cellStyle name="Normal 119 3" xfId="4771"/>
    <cellStyle name="Normal 119 3 2" xfId="9867"/>
    <cellStyle name="Normal 119 4" xfId="7421"/>
    <cellStyle name="Normal 12" xfId="74"/>
    <cellStyle name="Normal 12 2" xfId="1692"/>
    <cellStyle name="Normal 12 2 2" xfId="1693"/>
    <cellStyle name="Normal 12 2 2 2" xfId="1694"/>
    <cellStyle name="Normal 12 2 2 2 2" xfId="1695"/>
    <cellStyle name="Normal 12 2 2 2 2 2" xfId="3105"/>
    <cellStyle name="Normal 12 2 2 2 2 2 2" xfId="5501"/>
    <cellStyle name="Normal 12 2 2 2 2 2 2 2" xfId="10597"/>
    <cellStyle name="Normal 12 2 2 2 2 2 3" xfId="8208"/>
    <cellStyle name="Normal 12 2 2 2 2 3" xfId="4309"/>
    <cellStyle name="Normal 12 2 2 2 2 3 2" xfId="9405"/>
    <cellStyle name="Normal 12 2 2 2 2 4" xfId="6946"/>
    <cellStyle name="Normal 12 2 2 2 3" xfId="3104"/>
    <cellStyle name="Normal 12 2 2 2 3 2" xfId="5500"/>
    <cellStyle name="Normal 12 2 2 2 3 2 2" xfId="10596"/>
    <cellStyle name="Normal 12 2 2 2 3 3" xfId="8207"/>
    <cellStyle name="Normal 12 2 2 2 4" xfId="4308"/>
    <cellStyle name="Normal 12 2 2 2 4 2" xfId="9404"/>
    <cellStyle name="Normal 12 2 2 2 5" xfId="6945"/>
    <cellStyle name="Normal 12 2 2 3" xfId="1696"/>
    <cellStyle name="Normal 12 2 2 3 2" xfId="3106"/>
    <cellStyle name="Normal 12 2 2 3 2 2" xfId="5502"/>
    <cellStyle name="Normal 12 2 2 3 2 2 2" xfId="10598"/>
    <cellStyle name="Normal 12 2 2 3 2 3" xfId="8209"/>
    <cellStyle name="Normal 12 2 2 3 3" xfId="4310"/>
    <cellStyle name="Normal 12 2 2 3 3 2" xfId="9406"/>
    <cellStyle name="Normal 12 2 2 3 4" xfId="6947"/>
    <cellStyle name="Normal 12 2 2 4" xfId="1697"/>
    <cellStyle name="Normal 12 2 2 4 2" xfId="3107"/>
    <cellStyle name="Normal 12 2 2 4 2 2" xfId="5503"/>
    <cellStyle name="Normal 12 2 2 4 2 2 2" xfId="10599"/>
    <cellStyle name="Normal 12 2 2 4 2 3" xfId="8210"/>
    <cellStyle name="Normal 12 2 2 4 3" xfId="4311"/>
    <cellStyle name="Normal 12 2 2 4 3 2" xfId="9407"/>
    <cellStyle name="Normal 12 2 2 4 4" xfId="6948"/>
    <cellStyle name="Normal 12 2 2 5" xfId="3103"/>
    <cellStyle name="Normal 12 2 2 5 2" xfId="5499"/>
    <cellStyle name="Normal 12 2 2 5 2 2" xfId="10595"/>
    <cellStyle name="Normal 12 2 2 5 3" xfId="8206"/>
    <cellStyle name="Normal 12 2 2 6" xfId="4307"/>
    <cellStyle name="Normal 12 2 2 6 2" xfId="9403"/>
    <cellStyle name="Normal 12 2 2 7" xfId="6944"/>
    <cellStyle name="Normal 12 2 3" xfId="1698"/>
    <cellStyle name="Normal 12 2 3 2" xfId="1699"/>
    <cellStyle name="Normal 12 2 3 2 2" xfId="3109"/>
    <cellStyle name="Normal 12 2 3 2 2 2" xfId="5505"/>
    <cellStyle name="Normal 12 2 3 2 2 2 2" xfId="10601"/>
    <cellStyle name="Normal 12 2 3 2 2 3" xfId="8212"/>
    <cellStyle name="Normal 12 2 3 2 3" xfId="4313"/>
    <cellStyle name="Normal 12 2 3 2 3 2" xfId="9409"/>
    <cellStyle name="Normal 12 2 3 2 4" xfId="6950"/>
    <cellStyle name="Normal 12 2 3 3" xfId="3108"/>
    <cellStyle name="Normal 12 2 3 3 2" xfId="5504"/>
    <cellStyle name="Normal 12 2 3 3 2 2" xfId="10600"/>
    <cellStyle name="Normal 12 2 3 3 3" xfId="8211"/>
    <cellStyle name="Normal 12 2 3 4" xfId="4312"/>
    <cellStyle name="Normal 12 2 3 4 2" xfId="9408"/>
    <cellStyle name="Normal 12 2 3 5" xfId="6949"/>
    <cellStyle name="Normal 12 2 4" xfId="1700"/>
    <cellStyle name="Normal 12 2 4 2" xfId="3110"/>
    <cellStyle name="Normal 12 2 4 2 2" xfId="5506"/>
    <cellStyle name="Normal 12 2 4 2 2 2" xfId="10602"/>
    <cellStyle name="Normal 12 2 4 2 3" xfId="8213"/>
    <cellStyle name="Normal 12 2 4 3" xfId="4314"/>
    <cellStyle name="Normal 12 2 4 3 2" xfId="9410"/>
    <cellStyle name="Normal 12 2 4 4" xfId="6951"/>
    <cellStyle name="Normal 12 2 5" xfId="1701"/>
    <cellStyle name="Normal 12 2 5 2" xfId="3111"/>
    <cellStyle name="Normal 12 2 5 2 2" xfId="5507"/>
    <cellStyle name="Normal 12 2 5 2 2 2" xfId="10603"/>
    <cellStyle name="Normal 12 2 5 2 3" xfId="8214"/>
    <cellStyle name="Normal 12 2 5 3" xfId="4315"/>
    <cellStyle name="Normal 12 2 5 3 2" xfId="9411"/>
    <cellStyle name="Normal 12 2 5 4" xfId="6952"/>
    <cellStyle name="Normal 12 2 6" xfId="3102"/>
    <cellStyle name="Normal 12 2 6 2" xfId="5498"/>
    <cellStyle name="Normal 12 2 6 2 2" xfId="10594"/>
    <cellStyle name="Normal 12 2 6 3" xfId="8205"/>
    <cellStyle name="Normal 12 2 7" xfId="4306"/>
    <cellStyle name="Normal 12 2 7 2" xfId="9402"/>
    <cellStyle name="Normal 12 2 8" xfId="6943"/>
    <cellStyle name="Normal 12 3" xfId="1702"/>
    <cellStyle name="Normal 12 3 2" xfId="1703"/>
    <cellStyle name="Normal 12 3 2 2" xfId="1704"/>
    <cellStyle name="Normal 12 3 2 2 2" xfId="3114"/>
    <cellStyle name="Normal 12 3 2 2 2 2" xfId="5510"/>
    <cellStyle name="Normal 12 3 2 2 2 2 2" xfId="10606"/>
    <cellStyle name="Normal 12 3 2 2 2 3" xfId="8217"/>
    <cellStyle name="Normal 12 3 2 2 3" xfId="4318"/>
    <cellStyle name="Normal 12 3 2 2 3 2" xfId="9414"/>
    <cellStyle name="Normal 12 3 2 2 4" xfId="6955"/>
    <cellStyle name="Normal 12 3 2 3" xfId="3113"/>
    <cellStyle name="Normal 12 3 2 3 2" xfId="5509"/>
    <cellStyle name="Normal 12 3 2 3 2 2" xfId="10605"/>
    <cellStyle name="Normal 12 3 2 3 3" xfId="8216"/>
    <cellStyle name="Normal 12 3 2 4" xfId="4317"/>
    <cellStyle name="Normal 12 3 2 4 2" xfId="9413"/>
    <cellStyle name="Normal 12 3 2 5" xfId="6954"/>
    <cellStyle name="Normal 12 3 3" xfId="1705"/>
    <cellStyle name="Normal 12 3 3 2" xfId="3115"/>
    <cellStyle name="Normal 12 3 3 2 2" xfId="5511"/>
    <cellStyle name="Normal 12 3 3 2 2 2" xfId="10607"/>
    <cellStyle name="Normal 12 3 3 2 3" xfId="8218"/>
    <cellStyle name="Normal 12 3 3 3" xfId="4319"/>
    <cellStyle name="Normal 12 3 3 3 2" xfId="9415"/>
    <cellStyle name="Normal 12 3 3 4" xfId="6956"/>
    <cellStyle name="Normal 12 3 4" xfId="1706"/>
    <cellStyle name="Normal 12 3 4 2" xfId="3116"/>
    <cellStyle name="Normal 12 3 4 2 2" xfId="5512"/>
    <cellStyle name="Normal 12 3 4 2 2 2" xfId="10608"/>
    <cellStyle name="Normal 12 3 4 2 3" xfId="8219"/>
    <cellStyle name="Normal 12 3 4 3" xfId="4320"/>
    <cellStyle name="Normal 12 3 4 3 2" xfId="9416"/>
    <cellStyle name="Normal 12 3 4 4" xfId="6957"/>
    <cellStyle name="Normal 12 3 5" xfId="3112"/>
    <cellStyle name="Normal 12 3 5 2" xfId="5508"/>
    <cellStyle name="Normal 12 3 5 2 2" xfId="10604"/>
    <cellStyle name="Normal 12 3 5 3" xfId="8215"/>
    <cellStyle name="Normal 12 3 6" xfId="4316"/>
    <cellStyle name="Normal 12 3 6 2" xfId="9412"/>
    <cellStyle name="Normal 12 3 7" xfId="6953"/>
    <cellStyle name="Normal 12 4" xfId="1707"/>
    <cellStyle name="Normal 12 4 2" xfId="1708"/>
    <cellStyle name="Normal 12 4 2 2" xfId="1709"/>
    <cellStyle name="Normal 12 4 2 2 2" xfId="3119"/>
    <cellStyle name="Normal 12 4 2 2 2 2" xfId="5515"/>
    <cellStyle name="Normal 12 4 2 2 2 2 2" xfId="10611"/>
    <cellStyle name="Normal 12 4 2 2 2 3" xfId="8222"/>
    <cellStyle name="Normal 12 4 2 2 3" xfId="4323"/>
    <cellStyle name="Normal 12 4 2 2 3 2" xfId="9419"/>
    <cellStyle name="Normal 12 4 2 2 4" xfId="6960"/>
    <cellStyle name="Normal 12 4 2 3" xfId="3118"/>
    <cellStyle name="Normal 12 4 2 3 2" xfId="5514"/>
    <cellStyle name="Normal 12 4 2 3 2 2" xfId="10610"/>
    <cellStyle name="Normal 12 4 2 3 3" xfId="8221"/>
    <cellStyle name="Normal 12 4 2 4" xfId="4322"/>
    <cellStyle name="Normal 12 4 2 4 2" xfId="9418"/>
    <cellStyle name="Normal 12 4 2 5" xfId="6959"/>
    <cellStyle name="Normal 12 4 3" xfId="1710"/>
    <cellStyle name="Normal 12 4 3 2" xfId="3120"/>
    <cellStyle name="Normal 12 4 3 2 2" xfId="5516"/>
    <cellStyle name="Normal 12 4 3 2 2 2" xfId="10612"/>
    <cellStyle name="Normal 12 4 3 2 3" xfId="8223"/>
    <cellStyle name="Normal 12 4 3 3" xfId="4324"/>
    <cellStyle name="Normal 12 4 3 3 2" xfId="9420"/>
    <cellStyle name="Normal 12 4 3 4" xfId="6961"/>
    <cellStyle name="Normal 12 4 4" xfId="1711"/>
    <cellStyle name="Normal 12 4 4 2" xfId="3121"/>
    <cellStyle name="Normal 12 4 4 2 2" xfId="5517"/>
    <cellStyle name="Normal 12 4 4 2 2 2" xfId="10613"/>
    <cellStyle name="Normal 12 4 4 2 3" xfId="8224"/>
    <cellStyle name="Normal 12 4 4 3" xfId="4325"/>
    <cellStyle name="Normal 12 4 4 3 2" xfId="9421"/>
    <cellStyle name="Normal 12 4 4 4" xfId="6962"/>
    <cellStyle name="Normal 12 4 5" xfId="3117"/>
    <cellStyle name="Normal 12 4 5 2" xfId="5513"/>
    <cellStyle name="Normal 12 4 5 2 2" xfId="10609"/>
    <cellStyle name="Normal 12 4 5 3" xfId="8220"/>
    <cellStyle name="Normal 12 4 6" xfId="4321"/>
    <cellStyle name="Normal 12 4 6 2" xfId="9417"/>
    <cellStyle name="Normal 12 4 7" xfId="6958"/>
    <cellStyle name="Normal 12 5" xfId="1712"/>
    <cellStyle name="Normal 12 5 2" xfId="1713"/>
    <cellStyle name="Normal 12 5 2 2" xfId="1714"/>
    <cellStyle name="Normal 12 5 2 2 2" xfId="3124"/>
    <cellStyle name="Normal 12 5 2 2 2 2" xfId="5520"/>
    <cellStyle name="Normal 12 5 2 2 2 2 2" xfId="10616"/>
    <cellStyle name="Normal 12 5 2 2 2 3" xfId="8227"/>
    <cellStyle name="Normal 12 5 2 2 3" xfId="4328"/>
    <cellStyle name="Normal 12 5 2 2 3 2" xfId="9424"/>
    <cellStyle name="Normal 12 5 2 2 4" xfId="6965"/>
    <cellStyle name="Normal 12 5 2 3" xfId="3123"/>
    <cellStyle name="Normal 12 5 2 3 2" xfId="5519"/>
    <cellStyle name="Normal 12 5 2 3 2 2" xfId="10615"/>
    <cellStyle name="Normal 12 5 2 3 3" xfId="8226"/>
    <cellStyle name="Normal 12 5 2 4" xfId="4327"/>
    <cellStyle name="Normal 12 5 2 4 2" xfId="9423"/>
    <cellStyle name="Normal 12 5 2 5" xfId="6964"/>
    <cellStyle name="Normal 12 5 3" xfId="1715"/>
    <cellStyle name="Normal 12 5 3 2" xfId="3125"/>
    <cellStyle name="Normal 12 5 3 2 2" xfId="5521"/>
    <cellStyle name="Normal 12 5 3 2 2 2" xfId="10617"/>
    <cellStyle name="Normal 12 5 3 2 3" xfId="8228"/>
    <cellStyle name="Normal 12 5 3 3" xfId="4329"/>
    <cellStyle name="Normal 12 5 3 3 2" xfId="9425"/>
    <cellStyle name="Normal 12 5 3 4" xfId="6966"/>
    <cellStyle name="Normal 12 5 4" xfId="1716"/>
    <cellStyle name="Normal 12 5 4 2" xfId="3126"/>
    <cellStyle name="Normal 12 5 4 2 2" xfId="5522"/>
    <cellStyle name="Normal 12 5 4 2 2 2" xfId="10618"/>
    <cellStyle name="Normal 12 5 4 2 3" xfId="8229"/>
    <cellStyle name="Normal 12 5 4 3" xfId="4330"/>
    <cellStyle name="Normal 12 5 4 3 2" xfId="9426"/>
    <cellStyle name="Normal 12 5 4 4" xfId="6967"/>
    <cellStyle name="Normal 12 5 5" xfId="3122"/>
    <cellStyle name="Normal 12 5 5 2" xfId="5518"/>
    <cellStyle name="Normal 12 5 5 2 2" xfId="10614"/>
    <cellStyle name="Normal 12 5 5 3" xfId="8225"/>
    <cellStyle name="Normal 12 5 6" xfId="4326"/>
    <cellStyle name="Normal 12 5 6 2" xfId="9422"/>
    <cellStyle name="Normal 12 5 7" xfId="6963"/>
    <cellStyle name="Normal 12 6" xfId="1717"/>
    <cellStyle name="Normal 12 6 2" xfId="1718"/>
    <cellStyle name="Normal 12 6 2 2" xfId="3128"/>
    <cellStyle name="Normal 12 6 2 2 2" xfId="5524"/>
    <cellStyle name="Normal 12 6 2 2 2 2" xfId="10620"/>
    <cellStyle name="Normal 12 6 2 2 3" xfId="8231"/>
    <cellStyle name="Normal 12 6 2 3" xfId="4332"/>
    <cellStyle name="Normal 12 6 2 3 2" xfId="9428"/>
    <cellStyle name="Normal 12 6 2 4" xfId="6969"/>
    <cellStyle name="Normal 12 6 3" xfId="3127"/>
    <cellStyle name="Normal 12 6 3 2" xfId="5523"/>
    <cellStyle name="Normal 12 6 3 2 2" xfId="10619"/>
    <cellStyle name="Normal 12 6 3 3" xfId="8230"/>
    <cellStyle name="Normal 12 6 4" xfId="4331"/>
    <cellStyle name="Normal 12 6 4 2" xfId="9427"/>
    <cellStyle name="Normal 12 6 5" xfId="6968"/>
    <cellStyle name="Normal 12 7" xfId="1719"/>
    <cellStyle name="Normal 12 7 2" xfId="3129"/>
    <cellStyle name="Normal 12 7 2 2" xfId="5525"/>
    <cellStyle name="Normal 12 7 2 2 2" xfId="10621"/>
    <cellStyle name="Normal 12 7 2 3" xfId="8232"/>
    <cellStyle name="Normal 12 7 3" xfId="4333"/>
    <cellStyle name="Normal 12 7 3 2" xfId="9429"/>
    <cellStyle name="Normal 12 7 4" xfId="6970"/>
    <cellStyle name="Normal 12 8" xfId="1720"/>
    <cellStyle name="Normal 12 8 2" xfId="3130"/>
    <cellStyle name="Normal 12 8 2 2" xfId="5526"/>
    <cellStyle name="Normal 12 8 2 2 2" xfId="10622"/>
    <cellStyle name="Normal 12 8 2 3" xfId="8233"/>
    <cellStyle name="Normal 12 8 3" xfId="4334"/>
    <cellStyle name="Normal 12 8 3 2" xfId="9430"/>
    <cellStyle name="Normal 12 8 4" xfId="6971"/>
    <cellStyle name="Normal 12 9" xfId="1691"/>
    <cellStyle name="Normal 12 9 2" xfId="3101"/>
    <cellStyle name="Normal 12 9 2 2" xfId="5497"/>
    <cellStyle name="Normal 12 9 2 2 2" xfId="10593"/>
    <cellStyle name="Normal 12 9 2 3" xfId="8204"/>
    <cellStyle name="Normal 12 9 3" xfId="4305"/>
    <cellStyle name="Normal 12 9 3 2" xfId="9401"/>
    <cellStyle name="Normal 12 9 4" xfId="6942"/>
    <cellStyle name="Normal 120" xfId="2314"/>
    <cellStyle name="Normal 120 2" xfId="3567"/>
    <cellStyle name="Normal 120 2 2" xfId="5962"/>
    <cellStyle name="Normal 120 2 2 2" xfId="11058"/>
    <cellStyle name="Normal 120 2 3" xfId="8670"/>
    <cellStyle name="Normal 120 3" xfId="4773"/>
    <cellStyle name="Normal 120 3 2" xfId="9869"/>
    <cellStyle name="Normal 120 4" xfId="7423"/>
    <cellStyle name="Normal 121" xfId="2316"/>
    <cellStyle name="Normal 121 2" xfId="3569"/>
    <cellStyle name="Normal 121 2 2" xfId="5964"/>
    <cellStyle name="Normal 121 2 2 2" xfId="11060"/>
    <cellStyle name="Normal 121 2 3" xfId="8672"/>
    <cellStyle name="Normal 121 3" xfId="4775"/>
    <cellStyle name="Normal 121 3 2" xfId="9871"/>
    <cellStyle name="Normal 121 4" xfId="7425"/>
    <cellStyle name="Normal 122" xfId="2318"/>
    <cellStyle name="Normal 122 2" xfId="3571"/>
    <cellStyle name="Normal 122 2 2" xfId="5966"/>
    <cellStyle name="Normal 122 2 2 2" xfId="11062"/>
    <cellStyle name="Normal 122 2 3" xfId="8674"/>
    <cellStyle name="Normal 122 3" xfId="4777"/>
    <cellStyle name="Normal 122 3 2" xfId="9873"/>
    <cellStyle name="Normal 122 4" xfId="7427"/>
    <cellStyle name="Normal 123" xfId="2320"/>
    <cellStyle name="Normal 123 2" xfId="3573"/>
    <cellStyle name="Normal 123 2 2" xfId="5968"/>
    <cellStyle name="Normal 123 2 2 2" xfId="11064"/>
    <cellStyle name="Normal 123 2 3" xfId="8676"/>
    <cellStyle name="Normal 123 3" xfId="4779"/>
    <cellStyle name="Normal 123 3 2" xfId="9875"/>
    <cellStyle name="Normal 123 4" xfId="7429"/>
    <cellStyle name="Normal 124" xfId="2322"/>
    <cellStyle name="Normal 124 2" xfId="3575"/>
    <cellStyle name="Normal 124 2 2" xfId="5970"/>
    <cellStyle name="Normal 124 2 2 2" xfId="11066"/>
    <cellStyle name="Normal 124 2 3" xfId="8678"/>
    <cellStyle name="Normal 124 3" xfId="4781"/>
    <cellStyle name="Normal 124 3 2" xfId="9877"/>
    <cellStyle name="Normal 124 4" xfId="7431"/>
    <cellStyle name="Normal 125" xfId="2324"/>
    <cellStyle name="Normal 125 2" xfId="3577"/>
    <cellStyle name="Normal 125 2 2" xfId="5972"/>
    <cellStyle name="Normal 125 2 2 2" xfId="11068"/>
    <cellStyle name="Normal 125 2 3" xfId="8680"/>
    <cellStyle name="Normal 125 3" xfId="4783"/>
    <cellStyle name="Normal 125 3 2" xfId="9879"/>
    <cellStyle name="Normal 125 4" xfId="7433"/>
    <cellStyle name="Normal 126" xfId="2326"/>
    <cellStyle name="Normal 126 2" xfId="3579"/>
    <cellStyle name="Normal 126 2 2" xfId="5974"/>
    <cellStyle name="Normal 126 2 2 2" xfId="11070"/>
    <cellStyle name="Normal 126 2 3" xfId="8682"/>
    <cellStyle name="Normal 126 3" xfId="4785"/>
    <cellStyle name="Normal 126 3 2" xfId="9881"/>
    <cellStyle name="Normal 126 4" xfId="7435"/>
    <cellStyle name="Normal 127" xfId="3599"/>
    <cellStyle name="Normal 128" xfId="3946"/>
    <cellStyle name="Normal 129" xfId="3584"/>
    <cellStyle name="Normal 129 2" xfId="8687"/>
    <cellStyle name="Normal 13" xfId="75"/>
    <cellStyle name="Normal 13 2" xfId="1160"/>
    <cellStyle name="Normal 13 2 2" xfId="1722"/>
    <cellStyle name="Normal 13 2 3" xfId="1723"/>
    <cellStyle name="Normal 13 3" xfId="1721"/>
    <cellStyle name="Normal 130" xfId="4685"/>
    <cellStyle name="Normal 130 2" xfId="9781"/>
    <cellStyle name="Normal 131" xfId="20269"/>
    <cellStyle name="Normal 14" xfId="76"/>
    <cellStyle name="Normal 14 2" xfId="1725"/>
    <cellStyle name="Normal 14 2 2" xfId="1726"/>
    <cellStyle name="Normal 14 2 3" xfId="1727"/>
    <cellStyle name="Normal 14 2 4" xfId="1728"/>
    <cellStyle name="Normal 14 2 4 2" xfId="1729"/>
    <cellStyle name="Normal 14 2 4 2 2" xfId="3133"/>
    <cellStyle name="Normal 14 2 4 2 2 2" xfId="5529"/>
    <cellStyle name="Normal 14 2 4 2 2 2 2" xfId="10625"/>
    <cellStyle name="Normal 14 2 4 2 2 3" xfId="8236"/>
    <cellStyle name="Normal 14 2 4 2 3" xfId="4337"/>
    <cellStyle name="Normal 14 2 4 2 3 2" xfId="9433"/>
    <cellStyle name="Normal 14 2 4 2 4" xfId="6975"/>
    <cellStyle name="Normal 14 2 4 3" xfId="3132"/>
    <cellStyle name="Normal 14 2 4 3 2" xfId="5528"/>
    <cellStyle name="Normal 14 2 4 3 2 2" xfId="10624"/>
    <cellStyle name="Normal 14 2 4 3 3" xfId="8235"/>
    <cellStyle name="Normal 14 2 4 4" xfId="4336"/>
    <cellStyle name="Normal 14 2 4 4 2" xfId="9432"/>
    <cellStyle name="Normal 14 2 4 5" xfId="6974"/>
    <cellStyle name="Normal 14 2 5" xfId="1730"/>
    <cellStyle name="Normal 14 2 5 2" xfId="3134"/>
    <cellStyle name="Normal 14 2 5 2 2" xfId="5530"/>
    <cellStyle name="Normal 14 2 5 2 2 2" xfId="10626"/>
    <cellStyle name="Normal 14 2 5 2 3" xfId="8237"/>
    <cellStyle name="Normal 14 2 5 3" xfId="4338"/>
    <cellStyle name="Normal 14 2 5 3 2" xfId="9434"/>
    <cellStyle name="Normal 14 2 5 4" xfId="6976"/>
    <cellStyle name="Normal 14 2 6" xfId="1731"/>
    <cellStyle name="Normal 14 2 6 2" xfId="3135"/>
    <cellStyle name="Normal 14 2 6 2 2" xfId="5531"/>
    <cellStyle name="Normal 14 2 6 2 2 2" xfId="10627"/>
    <cellStyle name="Normal 14 2 6 2 3" xfId="8238"/>
    <cellStyle name="Normal 14 2 6 3" xfId="4339"/>
    <cellStyle name="Normal 14 2 6 3 2" xfId="9435"/>
    <cellStyle name="Normal 14 2 6 4" xfId="6977"/>
    <cellStyle name="Normal 14 3" xfId="1732"/>
    <cellStyle name="Normal 14 4" xfId="1733"/>
    <cellStyle name="Normal 14 4 2" xfId="1734"/>
    <cellStyle name="Normal 14 4 2 2" xfId="1735"/>
    <cellStyle name="Normal 14 4 2 2 2" xfId="3138"/>
    <cellStyle name="Normal 14 4 2 2 2 2" xfId="5534"/>
    <cellStyle name="Normal 14 4 2 2 2 2 2" xfId="10630"/>
    <cellStyle name="Normal 14 4 2 2 2 3" xfId="8241"/>
    <cellStyle name="Normal 14 4 2 2 3" xfId="4342"/>
    <cellStyle name="Normal 14 4 2 2 3 2" xfId="9438"/>
    <cellStyle name="Normal 14 4 2 2 4" xfId="6980"/>
    <cellStyle name="Normal 14 4 2 3" xfId="3137"/>
    <cellStyle name="Normal 14 4 2 3 2" xfId="5533"/>
    <cellStyle name="Normal 14 4 2 3 2 2" xfId="10629"/>
    <cellStyle name="Normal 14 4 2 3 3" xfId="8240"/>
    <cellStyle name="Normal 14 4 2 4" xfId="4341"/>
    <cellStyle name="Normal 14 4 2 4 2" xfId="9437"/>
    <cellStyle name="Normal 14 4 2 5" xfId="6979"/>
    <cellStyle name="Normal 14 4 3" xfId="1736"/>
    <cellStyle name="Normal 14 4 3 2" xfId="3139"/>
    <cellStyle name="Normal 14 4 3 2 2" xfId="5535"/>
    <cellStyle name="Normal 14 4 3 2 2 2" xfId="10631"/>
    <cellStyle name="Normal 14 4 3 2 3" xfId="8242"/>
    <cellStyle name="Normal 14 4 3 3" xfId="4343"/>
    <cellStyle name="Normal 14 4 3 3 2" xfId="9439"/>
    <cellStyle name="Normal 14 4 3 4" xfId="6981"/>
    <cellStyle name="Normal 14 4 4" xfId="1737"/>
    <cellStyle name="Normal 14 4 4 2" xfId="3140"/>
    <cellStyle name="Normal 14 4 4 2 2" xfId="5536"/>
    <cellStyle name="Normal 14 4 4 2 2 2" xfId="10632"/>
    <cellStyle name="Normal 14 4 4 2 3" xfId="8243"/>
    <cellStyle name="Normal 14 4 4 3" xfId="4344"/>
    <cellStyle name="Normal 14 4 4 3 2" xfId="9440"/>
    <cellStyle name="Normal 14 4 4 4" xfId="6982"/>
    <cellStyle name="Normal 14 4 5" xfId="3136"/>
    <cellStyle name="Normal 14 4 5 2" xfId="5532"/>
    <cellStyle name="Normal 14 4 5 2 2" xfId="10628"/>
    <cellStyle name="Normal 14 4 5 3" xfId="8239"/>
    <cellStyle name="Normal 14 4 6" xfId="4340"/>
    <cellStyle name="Normal 14 4 6 2" xfId="9436"/>
    <cellStyle name="Normal 14 4 7" xfId="6978"/>
    <cellStyle name="Normal 14 5" xfId="1738"/>
    <cellStyle name="Normal 14 5 2" xfId="1739"/>
    <cellStyle name="Normal 14 5 2 2" xfId="1740"/>
    <cellStyle name="Normal 14 5 2 2 2" xfId="3143"/>
    <cellStyle name="Normal 14 5 2 2 2 2" xfId="5539"/>
    <cellStyle name="Normal 14 5 2 2 2 2 2" xfId="10635"/>
    <cellStyle name="Normal 14 5 2 2 2 3" xfId="8246"/>
    <cellStyle name="Normal 14 5 2 2 3" xfId="4347"/>
    <cellStyle name="Normal 14 5 2 2 3 2" xfId="9443"/>
    <cellStyle name="Normal 14 5 2 2 4" xfId="6985"/>
    <cellStyle name="Normal 14 5 2 3" xfId="3142"/>
    <cellStyle name="Normal 14 5 2 3 2" xfId="5538"/>
    <cellStyle name="Normal 14 5 2 3 2 2" xfId="10634"/>
    <cellStyle name="Normal 14 5 2 3 3" xfId="8245"/>
    <cellStyle name="Normal 14 5 2 4" xfId="4346"/>
    <cellStyle name="Normal 14 5 2 4 2" xfId="9442"/>
    <cellStyle name="Normal 14 5 2 5" xfId="6984"/>
    <cellStyle name="Normal 14 5 3" xfId="1741"/>
    <cellStyle name="Normal 14 5 3 2" xfId="3144"/>
    <cellStyle name="Normal 14 5 3 2 2" xfId="5540"/>
    <cellStyle name="Normal 14 5 3 2 2 2" xfId="10636"/>
    <cellStyle name="Normal 14 5 3 2 3" xfId="8247"/>
    <cellStyle name="Normal 14 5 3 3" xfId="4348"/>
    <cellStyle name="Normal 14 5 3 3 2" xfId="9444"/>
    <cellStyle name="Normal 14 5 3 4" xfId="6986"/>
    <cellStyle name="Normal 14 5 4" xfId="1742"/>
    <cellStyle name="Normal 14 5 4 2" xfId="3145"/>
    <cellStyle name="Normal 14 5 4 2 2" xfId="5541"/>
    <cellStyle name="Normal 14 5 4 2 2 2" xfId="10637"/>
    <cellStyle name="Normal 14 5 4 2 3" xfId="8248"/>
    <cellStyle name="Normal 14 5 4 3" xfId="4349"/>
    <cellStyle name="Normal 14 5 4 3 2" xfId="9445"/>
    <cellStyle name="Normal 14 5 4 4" xfId="6987"/>
    <cellStyle name="Normal 14 5 5" xfId="3141"/>
    <cellStyle name="Normal 14 5 5 2" xfId="5537"/>
    <cellStyle name="Normal 14 5 5 2 2" xfId="10633"/>
    <cellStyle name="Normal 14 5 5 3" xfId="8244"/>
    <cellStyle name="Normal 14 5 6" xfId="4345"/>
    <cellStyle name="Normal 14 5 6 2" xfId="9441"/>
    <cellStyle name="Normal 14 5 7" xfId="6983"/>
    <cellStyle name="Normal 14 6" xfId="1724"/>
    <cellStyle name="Normal 14 6 2" xfId="3131"/>
    <cellStyle name="Normal 14 6 2 2" xfId="5527"/>
    <cellStyle name="Normal 14 6 2 2 2" xfId="10623"/>
    <cellStyle name="Normal 14 6 2 3" xfId="8234"/>
    <cellStyle name="Normal 14 6 3" xfId="4335"/>
    <cellStyle name="Normal 14 6 3 2" xfId="9431"/>
    <cellStyle name="Normal 14 6 4" xfId="6973"/>
    <cellStyle name="Normal 15" xfId="79"/>
    <cellStyle name="Normal 15 2" xfId="1744"/>
    <cellStyle name="Normal 15 2 2" xfId="1745"/>
    <cellStyle name="Normal 15 2 2 2" xfId="1746"/>
    <cellStyle name="Normal 15 2 2 2 2" xfId="1747"/>
    <cellStyle name="Normal 15 2 2 2 2 2" xfId="3150"/>
    <cellStyle name="Normal 15 2 2 2 2 2 2" xfId="5546"/>
    <cellStyle name="Normal 15 2 2 2 2 2 2 2" xfId="10642"/>
    <cellStyle name="Normal 15 2 2 2 2 2 3" xfId="8253"/>
    <cellStyle name="Normal 15 2 2 2 2 3" xfId="4354"/>
    <cellStyle name="Normal 15 2 2 2 2 3 2" xfId="9450"/>
    <cellStyle name="Normal 15 2 2 2 2 4" xfId="6992"/>
    <cellStyle name="Normal 15 2 2 2 3" xfId="3149"/>
    <cellStyle name="Normal 15 2 2 2 3 2" xfId="5545"/>
    <cellStyle name="Normal 15 2 2 2 3 2 2" xfId="10641"/>
    <cellStyle name="Normal 15 2 2 2 3 3" xfId="8252"/>
    <cellStyle name="Normal 15 2 2 2 4" xfId="4353"/>
    <cellStyle name="Normal 15 2 2 2 4 2" xfId="9449"/>
    <cellStyle name="Normal 15 2 2 2 5" xfId="6991"/>
    <cellStyle name="Normal 15 2 2 3" xfId="1748"/>
    <cellStyle name="Normal 15 2 2 3 2" xfId="3151"/>
    <cellStyle name="Normal 15 2 2 3 2 2" xfId="5547"/>
    <cellStyle name="Normal 15 2 2 3 2 2 2" xfId="10643"/>
    <cellStyle name="Normal 15 2 2 3 2 3" xfId="8254"/>
    <cellStyle name="Normal 15 2 2 3 3" xfId="4355"/>
    <cellStyle name="Normal 15 2 2 3 3 2" xfId="9451"/>
    <cellStyle name="Normal 15 2 2 3 4" xfId="6993"/>
    <cellStyle name="Normal 15 2 2 4" xfId="1749"/>
    <cellStyle name="Normal 15 2 2 4 2" xfId="3152"/>
    <cellStyle name="Normal 15 2 2 4 2 2" xfId="5548"/>
    <cellStyle name="Normal 15 2 2 4 2 2 2" xfId="10644"/>
    <cellStyle name="Normal 15 2 2 4 2 3" xfId="8255"/>
    <cellStyle name="Normal 15 2 2 4 3" xfId="4356"/>
    <cellStyle name="Normal 15 2 2 4 3 2" xfId="9452"/>
    <cellStyle name="Normal 15 2 2 4 4" xfId="6994"/>
    <cellStyle name="Normal 15 2 2 5" xfId="3148"/>
    <cellStyle name="Normal 15 2 2 5 2" xfId="5544"/>
    <cellStyle name="Normal 15 2 2 5 2 2" xfId="10640"/>
    <cellStyle name="Normal 15 2 2 5 3" xfId="8251"/>
    <cellStyle name="Normal 15 2 2 6" xfId="4352"/>
    <cellStyle name="Normal 15 2 2 6 2" xfId="9448"/>
    <cellStyle name="Normal 15 2 2 7" xfId="6990"/>
    <cellStyle name="Normal 15 2 3" xfId="1750"/>
    <cellStyle name="Normal 15 2 3 2" xfId="1751"/>
    <cellStyle name="Normal 15 2 3 2 2" xfId="3154"/>
    <cellStyle name="Normal 15 2 3 2 2 2" xfId="5550"/>
    <cellStyle name="Normal 15 2 3 2 2 2 2" xfId="10646"/>
    <cellStyle name="Normal 15 2 3 2 2 3" xfId="8257"/>
    <cellStyle name="Normal 15 2 3 2 3" xfId="4358"/>
    <cellStyle name="Normal 15 2 3 2 3 2" xfId="9454"/>
    <cellStyle name="Normal 15 2 3 2 4" xfId="6996"/>
    <cellStyle name="Normal 15 2 3 3" xfId="3153"/>
    <cellStyle name="Normal 15 2 3 3 2" xfId="5549"/>
    <cellStyle name="Normal 15 2 3 3 2 2" xfId="10645"/>
    <cellStyle name="Normal 15 2 3 3 3" xfId="8256"/>
    <cellStyle name="Normal 15 2 3 4" xfId="4357"/>
    <cellStyle name="Normal 15 2 3 4 2" xfId="9453"/>
    <cellStyle name="Normal 15 2 3 5" xfId="6995"/>
    <cellStyle name="Normal 15 2 4" xfId="1752"/>
    <cellStyle name="Normal 15 2 4 2" xfId="3155"/>
    <cellStyle name="Normal 15 2 4 2 2" xfId="5551"/>
    <cellStyle name="Normal 15 2 4 2 2 2" xfId="10647"/>
    <cellStyle name="Normal 15 2 4 2 3" xfId="8258"/>
    <cellStyle name="Normal 15 2 4 3" xfId="4359"/>
    <cellStyle name="Normal 15 2 4 3 2" xfId="9455"/>
    <cellStyle name="Normal 15 2 4 4" xfId="6997"/>
    <cellStyle name="Normal 15 2 5" xfId="1753"/>
    <cellStyle name="Normal 15 2 5 2" xfId="3156"/>
    <cellStyle name="Normal 15 2 5 2 2" xfId="5552"/>
    <cellStyle name="Normal 15 2 5 2 2 2" xfId="10648"/>
    <cellStyle name="Normal 15 2 5 2 3" xfId="8259"/>
    <cellStyle name="Normal 15 2 5 3" xfId="4360"/>
    <cellStyle name="Normal 15 2 5 3 2" xfId="9456"/>
    <cellStyle name="Normal 15 2 5 4" xfId="6998"/>
    <cellStyle name="Normal 15 2 6" xfId="3147"/>
    <cellStyle name="Normal 15 2 6 2" xfId="5543"/>
    <cellStyle name="Normal 15 2 6 2 2" xfId="10639"/>
    <cellStyle name="Normal 15 2 6 3" xfId="8250"/>
    <cellStyle name="Normal 15 2 7" xfId="4351"/>
    <cellStyle name="Normal 15 2 7 2" xfId="9447"/>
    <cellStyle name="Normal 15 2 8" xfId="6989"/>
    <cellStyle name="Normal 15 3" xfId="1754"/>
    <cellStyle name="Normal 15 3 2" xfId="1755"/>
    <cellStyle name="Normal 15 3 2 2" xfId="1756"/>
    <cellStyle name="Normal 15 3 2 2 2" xfId="3159"/>
    <cellStyle name="Normal 15 3 2 2 2 2" xfId="5555"/>
    <cellStyle name="Normal 15 3 2 2 2 2 2" xfId="10651"/>
    <cellStyle name="Normal 15 3 2 2 2 3" xfId="8262"/>
    <cellStyle name="Normal 15 3 2 2 3" xfId="4363"/>
    <cellStyle name="Normal 15 3 2 2 3 2" xfId="9459"/>
    <cellStyle name="Normal 15 3 2 2 4" xfId="7001"/>
    <cellStyle name="Normal 15 3 2 3" xfId="3158"/>
    <cellStyle name="Normal 15 3 2 3 2" xfId="5554"/>
    <cellStyle name="Normal 15 3 2 3 2 2" xfId="10650"/>
    <cellStyle name="Normal 15 3 2 3 3" xfId="8261"/>
    <cellStyle name="Normal 15 3 2 4" xfId="4362"/>
    <cellStyle name="Normal 15 3 2 4 2" xfId="9458"/>
    <cellStyle name="Normal 15 3 2 5" xfId="7000"/>
    <cellStyle name="Normal 15 3 3" xfId="1757"/>
    <cellStyle name="Normal 15 3 3 2" xfId="3160"/>
    <cellStyle name="Normal 15 3 3 2 2" xfId="5556"/>
    <cellStyle name="Normal 15 3 3 2 2 2" xfId="10652"/>
    <cellStyle name="Normal 15 3 3 2 3" xfId="8263"/>
    <cellStyle name="Normal 15 3 3 3" xfId="4364"/>
    <cellStyle name="Normal 15 3 3 3 2" xfId="9460"/>
    <cellStyle name="Normal 15 3 3 4" xfId="7002"/>
    <cellStyle name="Normal 15 3 4" xfId="1758"/>
    <cellStyle name="Normal 15 3 4 2" xfId="3161"/>
    <cellStyle name="Normal 15 3 4 2 2" xfId="5557"/>
    <cellStyle name="Normal 15 3 4 2 2 2" xfId="10653"/>
    <cellStyle name="Normal 15 3 4 2 3" xfId="8264"/>
    <cellStyle name="Normal 15 3 4 3" xfId="4365"/>
    <cellStyle name="Normal 15 3 4 3 2" xfId="9461"/>
    <cellStyle name="Normal 15 3 4 4" xfId="7003"/>
    <cellStyle name="Normal 15 3 5" xfId="3157"/>
    <cellStyle name="Normal 15 3 5 2" xfId="5553"/>
    <cellStyle name="Normal 15 3 5 2 2" xfId="10649"/>
    <cellStyle name="Normal 15 3 5 3" xfId="8260"/>
    <cellStyle name="Normal 15 3 6" xfId="4361"/>
    <cellStyle name="Normal 15 3 6 2" xfId="9457"/>
    <cellStyle name="Normal 15 3 7" xfId="6999"/>
    <cellStyle name="Normal 15 4" xfId="1759"/>
    <cellStyle name="Normal 15 4 2" xfId="1760"/>
    <cellStyle name="Normal 15 4 2 2" xfId="1761"/>
    <cellStyle name="Normal 15 4 2 2 2" xfId="3164"/>
    <cellStyle name="Normal 15 4 2 2 2 2" xfId="5560"/>
    <cellStyle name="Normal 15 4 2 2 2 2 2" xfId="10656"/>
    <cellStyle name="Normal 15 4 2 2 2 3" xfId="8267"/>
    <cellStyle name="Normal 15 4 2 2 3" xfId="4368"/>
    <cellStyle name="Normal 15 4 2 2 3 2" xfId="9464"/>
    <cellStyle name="Normal 15 4 2 2 4" xfId="7006"/>
    <cellStyle name="Normal 15 4 2 3" xfId="3163"/>
    <cellStyle name="Normal 15 4 2 3 2" xfId="5559"/>
    <cellStyle name="Normal 15 4 2 3 2 2" xfId="10655"/>
    <cellStyle name="Normal 15 4 2 3 3" xfId="8266"/>
    <cellStyle name="Normal 15 4 2 4" xfId="4367"/>
    <cellStyle name="Normal 15 4 2 4 2" xfId="9463"/>
    <cellStyle name="Normal 15 4 2 5" xfId="7005"/>
    <cellStyle name="Normal 15 4 3" xfId="1762"/>
    <cellStyle name="Normal 15 4 3 2" xfId="3165"/>
    <cellStyle name="Normal 15 4 3 2 2" xfId="5561"/>
    <cellStyle name="Normal 15 4 3 2 2 2" xfId="10657"/>
    <cellStyle name="Normal 15 4 3 2 3" xfId="8268"/>
    <cellStyle name="Normal 15 4 3 3" xfId="4369"/>
    <cellStyle name="Normal 15 4 3 3 2" xfId="9465"/>
    <cellStyle name="Normal 15 4 3 4" xfId="7007"/>
    <cellStyle name="Normal 15 4 4" xfId="1763"/>
    <cellStyle name="Normal 15 4 4 2" xfId="3166"/>
    <cellStyle name="Normal 15 4 4 2 2" xfId="5562"/>
    <cellStyle name="Normal 15 4 4 2 2 2" xfId="10658"/>
    <cellStyle name="Normal 15 4 4 2 3" xfId="8269"/>
    <cellStyle name="Normal 15 4 4 3" xfId="4370"/>
    <cellStyle name="Normal 15 4 4 3 2" xfId="9466"/>
    <cellStyle name="Normal 15 4 4 4" xfId="7008"/>
    <cellStyle name="Normal 15 4 5" xfId="3162"/>
    <cellStyle name="Normal 15 4 5 2" xfId="5558"/>
    <cellStyle name="Normal 15 4 5 2 2" xfId="10654"/>
    <cellStyle name="Normal 15 4 5 3" xfId="8265"/>
    <cellStyle name="Normal 15 4 6" xfId="4366"/>
    <cellStyle name="Normal 15 4 6 2" xfId="9462"/>
    <cellStyle name="Normal 15 4 7" xfId="7004"/>
    <cellStyle name="Normal 15 5" xfId="1764"/>
    <cellStyle name="Normal 15 5 2" xfId="1765"/>
    <cellStyle name="Normal 15 5 2 2" xfId="1766"/>
    <cellStyle name="Normal 15 5 2 2 2" xfId="3169"/>
    <cellStyle name="Normal 15 5 2 2 2 2" xfId="5565"/>
    <cellStyle name="Normal 15 5 2 2 2 2 2" xfId="10661"/>
    <cellStyle name="Normal 15 5 2 2 2 3" xfId="8272"/>
    <cellStyle name="Normal 15 5 2 2 3" xfId="4373"/>
    <cellStyle name="Normal 15 5 2 2 3 2" xfId="9469"/>
    <cellStyle name="Normal 15 5 2 2 4" xfId="7011"/>
    <cellStyle name="Normal 15 5 2 3" xfId="3168"/>
    <cellStyle name="Normal 15 5 2 3 2" xfId="5564"/>
    <cellStyle name="Normal 15 5 2 3 2 2" xfId="10660"/>
    <cellStyle name="Normal 15 5 2 3 3" xfId="8271"/>
    <cellStyle name="Normal 15 5 2 4" xfId="4372"/>
    <cellStyle name="Normal 15 5 2 4 2" xfId="9468"/>
    <cellStyle name="Normal 15 5 2 5" xfId="7010"/>
    <cellStyle name="Normal 15 5 3" xfId="1767"/>
    <cellStyle name="Normal 15 5 3 2" xfId="3170"/>
    <cellStyle name="Normal 15 5 3 2 2" xfId="5566"/>
    <cellStyle name="Normal 15 5 3 2 2 2" xfId="10662"/>
    <cellStyle name="Normal 15 5 3 2 3" xfId="8273"/>
    <cellStyle name="Normal 15 5 3 3" xfId="4374"/>
    <cellStyle name="Normal 15 5 3 3 2" xfId="9470"/>
    <cellStyle name="Normal 15 5 3 4" xfId="7012"/>
    <cellStyle name="Normal 15 5 4" xfId="1768"/>
    <cellStyle name="Normal 15 5 4 2" xfId="3171"/>
    <cellStyle name="Normal 15 5 4 2 2" xfId="5567"/>
    <cellStyle name="Normal 15 5 4 2 2 2" xfId="10663"/>
    <cellStyle name="Normal 15 5 4 2 3" xfId="8274"/>
    <cellStyle name="Normal 15 5 4 3" xfId="4375"/>
    <cellStyle name="Normal 15 5 4 3 2" xfId="9471"/>
    <cellStyle name="Normal 15 5 4 4" xfId="7013"/>
    <cellStyle name="Normal 15 5 5" xfId="3167"/>
    <cellStyle name="Normal 15 5 5 2" xfId="5563"/>
    <cellStyle name="Normal 15 5 5 2 2" xfId="10659"/>
    <cellStyle name="Normal 15 5 5 3" xfId="8270"/>
    <cellStyle name="Normal 15 5 6" xfId="4371"/>
    <cellStyle name="Normal 15 5 6 2" xfId="9467"/>
    <cellStyle name="Normal 15 5 7" xfId="7009"/>
    <cellStyle name="Normal 15 6" xfId="1769"/>
    <cellStyle name="Normal 15 6 2" xfId="1770"/>
    <cellStyle name="Normal 15 6 2 2" xfId="3173"/>
    <cellStyle name="Normal 15 6 2 2 2" xfId="5569"/>
    <cellStyle name="Normal 15 6 2 2 2 2" xfId="10665"/>
    <cellStyle name="Normal 15 6 2 2 3" xfId="8276"/>
    <cellStyle name="Normal 15 6 2 3" xfId="4377"/>
    <cellStyle name="Normal 15 6 2 3 2" xfId="9473"/>
    <cellStyle name="Normal 15 6 2 4" xfId="7015"/>
    <cellStyle name="Normal 15 6 3" xfId="3172"/>
    <cellStyle name="Normal 15 6 3 2" xfId="5568"/>
    <cellStyle name="Normal 15 6 3 2 2" xfId="10664"/>
    <cellStyle name="Normal 15 6 3 3" xfId="8275"/>
    <cellStyle name="Normal 15 6 4" xfId="4376"/>
    <cellStyle name="Normal 15 6 4 2" xfId="9472"/>
    <cellStyle name="Normal 15 6 5" xfId="7014"/>
    <cellStyle name="Normal 15 7" xfId="1771"/>
    <cellStyle name="Normal 15 7 2" xfId="3174"/>
    <cellStyle name="Normal 15 7 2 2" xfId="5570"/>
    <cellStyle name="Normal 15 7 2 2 2" xfId="10666"/>
    <cellStyle name="Normal 15 7 2 3" xfId="8277"/>
    <cellStyle name="Normal 15 7 3" xfId="4378"/>
    <cellStyle name="Normal 15 7 3 2" xfId="9474"/>
    <cellStyle name="Normal 15 7 4" xfId="7016"/>
    <cellStyle name="Normal 15 8" xfId="1772"/>
    <cellStyle name="Normal 15 8 2" xfId="3175"/>
    <cellStyle name="Normal 15 8 2 2" xfId="5571"/>
    <cellStyle name="Normal 15 8 2 2 2" xfId="10667"/>
    <cellStyle name="Normal 15 8 2 3" xfId="8278"/>
    <cellStyle name="Normal 15 8 3" xfId="4379"/>
    <cellStyle name="Normal 15 8 3 2" xfId="9475"/>
    <cellStyle name="Normal 15 8 4" xfId="7017"/>
    <cellStyle name="Normal 15 9" xfId="1743"/>
    <cellStyle name="Normal 15 9 2" xfId="3146"/>
    <cellStyle name="Normal 15 9 2 2" xfId="5542"/>
    <cellStyle name="Normal 15 9 2 2 2" xfId="10638"/>
    <cellStyle name="Normal 15 9 2 3" xfId="8249"/>
    <cellStyle name="Normal 15 9 3" xfId="4350"/>
    <cellStyle name="Normal 15 9 3 2" xfId="9446"/>
    <cellStyle name="Normal 15 9 4" xfId="6988"/>
    <cellStyle name="Normal 150" xfId="1773"/>
    <cellStyle name="Normal 16" xfId="80"/>
    <cellStyle name="Normal 16 2" xfId="1775"/>
    <cellStyle name="Normal 16 2 2" xfId="1776"/>
    <cellStyle name="Normal 16 2 2 2" xfId="1777"/>
    <cellStyle name="Normal 16 2 2 2 2" xfId="3179"/>
    <cellStyle name="Normal 16 2 2 2 2 2" xfId="5575"/>
    <cellStyle name="Normal 16 2 2 2 2 2 2" xfId="10671"/>
    <cellStyle name="Normal 16 2 2 2 2 3" xfId="8282"/>
    <cellStyle name="Normal 16 2 2 2 3" xfId="4383"/>
    <cellStyle name="Normal 16 2 2 2 3 2" xfId="9479"/>
    <cellStyle name="Normal 16 2 2 2 4" xfId="7021"/>
    <cellStyle name="Normal 16 2 2 3" xfId="1778"/>
    <cellStyle name="Normal 16 2 2 3 2" xfId="3180"/>
    <cellStyle name="Normal 16 2 2 3 2 2" xfId="5576"/>
    <cellStyle name="Normal 16 2 2 3 2 2 2" xfId="10672"/>
    <cellStyle name="Normal 16 2 2 3 2 3" xfId="8283"/>
    <cellStyle name="Normal 16 2 2 3 3" xfId="4384"/>
    <cellStyle name="Normal 16 2 2 3 3 2" xfId="9480"/>
    <cellStyle name="Normal 16 2 2 3 4" xfId="7022"/>
    <cellStyle name="Normal 16 2 2 4" xfId="3178"/>
    <cellStyle name="Normal 16 2 2 4 2" xfId="5574"/>
    <cellStyle name="Normal 16 2 2 4 2 2" xfId="10670"/>
    <cellStyle name="Normal 16 2 2 4 3" xfId="8281"/>
    <cellStyle name="Normal 16 2 2 5" xfId="4382"/>
    <cellStyle name="Normal 16 2 2 5 2" xfId="9478"/>
    <cellStyle name="Normal 16 2 2 6" xfId="7020"/>
    <cellStyle name="Normal 16 2 3" xfId="1779"/>
    <cellStyle name="Normal 16 2 3 2" xfId="3181"/>
    <cellStyle name="Normal 16 2 3 2 2" xfId="5577"/>
    <cellStyle name="Normal 16 2 3 2 2 2" xfId="10673"/>
    <cellStyle name="Normal 16 2 3 2 3" xfId="8284"/>
    <cellStyle name="Normal 16 2 3 3" xfId="4385"/>
    <cellStyle name="Normal 16 2 3 3 2" xfId="9481"/>
    <cellStyle name="Normal 16 2 3 4" xfId="7023"/>
    <cellStyle name="Normal 16 2 4" xfId="1780"/>
    <cellStyle name="Normal 16 2 4 2" xfId="3182"/>
    <cellStyle name="Normal 16 2 4 2 2" xfId="5578"/>
    <cellStyle name="Normal 16 2 4 2 2 2" xfId="10674"/>
    <cellStyle name="Normal 16 2 4 2 3" xfId="8285"/>
    <cellStyle name="Normal 16 2 4 3" xfId="4386"/>
    <cellStyle name="Normal 16 2 4 3 2" xfId="9482"/>
    <cellStyle name="Normal 16 2 4 4" xfId="7024"/>
    <cellStyle name="Normal 16 2 5" xfId="3177"/>
    <cellStyle name="Normal 16 2 5 2" xfId="5573"/>
    <cellStyle name="Normal 16 2 5 2 2" xfId="10669"/>
    <cellStyle name="Normal 16 2 5 3" xfId="8280"/>
    <cellStyle name="Normal 16 2 6" xfId="4381"/>
    <cellStyle name="Normal 16 2 6 2" xfId="9477"/>
    <cellStyle name="Normal 16 2 7" xfId="7019"/>
    <cellStyle name="Normal 16 3" xfId="1781"/>
    <cellStyle name="Normal 16 3 2" xfId="1782"/>
    <cellStyle name="Normal 16 3 2 2" xfId="1783"/>
    <cellStyle name="Normal 16 3 2 2 2" xfId="3185"/>
    <cellStyle name="Normal 16 3 2 2 2 2" xfId="5581"/>
    <cellStyle name="Normal 16 3 2 2 2 2 2" xfId="10677"/>
    <cellStyle name="Normal 16 3 2 2 2 3" xfId="8288"/>
    <cellStyle name="Normal 16 3 2 2 3" xfId="4389"/>
    <cellStyle name="Normal 16 3 2 2 3 2" xfId="9485"/>
    <cellStyle name="Normal 16 3 2 2 4" xfId="7027"/>
    <cellStyle name="Normal 16 3 2 3" xfId="1784"/>
    <cellStyle name="Normal 16 3 2 3 2" xfId="3186"/>
    <cellStyle name="Normal 16 3 2 3 2 2" xfId="5582"/>
    <cellStyle name="Normal 16 3 2 3 2 2 2" xfId="10678"/>
    <cellStyle name="Normal 16 3 2 3 2 3" xfId="8289"/>
    <cellStyle name="Normal 16 3 2 3 3" xfId="4390"/>
    <cellStyle name="Normal 16 3 2 3 3 2" xfId="9486"/>
    <cellStyle name="Normal 16 3 2 3 4" xfId="7028"/>
    <cellStyle name="Normal 16 3 2 4" xfId="3184"/>
    <cellStyle name="Normal 16 3 2 4 2" xfId="5580"/>
    <cellStyle name="Normal 16 3 2 4 2 2" xfId="10676"/>
    <cellStyle name="Normal 16 3 2 4 3" xfId="8287"/>
    <cellStyle name="Normal 16 3 2 5" xfId="4388"/>
    <cellStyle name="Normal 16 3 2 5 2" xfId="9484"/>
    <cellStyle name="Normal 16 3 2 6" xfId="7026"/>
    <cellStyle name="Normal 16 3 3" xfId="1785"/>
    <cellStyle name="Normal 16 3 4" xfId="3183"/>
    <cellStyle name="Normal 16 3 4 2" xfId="5579"/>
    <cellStyle name="Normal 16 3 4 2 2" xfId="10675"/>
    <cellStyle name="Normal 16 3 4 3" xfId="8286"/>
    <cellStyle name="Normal 16 3 5" xfId="4387"/>
    <cellStyle name="Normal 16 3 5 2" xfId="9483"/>
    <cellStyle name="Normal 16 3 6" xfId="7025"/>
    <cellStyle name="Normal 16 4" xfId="1786"/>
    <cellStyle name="Normal 16 4 2" xfId="1787"/>
    <cellStyle name="Normal 16 4 2 2" xfId="1788"/>
    <cellStyle name="Normal 16 4 2 2 2" xfId="3189"/>
    <cellStyle name="Normal 16 4 2 2 2 2" xfId="5585"/>
    <cellStyle name="Normal 16 4 2 2 2 2 2" xfId="10681"/>
    <cellStyle name="Normal 16 4 2 2 2 3" xfId="8292"/>
    <cellStyle name="Normal 16 4 2 2 3" xfId="4393"/>
    <cellStyle name="Normal 16 4 2 2 3 2" xfId="9489"/>
    <cellStyle name="Normal 16 4 2 2 4" xfId="7031"/>
    <cellStyle name="Normal 16 4 2 3" xfId="3188"/>
    <cellStyle name="Normal 16 4 2 3 2" xfId="5584"/>
    <cellStyle name="Normal 16 4 2 3 2 2" xfId="10680"/>
    <cellStyle name="Normal 16 4 2 3 3" xfId="8291"/>
    <cellStyle name="Normal 16 4 2 4" xfId="4392"/>
    <cellStyle name="Normal 16 4 2 4 2" xfId="9488"/>
    <cellStyle name="Normal 16 4 2 5" xfId="7030"/>
    <cellStyle name="Normal 16 4 3" xfId="1789"/>
    <cellStyle name="Normal 16 4 3 2" xfId="3190"/>
    <cellStyle name="Normal 16 4 3 2 2" xfId="5586"/>
    <cellStyle name="Normal 16 4 3 2 2 2" xfId="10682"/>
    <cellStyle name="Normal 16 4 3 2 3" xfId="8293"/>
    <cellStyle name="Normal 16 4 3 3" xfId="4394"/>
    <cellStyle name="Normal 16 4 3 3 2" xfId="9490"/>
    <cellStyle name="Normal 16 4 3 4" xfId="7032"/>
    <cellStyle name="Normal 16 4 4" xfId="1790"/>
    <cellStyle name="Normal 16 4 4 2" xfId="3191"/>
    <cellStyle name="Normal 16 4 4 2 2" xfId="5587"/>
    <cellStyle name="Normal 16 4 4 2 2 2" xfId="10683"/>
    <cellStyle name="Normal 16 4 4 2 3" xfId="8294"/>
    <cellStyle name="Normal 16 4 4 3" xfId="4395"/>
    <cellStyle name="Normal 16 4 4 3 2" xfId="9491"/>
    <cellStyle name="Normal 16 4 4 4" xfId="7033"/>
    <cellStyle name="Normal 16 4 5" xfId="3187"/>
    <cellStyle name="Normal 16 4 5 2" xfId="5583"/>
    <cellStyle name="Normal 16 4 5 2 2" xfId="10679"/>
    <cellStyle name="Normal 16 4 5 3" xfId="8290"/>
    <cellStyle name="Normal 16 4 6" xfId="4391"/>
    <cellStyle name="Normal 16 4 6 2" xfId="9487"/>
    <cellStyle name="Normal 16 4 7" xfId="7029"/>
    <cellStyle name="Normal 16 5" xfId="1791"/>
    <cellStyle name="Normal 16 6" xfId="1774"/>
    <cellStyle name="Normal 16 6 2" xfId="3176"/>
    <cellStyle name="Normal 16 6 2 2" xfId="5572"/>
    <cellStyle name="Normal 16 6 2 2 2" xfId="10668"/>
    <cellStyle name="Normal 16 6 2 3" xfId="8279"/>
    <cellStyle name="Normal 16 6 3" xfId="4380"/>
    <cellStyle name="Normal 16 6 3 2" xfId="9476"/>
    <cellStyle name="Normal 16 6 4" xfId="7018"/>
    <cellStyle name="Normal 17" xfId="81"/>
    <cellStyle name="Normal 17 2" xfId="1793"/>
    <cellStyle name="Normal 17 2 2" xfId="1794"/>
    <cellStyle name="Normal 17 2 2 2" xfId="1795"/>
    <cellStyle name="Normal 17 2 2 2 2" xfId="3195"/>
    <cellStyle name="Normal 17 2 2 2 2 2" xfId="5591"/>
    <cellStyle name="Normal 17 2 2 2 2 2 2" xfId="10687"/>
    <cellStyle name="Normal 17 2 2 2 2 3" xfId="8298"/>
    <cellStyle name="Normal 17 2 2 2 3" xfId="4399"/>
    <cellStyle name="Normal 17 2 2 2 3 2" xfId="9495"/>
    <cellStyle name="Normal 17 2 2 2 4" xfId="7037"/>
    <cellStyle name="Normal 17 2 2 3" xfId="1796"/>
    <cellStyle name="Normal 17 2 2 3 2" xfId="3196"/>
    <cellStyle name="Normal 17 2 2 3 2 2" xfId="5592"/>
    <cellStyle name="Normal 17 2 2 3 2 2 2" xfId="10688"/>
    <cellStyle name="Normal 17 2 2 3 2 3" xfId="8299"/>
    <cellStyle name="Normal 17 2 2 3 3" xfId="4400"/>
    <cellStyle name="Normal 17 2 2 3 3 2" xfId="9496"/>
    <cellStyle name="Normal 17 2 2 3 4" xfId="7038"/>
    <cellStyle name="Normal 17 2 2 4" xfId="3194"/>
    <cellStyle name="Normal 17 2 2 4 2" xfId="5590"/>
    <cellStyle name="Normal 17 2 2 4 2 2" xfId="10686"/>
    <cellStyle name="Normal 17 2 2 4 3" xfId="8297"/>
    <cellStyle name="Normal 17 2 2 5" xfId="4398"/>
    <cellStyle name="Normal 17 2 2 5 2" xfId="9494"/>
    <cellStyle name="Normal 17 2 2 6" xfId="7036"/>
    <cellStyle name="Normal 17 2 3" xfId="1797"/>
    <cellStyle name="Normal 17 2 4" xfId="3193"/>
    <cellStyle name="Normal 17 2 4 2" xfId="5589"/>
    <cellStyle name="Normal 17 2 4 2 2" xfId="10685"/>
    <cellStyle name="Normal 17 2 4 3" xfId="8296"/>
    <cellStyle name="Normal 17 2 5" xfId="4397"/>
    <cellStyle name="Normal 17 2 5 2" xfId="9493"/>
    <cellStyle name="Normal 17 2 6" xfId="7035"/>
    <cellStyle name="Normal 17 3" xfId="1798"/>
    <cellStyle name="Normal 17 3 2" xfId="1799"/>
    <cellStyle name="Normal 17 3 2 2" xfId="3198"/>
    <cellStyle name="Normal 17 3 2 2 2" xfId="5594"/>
    <cellStyle name="Normal 17 3 2 2 2 2" xfId="10690"/>
    <cellStyle name="Normal 17 3 2 2 3" xfId="8301"/>
    <cellStyle name="Normal 17 3 2 3" xfId="4402"/>
    <cellStyle name="Normal 17 3 2 3 2" xfId="9498"/>
    <cellStyle name="Normal 17 3 2 4" xfId="7040"/>
    <cellStyle name="Normal 17 3 3" xfId="3197"/>
    <cellStyle name="Normal 17 3 3 2" xfId="5593"/>
    <cellStyle name="Normal 17 3 3 2 2" xfId="10689"/>
    <cellStyle name="Normal 17 3 3 3" xfId="8300"/>
    <cellStyle name="Normal 17 3 4" xfId="4401"/>
    <cellStyle name="Normal 17 3 4 2" xfId="9497"/>
    <cellStyle name="Normal 17 3 5" xfId="7039"/>
    <cellStyle name="Normal 17 4" xfId="1800"/>
    <cellStyle name="Normal 17 5" xfId="1801"/>
    <cellStyle name="Normal 17 5 2" xfId="3199"/>
    <cellStyle name="Normal 17 5 2 2" xfId="5595"/>
    <cellStyle name="Normal 17 5 2 2 2" xfId="10691"/>
    <cellStyle name="Normal 17 5 2 3" xfId="8302"/>
    <cellStyle name="Normal 17 5 3" xfId="4403"/>
    <cellStyle name="Normal 17 5 3 2" xfId="9499"/>
    <cellStyle name="Normal 17 5 4" xfId="7041"/>
    <cellStyle name="Normal 17 6" xfId="1159"/>
    <cellStyle name="Normal 17 6 2" xfId="2744"/>
    <cellStyle name="Normal 17 6 2 2" xfId="5146"/>
    <cellStyle name="Normal 17 6 2 2 2" xfId="10242"/>
    <cellStyle name="Normal 17 6 2 3" xfId="7847"/>
    <cellStyle name="Normal 17 6 3" xfId="3954"/>
    <cellStyle name="Normal 17 6 3 2" xfId="9050"/>
    <cellStyle name="Normal 17 6 4" xfId="6559"/>
    <cellStyle name="Normal 17 7" xfId="1792"/>
    <cellStyle name="Normal 17 7 2" xfId="3192"/>
    <cellStyle name="Normal 17 7 2 2" xfId="5588"/>
    <cellStyle name="Normal 17 7 2 2 2" xfId="10684"/>
    <cellStyle name="Normal 17 7 2 3" xfId="8295"/>
    <cellStyle name="Normal 17 7 3" xfId="4396"/>
    <cellStyle name="Normal 17 7 3 2" xfId="9492"/>
    <cellStyle name="Normal 17 7 4" xfId="7034"/>
    <cellStyle name="Normal 18" xfId="82"/>
    <cellStyle name="Normal 18 2" xfId="1802"/>
    <cellStyle name="Normal 19" xfId="83"/>
    <cellStyle name="Normal 19 2" xfId="1803"/>
    <cellStyle name="Normal 2" xfId="3"/>
    <cellStyle name="Normal 2 10" xfId="400"/>
    <cellStyle name="Normal 2 11" xfId="504"/>
    <cellStyle name="Normal 2 12" xfId="938"/>
    <cellStyle name="Normal 2 2" xfId="66"/>
    <cellStyle name="Normal 2 2 10" xfId="526"/>
    <cellStyle name="Normal 2 2 11" xfId="680"/>
    <cellStyle name="Normal 2 2 11 2" xfId="2482"/>
    <cellStyle name="Normal 2 2 11 2 2" xfId="4929"/>
    <cellStyle name="Normal 2 2 11 2 2 2" xfId="10025"/>
    <cellStyle name="Normal 2 2 11 2 3" xfId="7586"/>
    <cellStyle name="Normal 2 2 11 3" xfId="3746"/>
    <cellStyle name="Normal 2 2 11 3 2" xfId="8845"/>
    <cellStyle name="Normal 2 2 11 4" xfId="6326"/>
    <cellStyle name="Normal 2 2 2" xfId="401"/>
    <cellStyle name="Normal 2 2 2 2" xfId="588"/>
    <cellStyle name="Normal 2 2 2 2 2" xfId="2394"/>
    <cellStyle name="Normal 2 2 2 2 2 2" xfId="4841"/>
    <cellStyle name="Normal 2 2 2 2 2 2 2" xfId="9937"/>
    <cellStyle name="Normal 2 2 2 2 2 3" xfId="7498"/>
    <cellStyle name="Normal 2 2 2 2 3" xfId="3658"/>
    <cellStyle name="Normal 2 2 2 2 3 2" xfId="8757"/>
    <cellStyle name="Normal 2 2 2 2 4" xfId="6238"/>
    <cellStyle name="Normal 2 2 2 3" xfId="1804"/>
    <cellStyle name="Normal 2 2 3" xfId="402"/>
    <cellStyle name="Normal 2 2 3 2" xfId="617"/>
    <cellStyle name="Normal 2 2 3 2 2" xfId="2423"/>
    <cellStyle name="Normal 2 2 3 2 2 2" xfId="4870"/>
    <cellStyle name="Normal 2 2 3 2 2 2 2" xfId="9966"/>
    <cellStyle name="Normal 2 2 3 2 2 3" xfId="7527"/>
    <cellStyle name="Normal 2 2 3 2 3" xfId="3687"/>
    <cellStyle name="Normal 2 2 3 2 3 2" xfId="8786"/>
    <cellStyle name="Normal 2 2 3 2 4" xfId="6267"/>
    <cellStyle name="Normal 2 2 4" xfId="403"/>
    <cellStyle name="Normal 2 2 4 2" xfId="554"/>
    <cellStyle name="Normal 2 2 4 2 2" xfId="2360"/>
    <cellStyle name="Normal 2 2 4 2 2 2" xfId="4807"/>
    <cellStyle name="Normal 2 2 4 2 2 2 2" xfId="9903"/>
    <cellStyle name="Normal 2 2 4 2 2 3" xfId="7464"/>
    <cellStyle name="Normal 2 2 4 2 3" xfId="3624"/>
    <cellStyle name="Normal 2 2 4 2 3 2" xfId="8723"/>
    <cellStyle name="Normal 2 2 4 2 4" xfId="6204"/>
    <cellStyle name="Normal 2 2 5" xfId="404"/>
    <cellStyle name="Normal 2 2 6" xfId="405"/>
    <cellStyle name="Normal 2 2 7" xfId="406"/>
    <cellStyle name="Normal 2 2 8" xfId="407"/>
    <cellStyle name="Normal 2 2 9" xfId="505"/>
    <cellStyle name="Normal 2 3" xfId="67"/>
    <cellStyle name="Normal 2 3 2" xfId="506"/>
    <cellStyle name="Normal 2 3 3" xfId="939"/>
    <cellStyle name="Normal 2 4" xfId="94"/>
    <cellStyle name="Normal 2 4 2" xfId="733"/>
    <cellStyle name="Normal 2 4 2 2" xfId="986"/>
    <cellStyle name="Normal 2 4 2 2 2" xfId="1808"/>
    <cellStyle name="Normal 2 4 2 2 2 2" xfId="1809"/>
    <cellStyle name="Normal 2 4 2 2 2 2 2" xfId="3204"/>
    <cellStyle name="Normal 2 4 2 2 2 2 2 2" xfId="5600"/>
    <cellStyle name="Normal 2 4 2 2 2 2 2 2 2" xfId="10696"/>
    <cellStyle name="Normal 2 4 2 2 2 2 2 3" xfId="8307"/>
    <cellStyle name="Normal 2 4 2 2 2 2 3" xfId="4408"/>
    <cellStyle name="Normal 2 4 2 2 2 2 3 2" xfId="9504"/>
    <cellStyle name="Normal 2 4 2 2 2 2 4" xfId="7046"/>
    <cellStyle name="Normal 2 4 2 2 2 3" xfId="3203"/>
    <cellStyle name="Normal 2 4 2 2 2 3 2" xfId="5599"/>
    <cellStyle name="Normal 2 4 2 2 2 3 2 2" xfId="10695"/>
    <cellStyle name="Normal 2 4 2 2 2 3 3" xfId="8306"/>
    <cellStyle name="Normal 2 4 2 2 2 4" xfId="4407"/>
    <cellStyle name="Normal 2 4 2 2 2 4 2" xfId="9503"/>
    <cellStyle name="Normal 2 4 2 2 2 5" xfId="7045"/>
    <cellStyle name="Normal 2 4 2 2 3" xfId="1810"/>
    <cellStyle name="Normal 2 4 2 2 3 2" xfId="3205"/>
    <cellStyle name="Normal 2 4 2 2 3 2 2" xfId="5601"/>
    <cellStyle name="Normal 2 4 2 2 3 2 2 2" xfId="10697"/>
    <cellStyle name="Normal 2 4 2 2 3 2 3" xfId="8308"/>
    <cellStyle name="Normal 2 4 2 2 3 3" xfId="4409"/>
    <cellStyle name="Normal 2 4 2 2 3 3 2" xfId="9505"/>
    <cellStyle name="Normal 2 4 2 2 3 4" xfId="7047"/>
    <cellStyle name="Normal 2 4 2 2 4" xfId="1811"/>
    <cellStyle name="Normal 2 4 2 2 4 2" xfId="3206"/>
    <cellStyle name="Normal 2 4 2 2 4 2 2" xfId="5602"/>
    <cellStyle name="Normal 2 4 2 2 4 2 2 2" xfId="10698"/>
    <cellStyle name="Normal 2 4 2 2 4 2 3" xfId="8309"/>
    <cellStyle name="Normal 2 4 2 2 4 3" xfId="4410"/>
    <cellStyle name="Normal 2 4 2 2 4 3 2" xfId="9506"/>
    <cellStyle name="Normal 2 4 2 2 4 4" xfId="7048"/>
    <cellStyle name="Normal 2 4 2 2 5" xfId="1807"/>
    <cellStyle name="Normal 2 4 2 2 5 2" xfId="3202"/>
    <cellStyle name="Normal 2 4 2 2 5 2 2" xfId="5598"/>
    <cellStyle name="Normal 2 4 2 2 5 2 2 2" xfId="10694"/>
    <cellStyle name="Normal 2 4 2 2 5 2 3" xfId="8305"/>
    <cellStyle name="Normal 2 4 2 2 5 3" xfId="4406"/>
    <cellStyle name="Normal 2 4 2 2 5 3 2" xfId="9502"/>
    <cellStyle name="Normal 2 4 2 2 5 4" xfId="7044"/>
    <cellStyle name="Normal 2 4 2 3" xfId="1812"/>
    <cellStyle name="Normal 2 4 2 3 2" xfId="1813"/>
    <cellStyle name="Normal 2 4 2 3 2 2" xfId="3208"/>
    <cellStyle name="Normal 2 4 2 3 2 2 2" xfId="5604"/>
    <cellStyle name="Normal 2 4 2 3 2 2 2 2" xfId="10700"/>
    <cellStyle name="Normal 2 4 2 3 2 2 3" xfId="8311"/>
    <cellStyle name="Normal 2 4 2 3 2 3" xfId="4412"/>
    <cellStyle name="Normal 2 4 2 3 2 3 2" xfId="9508"/>
    <cellStyle name="Normal 2 4 2 3 2 4" xfId="7050"/>
    <cellStyle name="Normal 2 4 2 3 3" xfId="3207"/>
    <cellStyle name="Normal 2 4 2 3 3 2" xfId="5603"/>
    <cellStyle name="Normal 2 4 2 3 3 2 2" xfId="10699"/>
    <cellStyle name="Normal 2 4 2 3 3 3" xfId="8310"/>
    <cellStyle name="Normal 2 4 2 3 4" xfId="4411"/>
    <cellStyle name="Normal 2 4 2 3 4 2" xfId="9507"/>
    <cellStyle name="Normal 2 4 2 3 5" xfId="7049"/>
    <cellStyle name="Normal 2 4 2 4" xfId="1814"/>
    <cellStyle name="Normal 2 4 2 4 2" xfId="3209"/>
    <cellStyle name="Normal 2 4 2 4 2 2" xfId="5605"/>
    <cellStyle name="Normal 2 4 2 4 2 2 2" xfId="10701"/>
    <cellStyle name="Normal 2 4 2 4 2 3" xfId="8312"/>
    <cellStyle name="Normal 2 4 2 4 3" xfId="4413"/>
    <cellStyle name="Normal 2 4 2 4 3 2" xfId="9509"/>
    <cellStyle name="Normal 2 4 2 4 4" xfId="7051"/>
    <cellStyle name="Normal 2 4 2 5" xfId="1815"/>
    <cellStyle name="Normal 2 4 2 5 2" xfId="3210"/>
    <cellStyle name="Normal 2 4 2 5 2 2" xfId="5606"/>
    <cellStyle name="Normal 2 4 2 5 2 2 2" xfId="10702"/>
    <cellStyle name="Normal 2 4 2 5 2 3" xfId="8313"/>
    <cellStyle name="Normal 2 4 2 5 3" xfId="4414"/>
    <cellStyle name="Normal 2 4 2 5 3 2" xfId="9510"/>
    <cellStyle name="Normal 2 4 2 5 4" xfId="7052"/>
    <cellStyle name="Normal 2 4 2 6" xfId="1806"/>
    <cellStyle name="Normal 2 4 2 6 2" xfId="3201"/>
    <cellStyle name="Normal 2 4 2 6 2 2" xfId="5597"/>
    <cellStyle name="Normal 2 4 2 6 2 2 2" xfId="10693"/>
    <cellStyle name="Normal 2 4 2 6 2 3" xfId="8304"/>
    <cellStyle name="Normal 2 4 2 6 3" xfId="4405"/>
    <cellStyle name="Normal 2 4 2 6 3 2" xfId="9501"/>
    <cellStyle name="Normal 2 4 2 6 4" xfId="7043"/>
    <cellStyle name="Normal 2 4 2 7" xfId="2519"/>
    <cellStyle name="Normal 2 4 2 7 2" xfId="4966"/>
    <cellStyle name="Normal 2 4 2 7 2 2" xfId="10062"/>
    <cellStyle name="Normal 2 4 2 7 3" xfId="7623"/>
    <cellStyle name="Normal 2 4 2 8" xfId="3783"/>
    <cellStyle name="Normal 2 4 2 8 2" xfId="8882"/>
    <cellStyle name="Normal 2 4 2 9" xfId="6363"/>
    <cellStyle name="Normal 2 4 3" xfId="609"/>
    <cellStyle name="Normal 2 4 3 2" xfId="992"/>
    <cellStyle name="Normal 2 4 3 2 2" xfId="1818"/>
    <cellStyle name="Normal 2 4 3 2 2 2" xfId="3213"/>
    <cellStyle name="Normal 2 4 3 2 2 2 2" xfId="5609"/>
    <cellStyle name="Normal 2 4 3 2 2 2 2 2" xfId="10705"/>
    <cellStyle name="Normal 2 4 3 2 2 2 3" xfId="8316"/>
    <cellStyle name="Normal 2 4 3 2 2 3" xfId="4417"/>
    <cellStyle name="Normal 2 4 3 2 2 3 2" xfId="9513"/>
    <cellStyle name="Normal 2 4 3 2 2 4" xfId="7055"/>
    <cellStyle name="Normal 2 4 3 2 3" xfId="1817"/>
    <cellStyle name="Normal 2 4 3 2 3 2" xfId="3212"/>
    <cellStyle name="Normal 2 4 3 2 3 2 2" xfId="5608"/>
    <cellStyle name="Normal 2 4 3 2 3 2 2 2" xfId="10704"/>
    <cellStyle name="Normal 2 4 3 2 3 2 3" xfId="8315"/>
    <cellStyle name="Normal 2 4 3 2 3 3" xfId="4416"/>
    <cellStyle name="Normal 2 4 3 2 3 3 2" xfId="9512"/>
    <cellStyle name="Normal 2 4 3 2 3 4" xfId="7054"/>
    <cellStyle name="Normal 2 4 3 3" xfId="1819"/>
    <cellStyle name="Normal 2 4 3 3 2" xfId="3214"/>
    <cellStyle name="Normal 2 4 3 3 2 2" xfId="5610"/>
    <cellStyle name="Normal 2 4 3 3 2 2 2" xfId="10706"/>
    <cellStyle name="Normal 2 4 3 3 2 3" xfId="8317"/>
    <cellStyle name="Normal 2 4 3 3 3" xfId="4418"/>
    <cellStyle name="Normal 2 4 3 3 3 2" xfId="9514"/>
    <cellStyle name="Normal 2 4 3 3 4" xfId="7056"/>
    <cellStyle name="Normal 2 4 3 4" xfId="1820"/>
    <cellStyle name="Normal 2 4 3 4 2" xfId="3215"/>
    <cellStyle name="Normal 2 4 3 4 2 2" xfId="5611"/>
    <cellStyle name="Normal 2 4 3 4 2 2 2" xfId="10707"/>
    <cellStyle name="Normal 2 4 3 4 2 3" xfId="8318"/>
    <cellStyle name="Normal 2 4 3 4 3" xfId="4419"/>
    <cellStyle name="Normal 2 4 3 4 3 2" xfId="9515"/>
    <cellStyle name="Normal 2 4 3 4 4" xfId="7057"/>
    <cellStyle name="Normal 2 4 3 5" xfId="1816"/>
    <cellStyle name="Normal 2 4 3 5 2" xfId="3211"/>
    <cellStyle name="Normal 2 4 3 5 2 2" xfId="5607"/>
    <cellStyle name="Normal 2 4 3 5 2 2 2" xfId="10703"/>
    <cellStyle name="Normal 2 4 3 5 2 3" xfId="8314"/>
    <cellStyle name="Normal 2 4 3 5 3" xfId="4415"/>
    <cellStyle name="Normal 2 4 3 5 3 2" xfId="9511"/>
    <cellStyle name="Normal 2 4 3 5 4" xfId="7053"/>
    <cellStyle name="Normal 2 4 3 6" xfId="2415"/>
    <cellStyle name="Normal 2 4 3 6 2" xfId="4862"/>
    <cellStyle name="Normal 2 4 3 6 2 2" xfId="9958"/>
    <cellStyle name="Normal 2 4 3 6 3" xfId="7519"/>
    <cellStyle name="Normal 2 4 3 7" xfId="3679"/>
    <cellStyle name="Normal 2 4 3 7 2" xfId="8778"/>
    <cellStyle name="Normal 2 4 3 8" xfId="6259"/>
    <cellStyle name="Normal 2 4 4" xfId="637"/>
    <cellStyle name="Normal 2 4 4 2" xfId="1822"/>
    <cellStyle name="Normal 2 4 4 2 2" xfId="1823"/>
    <cellStyle name="Normal 2 4 4 2 2 2" xfId="3218"/>
    <cellStyle name="Normal 2 4 4 2 2 2 2" xfId="5614"/>
    <cellStyle name="Normal 2 4 4 2 2 2 2 2" xfId="10710"/>
    <cellStyle name="Normal 2 4 4 2 2 2 3" xfId="8321"/>
    <cellStyle name="Normal 2 4 4 2 2 3" xfId="4422"/>
    <cellStyle name="Normal 2 4 4 2 2 3 2" xfId="9518"/>
    <cellStyle name="Normal 2 4 4 2 2 4" xfId="7060"/>
    <cellStyle name="Normal 2 4 4 2 3" xfId="3217"/>
    <cellStyle name="Normal 2 4 4 2 3 2" xfId="5613"/>
    <cellStyle name="Normal 2 4 4 2 3 2 2" xfId="10709"/>
    <cellStyle name="Normal 2 4 4 2 3 3" xfId="8320"/>
    <cellStyle name="Normal 2 4 4 2 4" xfId="4421"/>
    <cellStyle name="Normal 2 4 4 2 4 2" xfId="9517"/>
    <cellStyle name="Normal 2 4 4 2 5" xfId="7059"/>
    <cellStyle name="Normal 2 4 4 3" xfId="1824"/>
    <cellStyle name="Normal 2 4 4 3 2" xfId="3219"/>
    <cellStyle name="Normal 2 4 4 3 2 2" xfId="5615"/>
    <cellStyle name="Normal 2 4 4 3 2 2 2" xfId="10711"/>
    <cellStyle name="Normal 2 4 4 3 2 3" xfId="8322"/>
    <cellStyle name="Normal 2 4 4 3 3" xfId="4423"/>
    <cellStyle name="Normal 2 4 4 3 3 2" xfId="9519"/>
    <cellStyle name="Normal 2 4 4 3 4" xfId="7061"/>
    <cellStyle name="Normal 2 4 4 4" xfId="1825"/>
    <cellStyle name="Normal 2 4 4 4 2" xfId="3220"/>
    <cellStyle name="Normal 2 4 4 4 2 2" xfId="5616"/>
    <cellStyle name="Normal 2 4 4 4 2 2 2" xfId="10712"/>
    <cellStyle name="Normal 2 4 4 4 2 3" xfId="8323"/>
    <cellStyle name="Normal 2 4 4 4 3" xfId="4424"/>
    <cellStyle name="Normal 2 4 4 4 3 2" xfId="9520"/>
    <cellStyle name="Normal 2 4 4 4 4" xfId="7062"/>
    <cellStyle name="Normal 2 4 4 5" xfId="1821"/>
    <cellStyle name="Normal 2 4 4 5 2" xfId="3216"/>
    <cellStyle name="Normal 2 4 4 5 2 2" xfId="5612"/>
    <cellStyle name="Normal 2 4 4 5 2 2 2" xfId="10708"/>
    <cellStyle name="Normal 2 4 4 5 2 3" xfId="8319"/>
    <cellStyle name="Normal 2 4 4 5 3" xfId="4420"/>
    <cellStyle name="Normal 2 4 4 5 3 2" xfId="9516"/>
    <cellStyle name="Normal 2 4 4 5 4" xfId="7058"/>
    <cellStyle name="Normal 2 4 4 6" xfId="2442"/>
    <cellStyle name="Normal 2 4 4 6 2" xfId="4889"/>
    <cellStyle name="Normal 2 4 4 6 2 2" xfId="9985"/>
    <cellStyle name="Normal 2 4 4 6 3" xfId="7546"/>
    <cellStyle name="Normal 2 4 4 7" xfId="3706"/>
    <cellStyle name="Normal 2 4 4 7 2" xfId="8805"/>
    <cellStyle name="Normal 2 4 4 8" xfId="6286"/>
    <cellStyle name="Normal 2 4 5" xfId="701"/>
    <cellStyle name="Normal 2 4 5 2" xfId="1827"/>
    <cellStyle name="Normal 2 4 5 2 2" xfId="1828"/>
    <cellStyle name="Normal 2 4 5 2 2 2" xfId="3223"/>
    <cellStyle name="Normal 2 4 5 2 2 2 2" xfId="5619"/>
    <cellStyle name="Normal 2 4 5 2 2 2 2 2" xfId="10715"/>
    <cellStyle name="Normal 2 4 5 2 2 2 3" xfId="8326"/>
    <cellStyle name="Normal 2 4 5 2 2 3" xfId="4427"/>
    <cellStyle name="Normal 2 4 5 2 2 3 2" xfId="9523"/>
    <cellStyle name="Normal 2 4 5 2 2 4" xfId="7065"/>
    <cellStyle name="Normal 2 4 5 2 3" xfId="3222"/>
    <cellStyle name="Normal 2 4 5 2 3 2" xfId="5618"/>
    <cellStyle name="Normal 2 4 5 2 3 2 2" xfId="10714"/>
    <cellStyle name="Normal 2 4 5 2 3 3" xfId="8325"/>
    <cellStyle name="Normal 2 4 5 2 4" xfId="4426"/>
    <cellStyle name="Normal 2 4 5 2 4 2" xfId="9522"/>
    <cellStyle name="Normal 2 4 5 2 5" xfId="7064"/>
    <cellStyle name="Normal 2 4 5 3" xfId="1829"/>
    <cellStyle name="Normal 2 4 5 3 2" xfId="3224"/>
    <cellStyle name="Normal 2 4 5 3 2 2" xfId="5620"/>
    <cellStyle name="Normal 2 4 5 3 2 2 2" xfId="10716"/>
    <cellStyle name="Normal 2 4 5 3 2 3" xfId="8327"/>
    <cellStyle name="Normal 2 4 5 3 3" xfId="4428"/>
    <cellStyle name="Normal 2 4 5 3 3 2" xfId="9524"/>
    <cellStyle name="Normal 2 4 5 3 4" xfId="7066"/>
    <cellStyle name="Normal 2 4 5 4" xfId="1830"/>
    <cellStyle name="Normal 2 4 5 4 2" xfId="3225"/>
    <cellStyle name="Normal 2 4 5 4 2 2" xfId="5621"/>
    <cellStyle name="Normal 2 4 5 4 2 2 2" xfId="10717"/>
    <cellStyle name="Normal 2 4 5 4 2 3" xfId="8328"/>
    <cellStyle name="Normal 2 4 5 4 3" xfId="4429"/>
    <cellStyle name="Normal 2 4 5 4 3 2" xfId="9525"/>
    <cellStyle name="Normal 2 4 5 4 4" xfId="7067"/>
    <cellStyle name="Normal 2 4 5 5" xfId="1826"/>
    <cellStyle name="Normal 2 4 5 5 2" xfId="3221"/>
    <cellStyle name="Normal 2 4 5 5 2 2" xfId="5617"/>
    <cellStyle name="Normal 2 4 5 5 2 2 2" xfId="10713"/>
    <cellStyle name="Normal 2 4 5 5 2 3" xfId="8324"/>
    <cellStyle name="Normal 2 4 5 5 3" xfId="4425"/>
    <cellStyle name="Normal 2 4 5 5 3 2" xfId="9521"/>
    <cellStyle name="Normal 2 4 5 5 4" xfId="7063"/>
    <cellStyle name="Normal 2 4 5 6" xfId="2503"/>
    <cellStyle name="Normal 2 4 5 6 2" xfId="4950"/>
    <cellStyle name="Normal 2 4 5 6 2 2" xfId="10046"/>
    <cellStyle name="Normal 2 4 5 6 3" xfId="7607"/>
    <cellStyle name="Normal 2 4 5 7" xfId="3767"/>
    <cellStyle name="Normal 2 4 5 7 2" xfId="8866"/>
    <cellStyle name="Normal 2 4 5 8" xfId="6347"/>
    <cellStyle name="Normal 2 4 6" xfId="1831"/>
    <cellStyle name="Normal 2 4 6 2" xfId="1832"/>
    <cellStyle name="Normal 2 4 6 2 2" xfId="3227"/>
    <cellStyle name="Normal 2 4 6 2 2 2" xfId="5623"/>
    <cellStyle name="Normal 2 4 6 2 2 2 2" xfId="10719"/>
    <cellStyle name="Normal 2 4 6 2 2 3" xfId="8330"/>
    <cellStyle name="Normal 2 4 6 2 3" xfId="4431"/>
    <cellStyle name="Normal 2 4 6 2 3 2" xfId="9527"/>
    <cellStyle name="Normal 2 4 6 2 4" xfId="7069"/>
    <cellStyle name="Normal 2 4 6 3" xfId="3226"/>
    <cellStyle name="Normal 2 4 6 3 2" xfId="5622"/>
    <cellStyle name="Normal 2 4 6 3 2 2" xfId="10718"/>
    <cellStyle name="Normal 2 4 6 3 3" xfId="8329"/>
    <cellStyle name="Normal 2 4 6 4" xfId="4430"/>
    <cellStyle name="Normal 2 4 6 4 2" xfId="9526"/>
    <cellStyle name="Normal 2 4 6 5" xfId="7068"/>
    <cellStyle name="Normal 2 4 7" xfId="1833"/>
    <cellStyle name="Normal 2 4 7 2" xfId="3228"/>
    <cellStyle name="Normal 2 4 7 2 2" xfId="5624"/>
    <cellStyle name="Normal 2 4 7 2 2 2" xfId="10720"/>
    <cellStyle name="Normal 2 4 7 2 3" xfId="8331"/>
    <cellStyle name="Normal 2 4 7 3" xfId="4432"/>
    <cellStyle name="Normal 2 4 7 3 2" xfId="9528"/>
    <cellStyle name="Normal 2 4 7 4" xfId="7070"/>
    <cellStyle name="Normal 2 4 8" xfId="1834"/>
    <cellStyle name="Normal 2 4 8 2" xfId="3229"/>
    <cellStyle name="Normal 2 4 8 2 2" xfId="5625"/>
    <cellStyle name="Normal 2 4 8 2 2 2" xfId="10721"/>
    <cellStyle name="Normal 2 4 8 2 3" xfId="8332"/>
    <cellStyle name="Normal 2 4 8 3" xfId="4433"/>
    <cellStyle name="Normal 2 4 8 3 2" xfId="9529"/>
    <cellStyle name="Normal 2 4 8 4" xfId="7071"/>
    <cellStyle name="Normal 2 4 9" xfId="1805"/>
    <cellStyle name="Normal 2 4 9 2" xfId="3200"/>
    <cellStyle name="Normal 2 4 9 2 2" xfId="5596"/>
    <cellStyle name="Normal 2 4 9 2 2 2" xfId="10692"/>
    <cellStyle name="Normal 2 4 9 2 3" xfId="8303"/>
    <cellStyle name="Normal 2 4 9 3" xfId="4404"/>
    <cellStyle name="Normal 2 4 9 3 2" xfId="9500"/>
    <cellStyle name="Normal 2 4 9 4" xfId="7042"/>
    <cellStyle name="Normal 2 5" xfId="62"/>
    <cellStyle name="Normal 2 5 2" xfId="606"/>
    <cellStyle name="Normal 2 5 2 2" xfId="2412"/>
    <cellStyle name="Normal 2 5 2 2 2" xfId="4859"/>
    <cellStyle name="Normal 2 5 2 2 2 2" xfId="9955"/>
    <cellStyle name="Normal 2 5 2 2 3" xfId="7516"/>
    <cellStyle name="Normal 2 5 2 3" xfId="3676"/>
    <cellStyle name="Normal 2 5 2 3 2" xfId="8775"/>
    <cellStyle name="Normal 2 5 2 4" xfId="6256"/>
    <cellStyle name="Normal 2 5 3" xfId="771"/>
    <cellStyle name="Normal 2 5 3 2" xfId="2552"/>
    <cellStyle name="Normal 2 5 3 2 2" xfId="4999"/>
    <cellStyle name="Normal 2 5 3 2 2 2" xfId="10095"/>
    <cellStyle name="Normal 2 5 3 2 3" xfId="7656"/>
    <cellStyle name="Normal 2 5 3 3" xfId="3816"/>
    <cellStyle name="Normal 2 5 3 3 2" xfId="8915"/>
    <cellStyle name="Normal 2 5 3 4" xfId="6396"/>
    <cellStyle name="Normal 2 5 4" xfId="651"/>
    <cellStyle name="Normal 2 5 4 2" xfId="2455"/>
    <cellStyle name="Normal 2 5 4 2 2" xfId="4902"/>
    <cellStyle name="Normal 2 5 4 2 2 2" xfId="9998"/>
    <cellStyle name="Normal 2 5 4 2 3" xfId="7559"/>
    <cellStyle name="Normal 2 5 4 3" xfId="3719"/>
    <cellStyle name="Normal 2 5 4 3 2" xfId="8818"/>
    <cellStyle name="Normal 2 5 4 4" xfId="6299"/>
    <cellStyle name="Normal 2 6" xfId="408"/>
    <cellStyle name="Normal 2 6 2" xfId="927"/>
    <cellStyle name="Normal 2 7" xfId="409"/>
    <cellStyle name="Normal 2 7 2" xfId="608"/>
    <cellStyle name="Normal 2 7 2 2" xfId="2414"/>
    <cellStyle name="Normal 2 7 2 2 2" xfId="4861"/>
    <cellStyle name="Normal 2 7 2 2 2 2" xfId="9957"/>
    <cellStyle name="Normal 2 7 2 2 3" xfId="7518"/>
    <cellStyle name="Normal 2 7 2 3" xfId="3678"/>
    <cellStyle name="Normal 2 7 2 3 2" xfId="8777"/>
    <cellStyle name="Normal 2 7 2 4" xfId="6258"/>
    <cellStyle name="Normal 2 8" xfId="410"/>
    <cellStyle name="Normal 2 8 2" xfId="636"/>
    <cellStyle name="Normal 2 9" xfId="411"/>
    <cellStyle name="Normal 2 9 2" xfId="656"/>
    <cellStyle name="Normal 2 9 2 2" xfId="2460"/>
    <cellStyle name="Normal 2 9 2 2 2" xfId="4907"/>
    <cellStyle name="Normal 2 9 2 2 2 2" xfId="10003"/>
    <cellStyle name="Normal 2 9 2 2 3" xfId="7564"/>
    <cellStyle name="Normal 2 9 2 3" xfId="3724"/>
    <cellStyle name="Normal 2 9 2 3 2" xfId="8823"/>
    <cellStyle name="Normal 2 9 2 4" xfId="6304"/>
    <cellStyle name="Normal 20" xfId="84"/>
    <cellStyle name="Normal 20 2" xfId="1835"/>
    <cellStyle name="Normal 21" xfId="85"/>
    <cellStyle name="Normal 21 2" xfId="1836"/>
    <cellStyle name="Normal 22" xfId="89"/>
    <cellStyle name="Normal 22 2" xfId="1837"/>
    <cellStyle name="Normal 23" xfId="86"/>
    <cellStyle name="Normal 23 2" xfId="1838"/>
    <cellStyle name="Normal 23 3" xfId="1839"/>
    <cellStyle name="Normal 23 4" xfId="1840"/>
    <cellStyle name="Normal 23 4 2" xfId="3230"/>
    <cellStyle name="Normal 23 4 2 2" xfId="5626"/>
    <cellStyle name="Normal 23 4 2 2 2" xfId="10722"/>
    <cellStyle name="Normal 23 4 2 3" xfId="8333"/>
    <cellStyle name="Normal 23 4 3" xfId="4434"/>
    <cellStyle name="Normal 23 4 3 2" xfId="9530"/>
    <cellStyle name="Normal 23 4 4" xfId="7072"/>
    <cellStyle name="Normal 23 5" xfId="1841"/>
    <cellStyle name="Normal 23 5 2" xfId="3231"/>
    <cellStyle name="Normal 23 5 2 2" xfId="5627"/>
    <cellStyle name="Normal 23 5 2 2 2" xfId="10723"/>
    <cellStyle name="Normal 23 5 2 3" xfId="8334"/>
    <cellStyle name="Normal 23 5 3" xfId="4435"/>
    <cellStyle name="Normal 23 5 3 2" xfId="9531"/>
    <cellStyle name="Normal 23 5 4" xfId="7073"/>
    <cellStyle name="Normal 24" xfId="87"/>
    <cellStyle name="Normal 24 2" xfId="1843"/>
    <cellStyle name="Normal 25" xfId="88"/>
    <cellStyle name="Normal 25 2" xfId="1845"/>
    <cellStyle name="Normal 25 2 2" xfId="1846"/>
    <cellStyle name="Normal 25 2 2 2" xfId="1847"/>
    <cellStyle name="Normal 25 2 2 2 2" xfId="3236"/>
    <cellStyle name="Normal 25 2 2 2 2 2" xfId="5632"/>
    <cellStyle name="Normal 25 2 2 2 2 2 2" xfId="10728"/>
    <cellStyle name="Normal 25 2 2 2 2 3" xfId="8339"/>
    <cellStyle name="Normal 25 2 2 2 3" xfId="4440"/>
    <cellStyle name="Normal 25 2 2 2 3 2" xfId="9536"/>
    <cellStyle name="Normal 25 2 2 2 4" xfId="7078"/>
    <cellStyle name="Normal 25 2 2 3" xfId="1848"/>
    <cellStyle name="Normal 25 2 2 3 2" xfId="3237"/>
    <cellStyle name="Normal 25 2 2 3 2 2" xfId="5633"/>
    <cellStyle name="Normal 25 2 2 3 2 2 2" xfId="10729"/>
    <cellStyle name="Normal 25 2 2 3 2 3" xfId="8340"/>
    <cellStyle name="Normal 25 2 2 3 3" xfId="4441"/>
    <cellStyle name="Normal 25 2 2 3 3 2" xfId="9537"/>
    <cellStyle name="Normal 25 2 2 3 4" xfId="7079"/>
    <cellStyle name="Normal 25 2 2 4" xfId="3235"/>
    <cellStyle name="Normal 25 2 2 4 2" xfId="5631"/>
    <cellStyle name="Normal 25 2 2 4 2 2" xfId="10727"/>
    <cellStyle name="Normal 25 2 2 4 3" xfId="8338"/>
    <cellStyle name="Normal 25 2 2 5" xfId="4439"/>
    <cellStyle name="Normal 25 2 2 5 2" xfId="9535"/>
    <cellStyle name="Normal 25 2 2 6" xfId="7077"/>
    <cellStyle name="Normal 25 2 3" xfId="1849"/>
    <cellStyle name="Normal 25 2 4" xfId="3234"/>
    <cellStyle name="Normal 25 2 4 2" xfId="5630"/>
    <cellStyle name="Normal 25 2 4 2 2" xfId="10726"/>
    <cellStyle name="Normal 25 2 4 3" xfId="8337"/>
    <cellStyle name="Normal 25 2 5" xfId="4438"/>
    <cellStyle name="Normal 25 2 5 2" xfId="9534"/>
    <cellStyle name="Normal 25 2 6" xfId="7076"/>
    <cellStyle name="Normal 25 3" xfId="1850"/>
    <cellStyle name="Normal 25 3 2" xfId="1851"/>
    <cellStyle name="Normal 25 3 2 2" xfId="3239"/>
    <cellStyle name="Normal 25 3 2 2 2" xfId="5635"/>
    <cellStyle name="Normal 25 3 2 2 2 2" xfId="10731"/>
    <cellStyle name="Normal 25 3 2 2 3" xfId="8342"/>
    <cellStyle name="Normal 25 3 2 3" xfId="4443"/>
    <cellStyle name="Normal 25 3 2 3 2" xfId="9539"/>
    <cellStyle name="Normal 25 3 2 4" xfId="7081"/>
    <cellStyle name="Normal 25 3 3" xfId="3238"/>
    <cellStyle name="Normal 25 3 3 2" xfId="5634"/>
    <cellStyle name="Normal 25 3 3 2 2" xfId="10730"/>
    <cellStyle name="Normal 25 3 3 3" xfId="8341"/>
    <cellStyle name="Normal 25 3 4" xfId="4442"/>
    <cellStyle name="Normal 25 3 4 2" xfId="9538"/>
    <cellStyle name="Normal 25 3 5" xfId="7080"/>
    <cellStyle name="Normal 25 4" xfId="1852"/>
    <cellStyle name="Normal 25 5" xfId="1844"/>
    <cellStyle name="Normal 25 5 2" xfId="3233"/>
    <cellStyle name="Normal 25 5 2 2" xfId="5629"/>
    <cellStyle name="Normal 25 5 2 2 2" xfId="10725"/>
    <cellStyle name="Normal 25 5 2 3" xfId="8336"/>
    <cellStyle name="Normal 25 5 3" xfId="4437"/>
    <cellStyle name="Normal 25 5 3 2" xfId="9533"/>
    <cellStyle name="Normal 25 5 4" xfId="7075"/>
    <cellStyle name="Normal 26" xfId="93"/>
    <cellStyle name="Normal 26 2" xfId="104"/>
    <cellStyle name="Normal 26 2 2" xfId="1855"/>
    <cellStyle name="Normal 26 2 2 2" xfId="1856"/>
    <cellStyle name="Normal 26 2 2 2 2" xfId="3243"/>
    <cellStyle name="Normal 26 2 2 2 2 2" xfId="5639"/>
    <cellStyle name="Normal 26 2 2 2 2 2 2" xfId="10735"/>
    <cellStyle name="Normal 26 2 2 2 2 3" xfId="8346"/>
    <cellStyle name="Normal 26 2 2 2 3" xfId="4447"/>
    <cellStyle name="Normal 26 2 2 2 3 2" xfId="9543"/>
    <cellStyle name="Normal 26 2 2 2 4" xfId="7085"/>
    <cellStyle name="Normal 26 2 2 3" xfId="1857"/>
    <cellStyle name="Normal 26 2 2 3 2" xfId="3244"/>
    <cellStyle name="Normal 26 2 2 3 2 2" xfId="5640"/>
    <cellStyle name="Normal 26 2 2 3 2 2 2" xfId="10736"/>
    <cellStyle name="Normal 26 2 2 3 2 3" xfId="8347"/>
    <cellStyle name="Normal 26 2 2 3 3" xfId="4448"/>
    <cellStyle name="Normal 26 2 2 3 3 2" xfId="9544"/>
    <cellStyle name="Normal 26 2 2 3 4" xfId="7086"/>
    <cellStyle name="Normal 26 2 2 4" xfId="3242"/>
    <cellStyle name="Normal 26 2 2 4 2" xfId="5638"/>
    <cellStyle name="Normal 26 2 2 4 2 2" xfId="10734"/>
    <cellStyle name="Normal 26 2 2 4 3" xfId="8345"/>
    <cellStyle name="Normal 26 2 2 5" xfId="4446"/>
    <cellStyle name="Normal 26 2 2 5 2" xfId="9542"/>
    <cellStyle name="Normal 26 2 2 6" xfId="7084"/>
    <cellStyle name="Normal 26 2 3" xfId="1858"/>
    <cellStyle name="Normal 26 2 4" xfId="1854"/>
    <cellStyle name="Normal 26 2 4 2" xfId="3241"/>
    <cellStyle name="Normal 26 2 4 2 2" xfId="5637"/>
    <cellStyle name="Normal 26 2 4 2 2 2" xfId="10733"/>
    <cellStyle name="Normal 26 2 4 2 3" xfId="8344"/>
    <cellStyle name="Normal 26 2 4 3" xfId="4445"/>
    <cellStyle name="Normal 26 2 4 3 2" xfId="9541"/>
    <cellStyle name="Normal 26 2 4 4" xfId="7083"/>
    <cellStyle name="Normal 26 3" xfId="1859"/>
    <cellStyle name="Normal 26 3 2" xfId="1860"/>
    <cellStyle name="Normal 26 3 2 2" xfId="3246"/>
    <cellStyle name="Normal 26 3 2 2 2" xfId="5642"/>
    <cellStyle name="Normal 26 3 2 2 2 2" xfId="10738"/>
    <cellStyle name="Normal 26 3 2 2 3" xfId="8349"/>
    <cellStyle name="Normal 26 3 2 3" xfId="4450"/>
    <cellStyle name="Normal 26 3 2 3 2" xfId="9546"/>
    <cellStyle name="Normal 26 3 2 4" xfId="7088"/>
    <cellStyle name="Normal 26 3 3" xfId="3245"/>
    <cellStyle name="Normal 26 3 3 2" xfId="5641"/>
    <cellStyle name="Normal 26 3 3 2 2" xfId="10737"/>
    <cellStyle name="Normal 26 3 3 3" xfId="8348"/>
    <cellStyle name="Normal 26 3 4" xfId="4449"/>
    <cellStyle name="Normal 26 3 4 2" xfId="9545"/>
    <cellStyle name="Normal 26 3 5" xfId="7087"/>
    <cellStyle name="Normal 26 4" xfId="1861"/>
    <cellStyle name="Normal 26 5" xfId="1853"/>
    <cellStyle name="Normal 26 5 2" xfId="3240"/>
    <cellStyle name="Normal 26 5 2 2" xfId="5636"/>
    <cellStyle name="Normal 26 5 2 2 2" xfId="10732"/>
    <cellStyle name="Normal 26 5 2 3" xfId="8343"/>
    <cellStyle name="Normal 26 5 3" xfId="4444"/>
    <cellStyle name="Normal 26 5 3 2" xfId="9540"/>
    <cellStyle name="Normal 26 5 4" xfId="7082"/>
    <cellStyle name="Normal 27" xfId="90"/>
    <cellStyle name="Normal 27 2" xfId="1863"/>
    <cellStyle name="Normal 27 2 2" xfId="1864"/>
    <cellStyle name="Normal 27 2 2 2" xfId="1865"/>
    <cellStyle name="Normal 27 2 2 2 2" xfId="3250"/>
    <cellStyle name="Normal 27 2 2 2 2 2" xfId="5646"/>
    <cellStyle name="Normal 27 2 2 2 2 2 2" xfId="10742"/>
    <cellStyle name="Normal 27 2 2 2 2 3" xfId="8353"/>
    <cellStyle name="Normal 27 2 2 2 3" xfId="4454"/>
    <cellStyle name="Normal 27 2 2 2 3 2" xfId="9550"/>
    <cellStyle name="Normal 27 2 2 2 4" xfId="7092"/>
    <cellStyle name="Normal 27 2 2 3" xfId="1866"/>
    <cellStyle name="Normal 27 2 2 3 2" xfId="3251"/>
    <cellStyle name="Normal 27 2 2 3 2 2" xfId="5647"/>
    <cellStyle name="Normal 27 2 2 3 2 2 2" xfId="10743"/>
    <cellStyle name="Normal 27 2 2 3 2 3" xfId="8354"/>
    <cellStyle name="Normal 27 2 2 3 3" xfId="4455"/>
    <cellStyle name="Normal 27 2 2 3 3 2" xfId="9551"/>
    <cellStyle name="Normal 27 2 2 3 4" xfId="7093"/>
    <cellStyle name="Normal 27 2 2 4" xfId="3249"/>
    <cellStyle name="Normal 27 2 2 4 2" xfId="5645"/>
    <cellStyle name="Normal 27 2 2 4 2 2" xfId="10741"/>
    <cellStyle name="Normal 27 2 2 4 3" xfId="8352"/>
    <cellStyle name="Normal 27 2 2 5" xfId="4453"/>
    <cellStyle name="Normal 27 2 2 5 2" xfId="9549"/>
    <cellStyle name="Normal 27 2 2 6" xfId="7091"/>
    <cellStyle name="Normal 27 2 3" xfId="1867"/>
    <cellStyle name="Normal 27 2 4" xfId="3248"/>
    <cellStyle name="Normal 27 2 4 2" xfId="5644"/>
    <cellStyle name="Normal 27 2 4 2 2" xfId="10740"/>
    <cellStyle name="Normal 27 2 4 3" xfId="8351"/>
    <cellStyle name="Normal 27 2 5" xfId="4452"/>
    <cellStyle name="Normal 27 2 5 2" xfId="9548"/>
    <cellStyle name="Normal 27 2 6" xfId="7090"/>
    <cellStyle name="Normal 27 3" xfId="1868"/>
    <cellStyle name="Normal 27 3 2" xfId="1869"/>
    <cellStyle name="Normal 27 3 2 2" xfId="3253"/>
    <cellStyle name="Normal 27 3 2 2 2" xfId="5649"/>
    <cellStyle name="Normal 27 3 2 2 2 2" xfId="10745"/>
    <cellStyle name="Normal 27 3 2 2 3" xfId="8356"/>
    <cellStyle name="Normal 27 3 2 3" xfId="4457"/>
    <cellStyle name="Normal 27 3 2 3 2" xfId="9553"/>
    <cellStyle name="Normal 27 3 2 4" xfId="7095"/>
    <cellStyle name="Normal 27 3 3" xfId="3252"/>
    <cellStyle name="Normal 27 3 3 2" xfId="5648"/>
    <cellStyle name="Normal 27 3 3 2 2" xfId="10744"/>
    <cellStyle name="Normal 27 3 3 3" xfId="8355"/>
    <cellStyle name="Normal 27 3 4" xfId="4456"/>
    <cellStyle name="Normal 27 3 4 2" xfId="9552"/>
    <cellStyle name="Normal 27 3 5" xfId="7094"/>
    <cellStyle name="Normal 27 4" xfId="1870"/>
    <cellStyle name="Normal 27 5" xfId="1862"/>
    <cellStyle name="Normal 27 5 2" xfId="3247"/>
    <cellStyle name="Normal 27 5 2 2" xfId="5643"/>
    <cellStyle name="Normal 27 5 2 2 2" xfId="10739"/>
    <cellStyle name="Normal 27 5 2 3" xfId="8350"/>
    <cellStyle name="Normal 27 5 3" xfId="4451"/>
    <cellStyle name="Normal 27 5 3 2" xfId="9547"/>
    <cellStyle name="Normal 27 5 4" xfId="7089"/>
    <cellStyle name="Normal 28" xfId="91"/>
    <cellStyle name="Normal 28 2" xfId="1872"/>
    <cellStyle name="Normal 29" xfId="92"/>
    <cellStyle name="Normal 29 2" xfId="1873"/>
    <cellStyle name="Normal 3" xfId="77"/>
    <cellStyle name="Normal 3 10" xfId="412"/>
    <cellStyle name="Normal 3 11" xfId="413"/>
    <cellStyle name="Normal 3 12" xfId="507"/>
    <cellStyle name="Normal 3 13" xfId="703"/>
    <cellStyle name="Normal 3 13 2" xfId="963"/>
    <cellStyle name="Normal 3 13 3" xfId="2505"/>
    <cellStyle name="Normal 3 13 3 2" xfId="4952"/>
    <cellStyle name="Normal 3 13 3 2 2" xfId="10048"/>
    <cellStyle name="Normal 3 13 3 3" xfId="7609"/>
    <cellStyle name="Normal 3 13 4" xfId="3769"/>
    <cellStyle name="Normal 3 13 4 2" xfId="8868"/>
    <cellStyle name="Normal 3 13 5" xfId="6349"/>
    <cellStyle name="Normal 3 14" xfId="940"/>
    <cellStyle name="Normal 3 15" xfId="1073"/>
    <cellStyle name="Normal 3 16" xfId="1080"/>
    <cellStyle name="Normal 3 2" xfId="102"/>
    <cellStyle name="Normal 3 2 10" xfId="678"/>
    <cellStyle name="Normal 3 2 10 2" xfId="965"/>
    <cellStyle name="Normal 3 2 11" xfId="941"/>
    <cellStyle name="Normal 3 2 12" xfId="1057"/>
    <cellStyle name="Normal 3 2 13" xfId="1082"/>
    <cellStyle name="Normal 3 2 2" xfId="177"/>
    <cellStyle name="Normal 3 2 2 2" xfId="527"/>
    <cellStyle name="Normal 3 2 2 2 2" xfId="988"/>
    <cellStyle name="Normal 3 2 2 3" xfId="942"/>
    <cellStyle name="Normal 3 2 2 4" xfId="1060"/>
    <cellStyle name="Normal 3 2 2 5" xfId="1092"/>
    <cellStyle name="Normal 3 2 3" xfId="414"/>
    <cellStyle name="Normal 3 2 3 2" xfId="943"/>
    <cellStyle name="Normal 3 2 3 2 2" xfId="977"/>
    <cellStyle name="Normal 3 2 3 3" xfId="1067"/>
    <cellStyle name="Normal 3 2 3 4" xfId="1874"/>
    <cellStyle name="Normal 3 2 4" xfId="415"/>
    <cellStyle name="Normal 3 2 5" xfId="416"/>
    <cellStyle name="Normal 3 2 6" xfId="417"/>
    <cellStyle name="Normal 3 2 7" xfId="418"/>
    <cellStyle name="Normal 3 2 8" xfId="419"/>
    <cellStyle name="Normal 3 2 9" xfId="508"/>
    <cellStyle name="Normal 3 3" xfId="176"/>
    <cellStyle name="Normal 3 3 2" xfId="509"/>
    <cellStyle name="Normal 3 3 2 2" xfId="600"/>
    <cellStyle name="Normal 3 3 2 2 2" xfId="990"/>
    <cellStyle name="Normal 3 3 2 2 3" xfId="2406"/>
    <cellStyle name="Normal 3 3 2 2 3 2" xfId="4853"/>
    <cellStyle name="Normal 3 3 2 2 3 2 2" xfId="9949"/>
    <cellStyle name="Normal 3 3 2 2 3 3" xfId="7510"/>
    <cellStyle name="Normal 3 3 2 2 4" xfId="3670"/>
    <cellStyle name="Normal 3 3 2 2 4 2" xfId="8769"/>
    <cellStyle name="Normal 3 3 2 2 5" xfId="6250"/>
    <cellStyle name="Normal 3 3 2 3" xfId="944"/>
    <cellStyle name="Normal 3 3 2 4" xfId="1056"/>
    <cellStyle name="Normal 3 3 2 5" xfId="1094"/>
    <cellStyle name="Normal 3 3 3" xfId="518"/>
    <cellStyle name="Normal 3 3 3 2" xfId="877"/>
    <cellStyle name="Normal 3 3 3 2 2" xfId="1078"/>
    <cellStyle name="Normal 3 3 3 2 3" xfId="2582"/>
    <cellStyle name="Normal 3 3 3 2 3 2" xfId="5026"/>
    <cellStyle name="Normal 3 3 3 2 3 2 2" xfId="10122"/>
    <cellStyle name="Normal 3 3 3 2 3 3" xfId="7685"/>
    <cellStyle name="Normal 3 3 3 2 4" xfId="3843"/>
    <cellStyle name="Normal 3 3 3 2 4 2" xfId="8942"/>
    <cellStyle name="Normal 3 3 3 2 5" xfId="6428"/>
    <cellStyle name="Normal 3 3 3 3" xfId="979"/>
    <cellStyle name="Normal 3 3 4" xfId="917"/>
    <cellStyle name="Normal 3 3 4 2" xfId="967"/>
    <cellStyle name="Normal 3 3 4 3" xfId="2618"/>
    <cellStyle name="Normal 3 3 4 3 2" xfId="5062"/>
    <cellStyle name="Normal 3 3 4 3 2 2" xfId="10158"/>
    <cellStyle name="Normal 3 3 4 3 3" xfId="7721"/>
    <cellStyle name="Normal 3 3 4 4" xfId="3879"/>
    <cellStyle name="Normal 3 3 4 4 2" xfId="8978"/>
    <cellStyle name="Normal 3 3 4 5" xfId="6464"/>
    <cellStyle name="Normal 3 3 5" xfId="690"/>
    <cellStyle name="Normal 3 3 5 2" xfId="993"/>
    <cellStyle name="Normal 3 3 5 3" xfId="2492"/>
    <cellStyle name="Normal 3 3 5 3 2" xfId="4939"/>
    <cellStyle name="Normal 3 3 5 3 2 2" xfId="10035"/>
    <cellStyle name="Normal 3 3 5 3 3" xfId="7596"/>
    <cellStyle name="Normal 3 3 5 4" xfId="3756"/>
    <cellStyle name="Normal 3 3 5 4 2" xfId="8855"/>
    <cellStyle name="Normal 3 3 5 5" xfId="6336"/>
    <cellStyle name="Normal 3 3 6" xfId="1070"/>
    <cellStyle name="Normal 3 3 7" xfId="1084"/>
    <cellStyle name="Normal 3 3 8" xfId="1875"/>
    <cellStyle name="Normal 3 4" xfId="420"/>
    <cellStyle name="Normal 3 4 2" xfId="757"/>
    <cellStyle name="Normal 3 4 2 2" xfId="991"/>
    <cellStyle name="Normal 3 4 2 3" xfId="1095"/>
    <cellStyle name="Normal 3 4 3" xfId="945"/>
    <cellStyle name="Normal 3 4 3 2" xfId="981"/>
    <cellStyle name="Normal 3 4 3 3" xfId="1130"/>
    <cellStyle name="Normal 3 4 4" xfId="946"/>
    <cellStyle name="Normal 3 4 4 2" xfId="969"/>
    <cellStyle name="Normal 3 4 5" xfId="947"/>
    <cellStyle name="Normal 3 4 6" xfId="1068"/>
    <cellStyle name="Normal 3 4 7" xfId="1086"/>
    <cellStyle name="Normal 3 4 8" xfId="1876"/>
    <cellStyle name="Normal 3 5" xfId="421"/>
    <cellStyle name="Normal 3 5 2" xfId="741"/>
    <cellStyle name="Normal 3 5 2 2" xfId="983"/>
    <cellStyle name="Normal 3 5 2 3" xfId="1131"/>
    <cellStyle name="Normal 3 5 3" xfId="948"/>
    <cellStyle name="Normal 3 5 3 2" xfId="971"/>
    <cellStyle name="Normal 3 5 4" xfId="949"/>
    <cellStyle name="Normal 3 5 5" xfId="1065"/>
    <cellStyle name="Normal 3 5 6" xfId="1088"/>
    <cellStyle name="Normal 3 6" xfId="422"/>
    <cellStyle name="Normal 3 6 2" xfId="767"/>
    <cellStyle name="Normal 3 6 2 2" xfId="985"/>
    <cellStyle name="Normal 3 6 2 3" xfId="1132"/>
    <cellStyle name="Normal 3 6 2 4" xfId="2548"/>
    <cellStyle name="Normal 3 6 2 4 2" xfId="4995"/>
    <cellStyle name="Normal 3 6 2 4 2 2" xfId="10091"/>
    <cellStyle name="Normal 3 6 2 4 3" xfId="7652"/>
    <cellStyle name="Normal 3 6 2 5" xfId="3812"/>
    <cellStyle name="Normal 3 6 2 5 2" xfId="8911"/>
    <cellStyle name="Normal 3 6 2 6" xfId="6392"/>
    <cellStyle name="Normal 3 6 3" xfId="950"/>
    <cellStyle name="Normal 3 6 3 2" xfId="973"/>
    <cellStyle name="Normal 3 6 4" xfId="951"/>
    <cellStyle name="Normal 3 6 5" xfId="1075"/>
    <cellStyle name="Normal 3 6 6" xfId="1090"/>
    <cellStyle name="Normal 3 7" xfId="423"/>
    <cellStyle name="Normal 3 7 2" xfId="931"/>
    <cellStyle name="Normal 3 7 2 2" xfId="975"/>
    <cellStyle name="Normal 3 7 2 3" xfId="2631"/>
    <cellStyle name="Normal 3 7 2 3 2" xfId="5075"/>
    <cellStyle name="Normal 3 7 2 3 2 2" xfId="10171"/>
    <cellStyle name="Normal 3 7 2 3 3" xfId="7734"/>
    <cellStyle name="Normal 3 7 2 4" xfId="3892"/>
    <cellStyle name="Normal 3 7 2 4 2" xfId="8991"/>
    <cellStyle name="Normal 3 7 2 5" xfId="6477"/>
    <cellStyle name="Normal 3 7 3" xfId="1072"/>
    <cellStyle name="Normal 3 8" xfId="424"/>
    <cellStyle name="Normal 3 9" xfId="425"/>
    <cellStyle name="Normal 30" xfId="97"/>
    <cellStyle name="Normal 30 2" xfId="1878"/>
    <cellStyle name="Normal 30 3" xfId="1877"/>
    <cellStyle name="Normal 31" xfId="98"/>
    <cellStyle name="Normal 31 2" xfId="1880"/>
    <cellStyle name="Normal 31 3" xfId="1879"/>
    <cellStyle name="Normal 32" xfId="105"/>
    <cellStyle name="Normal 32 2" xfId="524"/>
    <cellStyle name="Normal 32 2 2" xfId="1882"/>
    <cellStyle name="Normal 32 3" xfId="1881"/>
    <cellStyle name="Normal 32 4" xfId="2330"/>
    <cellStyle name="Normal 32 4 2" xfId="4786"/>
    <cellStyle name="Normal 32 4 2 2" xfId="9882"/>
    <cellStyle name="Normal 32 4 3" xfId="7439"/>
    <cellStyle name="Normal 32 5" xfId="3603"/>
    <cellStyle name="Normal 32 5 2" xfId="8702"/>
    <cellStyle name="Normal 32 6" xfId="6146"/>
    <cellStyle name="Normal 32 7" xfId="174"/>
    <cellStyle name="Normal 33" xfId="426"/>
    <cellStyle name="Normal 33 2" xfId="1884"/>
    <cellStyle name="Normal 33 3" xfId="1883"/>
    <cellStyle name="Normal 34" xfId="427"/>
    <cellStyle name="Normal 34 2" xfId="1886"/>
    <cellStyle name="Normal 34 3" xfId="1885"/>
    <cellStyle name="Normal 35" xfId="428"/>
    <cellStyle name="Normal 35 2" xfId="1888"/>
    <cellStyle name="Normal 35 3" xfId="1889"/>
    <cellStyle name="Normal 35 4" xfId="1887"/>
    <cellStyle name="Normal 36" xfId="429"/>
    <cellStyle name="Normal 36 2" xfId="1891"/>
    <cellStyle name="Normal 36 3" xfId="1890"/>
    <cellStyle name="Normal 37" xfId="430"/>
    <cellStyle name="Normal 37 2" xfId="1893"/>
    <cellStyle name="Normal 37 3" xfId="1892"/>
    <cellStyle name="Normal 38" xfId="175"/>
    <cellStyle name="Normal 38 2" xfId="1894"/>
    <cellStyle name="Normal 39" xfId="431"/>
    <cellStyle name="Normal 39 2" xfId="1895"/>
    <cellStyle name="Normal 4" xfId="78"/>
    <cellStyle name="Normal 4 10" xfId="516"/>
    <cellStyle name="Normal 4 10 2" xfId="964"/>
    <cellStyle name="Normal 4 11" xfId="952"/>
    <cellStyle name="Normal 4 12" xfId="1058"/>
    <cellStyle name="Normal 4 13" xfId="1081"/>
    <cellStyle name="Normal 4 14" xfId="1896"/>
    <cellStyle name="Normal 4 14 2" xfId="3255"/>
    <cellStyle name="Normal 4 14 2 2" xfId="5651"/>
    <cellStyle name="Normal 4 14 2 2 2" xfId="10747"/>
    <cellStyle name="Normal 4 14 2 3" xfId="8358"/>
    <cellStyle name="Normal 4 14 3" xfId="4459"/>
    <cellStyle name="Normal 4 14 3 2" xfId="9555"/>
    <cellStyle name="Normal 4 14 4" xfId="7097"/>
    <cellStyle name="Normal 4 2" xfId="103"/>
    <cellStyle name="Normal 4 2 2" xfId="668"/>
    <cellStyle name="Normal 4 2 2 2" xfId="987"/>
    <cellStyle name="Normal 4 2 2 2 2" xfId="1898"/>
    <cellStyle name="Normal 4 2 2 3" xfId="1899"/>
    <cellStyle name="Normal 4 2 2 4" xfId="1897"/>
    <cellStyle name="Normal 4 2 3" xfId="953"/>
    <cellStyle name="Normal 4 2 4" xfId="1077"/>
    <cellStyle name="Normal 4 2 5" xfId="1091"/>
    <cellStyle name="Normal 4 3" xfId="432"/>
    <cellStyle name="Normal 4 3 2" xfId="587"/>
    <cellStyle name="Normal 4 3 2 2" xfId="976"/>
    <cellStyle name="Normal 4 3 2 2 2" xfId="1902"/>
    <cellStyle name="Normal 4 3 2 2 2 2" xfId="3258"/>
    <cellStyle name="Normal 4 3 2 2 2 2 2" xfId="5654"/>
    <cellStyle name="Normal 4 3 2 2 2 2 2 2" xfId="10750"/>
    <cellStyle name="Normal 4 3 2 2 2 2 3" xfId="8361"/>
    <cellStyle name="Normal 4 3 2 2 2 3" xfId="4462"/>
    <cellStyle name="Normal 4 3 2 2 2 3 2" xfId="9558"/>
    <cellStyle name="Normal 4 3 2 2 2 4" xfId="7100"/>
    <cellStyle name="Normal 4 3 2 3" xfId="1903"/>
    <cellStyle name="Normal 4 3 2 3 2" xfId="3259"/>
    <cellStyle name="Normal 4 3 2 3 2 2" xfId="5655"/>
    <cellStyle name="Normal 4 3 2 3 2 2 2" xfId="10751"/>
    <cellStyle name="Normal 4 3 2 3 2 3" xfId="8362"/>
    <cellStyle name="Normal 4 3 2 3 3" xfId="4463"/>
    <cellStyle name="Normal 4 3 2 3 3 2" xfId="9559"/>
    <cellStyle name="Normal 4 3 2 3 4" xfId="7101"/>
    <cellStyle name="Normal 4 3 2 4" xfId="1901"/>
    <cellStyle name="Normal 4 3 2 4 2" xfId="3257"/>
    <cellStyle name="Normal 4 3 2 4 2 2" xfId="5653"/>
    <cellStyle name="Normal 4 3 2 4 2 2 2" xfId="10749"/>
    <cellStyle name="Normal 4 3 2 4 2 3" xfId="8360"/>
    <cellStyle name="Normal 4 3 2 4 3" xfId="4461"/>
    <cellStyle name="Normal 4 3 2 4 3 2" xfId="9557"/>
    <cellStyle name="Normal 4 3 2 4 4" xfId="7099"/>
    <cellStyle name="Normal 4 3 2 5" xfId="2393"/>
    <cellStyle name="Normal 4 3 2 5 2" xfId="4840"/>
    <cellStyle name="Normal 4 3 2 5 2 2" xfId="9936"/>
    <cellStyle name="Normal 4 3 2 5 3" xfId="7497"/>
    <cellStyle name="Normal 4 3 2 6" xfId="3657"/>
    <cellStyle name="Normal 4 3 2 6 2" xfId="8756"/>
    <cellStyle name="Normal 4 3 2 7" xfId="6237"/>
    <cellStyle name="Normal 4 3 3" xfId="924"/>
    <cellStyle name="Normal 4 3 3 2" xfId="1069"/>
    <cellStyle name="Normal 4 3 3 3" xfId="1904"/>
    <cellStyle name="Normal 4 3 3 4" xfId="2625"/>
    <cellStyle name="Normal 4 3 3 4 2" xfId="5069"/>
    <cellStyle name="Normal 4 3 3 4 2 2" xfId="10165"/>
    <cellStyle name="Normal 4 3 3 4 3" xfId="7728"/>
    <cellStyle name="Normal 4 3 3 5" xfId="3886"/>
    <cellStyle name="Normal 4 3 3 5 2" xfId="8985"/>
    <cellStyle name="Normal 4 3 3 6" xfId="6471"/>
    <cellStyle name="Normal 4 3 4" xfId="642"/>
    <cellStyle name="Normal 4 3 4 2" xfId="2447"/>
    <cellStyle name="Normal 4 3 4 2 2" xfId="4894"/>
    <cellStyle name="Normal 4 3 4 2 2 2" xfId="9990"/>
    <cellStyle name="Normal 4 3 4 2 3" xfId="7551"/>
    <cellStyle name="Normal 4 3 4 3" xfId="3711"/>
    <cellStyle name="Normal 4 3 4 3 2" xfId="8810"/>
    <cellStyle name="Normal 4 3 4 4" xfId="6291"/>
    <cellStyle name="Normal 4 3 5" xfId="670"/>
    <cellStyle name="Normal 4 3 5 2" xfId="2473"/>
    <cellStyle name="Normal 4 3 5 2 2" xfId="4920"/>
    <cellStyle name="Normal 4 3 5 2 2 2" xfId="10016"/>
    <cellStyle name="Normal 4 3 5 2 3" xfId="7577"/>
    <cellStyle name="Normal 4 3 5 3" xfId="3737"/>
    <cellStyle name="Normal 4 3 5 3 2" xfId="8836"/>
    <cellStyle name="Normal 4 3 5 4" xfId="6317"/>
    <cellStyle name="Normal 4 3 6" xfId="1900"/>
    <cellStyle name="Normal 4 3 6 2" xfId="3256"/>
    <cellStyle name="Normal 4 3 6 2 2" xfId="5652"/>
    <cellStyle name="Normal 4 3 6 2 2 2" xfId="10748"/>
    <cellStyle name="Normal 4 3 6 2 3" xfId="8359"/>
    <cellStyle name="Normal 4 3 6 3" xfId="4460"/>
    <cellStyle name="Normal 4 3 6 3 2" xfId="9556"/>
    <cellStyle name="Normal 4 3 6 4" xfId="7098"/>
    <cellStyle name="Normal 4 4" xfId="433"/>
    <cellStyle name="Normal 4 4 2" xfId="644"/>
    <cellStyle name="Normal 4 4 2 2" xfId="1907"/>
    <cellStyle name="Normal 4 4 2 2 2" xfId="3262"/>
    <cellStyle name="Normal 4 4 2 2 2 2" xfId="5658"/>
    <cellStyle name="Normal 4 4 2 2 2 2 2" xfId="10754"/>
    <cellStyle name="Normal 4 4 2 2 2 3" xfId="8365"/>
    <cellStyle name="Normal 4 4 2 2 3" xfId="4466"/>
    <cellStyle name="Normal 4 4 2 2 3 2" xfId="9562"/>
    <cellStyle name="Normal 4 4 2 2 4" xfId="7104"/>
    <cellStyle name="Normal 4 4 2 3" xfId="1906"/>
    <cellStyle name="Normal 4 4 2 3 2" xfId="3261"/>
    <cellStyle name="Normal 4 4 2 3 2 2" xfId="5657"/>
    <cellStyle name="Normal 4 4 2 3 2 2 2" xfId="10753"/>
    <cellStyle name="Normal 4 4 2 3 2 3" xfId="8364"/>
    <cellStyle name="Normal 4 4 2 3 3" xfId="4465"/>
    <cellStyle name="Normal 4 4 2 3 3 2" xfId="9561"/>
    <cellStyle name="Normal 4 4 2 3 4" xfId="7103"/>
    <cellStyle name="Normal 4 4 3" xfId="1908"/>
    <cellStyle name="Normal 4 4 3 2" xfId="3263"/>
    <cellStyle name="Normal 4 4 3 2 2" xfId="5659"/>
    <cellStyle name="Normal 4 4 3 2 2 2" xfId="10755"/>
    <cellStyle name="Normal 4 4 3 2 3" xfId="8366"/>
    <cellStyle name="Normal 4 4 3 3" xfId="4467"/>
    <cellStyle name="Normal 4 4 3 3 2" xfId="9563"/>
    <cellStyle name="Normal 4 4 3 4" xfId="7105"/>
    <cellStyle name="Normal 4 4 4" xfId="1909"/>
    <cellStyle name="Normal 4 4 4 2" xfId="3264"/>
    <cellStyle name="Normal 4 4 4 2 2" xfId="5660"/>
    <cellStyle name="Normal 4 4 4 2 2 2" xfId="10756"/>
    <cellStyle name="Normal 4 4 4 2 3" xfId="8367"/>
    <cellStyle name="Normal 4 4 4 3" xfId="4468"/>
    <cellStyle name="Normal 4 4 4 3 2" xfId="9564"/>
    <cellStyle name="Normal 4 4 4 4" xfId="7106"/>
    <cellStyle name="Normal 4 4 5" xfId="1905"/>
    <cellStyle name="Normal 4 4 5 2" xfId="3260"/>
    <cellStyle name="Normal 4 4 5 2 2" xfId="5656"/>
    <cellStyle name="Normal 4 4 5 2 2 2" xfId="10752"/>
    <cellStyle name="Normal 4 4 5 2 3" xfId="8363"/>
    <cellStyle name="Normal 4 4 5 3" xfId="4464"/>
    <cellStyle name="Normal 4 4 5 3 2" xfId="9560"/>
    <cellStyle name="Normal 4 4 5 4" xfId="7102"/>
    <cellStyle name="Normal 4 5" xfId="434"/>
    <cellStyle name="Normal 4 5 2" xfId="655"/>
    <cellStyle name="Normal 4 5 2 2" xfId="1912"/>
    <cellStyle name="Normal 4 5 2 2 2" xfId="3267"/>
    <cellStyle name="Normal 4 5 2 2 2 2" xfId="5663"/>
    <cellStyle name="Normal 4 5 2 2 2 2 2" xfId="10759"/>
    <cellStyle name="Normal 4 5 2 2 2 3" xfId="8370"/>
    <cellStyle name="Normal 4 5 2 2 3" xfId="4471"/>
    <cellStyle name="Normal 4 5 2 2 3 2" xfId="9567"/>
    <cellStyle name="Normal 4 5 2 2 4" xfId="7109"/>
    <cellStyle name="Normal 4 5 2 3" xfId="1911"/>
    <cellStyle name="Normal 4 5 2 3 2" xfId="3266"/>
    <cellStyle name="Normal 4 5 2 3 2 2" xfId="5662"/>
    <cellStyle name="Normal 4 5 2 3 2 2 2" xfId="10758"/>
    <cellStyle name="Normal 4 5 2 3 2 3" xfId="8369"/>
    <cellStyle name="Normal 4 5 2 3 3" xfId="4470"/>
    <cellStyle name="Normal 4 5 2 3 3 2" xfId="9566"/>
    <cellStyle name="Normal 4 5 2 3 4" xfId="7108"/>
    <cellStyle name="Normal 4 5 2 4" xfId="2459"/>
    <cellStyle name="Normal 4 5 2 4 2" xfId="4906"/>
    <cellStyle name="Normal 4 5 2 4 2 2" xfId="10002"/>
    <cellStyle name="Normal 4 5 2 4 3" xfId="7563"/>
    <cellStyle name="Normal 4 5 2 5" xfId="3723"/>
    <cellStyle name="Normal 4 5 2 5 2" xfId="8822"/>
    <cellStyle name="Normal 4 5 2 6" xfId="6303"/>
    <cellStyle name="Normal 4 5 3" xfId="1913"/>
    <cellStyle name="Normal 4 5 3 2" xfId="3268"/>
    <cellStyle name="Normal 4 5 3 2 2" xfId="5664"/>
    <cellStyle name="Normal 4 5 3 2 2 2" xfId="10760"/>
    <cellStyle name="Normal 4 5 3 2 3" xfId="8371"/>
    <cellStyle name="Normal 4 5 3 3" xfId="4472"/>
    <cellStyle name="Normal 4 5 3 3 2" xfId="9568"/>
    <cellStyle name="Normal 4 5 3 4" xfId="7110"/>
    <cellStyle name="Normal 4 5 4" xfId="1914"/>
    <cellStyle name="Normal 4 5 4 2" xfId="3269"/>
    <cellStyle name="Normal 4 5 4 2 2" xfId="5665"/>
    <cellStyle name="Normal 4 5 4 2 2 2" xfId="10761"/>
    <cellStyle name="Normal 4 5 4 2 3" xfId="8372"/>
    <cellStyle name="Normal 4 5 4 3" xfId="4473"/>
    <cellStyle name="Normal 4 5 4 3 2" xfId="9569"/>
    <cellStyle name="Normal 4 5 4 4" xfId="7111"/>
    <cellStyle name="Normal 4 5 5" xfId="1910"/>
    <cellStyle name="Normal 4 5 5 2" xfId="3265"/>
    <cellStyle name="Normal 4 5 5 2 2" xfId="5661"/>
    <cellStyle name="Normal 4 5 5 2 2 2" xfId="10757"/>
    <cellStyle name="Normal 4 5 5 2 3" xfId="8368"/>
    <cellStyle name="Normal 4 5 5 3" xfId="4469"/>
    <cellStyle name="Normal 4 5 5 3 2" xfId="9565"/>
    <cellStyle name="Normal 4 5 5 4" xfId="7107"/>
    <cellStyle name="Normal 4 6" xfId="435"/>
    <cellStyle name="Normal 4 7" xfId="436"/>
    <cellStyle name="Normal 4 8" xfId="437"/>
    <cellStyle name="Normal 4 9" xfId="510"/>
    <cellStyle name="Normal 40" xfId="528"/>
    <cellStyle name="Normal 40 2" xfId="532"/>
    <cellStyle name="Normal 40 2 2" xfId="2342"/>
    <cellStyle name="Normal 40 3" xfId="867"/>
    <cellStyle name="Normal 40 3 2" xfId="2572"/>
    <cellStyle name="Normal 40 3 2 2" xfId="5016"/>
    <cellStyle name="Normal 40 3 2 2 2" xfId="10112"/>
    <cellStyle name="Normal 40 3 2 3" xfId="7675"/>
    <cellStyle name="Normal 40 3 3" xfId="3833"/>
    <cellStyle name="Normal 40 3 3 2" xfId="8932"/>
    <cellStyle name="Normal 40 3 4" xfId="6418"/>
    <cellStyle name="Normal 40 4" xfId="1039"/>
    <cellStyle name="Normal 40 4 2" xfId="2669"/>
    <cellStyle name="Normal 40 4 2 2" xfId="5078"/>
    <cellStyle name="Normal 40 4 2 2 2" xfId="10174"/>
    <cellStyle name="Normal 40 4 2 3" xfId="7772"/>
    <cellStyle name="Normal 40 4 3" xfId="3895"/>
    <cellStyle name="Normal 40 4 3 2" xfId="8994"/>
    <cellStyle name="Normal 40 4 4" xfId="6516"/>
    <cellStyle name="Normal 40 5" xfId="1915"/>
    <cellStyle name="Normal 40 6" xfId="2339"/>
    <cellStyle name="Normal 41" xfId="530"/>
    <cellStyle name="Normal 41 2" xfId="935"/>
    <cellStyle name="Normal 41 3" xfId="1916"/>
    <cellStyle name="Normal 41 4" xfId="2340"/>
    <cellStyle name="Normal 42" xfId="534"/>
    <cellStyle name="Normal 42 2" xfId="1001"/>
    <cellStyle name="Normal 42 3" xfId="1917"/>
    <cellStyle name="Normal 43" xfId="936"/>
    <cellStyle name="Normal 43 2" xfId="1079"/>
    <cellStyle name="Normal 43 3" xfId="1918"/>
    <cellStyle name="Normal 44" xfId="958"/>
    <cellStyle name="Normal 44 2" xfId="1919"/>
    <cellStyle name="Normal 45" xfId="1003"/>
    <cellStyle name="Normal 45 2" xfId="1920"/>
    <cellStyle name="Normal 46" xfId="1921"/>
    <cellStyle name="Normal 47" xfId="1922"/>
    <cellStyle name="Normal 48" xfId="1923"/>
    <cellStyle name="Normal 48 2" xfId="1924"/>
    <cellStyle name="Normal 49" xfId="1925"/>
    <cellStyle name="Normal 5" xfId="68"/>
    <cellStyle name="Normal 5 10" xfId="517"/>
    <cellStyle name="Normal 5 10 2" xfId="966"/>
    <cellStyle name="Normal 5 11" xfId="689"/>
    <cellStyle name="Normal 5 11 2" xfId="994"/>
    <cellStyle name="Normal 5 11 3" xfId="2491"/>
    <cellStyle name="Normal 5 11 3 2" xfId="4938"/>
    <cellStyle name="Normal 5 11 3 2 2" xfId="10034"/>
    <cellStyle name="Normal 5 11 3 3" xfId="7595"/>
    <cellStyle name="Normal 5 11 4" xfId="3755"/>
    <cellStyle name="Normal 5 11 4 2" xfId="8854"/>
    <cellStyle name="Normal 5 11 5" xfId="6335"/>
    <cellStyle name="Normal 5 12" xfId="1064"/>
    <cellStyle name="Normal 5 13" xfId="1083"/>
    <cellStyle name="Normal 5 14" xfId="1926"/>
    <cellStyle name="Normal 5 14 2" xfId="3270"/>
    <cellStyle name="Normal 5 14 2 2" xfId="5666"/>
    <cellStyle name="Normal 5 14 2 2 2" xfId="10762"/>
    <cellStyle name="Normal 5 14 2 3" xfId="8373"/>
    <cellStyle name="Normal 5 14 3" xfId="4474"/>
    <cellStyle name="Normal 5 14 3 2" xfId="9570"/>
    <cellStyle name="Normal 5 14 4" xfId="7112"/>
    <cellStyle name="Normal 5 2" xfId="438"/>
    <cellStyle name="Normal 5 2 2" xfId="598"/>
    <cellStyle name="Normal 5 2 2 2" xfId="989"/>
    <cellStyle name="Normal 5 2 2 2 2" xfId="1930"/>
    <cellStyle name="Normal 5 2 2 2 2 2" xfId="3274"/>
    <cellStyle name="Normal 5 2 2 2 2 2 2" xfId="5670"/>
    <cellStyle name="Normal 5 2 2 2 2 2 2 2" xfId="10766"/>
    <cellStyle name="Normal 5 2 2 2 2 2 3" xfId="8377"/>
    <cellStyle name="Normal 5 2 2 2 2 3" xfId="4478"/>
    <cellStyle name="Normal 5 2 2 2 2 3 2" xfId="9574"/>
    <cellStyle name="Normal 5 2 2 2 2 4" xfId="7116"/>
    <cellStyle name="Normal 5 2 2 2 3" xfId="1929"/>
    <cellStyle name="Normal 5 2 2 2 3 2" xfId="3273"/>
    <cellStyle name="Normal 5 2 2 2 3 2 2" xfId="5669"/>
    <cellStyle name="Normal 5 2 2 2 3 2 2 2" xfId="10765"/>
    <cellStyle name="Normal 5 2 2 2 3 2 3" xfId="8376"/>
    <cellStyle name="Normal 5 2 2 2 3 3" xfId="4477"/>
    <cellStyle name="Normal 5 2 2 2 3 3 2" xfId="9573"/>
    <cellStyle name="Normal 5 2 2 2 3 4" xfId="7115"/>
    <cellStyle name="Normal 5 2 2 3" xfId="1931"/>
    <cellStyle name="Normal 5 2 2 3 2" xfId="3275"/>
    <cellStyle name="Normal 5 2 2 3 2 2" xfId="5671"/>
    <cellStyle name="Normal 5 2 2 3 2 2 2" xfId="10767"/>
    <cellStyle name="Normal 5 2 2 3 2 3" xfId="8378"/>
    <cellStyle name="Normal 5 2 2 3 3" xfId="4479"/>
    <cellStyle name="Normal 5 2 2 3 3 2" xfId="9575"/>
    <cellStyle name="Normal 5 2 2 3 4" xfId="7117"/>
    <cellStyle name="Normal 5 2 2 4" xfId="1932"/>
    <cellStyle name="Normal 5 2 2 4 2" xfId="3276"/>
    <cellStyle name="Normal 5 2 2 4 2 2" xfId="5672"/>
    <cellStyle name="Normal 5 2 2 4 2 2 2" xfId="10768"/>
    <cellStyle name="Normal 5 2 2 4 2 3" xfId="8379"/>
    <cellStyle name="Normal 5 2 2 4 3" xfId="4480"/>
    <cellStyle name="Normal 5 2 2 4 3 2" xfId="9576"/>
    <cellStyle name="Normal 5 2 2 4 4" xfId="7118"/>
    <cellStyle name="Normal 5 2 2 5" xfId="1928"/>
    <cellStyle name="Normal 5 2 2 5 2" xfId="3272"/>
    <cellStyle name="Normal 5 2 2 5 2 2" xfId="5668"/>
    <cellStyle name="Normal 5 2 2 5 2 2 2" xfId="10764"/>
    <cellStyle name="Normal 5 2 2 5 2 3" xfId="8375"/>
    <cellStyle name="Normal 5 2 2 5 3" xfId="4476"/>
    <cellStyle name="Normal 5 2 2 5 3 2" xfId="9572"/>
    <cellStyle name="Normal 5 2 2 5 4" xfId="7114"/>
    <cellStyle name="Normal 5 2 2 6" xfId="2404"/>
    <cellStyle name="Normal 5 2 2 6 2" xfId="4851"/>
    <cellStyle name="Normal 5 2 2 6 2 2" xfId="9947"/>
    <cellStyle name="Normal 5 2 2 6 3" xfId="7508"/>
    <cellStyle name="Normal 5 2 2 7" xfId="3668"/>
    <cellStyle name="Normal 5 2 2 7 2" xfId="8767"/>
    <cellStyle name="Normal 5 2 2 8" xfId="6248"/>
    <cellStyle name="Normal 5 2 3" xfId="954"/>
    <cellStyle name="Normal 5 2 3 2" xfId="1934"/>
    <cellStyle name="Normal 5 2 3 2 2" xfId="3278"/>
    <cellStyle name="Normal 5 2 3 2 2 2" xfId="5674"/>
    <cellStyle name="Normal 5 2 3 2 2 2 2" xfId="10770"/>
    <cellStyle name="Normal 5 2 3 2 2 3" xfId="8381"/>
    <cellStyle name="Normal 5 2 3 2 3" xfId="4482"/>
    <cellStyle name="Normal 5 2 3 2 3 2" xfId="9578"/>
    <cellStyle name="Normal 5 2 3 2 4" xfId="7120"/>
    <cellStyle name="Normal 5 2 3 3" xfId="1933"/>
    <cellStyle name="Normal 5 2 3 3 2" xfId="3277"/>
    <cellStyle name="Normal 5 2 3 3 2 2" xfId="5673"/>
    <cellStyle name="Normal 5 2 3 3 2 2 2" xfId="10769"/>
    <cellStyle name="Normal 5 2 3 3 2 3" xfId="8380"/>
    <cellStyle name="Normal 5 2 3 3 3" xfId="4481"/>
    <cellStyle name="Normal 5 2 3 3 3 2" xfId="9577"/>
    <cellStyle name="Normal 5 2 3 3 4" xfId="7119"/>
    <cellStyle name="Normal 5 2 4" xfId="1061"/>
    <cellStyle name="Normal 5 2 4 2" xfId="1935"/>
    <cellStyle name="Normal 5 2 5" xfId="1093"/>
    <cellStyle name="Normal 5 2 6" xfId="1927"/>
    <cellStyle name="Normal 5 2 6 2" xfId="3271"/>
    <cellStyle name="Normal 5 2 6 2 2" xfId="5667"/>
    <cellStyle name="Normal 5 2 6 2 2 2" xfId="10763"/>
    <cellStyle name="Normal 5 2 6 2 3" xfId="8374"/>
    <cellStyle name="Normal 5 2 6 3" xfId="4475"/>
    <cellStyle name="Normal 5 2 6 3 2" xfId="9571"/>
    <cellStyle name="Normal 5 2 6 4" xfId="7113"/>
    <cellStyle name="Normal 5 3" xfId="439"/>
    <cellStyle name="Normal 5 3 2" xfId="923"/>
    <cellStyle name="Normal 5 3 2 2" xfId="978"/>
    <cellStyle name="Normal 5 3 2 2 2" xfId="1938"/>
    <cellStyle name="Normal 5 3 2 2 2 2" xfId="3281"/>
    <cellStyle name="Normal 5 3 2 2 2 2 2" xfId="5677"/>
    <cellStyle name="Normal 5 3 2 2 2 2 2 2" xfId="10773"/>
    <cellStyle name="Normal 5 3 2 2 2 2 3" xfId="8384"/>
    <cellStyle name="Normal 5 3 2 2 2 3" xfId="4485"/>
    <cellStyle name="Normal 5 3 2 2 2 3 2" xfId="9581"/>
    <cellStyle name="Normal 5 3 2 2 2 4" xfId="7123"/>
    <cellStyle name="Normal 5 3 2 3" xfId="1937"/>
    <cellStyle name="Normal 5 3 2 3 2" xfId="3280"/>
    <cellStyle name="Normal 5 3 2 3 2 2" xfId="5676"/>
    <cellStyle name="Normal 5 3 2 3 2 2 2" xfId="10772"/>
    <cellStyle name="Normal 5 3 2 3 2 3" xfId="8383"/>
    <cellStyle name="Normal 5 3 2 3 3" xfId="4484"/>
    <cellStyle name="Normal 5 3 2 3 3 2" xfId="9580"/>
    <cellStyle name="Normal 5 3 2 3 4" xfId="7122"/>
    <cellStyle name="Normal 5 3 2 4" xfId="2624"/>
    <cellStyle name="Normal 5 3 2 4 2" xfId="5068"/>
    <cellStyle name="Normal 5 3 2 4 2 2" xfId="10164"/>
    <cellStyle name="Normal 5 3 2 4 3" xfId="7727"/>
    <cellStyle name="Normal 5 3 2 5" xfId="3885"/>
    <cellStyle name="Normal 5 3 2 5 2" xfId="8984"/>
    <cellStyle name="Normal 5 3 2 6" xfId="6470"/>
    <cellStyle name="Normal 5 3 3" xfId="1055"/>
    <cellStyle name="Normal 5 3 3 2" xfId="1939"/>
    <cellStyle name="Normal 5 3 3 2 2" xfId="3282"/>
    <cellStyle name="Normal 5 3 3 2 2 2" xfId="5678"/>
    <cellStyle name="Normal 5 3 3 2 2 2 2" xfId="10774"/>
    <cellStyle name="Normal 5 3 3 2 2 3" xfId="8385"/>
    <cellStyle name="Normal 5 3 3 2 3" xfId="4486"/>
    <cellStyle name="Normal 5 3 3 2 3 2" xfId="9582"/>
    <cellStyle name="Normal 5 3 3 2 4" xfId="7124"/>
    <cellStyle name="Normal 5 3 4" xfId="1940"/>
    <cellStyle name="Normal 5 3 4 2" xfId="3283"/>
    <cellStyle name="Normal 5 3 4 2 2" xfId="5679"/>
    <cellStyle name="Normal 5 3 4 2 2 2" xfId="10775"/>
    <cellStyle name="Normal 5 3 4 2 3" xfId="8386"/>
    <cellStyle name="Normal 5 3 4 3" xfId="4487"/>
    <cellStyle name="Normal 5 3 4 3 2" xfId="9583"/>
    <cellStyle name="Normal 5 3 4 4" xfId="7125"/>
    <cellStyle name="Normal 5 3 5" xfId="1936"/>
    <cellStyle name="Normal 5 3 5 2" xfId="3279"/>
    <cellStyle name="Normal 5 3 5 2 2" xfId="5675"/>
    <cellStyle name="Normal 5 3 5 2 2 2" xfId="10771"/>
    <cellStyle name="Normal 5 3 5 2 3" xfId="8382"/>
    <cellStyle name="Normal 5 3 5 3" xfId="4483"/>
    <cellStyle name="Normal 5 3 5 3 2" xfId="9579"/>
    <cellStyle name="Normal 5 3 5 4" xfId="7121"/>
    <cellStyle name="Normal 5 4" xfId="440"/>
    <cellStyle name="Normal 5 4 2" xfId="643"/>
    <cellStyle name="Normal 5 4 2 2" xfId="1943"/>
    <cellStyle name="Normal 5 4 2 2 2" xfId="3286"/>
    <cellStyle name="Normal 5 4 2 2 2 2" xfId="5682"/>
    <cellStyle name="Normal 5 4 2 2 2 2 2" xfId="10778"/>
    <cellStyle name="Normal 5 4 2 2 2 3" xfId="8389"/>
    <cellStyle name="Normal 5 4 2 2 3" xfId="4490"/>
    <cellStyle name="Normal 5 4 2 2 3 2" xfId="9586"/>
    <cellStyle name="Normal 5 4 2 2 4" xfId="7128"/>
    <cellStyle name="Normal 5 4 2 3" xfId="1942"/>
    <cellStyle name="Normal 5 4 2 3 2" xfId="3285"/>
    <cellStyle name="Normal 5 4 2 3 2 2" xfId="5681"/>
    <cellStyle name="Normal 5 4 2 3 2 2 2" xfId="10777"/>
    <cellStyle name="Normal 5 4 2 3 2 3" xfId="8388"/>
    <cellStyle name="Normal 5 4 2 3 3" xfId="4489"/>
    <cellStyle name="Normal 5 4 2 3 3 2" xfId="9585"/>
    <cellStyle name="Normal 5 4 2 3 4" xfId="7127"/>
    <cellStyle name="Normal 5 4 2 4" xfId="2448"/>
    <cellStyle name="Normal 5 4 2 4 2" xfId="4895"/>
    <cellStyle name="Normal 5 4 2 4 2 2" xfId="9991"/>
    <cellStyle name="Normal 5 4 2 4 3" xfId="7552"/>
    <cellStyle name="Normal 5 4 2 5" xfId="3712"/>
    <cellStyle name="Normal 5 4 2 5 2" xfId="8811"/>
    <cellStyle name="Normal 5 4 2 6" xfId="6292"/>
    <cellStyle name="Normal 5 4 3" xfId="1944"/>
    <cellStyle name="Normal 5 4 3 2" xfId="3287"/>
    <cellStyle name="Normal 5 4 3 2 2" xfId="5683"/>
    <cellStyle name="Normal 5 4 3 2 2 2" xfId="10779"/>
    <cellStyle name="Normal 5 4 3 2 3" xfId="8390"/>
    <cellStyle name="Normal 5 4 3 3" xfId="4491"/>
    <cellStyle name="Normal 5 4 3 3 2" xfId="9587"/>
    <cellStyle name="Normal 5 4 3 4" xfId="7129"/>
    <cellStyle name="Normal 5 4 4" xfId="1945"/>
    <cellStyle name="Normal 5 4 4 2" xfId="3288"/>
    <cellStyle name="Normal 5 4 4 2 2" xfId="5684"/>
    <cellStyle name="Normal 5 4 4 2 2 2" xfId="10780"/>
    <cellStyle name="Normal 5 4 4 2 3" xfId="8391"/>
    <cellStyle name="Normal 5 4 4 3" xfId="4492"/>
    <cellStyle name="Normal 5 4 4 3 2" xfId="9588"/>
    <cellStyle name="Normal 5 4 4 4" xfId="7130"/>
    <cellStyle name="Normal 5 4 5" xfId="1941"/>
    <cellStyle name="Normal 5 4 5 2" xfId="3284"/>
    <cellStyle name="Normal 5 4 5 2 2" xfId="5680"/>
    <cellStyle name="Normal 5 4 5 2 2 2" xfId="10776"/>
    <cellStyle name="Normal 5 4 5 2 3" xfId="8387"/>
    <cellStyle name="Normal 5 4 5 3" xfId="4488"/>
    <cellStyle name="Normal 5 4 5 3 2" xfId="9584"/>
    <cellStyle name="Normal 5 4 5 4" xfId="7126"/>
    <cellStyle name="Normal 5 5" xfId="441"/>
    <cellStyle name="Normal 5 5 2" xfId="1947"/>
    <cellStyle name="Normal 5 5 2 2" xfId="1948"/>
    <cellStyle name="Normal 5 5 2 2 2" xfId="3291"/>
    <cellStyle name="Normal 5 5 2 2 2 2" xfId="5687"/>
    <cellStyle name="Normal 5 5 2 2 2 2 2" xfId="10783"/>
    <cellStyle name="Normal 5 5 2 2 2 3" xfId="8394"/>
    <cellStyle name="Normal 5 5 2 2 3" xfId="4495"/>
    <cellStyle name="Normal 5 5 2 2 3 2" xfId="9591"/>
    <cellStyle name="Normal 5 5 2 2 4" xfId="7133"/>
    <cellStyle name="Normal 5 5 2 3" xfId="3290"/>
    <cellStyle name="Normal 5 5 2 3 2" xfId="5686"/>
    <cellStyle name="Normal 5 5 2 3 2 2" xfId="10782"/>
    <cellStyle name="Normal 5 5 2 3 3" xfId="8393"/>
    <cellStyle name="Normal 5 5 2 4" xfId="4494"/>
    <cellStyle name="Normal 5 5 2 4 2" xfId="9590"/>
    <cellStyle name="Normal 5 5 2 5" xfId="7132"/>
    <cellStyle name="Normal 5 5 3" xfId="1949"/>
    <cellStyle name="Normal 5 5 3 2" xfId="3292"/>
    <cellStyle name="Normal 5 5 3 2 2" xfId="5688"/>
    <cellStyle name="Normal 5 5 3 2 2 2" xfId="10784"/>
    <cellStyle name="Normal 5 5 3 2 3" xfId="8395"/>
    <cellStyle name="Normal 5 5 3 3" xfId="4496"/>
    <cellStyle name="Normal 5 5 3 3 2" xfId="9592"/>
    <cellStyle name="Normal 5 5 3 4" xfId="7134"/>
    <cellStyle name="Normal 5 5 4" xfId="1950"/>
    <cellStyle name="Normal 5 5 4 2" xfId="3293"/>
    <cellStyle name="Normal 5 5 4 2 2" xfId="5689"/>
    <cellStyle name="Normal 5 5 4 2 2 2" xfId="10785"/>
    <cellStyle name="Normal 5 5 4 2 3" xfId="8396"/>
    <cellStyle name="Normal 5 5 4 3" xfId="4497"/>
    <cellStyle name="Normal 5 5 4 3 2" xfId="9593"/>
    <cellStyle name="Normal 5 5 4 4" xfId="7135"/>
    <cellStyle name="Normal 5 5 5" xfId="1946"/>
    <cellStyle name="Normal 5 5 5 2" xfId="3289"/>
    <cellStyle name="Normal 5 5 5 2 2" xfId="5685"/>
    <cellStyle name="Normal 5 5 5 2 2 2" xfId="10781"/>
    <cellStyle name="Normal 5 5 5 2 3" xfId="8392"/>
    <cellStyle name="Normal 5 5 5 3" xfId="4493"/>
    <cellStyle name="Normal 5 5 5 3 2" xfId="9589"/>
    <cellStyle name="Normal 5 5 5 4" xfId="7131"/>
    <cellStyle name="Normal 5 6" xfId="442"/>
    <cellStyle name="Normal 5 6 2" xfId="1952"/>
    <cellStyle name="Normal 5 6 2 2" xfId="3295"/>
    <cellStyle name="Normal 5 6 2 2 2" xfId="5691"/>
    <cellStyle name="Normal 5 6 2 2 2 2" xfId="10787"/>
    <cellStyle name="Normal 5 6 2 2 3" xfId="8398"/>
    <cellStyle name="Normal 5 6 2 3" xfId="4499"/>
    <cellStyle name="Normal 5 6 2 3 2" xfId="9595"/>
    <cellStyle name="Normal 5 6 2 4" xfId="7137"/>
    <cellStyle name="Normal 5 6 3" xfId="1951"/>
    <cellStyle name="Normal 5 6 3 2" xfId="3294"/>
    <cellStyle name="Normal 5 6 3 2 2" xfId="5690"/>
    <cellStyle name="Normal 5 6 3 2 2 2" xfId="10786"/>
    <cellStyle name="Normal 5 6 3 2 3" xfId="8397"/>
    <cellStyle name="Normal 5 6 3 3" xfId="4498"/>
    <cellStyle name="Normal 5 6 3 3 2" xfId="9594"/>
    <cellStyle name="Normal 5 6 3 4" xfId="7136"/>
    <cellStyle name="Normal 5 7" xfId="443"/>
    <cellStyle name="Normal 5 8" xfId="444"/>
    <cellStyle name="Normal 5 9" xfId="511"/>
    <cellStyle name="Normal 50" xfId="1953"/>
    <cellStyle name="Normal 51" xfId="1954"/>
    <cellStyle name="Normal 52" xfId="1955"/>
    <cellStyle name="Normal 52 2" xfId="1956"/>
    <cellStyle name="Normal 52 2 2" xfId="1957"/>
    <cellStyle name="Normal 52 2 2 2" xfId="3298"/>
    <cellStyle name="Normal 52 2 2 2 2" xfId="5694"/>
    <cellStyle name="Normal 52 2 2 2 2 2" xfId="10790"/>
    <cellStyle name="Normal 52 2 2 2 3" xfId="8401"/>
    <cellStyle name="Normal 52 2 2 3" xfId="4502"/>
    <cellStyle name="Normal 52 2 2 3 2" xfId="9598"/>
    <cellStyle name="Normal 52 2 2 4" xfId="7142"/>
    <cellStyle name="Normal 52 2 3" xfId="3297"/>
    <cellStyle name="Normal 52 2 3 2" xfId="5693"/>
    <cellStyle name="Normal 52 2 3 2 2" xfId="10789"/>
    <cellStyle name="Normal 52 2 3 3" xfId="8400"/>
    <cellStyle name="Normal 52 2 4" xfId="4501"/>
    <cellStyle name="Normal 52 2 4 2" xfId="9597"/>
    <cellStyle name="Normal 52 2 5" xfId="7141"/>
    <cellStyle name="Normal 52 3" xfId="1958"/>
    <cellStyle name="Normal 52 3 2" xfId="3299"/>
    <cellStyle name="Normal 52 3 2 2" xfId="5695"/>
    <cellStyle name="Normal 52 3 2 2 2" xfId="10791"/>
    <cellStyle name="Normal 52 3 2 3" xfId="8402"/>
    <cellStyle name="Normal 52 3 3" xfId="4503"/>
    <cellStyle name="Normal 52 3 3 2" xfId="9599"/>
    <cellStyle name="Normal 52 3 4" xfId="7143"/>
    <cellStyle name="Normal 52 4" xfId="1959"/>
    <cellStyle name="Normal 52 4 2" xfId="3300"/>
    <cellStyle name="Normal 52 4 2 2" xfId="5696"/>
    <cellStyle name="Normal 52 4 2 2 2" xfId="10792"/>
    <cellStyle name="Normal 52 4 2 3" xfId="8403"/>
    <cellStyle name="Normal 52 4 3" xfId="4504"/>
    <cellStyle name="Normal 52 4 3 2" xfId="9600"/>
    <cellStyle name="Normal 52 4 4" xfId="7144"/>
    <cellStyle name="Normal 52 5" xfId="3296"/>
    <cellStyle name="Normal 52 5 2" xfId="5692"/>
    <cellStyle name="Normal 52 5 2 2" xfId="10788"/>
    <cellStyle name="Normal 52 5 3" xfId="8399"/>
    <cellStyle name="Normal 52 6" xfId="4500"/>
    <cellStyle name="Normal 52 6 2" xfId="9596"/>
    <cellStyle name="Normal 52 7" xfId="7140"/>
    <cellStyle name="Normal 53" xfId="1960"/>
    <cellStyle name="Normal 53 2" xfId="1961"/>
    <cellStyle name="Normal 53 2 2" xfId="1962"/>
    <cellStyle name="Normal 53 2 2 2" xfId="3303"/>
    <cellStyle name="Normal 53 2 2 2 2" xfId="5699"/>
    <cellStyle name="Normal 53 2 2 2 2 2" xfId="10795"/>
    <cellStyle name="Normal 53 2 2 2 3" xfId="8406"/>
    <cellStyle name="Normal 53 2 2 3" xfId="4507"/>
    <cellStyle name="Normal 53 2 2 3 2" xfId="9603"/>
    <cellStyle name="Normal 53 2 2 4" xfId="7147"/>
    <cellStyle name="Normal 53 2 3" xfId="3302"/>
    <cellStyle name="Normal 53 2 3 2" xfId="5698"/>
    <cellStyle name="Normal 53 2 3 2 2" xfId="10794"/>
    <cellStyle name="Normal 53 2 3 3" xfId="8405"/>
    <cellStyle name="Normal 53 2 4" xfId="4506"/>
    <cellStyle name="Normal 53 2 4 2" xfId="9602"/>
    <cellStyle name="Normal 53 2 5" xfId="7146"/>
    <cellStyle name="Normal 53 3" xfId="1963"/>
    <cellStyle name="Normal 53 3 2" xfId="3304"/>
    <cellStyle name="Normal 53 3 2 2" xfId="5700"/>
    <cellStyle name="Normal 53 3 2 2 2" xfId="10796"/>
    <cellStyle name="Normal 53 3 2 3" xfId="8407"/>
    <cellStyle name="Normal 53 3 3" xfId="4508"/>
    <cellStyle name="Normal 53 3 3 2" xfId="9604"/>
    <cellStyle name="Normal 53 3 4" xfId="7148"/>
    <cellStyle name="Normal 53 4" xfId="1964"/>
    <cellStyle name="Normal 53 4 2" xfId="3305"/>
    <cellStyle name="Normal 53 4 2 2" xfId="5701"/>
    <cellStyle name="Normal 53 4 2 2 2" xfId="10797"/>
    <cellStyle name="Normal 53 4 2 3" xfId="8408"/>
    <cellStyle name="Normal 53 4 3" xfId="4509"/>
    <cellStyle name="Normal 53 4 3 2" xfId="9605"/>
    <cellStyle name="Normal 53 4 4" xfId="7149"/>
    <cellStyle name="Normal 53 5" xfId="3301"/>
    <cellStyle name="Normal 53 5 2" xfId="5697"/>
    <cellStyle name="Normal 53 5 2 2" xfId="10793"/>
    <cellStyle name="Normal 53 5 3" xfId="8404"/>
    <cellStyle name="Normal 53 6" xfId="4505"/>
    <cellStyle name="Normal 53 6 2" xfId="9601"/>
    <cellStyle name="Normal 53 7" xfId="7145"/>
    <cellStyle name="Normal 54" xfId="1965"/>
    <cellStyle name="Normal 54 2" xfId="1966"/>
    <cellStyle name="Normal 54 2 2" xfId="1967"/>
    <cellStyle name="Normal 54 2 2 2" xfId="3308"/>
    <cellStyle name="Normal 54 2 2 2 2" xfId="5704"/>
    <cellStyle name="Normal 54 2 2 2 2 2" xfId="10800"/>
    <cellStyle name="Normal 54 2 2 2 3" xfId="8411"/>
    <cellStyle name="Normal 54 2 2 3" xfId="4512"/>
    <cellStyle name="Normal 54 2 2 3 2" xfId="9608"/>
    <cellStyle name="Normal 54 2 2 4" xfId="7152"/>
    <cellStyle name="Normal 54 2 3" xfId="3307"/>
    <cellStyle name="Normal 54 2 3 2" xfId="5703"/>
    <cellStyle name="Normal 54 2 3 2 2" xfId="10799"/>
    <cellStyle name="Normal 54 2 3 3" xfId="8410"/>
    <cellStyle name="Normal 54 2 4" xfId="4511"/>
    <cellStyle name="Normal 54 2 4 2" xfId="9607"/>
    <cellStyle name="Normal 54 2 5" xfId="7151"/>
    <cellStyle name="Normal 54 3" xfId="1968"/>
    <cellStyle name="Normal 54 3 2" xfId="3309"/>
    <cellStyle name="Normal 54 3 2 2" xfId="5705"/>
    <cellStyle name="Normal 54 3 2 2 2" xfId="10801"/>
    <cellStyle name="Normal 54 3 2 3" xfId="8412"/>
    <cellStyle name="Normal 54 3 3" xfId="4513"/>
    <cellStyle name="Normal 54 3 3 2" xfId="9609"/>
    <cellStyle name="Normal 54 3 4" xfId="7153"/>
    <cellStyle name="Normal 54 4" xfId="1969"/>
    <cellStyle name="Normal 54 4 2" xfId="3310"/>
    <cellStyle name="Normal 54 4 2 2" xfId="5706"/>
    <cellStyle name="Normal 54 4 2 2 2" xfId="10802"/>
    <cellStyle name="Normal 54 4 2 3" xfId="8413"/>
    <cellStyle name="Normal 54 4 3" xfId="4514"/>
    <cellStyle name="Normal 54 4 3 2" xfId="9610"/>
    <cellStyle name="Normal 54 4 4" xfId="7154"/>
    <cellStyle name="Normal 54 5" xfId="3306"/>
    <cellStyle name="Normal 54 5 2" xfId="5702"/>
    <cellStyle name="Normal 54 5 2 2" xfId="10798"/>
    <cellStyle name="Normal 54 5 3" xfId="8409"/>
    <cellStyle name="Normal 54 6" xfId="4510"/>
    <cellStyle name="Normal 54 6 2" xfId="9606"/>
    <cellStyle name="Normal 54 7" xfId="7150"/>
    <cellStyle name="Normal 55" xfId="1970"/>
    <cellStyle name="Normal 55 2" xfId="1971"/>
    <cellStyle name="Normal 56" xfId="1972"/>
    <cellStyle name="Normal 56 2" xfId="1973"/>
    <cellStyle name="Normal 57" xfId="1974"/>
    <cellStyle name="Normal 57 2" xfId="1975"/>
    <cellStyle name="Normal 58" xfId="1976"/>
    <cellStyle name="Normal 58 2" xfId="1977"/>
    <cellStyle name="Normal 59" xfId="1978"/>
    <cellStyle name="Normal 59 2" xfId="1979"/>
    <cellStyle name="Normal 59 3" xfId="1980"/>
    <cellStyle name="Normal 59 3 2" xfId="3312"/>
    <cellStyle name="Normal 59 3 2 2" xfId="5708"/>
    <cellStyle name="Normal 59 3 2 2 2" xfId="10804"/>
    <cellStyle name="Normal 59 3 2 3" xfId="8415"/>
    <cellStyle name="Normal 59 3 3" xfId="4516"/>
    <cellStyle name="Normal 59 3 3 2" xfId="9612"/>
    <cellStyle name="Normal 59 3 4" xfId="7165"/>
    <cellStyle name="Normal 59 4" xfId="3311"/>
    <cellStyle name="Normal 59 4 2" xfId="5707"/>
    <cellStyle name="Normal 59 4 2 2" xfId="10803"/>
    <cellStyle name="Normal 59 4 3" xfId="8414"/>
    <cellStyle name="Normal 59 5" xfId="4515"/>
    <cellStyle name="Normal 59 5 2" xfId="9611"/>
    <cellStyle name="Normal 59 6" xfId="7163"/>
    <cellStyle name="Normal 6" xfId="69"/>
    <cellStyle name="Normal 6 10" xfId="519"/>
    <cellStyle name="Normal 6 10 2" xfId="968"/>
    <cellStyle name="Normal 6 11" xfId="677"/>
    <cellStyle name="Normal 6 11 2" xfId="995"/>
    <cellStyle name="Normal 6 11 3" xfId="2480"/>
    <cellStyle name="Normal 6 11 3 2" xfId="4927"/>
    <cellStyle name="Normal 6 11 3 2 2" xfId="10023"/>
    <cellStyle name="Normal 6 11 3 3" xfId="7584"/>
    <cellStyle name="Normal 6 11 4" xfId="3744"/>
    <cellStyle name="Normal 6 11 4 2" xfId="8843"/>
    <cellStyle name="Normal 6 11 5" xfId="6324"/>
    <cellStyle name="Normal 6 12" xfId="1071"/>
    <cellStyle name="Normal 6 13" xfId="1085"/>
    <cellStyle name="Normal 6 14" xfId="1981"/>
    <cellStyle name="Normal 6 14 2" xfId="3313"/>
    <cellStyle name="Normal 6 14 2 2" xfId="5709"/>
    <cellStyle name="Normal 6 14 2 2 2" xfId="10805"/>
    <cellStyle name="Normal 6 14 2 3" xfId="8416"/>
    <cellStyle name="Normal 6 14 3" xfId="4517"/>
    <cellStyle name="Normal 6 14 3 2" xfId="9613"/>
    <cellStyle name="Normal 6 14 4" xfId="7166"/>
    <cellStyle name="Normal 6 2" xfId="445"/>
    <cellStyle name="Normal 6 2 2" xfId="586"/>
    <cellStyle name="Normal 6 2 2 2" xfId="980"/>
    <cellStyle name="Normal 6 2 2 2 2" xfId="1985"/>
    <cellStyle name="Normal 6 2 2 2 2 2" xfId="1986"/>
    <cellStyle name="Normal 6 2 2 2 2 2 2" xfId="3318"/>
    <cellStyle name="Normal 6 2 2 2 2 2 2 2" xfId="5714"/>
    <cellStyle name="Normal 6 2 2 2 2 2 2 2 2" xfId="10810"/>
    <cellStyle name="Normal 6 2 2 2 2 2 2 3" xfId="8421"/>
    <cellStyle name="Normal 6 2 2 2 2 2 3" xfId="4522"/>
    <cellStyle name="Normal 6 2 2 2 2 2 3 2" xfId="9618"/>
    <cellStyle name="Normal 6 2 2 2 2 2 4" xfId="7171"/>
    <cellStyle name="Normal 6 2 2 2 2 3" xfId="3317"/>
    <cellStyle name="Normal 6 2 2 2 2 3 2" xfId="5713"/>
    <cellStyle name="Normal 6 2 2 2 2 3 2 2" xfId="10809"/>
    <cellStyle name="Normal 6 2 2 2 2 3 3" xfId="8420"/>
    <cellStyle name="Normal 6 2 2 2 2 4" xfId="4521"/>
    <cellStyle name="Normal 6 2 2 2 2 4 2" xfId="9617"/>
    <cellStyle name="Normal 6 2 2 2 2 5" xfId="7170"/>
    <cellStyle name="Normal 6 2 2 2 3" xfId="1987"/>
    <cellStyle name="Normal 6 2 2 2 3 2" xfId="3319"/>
    <cellStyle name="Normal 6 2 2 2 3 2 2" xfId="5715"/>
    <cellStyle name="Normal 6 2 2 2 3 2 2 2" xfId="10811"/>
    <cellStyle name="Normal 6 2 2 2 3 2 3" xfId="8422"/>
    <cellStyle name="Normal 6 2 2 2 3 3" xfId="4523"/>
    <cellStyle name="Normal 6 2 2 2 3 3 2" xfId="9619"/>
    <cellStyle name="Normal 6 2 2 2 3 4" xfId="7172"/>
    <cellStyle name="Normal 6 2 2 2 4" xfId="1988"/>
    <cellStyle name="Normal 6 2 2 2 4 2" xfId="3320"/>
    <cellStyle name="Normal 6 2 2 2 4 2 2" xfId="5716"/>
    <cellStyle name="Normal 6 2 2 2 4 2 2 2" xfId="10812"/>
    <cellStyle name="Normal 6 2 2 2 4 2 3" xfId="8423"/>
    <cellStyle name="Normal 6 2 2 2 4 3" xfId="4524"/>
    <cellStyle name="Normal 6 2 2 2 4 3 2" xfId="9620"/>
    <cellStyle name="Normal 6 2 2 2 4 4" xfId="7173"/>
    <cellStyle name="Normal 6 2 2 2 5" xfId="1984"/>
    <cellStyle name="Normal 6 2 2 2 5 2" xfId="3316"/>
    <cellStyle name="Normal 6 2 2 2 5 2 2" xfId="5712"/>
    <cellStyle name="Normal 6 2 2 2 5 2 2 2" xfId="10808"/>
    <cellStyle name="Normal 6 2 2 2 5 2 3" xfId="8419"/>
    <cellStyle name="Normal 6 2 2 2 5 3" xfId="4520"/>
    <cellStyle name="Normal 6 2 2 2 5 3 2" xfId="9616"/>
    <cellStyle name="Normal 6 2 2 2 5 4" xfId="7169"/>
    <cellStyle name="Normal 6 2 2 3" xfId="1989"/>
    <cellStyle name="Normal 6 2 2 3 2" xfId="1990"/>
    <cellStyle name="Normal 6 2 2 3 2 2" xfId="3322"/>
    <cellStyle name="Normal 6 2 2 3 2 2 2" xfId="5718"/>
    <cellStyle name="Normal 6 2 2 3 2 2 2 2" xfId="10814"/>
    <cellStyle name="Normal 6 2 2 3 2 2 3" xfId="8425"/>
    <cellStyle name="Normal 6 2 2 3 2 3" xfId="4526"/>
    <cellStyle name="Normal 6 2 2 3 2 3 2" xfId="9622"/>
    <cellStyle name="Normal 6 2 2 3 2 4" xfId="7175"/>
    <cellStyle name="Normal 6 2 2 3 3" xfId="3321"/>
    <cellStyle name="Normal 6 2 2 3 3 2" xfId="5717"/>
    <cellStyle name="Normal 6 2 2 3 3 2 2" xfId="10813"/>
    <cellStyle name="Normal 6 2 2 3 3 3" xfId="8424"/>
    <cellStyle name="Normal 6 2 2 3 4" xfId="4525"/>
    <cellStyle name="Normal 6 2 2 3 4 2" xfId="9621"/>
    <cellStyle name="Normal 6 2 2 3 5" xfId="7174"/>
    <cellStyle name="Normal 6 2 2 4" xfId="1991"/>
    <cellStyle name="Normal 6 2 2 4 2" xfId="3323"/>
    <cellStyle name="Normal 6 2 2 4 2 2" xfId="5719"/>
    <cellStyle name="Normal 6 2 2 4 2 2 2" xfId="10815"/>
    <cellStyle name="Normal 6 2 2 4 2 3" xfId="8426"/>
    <cellStyle name="Normal 6 2 2 4 3" xfId="4527"/>
    <cellStyle name="Normal 6 2 2 4 3 2" xfId="9623"/>
    <cellStyle name="Normal 6 2 2 4 4" xfId="7176"/>
    <cellStyle name="Normal 6 2 2 5" xfId="1992"/>
    <cellStyle name="Normal 6 2 2 5 2" xfId="3324"/>
    <cellStyle name="Normal 6 2 2 5 2 2" xfId="5720"/>
    <cellStyle name="Normal 6 2 2 5 2 2 2" xfId="10816"/>
    <cellStyle name="Normal 6 2 2 5 2 3" xfId="8427"/>
    <cellStyle name="Normal 6 2 2 5 3" xfId="4528"/>
    <cellStyle name="Normal 6 2 2 5 3 2" xfId="9624"/>
    <cellStyle name="Normal 6 2 2 5 4" xfId="7177"/>
    <cellStyle name="Normal 6 2 2 6" xfId="1983"/>
    <cellStyle name="Normal 6 2 2 6 2" xfId="3315"/>
    <cellStyle name="Normal 6 2 2 6 2 2" xfId="5711"/>
    <cellStyle name="Normal 6 2 2 6 2 2 2" xfId="10807"/>
    <cellStyle name="Normal 6 2 2 6 2 3" xfId="8418"/>
    <cellStyle name="Normal 6 2 2 6 3" xfId="4519"/>
    <cellStyle name="Normal 6 2 2 6 3 2" xfId="9615"/>
    <cellStyle name="Normal 6 2 2 6 4" xfId="7168"/>
    <cellStyle name="Normal 6 2 2 7" xfId="2392"/>
    <cellStyle name="Normal 6 2 2 7 2" xfId="4839"/>
    <cellStyle name="Normal 6 2 2 7 2 2" xfId="9935"/>
    <cellStyle name="Normal 6 2 2 7 3" xfId="7496"/>
    <cellStyle name="Normal 6 2 2 8" xfId="3656"/>
    <cellStyle name="Normal 6 2 2 8 2" xfId="8755"/>
    <cellStyle name="Normal 6 2 2 9" xfId="6236"/>
    <cellStyle name="Normal 6 2 3" xfId="1063"/>
    <cellStyle name="Normal 6 2 3 2" xfId="1994"/>
    <cellStyle name="Normal 6 2 3 2 2" xfId="1995"/>
    <cellStyle name="Normal 6 2 3 2 2 2" xfId="3327"/>
    <cellStyle name="Normal 6 2 3 2 2 2 2" xfId="5723"/>
    <cellStyle name="Normal 6 2 3 2 2 2 2 2" xfId="10819"/>
    <cellStyle name="Normal 6 2 3 2 2 2 3" xfId="8430"/>
    <cellStyle name="Normal 6 2 3 2 2 3" xfId="4531"/>
    <cellStyle name="Normal 6 2 3 2 2 3 2" xfId="9627"/>
    <cellStyle name="Normal 6 2 3 2 2 4" xfId="7180"/>
    <cellStyle name="Normal 6 2 3 2 3" xfId="3326"/>
    <cellStyle name="Normal 6 2 3 2 3 2" xfId="5722"/>
    <cellStyle name="Normal 6 2 3 2 3 2 2" xfId="10818"/>
    <cellStyle name="Normal 6 2 3 2 3 3" xfId="8429"/>
    <cellStyle name="Normal 6 2 3 2 4" xfId="4530"/>
    <cellStyle name="Normal 6 2 3 2 4 2" xfId="9626"/>
    <cellStyle name="Normal 6 2 3 2 5" xfId="7179"/>
    <cellStyle name="Normal 6 2 3 3" xfId="1996"/>
    <cellStyle name="Normal 6 2 3 3 2" xfId="3328"/>
    <cellStyle name="Normal 6 2 3 3 2 2" xfId="5724"/>
    <cellStyle name="Normal 6 2 3 3 2 2 2" xfId="10820"/>
    <cellStyle name="Normal 6 2 3 3 2 3" xfId="8431"/>
    <cellStyle name="Normal 6 2 3 3 3" xfId="4532"/>
    <cellStyle name="Normal 6 2 3 3 3 2" xfId="9628"/>
    <cellStyle name="Normal 6 2 3 3 4" xfId="7181"/>
    <cellStyle name="Normal 6 2 3 4" xfId="1997"/>
    <cellStyle name="Normal 6 2 3 4 2" xfId="3329"/>
    <cellStyle name="Normal 6 2 3 4 2 2" xfId="5725"/>
    <cellStyle name="Normal 6 2 3 4 2 2 2" xfId="10821"/>
    <cellStyle name="Normal 6 2 3 4 2 3" xfId="8432"/>
    <cellStyle name="Normal 6 2 3 4 3" xfId="4533"/>
    <cellStyle name="Normal 6 2 3 4 3 2" xfId="9629"/>
    <cellStyle name="Normal 6 2 3 4 4" xfId="7182"/>
    <cellStyle name="Normal 6 2 3 5" xfId="1993"/>
    <cellStyle name="Normal 6 2 3 5 2" xfId="3325"/>
    <cellStyle name="Normal 6 2 3 5 2 2" xfId="5721"/>
    <cellStyle name="Normal 6 2 3 5 2 2 2" xfId="10817"/>
    <cellStyle name="Normal 6 2 3 5 2 3" xfId="8428"/>
    <cellStyle name="Normal 6 2 3 5 3" xfId="4529"/>
    <cellStyle name="Normal 6 2 3 5 3 2" xfId="9625"/>
    <cellStyle name="Normal 6 2 3 5 4" xfId="7178"/>
    <cellStyle name="Normal 6 2 4" xfId="1998"/>
    <cellStyle name="Normal 6 2 4 2" xfId="1999"/>
    <cellStyle name="Normal 6 2 4 2 2" xfId="2000"/>
    <cellStyle name="Normal 6 2 4 2 2 2" xfId="3332"/>
    <cellStyle name="Normal 6 2 4 2 2 2 2" xfId="5728"/>
    <cellStyle name="Normal 6 2 4 2 2 2 2 2" xfId="10824"/>
    <cellStyle name="Normal 6 2 4 2 2 2 3" xfId="8435"/>
    <cellStyle name="Normal 6 2 4 2 2 3" xfId="4536"/>
    <cellStyle name="Normal 6 2 4 2 2 3 2" xfId="9632"/>
    <cellStyle name="Normal 6 2 4 2 2 4" xfId="7185"/>
    <cellStyle name="Normal 6 2 4 2 3" xfId="3331"/>
    <cellStyle name="Normal 6 2 4 2 3 2" xfId="5727"/>
    <cellStyle name="Normal 6 2 4 2 3 2 2" xfId="10823"/>
    <cellStyle name="Normal 6 2 4 2 3 3" xfId="8434"/>
    <cellStyle name="Normal 6 2 4 2 4" xfId="4535"/>
    <cellStyle name="Normal 6 2 4 2 4 2" xfId="9631"/>
    <cellStyle name="Normal 6 2 4 2 5" xfId="7184"/>
    <cellStyle name="Normal 6 2 4 3" xfId="2001"/>
    <cellStyle name="Normal 6 2 4 3 2" xfId="3333"/>
    <cellStyle name="Normal 6 2 4 3 2 2" xfId="5729"/>
    <cellStyle name="Normal 6 2 4 3 2 2 2" xfId="10825"/>
    <cellStyle name="Normal 6 2 4 3 2 3" xfId="8436"/>
    <cellStyle name="Normal 6 2 4 3 3" xfId="4537"/>
    <cellStyle name="Normal 6 2 4 3 3 2" xfId="9633"/>
    <cellStyle name="Normal 6 2 4 3 4" xfId="7186"/>
    <cellStyle name="Normal 6 2 4 4" xfId="2002"/>
    <cellStyle name="Normal 6 2 4 4 2" xfId="3334"/>
    <cellStyle name="Normal 6 2 4 4 2 2" xfId="5730"/>
    <cellStyle name="Normal 6 2 4 4 2 2 2" xfId="10826"/>
    <cellStyle name="Normal 6 2 4 4 2 3" xfId="8437"/>
    <cellStyle name="Normal 6 2 4 4 3" xfId="4538"/>
    <cellStyle name="Normal 6 2 4 4 3 2" xfId="9634"/>
    <cellStyle name="Normal 6 2 4 4 4" xfId="7187"/>
    <cellStyle name="Normal 6 2 4 5" xfId="3330"/>
    <cellStyle name="Normal 6 2 4 5 2" xfId="5726"/>
    <cellStyle name="Normal 6 2 4 5 2 2" xfId="10822"/>
    <cellStyle name="Normal 6 2 4 5 3" xfId="8433"/>
    <cellStyle name="Normal 6 2 4 6" xfId="4534"/>
    <cellStyle name="Normal 6 2 4 6 2" xfId="9630"/>
    <cellStyle name="Normal 6 2 4 7" xfId="7183"/>
    <cellStyle name="Normal 6 2 5" xfId="2003"/>
    <cellStyle name="Normal 6 2 5 2" xfId="2004"/>
    <cellStyle name="Normal 6 2 5 2 2" xfId="2005"/>
    <cellStyle name="Normal 6 2 5 2 2 2" xfId="3337"/>
    <cellStyle name="Normal 6 2 5 2 2 2 2" xfId="5733"/>
    <cellStyle name="Normal 6 2 5 2 2 2 2 2" xfId="10829"/>
    <cellStyle name="Normal 6 2 5 2 2 2 3" xfId="8440"/>
    <cellStyle name="Normal 6 2 5 2 2 3" xfId="4541"/>
    <cellStyle name="Normal 6 2 5 2 2 3 2" xfId="9637"/>
    <cellStyle name="Normal 6 2 5 2 2 4" xfId="7190"/>
    <cellStyle name="Normal 6 2 5 2 3" xfId="3336"/>
    <cellStyle name="Normal 6 2 5 2 3 2" xfId="5732"/>
    <cellStyle name="Normal 6 2 5 2 3 2 2" xfId="10828"/>
    <cellStyle name="Normal 6 2 5 2 3 3" xfId="8439"/>
    <cellStyle name="Normal 6 2 5 2 4" xfId="4540"/>
    <cellStyle name="Normal 6 2 5 2 4 2" xfId="9636"/>
    <cellStyle name="Normal 6 2 5 2 5" xfId="7189"/>
    <cellStyle name="Normal 6 2 5 3" xfId="2006"/>
    <cellStyle name="Normal 6 2 5 3 2" xfId="3338"/>
    <cellStyle name="Normal 6 2 5 3 2 2" xfId="5734"/>
    <cellStyle name="Normal 6 2 5 3 2 2 2" xfId="10830"/>
    <cellStyle name="Normal 6 2 5 3 2 3" xfId="8441"/>
    <cellStyle name="Normal 6 2 5 3 3" xfId="4542"/>
    <cellStyle name="Normal 6 2 5 3 3 2" xfId="9638"/>
    <cellStyle name="Normal 6 2 5 3 4" xfId="7191"/>
    <cellStyle name="Normal 6 2 5 4" xfId="2007"/>
    <cellStyle name="Normal 6 2 5 4 2" xfId="3339"/>
    <cellStyle name="Normal 6 2 5 4 2 2" xfId="5735"/>
    <cellStyle name="Normal 6 2 5 4 2 2 2" xfId="10831"/>
    <cellStyle name="Normal 6 2 5 4 2 3" xfId="8442"/>
    <cellStyle name="Normal 6 2 5 4 3" xfId="4543"/>
    <cellStyle name="Normal 6 2 5 4 3 2" xfId="9639"/>
    <cellStyle name="Normal 6 2 5 4 4" xfId="7192"/>
    <cellStyle name="Normal 6 2 5 5" xfId="3335"/>
    <cellStyle name="Normal 6 2 5 5 2" xfId="5731"/>
    <cellStyle name="Normal 6 2 5 5 2 2" xfId="10827"/>
    <cellStyle name="Normal 6 2 5 5 3" xfId="8438"/>
    <cellStyle name="Normal 6 2 5 6" xfId="4539"/>
    <cellStyle name="Normal 6 2 5 6 2" xfId="9635"/>
    <cellStyle name="Normal 6 2 5 7" xfId="7188"/>
    <cellStyle name="Normal 6 2 6" xfId="2008"/>
    <cellStyle name="Normal 6 2 6 2" xfId="2009"/>
    <cellStyle name="Normal 6 2 6 2 2" xfId="3341"/>
    <cellStyle name="Normal 6 2 6 2 2 2" xfId="5737"/>
    <cellStyle name="Normal 6 2 6 2 2 2 2" xfId="10833"/>
    <cellStyle name="Normal 6 2 6 2 2 3" xfId="8444"/>
    <cellStyle name="Normal 6 2 6 2 3" xfId="4545"/>
    <cellStyle name="Normal 6 2 6 2 3 2" xfId="9641"/>
    <cellStyle name="Normal 6 2 6 2 4" xfId="7194"/>
    <cellStyle name="Normal 6 2 6 3" xfId="3340"/>
    <cellStyle name="Normal 6 2 6 3 2" xfId="5736"/>
    <cellStyle name="Normal 6 2 6 3 2 2" xfId="10832"/>
    <cellStyle name="Normal 6 2 6 3 3" xfId="8443"/>
    <cellStyle name="Normal 6 2 6 4" xfId="4544"/>
    <cellStyle name="Normal 6 2 6 4 2" xfId="9640"/>
    <cellStyle name="Normal 6 2 6 5" xfId="7193"/>
    <cellStyle name="Normal 6 2 7" xfId="2010"/>
    <cellStyle name="Normal 6 2 7 2" xfId="3342"/>
    <cellStyle name="Normal 6 2 7 2 2" xfId="5738"/>
    <cellStyle name="Normal 6 2 7 2 2 2" xfId="10834"/>
    <cellStyle name="Normal 6 2 7 2 3" xfId="8445"/>
    <cellStyle name="Normal 6 2 7 3" xfId="4546"/>
    <cellStyle name="Normal 6 2 7 3 2" xfId="9642"/>
    <cellStyle name="Normal 6 2 7 4" xfId="7195"/>
    <cellStyle name="Normal 6 2 8" xfId="2011"/>
    <cellStyle name="Normal 6 2 8 2" xfId="3343"/>
    <cellStyle name="Normal 6 2 8 2 2" xfId="5739"/>
    <cellStyle name="Normal 6 2 8 2 2 2" xfId="10835"/>
    <cellStyle name="Normal 6 2 8 2 3" xfId="8446"/>
    <cellStyle name="Normal 6 2 8 3" xfId="4547"/>
    <cellStyle name="Normal 6 2 8 3 2" xfId="9643"/>
    <cellStyle name="Normal 6 2 8 4" xfId="7196"/>
    <cellStyle name="Normal 6 2 9" xfId="1982"/>
    <cellStyle name="Normal 6 2 9 2" xfId="3314"/>
    <cellStyle name="Normal 6 2 9 2 2" xfId="5710"/>
    <cellStyle name="Normal 6 2 9 2 2 2" xfId="10806"/>
    <cellStyle name="Normal 6 2 9 2 3" xfId="8417"/>
    <cellStyle name="Normal 6 2 9 3" xfId="4518"/>
    <cellStyle name="Normal 6 2 9 3 2" xfId="9614"/>
    <cellStyle name="Normal 6 2 9 4" xfId="7167"/>
    <cellStyle name="Normal 6 3" xfId="446"/>
    <cellStyle name="Normal 6 3 2" xfId="615"/>
    <cellStyle name="Normal 6 3 2 2" xfId="2014"/>
    <cellStyle name="Normal 6 3 2 2 2" xfId="2015"/>
    <cellStyle name="Normal 6 3 2 2 2 2" xfId="3347"/>
    <cellStyle name="Normal 6 3 2 2 2 2 2" xfId="5743"/>
    <cellStyle name="Normal 6 3 2 2 2 2 2 2" xfId="10839"/>
    <cellStyle name="Normal 6 3 2 2 2 2 3" xfId="8450"/>
    <cellStyle name="Normal 6 3 2 2 2 3" xfId="4551"/>
    <cellStyle name="Normal 6 3 2 2 2 3 2" xfId="9647"/>
    <cellStyle name="Normal 6 3 2 2 2 4" xfId="7200"/>
    <cellStyle name="Normal 6 3 2 2 3" xfId="3346"/>
    <cellStyle name="Normal 6 3 2 2 3 2" xfId="5742"/>
    <cellStyle name="Normal 6 3 2 2 3 2 2" xfId="10838"/>
    <cellStyle name="Normal 6 3 2 2 3 3" xfId="8449"/>
    <cellStyle name="Normal 6 3 2 2 4" xfId="4550"/>
    <cellStyle name="Normal 6 3 2 2 4 2" xfId="9646"/>
    <cellStyle name="Normal 6 3 2 2 5" xfId="7199"/>
    <cellStyle name="Normal 6 3 2 3" xfId="2016"/>
    <cellStyle name="Normal 6 3 2 3 2" xfId="3348"/>
    <cellStyle name="Normal 6 3 2 3 2 2" xfId="5744"/>
    <cellStyle name="Normal 6 3 2 3 2 2 2" xfId="10840"/>
    <cellStyle name="Normal 6 3 2 3 2 3" xfId="8451"/>
    <cellStyle name="Normal 6 3 2 3 3" xfId="4552"/>
    <cellStyle name="Normal 6 3 2 3 3 2" xfId="9648"/>
    <cellStyle name="Normal 6 3 2 3 4" xfId="7201"/>
    <cellStyle name="Normal 6 3 2 4" xfId="2017"/>
    <cellStyle name="Normal 6 3 2 4 2" xfId="3349"/>
    <cellStyle name="Normal 6 3 2 4 2 2" xfId="5745"/>
    <cellStyle name="Normal 6 3 2 4 2 2 2" xfId="10841"/>
    <cellStyle name="Normal 6 3 2 4 2 3" xfId="8452"/>
    <cellStyle name="Normal 6 3 2 4 3" xfId="4553"/>
    <cellStyle name="Normal 6 3 2 4 3 2" xfId="9649"/>
    <cellStyle name="Normal 6 3 2 4 4" xfId="7202"/>
    <cellStyle name="Normal 6 3 2 5" xfId="2013"/>
    <cellStyle name="Normal 6 3 2 5 2" xfId="3345"/>
    <cellStyle name="Normal 6 3 2 5 2 2" xfId="5741"/>
    <cellStyle name="Normal 6 3 2 5 2 2 2" xfId="10837"/>
    <cellStyle name="Normal 6 3 2 5 2 3" xfId="8448"/>
    <cellStyle name="Normal 6 3 2 5 3" xfId="4549"/>
    <cellStyle name="Normal 6 3 2 5 3 2" xfId="9645"/>
    <cellStyle name="Normal 6 3 2 5 4" xfId="7198"/>
    <cellStyle name="Normal 6 3 2 6" xfId="2421"/>
    <cellStyle name="Normal 6 3 2 6 2" xfId="4868"/>
    <cellStyle name="Normal 6 3 2 6 2 2" xfId="9964"/>
    <cellStyle name="Normal 6 3 2 6 3" xfId="7525"/>
    <cellStyle name="Normal 6 3 2 7" xfId="3685"/>
    <cellStyle name="Normal 6 3 2 7 2" xfId="8784"/>
    <cellStyle name="Normal 6 3 2 8" xfId="6265"/>
    <cellStyle name="Normal 6 3 3" xfId="2018"/>
    <cellStyle name="Normal 6 3 3 2" xfId="2019"/>
    <cellStyle name="Normal 6 3 3 2 2" xfId="3351"/>
    <cellStyle name="Normal 6 3 3 2 2 2" xfId="5747"/>
    <cellStyle name="Normal 6 3 3 2 2 2 2" xfId="10843"/>
    <cellStyle name="Normal 6 3 3 2 2 3" xfId="8454"/>
    <cellStyle name="Normal 6 3 3 2 3" xfId="4555"/>
    <cellStyle name="Normal 6 3 3 2 3 2" xfId="9651"/>
    <cellStyle name="Normal 6 3 3 2 4" xfId="7204"/>
    <cellStyle name="Normal 6 3 3 3" xfId="3350"/>
    <cellStyle name="Normal 6 3 3 3 2" xfId="5746"/>
    <cellStyle name="Normal 6 3 3 3 2 2" xfId="10842"/>
    <cellStyle name="Normal 6 3 3 3 3" xfId="8453"/>
    <cellStyle name="Normal 6 3 3 4" xfId="4554"/>
    <cellStyle name="Normal 6 3 3 4 2" xfId="9650"/>
    <cellStyle name="Normal 6 3 3 5" xfId="7203"/>
    <cellStyle name="Normal 6 3 4" xfId="2020"/>
    <cellStyle name="Normal 6 3 4 2" xfId="3352"/>
    <cellStyle name="Normal 6 3 4 2 2" xfId="5748"/>
    <cellStyle name="Normal 6 3 4 2 2 2" xfId="10844"/>
    <cellStyle name="Normal 6 3 4 2 3" xfId="8455"/>
    <cellStyle name="Normal 6 3 4 3" xfId="4556"/>
    <cellStyle name="Normal 6 3 4 3 2" xfId="9652"/>
    <cellStyle name="Normal 6 3 4 4" xfId="7205"/>
    <cellStyle name="Normal 6 3 5" xfId="2021"/>
    <cellStyle name="Normal 6 3 5 2" xfId="3353"/>
    <cellStyle name="Normal 6 3 5 2 2" xfId="5749"/>
    <cellStyle name="Normal 6 3 5 2 2 2" xfId="10845"/>
    <cellStyle name="Normal 6 3 5 2 3" xfId="8456"/>
    <cellStyle name="Normal 6 3 5 3" xfId="4557"/>
    <cellStyle name="Normal 6 3 5 3 2" xfId="9653"/>
    <cellStyle name="Normal 6 3 5 4" xfId="7206"/>
    <cellStyle name="Normal 6 3 6" xfId="2012"/>
    <cellStyle name="Normal 6 3 6 2" xfId="3344"/>
    <cellStyle name="Normal 6 3 6 2 2" xfId="5740"/>
    <cellStyle name="Normal 6 3 6 2 2 2" xfId="10836"/>
    <cellStyle name="Normal 6 3 6 2 3" xfId="8447"/>
    <cellStyle name="Normal 6 3 6 3" xfId="4548"/>
    <cellStyle name="Normal 6 3 6 3 2" xfId="9644"/>
    <cellStyle name="Normal 6 3 6 4" xfId="7197"/>
    <cellStyle name="Normal 6 4" xfId="447"/>
    <cellStyle name="Normal 6 4 2" xfId="756"/>
    <cellStyle name="Normal 6 4 2 2" xfId="2024"/>
    <cellStyle name="Normal 6 4 2 2 2" xfId="3356"/>
    <cellStyle name="Normal 6 4 2 2 2 2" xfId="5752"/>
    <cellStyle name="Normal 6 4 2 2 2 2 2" xfId="10848"/>
    <cellStyle name="Normal 6 4 2 2 2 3" xfId="8459"/>
    <cellStyle name="Normal 6 4 2 2 3" xfId="4560"/>
    <cellStyle name="Normal 6 4 2 2 3 2" xfId="9656"/>
    <cellStyle name="Normal 6 4 2 2 4" xfId="7209"/>
    <cellStyle name="Normal 6 4 2 3" xfId="2025"/>
    <cellStyle name="Normal 6 4 2 3 2" xfId="3357"/>
    <cellStyle name="Normal 6 4 2 3 2 2" xfId="5753"/>
    <cellStyle name="Normal 6 4 2 3 2 2 2" xfId="10849"/>
    <cellStyle name="Normal 6 4 2 3 2 3" xfId="8460"/>
    <cellStyle name="Normal 6 4 2 3 3" xfId="4561"/>
    <cellStyle name="Normal 6 4 2 3 3 2" xfId="9657"/>
    <cellStyle name="Normal 6 4 2 3 4" xfId="7210"/>
    <cellStyle name="Normal 6 4 2 4" xfId="2023"/>
    <cellStyle name="Normal 6 4 2 4 2" xfId="3355"/>
    <cellStyle name="Normal 6 4 2 4 2 2" xfId="5751"/>
    <cellStyle name="Normal 6 4 2 4 2 2 2" xfId="10847"/>
    <cellStyle name="Normal 6 4 2 4 2 3" xfId="8458"/>
    <cellStyle name="Normal 6 4 2 4 3" xfId="4559"/>
    <cellStyle name="Normal 6 4 2 4 3 2" xfId="9655"/>
    <cellStyle name="Normal 6 4 2 4 4" xfId="7208"/>
    <cellStyle name="Normal 6 4 2 5" xfId="2539"/>
    <cellStyle name="Normal 6 4 2 5 2" xfId="4986"/>
    <cellStyle name="Normal 6 4 2 5 2 2" xfId="10082"/>
    <cellStyle name="Normal 6 4 2 5 3" xfId="7643"/>
    <cellStyle name="Normal 6 4 2 6" xfId="3803"/>
    <cellStyle name="Normal 6 4 2 6 2" xfId="8902"/>
    <cellStyle name="Normal 6 4 2 7" xfId="6383"/>
    <cellStyle name="Normal 6 4 3" xfId="2026"/>
    <cellStyle name="Normal 6 4 4" xfId="2022"/>
    <cellStyle name="Normal 6 4 4 2" xfId="3354"/>
    <cellStyle name="Normal 6 4 4 2 2" xfId="5750"/>
    <cellStyle name="Normal 6 4 4 2 2 2" xfId="10846"/>
    <cellStyle name="Normal 6 4 4 2 3" xfId="8457"/>
    <cellStyle name="Normal 6 4 4 3" xfId="4558"/>
    <cellStyle name="Normal 6 4 4 3 2" xfId="9654"/>
    <cellStyle name="Normal 6 4 4 4" xfId="7207"/>
    <cellStyle name="Normal 6 5" xfId="448"/>
    <cellStyle name="Normal 6 5 2" xfId="2028"/>
    <cellStyle name="Normal 6 5 2 2" xfId="2029"/>
    <cellStyle name="Normal 6 5 2 2 2" xfId="3360"/>
    <cellStyle name="Normal 6 5 2 2 2 2" xfId="5756"/>
    <cellStyle name="Normal 6 5 2 2 2 2 2" xfId="10852"/>
    <cellStyle name="Normal 6 5 2 2 2 3" xfId="8463"/>
    <cellStyle name="Normal 6 5 2 2 3" xfId="4564"/>
    <cellStyle name="Normal 6 5 2 2 3 2" xfId="9660"/>
    <cellStyle name="Normal 6 5 2 2 4" xfId="7213"/>
    <cellStyle name="Normal 6 5 2 3" xfId="3359"/>
    <cellStyle name="Normal 6 5 2 3 2" xfId="5755"/>
    <cellStyle name="Normal 6 5 2 3 2 2" xfId="10851"/>
    <cellStyle name="Normal 6 5 2 3 3" xfId="8462"/>
    <cellStyle name="Normal 6 5 2 4" xfId="4563"/>
    <cellStyle name="Normal 6 5 2 4 2" xfId="9659"/>
    <cellStyle name="Normal 6 5 2 5" xfId="7212"/>
    <cellStyle name="Normal 6 5 3" xfId="2030"/>
    <cellStyle name="Normal 6 5 3 2" xfId="3361"/>
    <cellStyle name="Normal 6 5 3 2 2" xfId="5757"/>
    <cellStyle name="Normal 6 5 3 2 2 2" xfId="10853"/>
    <cellStyle name="Normal 6 5 3 2 3" xfId="8464"/>
    <cellStyle name="Normal 6 5 3 3" xfId="4565"/>
    <cellStyle name="Normal 6 5 3 3 2" xfId="9661"/>
    <cellStyle name="Normal 6 5 3 4" xfId="7214"/>
    <cellStyle name="Normal 6 5 4" xfId="2031"/>
    <cellStyle name="Normal 6 5 4 2" xfId="3362"/>
    <cellStyle name="Normal 6 5 4 2 2" xfId="5758"/>
    <cellStyle name="Normal 6 5 4 2 2 2" xfId="10854"/>
    <cellStyle name="Normal 6 5 4 2 3" xfId="8465"/>
    <cellStyle name="Normal 6 5 4 3" xfId="4566"/>
    <cellStyle name="Normal 6 5 4 3 2" xfId="9662"/>
    <cellStyle name="Normal 6 5 4 4" xfId="7215"/>
    <cellStyle name="Normal 6 5 5" xfId="2027"/>
    <cellStyle name="Normal 6 5 5 2" xfId="3358"/>
    <cellStyle name="Normal 6 5 5 2 2" xfId="5754"/>
    <cellStyle name="Normal 6 5 5 2 2 2" xfId="10850"/>
    <cellStyle name="Normal 6 5 5 2 3" xfId="8461"/>
    <cellStyle name="Normal 6 5 5 3" xfId="4562"/>
    <cellStyle name="Normal 6 5 5 3 2" xfId="9658"/>
    <cellStyle name="Normal 6 5 5 4" xfId="7211"/>
    <cellStyle name="Normal 6 6" xfId="449"/>
    <cellStyle name="Normal 6 6 2" xfId="2033"/>
    <cellStyle name="Normal 6 6 2 2" xfId="2034"/>
    <cellStyle name="Normal 6 6 2 2 2" xfId="3365"/>
    <cellStyle name="Normal 6 6 2 2 2 2" xfId="5761"/>
    <cellStyle name="Normal 6 6 2 2 2 2 2" xfId="10857"/>
    <cellStyle name="Normal 6 6 2 2 2 3" xfId="8468"/>
    <cellStyle name="Normal 6 6 2 2 3" xfId="4569"/>
    <cellStyle name="Normal 6 6 2 2 3 2" xfId="9665"/>
    <cellStyle name="Normal 6 6 2 2 4" xfId="7218"/>
    <cellStyle name="Normal 6 6 2 3" xfId="3364"/>
    <cellStyle name="Normal 6 6 2 3 2" xfId="5760"/>
    <cellStyle name="Normal 6 6 2 3 2 2" xfId="10856"/>
    <cellStyle name="Normal 6 6 2 3 3" xfId="8467"/>
    <cellStyle name="Normal 6 6 2 4" xfId="4568"/>
    <cellStyle name="Normal 6 6 2 4 2" xfId="9664"/>
    <cellStyle name="Normal 6 6 2 5" xfId="7217"/>
    <cellStyle name="Normal 6 6 3" xfId="2035"/>
    <cellStyle name="Normal 6 6 3 2" xfId="3366"/>
    <cellStyle name="Normal 6 6 3 2 2" xfId="5762"/>
    <cellStyle name="Normal 6 6 3 2 2 2" xfId="10858"/>
    <cellStyle name="Normal 6 6 3 2 3" xfId="8469"/>
    <cellStyle name="Normal 6 6 3 3" xfId="4570"/>
    <cellStyle name="Normal 6 6 3 3 2" xfId="9666"/>
    <cellStyle name="Normal 6 6 3 4" xfId="7219"/>
    <cellStyle name="Normal 6 6 4" xfId="2036"/>
    <cellStyle name="Normal 6 6 4 2" xfId="3367"/>
    <cellStyle name="Normal 6 6 4 2 2" xfId="5763"/>
    <cellStyle name="Normal 6 6 4 2 2 2" xfId="10859"/>
    <cellStyle name="Normal 6 6 4 2 3" xfId="8470"/>
    <cellStyle name="Normal 6 6 4 3" xfId="4571"/>
    <cellStyle name="Normal 6 6 4 3 2" xfId="9667"/>
    <cellStyle name="Normal 6 6 4 4" xfId="7220"/>
    <cellStyle name="Normal 6 6 5" xfId="2032"/>
    <cellStyle name="Normal 6 6 5 2" xfId="3363"/>
    <cellStyle name="Normal 6 6 5 2 2" xfId="5759"/>
    <cellStyle name="Normal 6 6 5 2 2 2" xfId="10855"/>
    <cellStyle name="Normal 6 6 5 2 3" xfId="8466"/>
    <cellStyle name="Normal 6 6 5 3" xfId="4567"/>
    <cellStyle name="Normal 6 6 5 3 2" xfId="9663"/>
    <cellStyle name="Normal 6 6 5 4" xfId="7216"/>
    <cellStyle name="Normal 6 7" xfId="450"/>
    <cellStyle name="Normal 6 7 2" xfId="2038"/>
    <cellStyle name="Normal 6 7 2 2" xfId="3369"/>
    <cellStyle name="Normal 6 7 2 2 2" xfId="5765"/>
    <cellStyle name="Normal 6 7 2 2 2 2" xfId="10861"/>
    <cellStyle name="Normal 6 7 2 2 3" xfId="8472"/>
    <cellStyle name="Normal 6 7 2 3" xfId="4573"/>
    <cellStyle name="Normal 6 7 2 3 2" xfId="9669"/>
    <cellStyle name="Normal 6 7 2 4" xfId="7222"/>
    <cellStyle name="Normal 6 7 3" xfId="2037"/>
    <cellStyle name="Normal 6 7 3 2" xfId="3368"/>
    <cellStyle name="Normal 6 7 3 2 2" xfId="5764"/>
    <cellStyle name="Normal 6 7 3 2 2 2" xfId="10860"/>
    <cellStyle name="Normal 6 7 3 2 3" xfId="8471"/>
    <cellStyle name="Normal 6 7 3 3" xfId="4572"/>
    <cellStyle name="Normal 6 7 3 3 2" xfId="9668"/>
    <cellStyle name="Normal 6 7 3 4" xfId="7221"/>
    <cellStyle name="Normal 6 8" xfId="451"/>
    <cellStyle name="Normal 6 9" xfId="512"/>
    <cellStyle name="Normal 60" xfId="2039"/>
    <cellStyle name="Normal 60 2" xfId="2040"/>
    <cellStyle name="Normal 60 3" xfId="2041"/>
    <cellStyle name="Normal 60 3 2" xfId="3371"/>
    <cellStyle name="Normal 60 3 2 2" xfId="5767"/>
    <cellStyle name="Normal 60 3 2 2 2" xfId="10863"/>
    <cellStyle name="Normal 60 3 2 3" xfId="8474"/>
    <cellStyle name="Normal 60 3 3" xfId="4575"/>
    <cellStyle name="Normal 60 3 3 2" xfId="9671"/>
    <cellStyle name="Normal 60 3 4" xfId="7224"/>
    <cellStyle name="Normal 60 4" xfId="3370"/>
    <cellStyle name="Normal 60 4 2" xfId="5766"/>
    <cellStyle name="Normal 60 4 2 2" xfId="10862"/>
    <cellStyle name="Normal 60 4 3" xfId="8473"/>
    <cellStyle name="Normal 60 5" xfId="4574"/>
    <cellStyle name="Normal 60 5 2" xfId="9670"/>
    <cellStyle name="Normal 60 6" xfId="7223"/>
    <cellStyle name="Normal 61" xfId="2042"/>
    <cellStyle name="Normal 62" xfId="2043"/>
    <cellStyle name="Normal 63" xfId="2044"/>
    <cellStyle name="Normal 64" xfId="2045"/>
    <cellStyle name="Normal 65" xfId="2046"/>
    <cellStyle name="Normal 66" xfId="2047"/>
    <cellStyle name="Normal 67" xfId="2048"/>
    <cellStyle name="Normal 68" xfId="2049"/>
    <cellStyle name="Normal 69" xfId="2050"/>
    <cellStyle name="Normal 7" xfId="70"/>
    <cellStyle name="Normal 7 2" xfId="513"/>
    <cellStyle name="Normal 7 2 2" xfId="955"/>
    <cellStyle name="Normal 7 2 2 2" xfId="982"/>
    <cellStyle name="Normal 7 2 2 2 2" xfId="2055"/>
    <cellStyle name="Normal 7 2 2 2 2 2" xfId="3376"/>
    <cellStyle name="Normal 7 2 2 2 2 2 2" xfId="5772"/>
    <cellStyle name="Normal 7 2 2 2 2 2 2 2" xfId="10868"/>
    <cellStyle name="Normal 7 2 2 2 2 2 3" xfId="8479"/>
    <cellStyle name="Normal 7 2 2 2 2 3" xfId="4580"/>
    <cellStyle name="Normal 7 2 2 2 2 3 2" xfId="9676"/>
    <cellStyle name="Normal 7 2 2 2 2 4" xfId="7229"/>
    <cellStyle name="Normal 7 2 2 2 3" xfId="2054"/>
    <cellStyle name="Normal 7 2 2 2 3 2" xfId="3375"/>
    <cellStyle name="Normal 7 2 2 2 3 2 2" xfId="5771"/>
    <cellStyle name="Normal 7 2 2 2 3 2 2 2" xfId="10867"/>
    <cellStyle name="Normal 7 2 2 2 3 2 3" xfId="8478"/>
    <cellStyle name="Normal 7 2 2 2 3 3" xfId="4579"/>
    <cellStyle name="Normal 7 2 2 2 3 3 2" xfId="9675"/>
    <cellStyle name="Normal 7 2 2 2 3 4" xfId="7228"/>
    <cellStyle name="Normal 7 2 2 3" xfId="2056"/>
    <cellStyle name="Normal 7 2 2 3 2" xfId="3377"/>
    <cellStyle name="Normal 7 2 2 3 2 2" xfId="5773"/>
    <cellStyle name="Normal 7 2 2 3 2 2 2" xfId="10869"/>
    <cellStyle name="Normal 7 2 2 3 2 3" xfId="8480"/>
    <cellStyle name="Normal 7 2 2 3 3" xfId="4581"/>
    <cellStyle name="Normal 7 2 2 3 3 2" xfId="9677"/>
    <cellStyle name="Normal 7 2 2 3 4" xfId="7230"/>
    <cellStyle name="Normal 7 2 2 4" xfId="2057"/>
    <cellStyle name="Normal 7 2 2 4 2" xfId="3378"/>
    <cellStyle name="Normal 7 2 2 4 2 2" xfId="5774"/>
    <cellStyle name="Normal 7 2 2 4 2 2 2" xfId="10870"/>
    <cellStyle name="Normal 7 2 2 4 2 3" xfId="8481"/>
    <cellStyle name="Normal 7 2 2 4 3" xfId="4582"/>
    <cellStyle name="Normal 7 2 2 4 3 2" xfId="9678"/>
    <cellStyle name="Normal 7 2 2 4 4" xfId="7231"/>
    <cellStyle name="Normal 7 2 2 5" xfId="2053"/>
    <cellStyle name="Normal 7 2 2 5 2" xfId="3374"/>
    <cellStyle name="Normal 7 2 2 5 2 2" xfId="5770"/>
    <cellStyle name="Normal 7 2 2 5 2 2 2" xfId="10866"/>
    <cellStyle name="Normal 7 2 2 5 2 3" xfId="8477"/>
    <cellStyle name="Normal 7 2 2 5 3" xfId="4578"/>
    <cellStyle name="Normal 7 2 2 5 3 2" xfId="9674"/>
    <cellStyle name="Normal 7 2 2 5 4" xfId="7227"/>
    <cellStyle name="Normal 7 2 3" xfId="1062"/>
    <cellStyle name="Normal 7 2 3 2" xfId="2059"/>
    <cellStyle name="Normal 7 2 3 2 2" xfId="3380"/>
    <cellStyle name="Normal 7 2 3 2 2 2" xfId="5776"/>
    <cellStyle name="Normal 7 2 3 2 2 2 2" xfId="10872"/>
    <cellStyle name="Normal 7 2 3 2 2 3" xfId="8483"/>
    <cellStyle name="Normal 7 2 3 2 3" xfId="4584"/>
    <cellStyle name="Normal 7 2 3 2 3 2" xfId="9680"/>
    <cellStyle name="Normal 7 2 3 2 4" xfId="7233"/>
    <cellStyle name="Normal 7 2 3 3" xfId="2058"/>
    <cellStyle name="Normal 7 2 3 3 2" xfId="3379"/>
    <cellStyle name="Normal 7 2 3 3 2 2" xfId="5775"/>
    <cellStyle name="Normal 7 2 3 3 2 2 2" xfId="10871"/>
    <cellStyle name="Normal 7 2 3 3 2 3" xfId="8482"/>
    <cellStyle name="Normal 7 2 3 3 3" xfId="4583"/>
    <cellStyle name="Normal 7 2 3 3 3 2" xfId="9679"/>
    <cellStyle name="Normal 7 2 3 3 4" xfId="7232"/>
    <cellStyle name="Normal 7 2 4" xfId="2060"/>
    <cellStyle name="Normal 7 2 4 2" xfId="3381"/>
    <cellStyle name="Normal 7 2 4 2 2" xfId="5777"/>
    <cellStyle name="Normal 7 2 4 2 2 2" xfId="10873"/>
    <cellStyle name="Normal 7 2 4 2 3" xfId="8484"/>
    <cellStyle name="Normal 7 2 4 3" xfId="4585"/>
    <cellStyle name="Normal 7 2 4 3 2" xfId="9681"/>
    <cellStyle name="Normal 7 2 4 4" xfId="7234"/>
    <cellStyle name="Normal 7 2 5" xfId="2061"/>
    <cellStyle name="Normal 7 2 5 2" xfId="3382"/>
    <cellStyle name="Normal 7 2 5 2 2" xfId="5778"/>
    <cellStyle name="Normal 7 2 5 2 2 2" xfId="10874"/>
    <cellStyle name="Normal 7 2 5 2 3" xfId="8485"/>
    <cellStyle name="Normal 7 2 5 3" xfId="4586"/>
    <cellStyle name="Normal 7 2 5 3 2" xfId="9682"/>
    <cellStyle name="Normal 7 2 5 4" xfId="7235"/>
    <cellStyle name="Normal 7 2 6" xfId="2052"/>
    <cellStyle name="Normal 7 2 6 2" xfId="3373"/>
    <cellStyle name="Normal 7 2 6 2 2" xfId="5769"/>
    <cellStyle name="Normal 7 2 6 2 2 2" xfId="10865"/>
    <cellStyle name="Normal 7 2 6 2 3" xfId="8476"/>
    <cellStyle name="Normal 7 2 6 3" xfId="4577"/>
    <cellStyle name="Normal 7 2 6 3 2" xfId="9673"/>
    <cellStyle name="Normal 7 2 6 4" xfId="7226"/>
    <cellStyle name="Normal 7 3" xfId="956"/>
    <cellStyle name="Normal 7 3 2" xfId="970"/>
    <cellStyle name="Normal 7 3 2 2" xfId="2064"/>
    <cellStyle name="Normal 7 3 2 2 2" xfId="3385"/>
    <cellStyle name="Normal 7 3 2 2 2 2" xfId="5781"/>
    <cellStyle name="Normal 7 3 2 2 2 2 2" xfId="10877"/>
    <cellStyle name="Normal 7 3 2 2 2 3" xfId="8488"/>
    <cellStyle name="Normal 7 3 2 2 3" xfId="4589"/>
    <cellStyle name="Normal 7 3 2 2 3 2" xfId="9685"/>
    <cellStyle name="Normal 7 3 2 2 4" xfId="7238"/>
    <cellStyle name="Normal 7 3 2 3" xfId="2065"/>
    <cellStyle name="Normal 7 3 2 3 2" xfId="3386"/>
    <cellStyle name="Normal 7 3 2 3 2 2" xfId="5782"/>
    <cellStyle name="Normal 7 3 2 3 2 2 2" xfId="10878"/>
    <cellStyle name="Normal 7 3 2 3 2 3" xfId="8489"/>
    <cellStyle name="Normal 7 3 2 3 3" xfId="4590"/>
    <cellStyle name="Normal 7 3 2 3 3 2" xfId="9686"/>
    <cellStyle name="Normal 7 3 2 3 4" xfId="7239"/>
    <cellStyle name="Normal 7 3 2 4" xfId="2063"/>
    <cellStyle name="Normal 7 3 2 4 2" xfId="3384"/>
    <cellStyle name="Normal 7 3 2 4 2 2" xfId="5780"/>
    <cellStyle name="Normal 7 3 2 4 2 2 2" xfId="10876"/>
    <cellStyle name="Normal 7 3 2 4 2 3" xfId="8487"/>
    <cellStyle name="Normal 7 3 2 4 3" xfId="4588"/>
    <cellStyle name="Normal 7 3 2 4 3 2" xfId="9684"/>
    <cellStyle name="Normal 7 3 2 4 4" xfId="7237"/>
    <cellStyle name="Normal 7 3 3" xfId="2066"/>
    <cellStyle name="Normal 7 3 4" xfId="2062"/>
    <cellStyle name="Normal 7 3 4 2" xfId="3383"/>
    <cellStyle name="Normal 7 3 4 2 2" xfId="5779"/>
    <cellStyle name="Normal 7 3 4 2 2 2" xfId="10875"/>
    <cellStyle name="Normal 7 3 4 2 3" xfId="8486"/>
    <cellStyle name="Normal 7 3 4 3" xfId="4587"/>
    <cellStyle name="Normal 7 3 4 3 2" xfId="9683"/>
    <cellStyle name="Normal 7 3 4 4" xfId="7236"/>
    <cellStyle name="Normal 7 4" xfId="957"/>
    <cellStyle name="Normal 7 4 2" xfId="2068"/>
    <cellStyle name="Normal 7 4 2 2" xfId="2069"/>
    <cellStyle name="Normal 7 4 2 2 2" xfId="3389"/>
    <cellStyle name="Normal 7 4 2 2 2 2" xfId="5785"/>
    <cellStyle name="Normal 7 4 2 2 2 2 2" xfId="10881"/>
    <cellStyle name="Normal 7 4 2 2 2 3" xfId="8492"/>
    <cellStyle name="Normal 7 4 2 2 3" xfId="4593"/>
    <cellStyle name="Normal 7 4 2 2 3 2" xfId="9689"/>
    <cellStyle name="Normal 7 4 2 2 4" xfId="7242"/>
    <cellStyle name="Normal 7 4 2 3" xfId="3388"/>
    <cellStyle name="Normal 7 4 2 3 2" xfId="5784"/>
    <cellStyle name="Normal 7 4 2 3 2 2" xfId="10880"/>
    <cellStyle name="Normal 7 4 2 3 3" xfId="8491"/>
    <cellStyle name="Normal 7 4 2 4" xfId="4592"/>
    <cellStyle name="Normal 7 4 2 4 2" xfId="9688"/>
    <cellStyle name="Normal 7 4 2 5" xfId="7241"/>
    <cellStyle name="Normal 7 4 3" xfId="2070"/>
    <cellStyle name="Normal 7 4 3 2" xfId="3390"/>
    <cellStyle name="Normal 7 4 3 2 2" xfId="5786"/>
    <cellStyle name="Normal 7 4 3 2 2 2" xfId="10882"/>
    <cellStyle name="Normal 7 4 3 2 3" xfId="8493"/>
    <cellStyle name="Normal 7 4 3 3" xfId="4594"/>
    <cellStyle name="Normal 7 4 3 3 2" xfId="9690"/>
    <cellStyle name="Normal 7 4 3 4" xfId="7243"/>
    <cellStyle name="Normal 7 4 4" xfId="2071"/>
    <cellStyle name="Normal 7 4 4 2" xfId="3391"/>
    <cellStyle name="Normal 7 4 4 2 2" xfId="5787"/>
    <cellStyle name="Normal 7 4 4 2 2 2" xfId="10883"/>
    <cellStyle name="Normal 7 4 4 2 3" xfId="8494"/>
    <cellStyle name="Normal 7 4 4 3" xfId="4595"/>
    <cellStyle name="Normal 7 4 4 3 2" xfId="9691"/>
    <cellStyle name="Normal 7 4 4 4" xfId="7244"/>
    <cellStyle name="Normal 7 4 5" xfId="2067"/>
    <cellStyle name="Normal 7 4 5 2" xfId="3387"/>
    <cellStyle name="Normal 7 4 5 2 2" xfId="5783"/>
    <cellStyle name="Normal 7 4 5 2 2 2" xfId="10879"/>
    <cellStyle name="Normal 7 4 5 2 3" xfId="8490"/>
    <cellStyle name="Normal 7 4 5 3" xfId="4591"/>
    <cellStyle name="Normal 7 4 5 3 2" xfId="9687"/>
    <cellStyle name="Normal 7 4 5 4" xfId="7240"/>
    <cellStyle name="Normal 7 5" xfId="1076"/>
    <cellStyle name="Normal 7 5 2" xfId="2073"/>
    <cellStyle name="Normal 7 5 2 2" xfId="2074"/>
    <cellStyle name="Normal 7 5 2 2 2" xfId="3394"/>
    <cellStyle name="Normal 7 5 2 2 2 2" xfId="5790"/>
    <cellStyle name="Normal 7 5 2 2 2 2 2" xfId="10886"/>
    <cellStyle name="Normal 7 5 2 2 2 3" xfId="8497"/>
    <cellStyle name="Normal 7 5 2 2 3" xfId="4598"/>
    <cellStyle name="Normal 7 5 2 2 3 2" xfId="9694"/>
    <cellStyle name="Normal 7 5 2 2 4" xfId="7247"/>
    <cellStyle name="Normal 7 5 2 3" xfId="3393"/>
    <cellStyle name="Normal 7 5 2 3 2" xfId="5789"/>
    <cellStyle name="Normal 7 5 2 3 2 2" xfId="10885"/>
    <cellStyle name="Normal 7 5 2 3 3" xfId="8496"/>
    <cellStyle name="Normal 7 5 2 4" xfId="4597"/>
    <cellStyle name="Normal 7 5 2 4 2" xfId="9693"/>
    <cellStyle name="Normal 7 5 2 5" xfId="7246"/>
    <cellStyle name="Normal 7 5 3" xfId="2075"/>
    <cellStyle name="Normal 7 5 3 2" xfId="3395"/>
    <cellStyle name="Normal 7 5 3 2 2" xfId="5791"/>
    <cellStyle name="Normal 7 5 3 2 2 2" xfId="10887"/>
    <cellStyle name="Normal 7 5 3 2 3" xfId="8498"/>
    <cellStyle name="Normal 7 5 3 3" xfId="4599"/>
    <cellStyle name="Normal 7 5 3 3 2" xfId="9695"/>
    <cellStyle name="Normal 7 5 3 4" xfId="7248"/>
    <cellStyle name="Normal 7 5 4" xfId="2076"/>
    <cellStyle name="Normal 7 5 4 2" xfId="3396"/>
    <cellStyle name="Normal 7 5 4 2 2" xfId="5792"/>
    <cellStyle name="Normal 7 5 4 2 2 2" xfId="10888"/>
    <cellStyle name="Normal 7 5 4 2 3" xfId="8499"/>
    <cellStyle name="Normal 7 5 4 3" xfId="4600"/>
    <cellStyle name="Normal 7 5 4 3 2" xfId="9696"/>
    <cellStyle name="Normal 7 5 4 4" xfId="7249"/>
    <cellStyle name="Normal 7 5 5" xfId="2072"/>
    <cellStyle name="Normal 7 5 5 2" xfId="3392"/>
    <cellStyle name="Normal 7 5 5 2 2" xfId="5788"/>
    <cellStyle name="Normal 7 5 5 2 2 2" xfId="10884"/>
    <cellStyle name="Normal 7 5 5 2 3" xfId="8495"/>
    <cellStyle name="Normal 7 5 5 3" xfId="4596"/>
    <cellStyle name="Normal 7 5 5 3 2" xfId="9692"/>
    <cellStyle name="Normal 7 5 5 4" xfId="7245"/>
    <cellStyle name="Normal 7 6" xfId="1087"/>
    <cellStyle name="Normal 7 6 2" xfId="2078"/>
    <cellStyle name="Normal 7 6 2 2" xfId="3398"/>
    <cellStyle name="Normal 7 6 2 2 2" xfId="5794"/>
    <cellStyle name="Normal 7 6 2 2 2 2" xfId="10890"/>
    <cellStyle name="Normal 7 6 2 2 3" xfId="8501"/>
    <cellStyle name="Normal 7 6 2 3" xfId="4602"/>
    <cellStyle name="Normal 7 6 2 3 2" xfId="9698"/>
    <cellStyle name="Normal 7 6 2 4" xfId="7251"/>
    <cellStyle name="Normal 7 6 3" xfId="2077"/>
    <cellStyle name="Normal 7 6 3 2" xfId="3397"/>
    <cellStyle name="Normal 7 6 3 2 2" xfId="5793"/>
    <cellStyle name="Normal 7 6 3 2 2 2" xfId="10889"/>
    <cellStyle name="Normal 7 6 3 2 3" xfId="8500"/>
    <cellStyle name="Normal 7 6 3 3" xfId="4601"/>
    <cellStyle name="Normal 7 6 3 3 2" xfId="9697"/>
    <cellStyle name="Normal 7 6 3 4" xfId="7250"/>
    <cellStyle name="Normal 7 7" xfId="2079"/>
    <cellStyle name="Normal 7 8" xfId="2051"/>
    <cellStyle name="Normal 7 8 2" xfId="3372"/>
    <cellStyle name="Normal 7 8 2 2" xfId="5768"/>
    <cellStyle name="Normal 7 8 2 2 2" xfId="10864"/>
    <cellStyle name="Normal 7 8 2 3" xfId="8475"/>
    <cellStyle name="Normal 7 8 3" xfId="4576"/>
    <cellStyle name="Normal 7 8 3 2" xfId="9672"/>
    <cellStyle name="Normal 7 8 4" xfId="7225"/>
    <cellStyle name="Normal 70" xfId="2080"/>
    <cellStyle name="Normal 71" xfId="2081"/>
    <cellStyle name="Normal 72" xfId="2082"/>
    <cellStyle name="Normal 73" xfId="2083"/>
    <cellStyle name="Normal 74" xfId="2084"/>
    <cellStyle name="Normal 75" xfId="2085"/>
    <cellStyle name="Normal 76" xfId="2086"/>
    <cellStyle name="Normal 77" xfId="2087"/>
    <cellStyle name="Normal 78" xfId="2088"/>
    <cellStyle name="Normal 78 2" xfId="2089"/>
    <cellStyle name="Normal 78 2 2" xfId="3400"/>
    <cellStyle name="Normal 78 2 2 2" xfId="5796"/>
    <cellStyle name="Normal 78 2 2 2 2" xfId="10892"/>
    <cellStyle name="Normal 78 2 2 3" xfId="8503"/>
    <cellStyle name="Normal 78 2 3" xfId="4604"/>
    <cellStyle name="Normal 78 2 3 2" xfId="9700"/>
    <cellStyle name="Normal 78 2 4" xfId="7253"/>
    <cellStyle name="Normal 78 3" xfId="3399"/>
    <cellStyle name="Normal 78 3 2" xfId="5795"/>
    <cellStyle name="Normal 78 3 2 2" xfId="10891"/>
    <cellStyle name="Normal 78 3 3" xfId="8502"/>
    <cellStyle name="Normal 78 4" xfId="4603"/>
    <cellStyle name="Normal 78 4 2" xfId="9699"/>
    <cellStyle name="Normal 78 5" xfId="7252"/>
    <cellStyle name="Normal 79" xfId="2090"/>
    <cellStyle name="Normal 79 2" xfId="2091"/>
    <cellStyle name="Normal 79 2 2" xfId="3402"/>
    <cellStyle name="Normal 79 2 2 2" xfId="5798"/>
    <cellStyle name="Normal 79 2 2 2 2" xfId="10894"/>
    <cellStyle name="Normal 79 2 2 3" xfId="8505"/>
    <cellStyle name="Normal 79 2 3" xfId="4606"/>
    <cellStyle name="Normal 79 2 3 2" xfId="9702"/>
    <cellStyle name="Normal 79 2 4" xfId="7255"/>
    <cellStyle name="Normal 79 3" xfId="3401"/>
    <cellStyle name="Normal 79 3 2" xfId="5797"/>
    <cellStyle name="Normal 79 3 2 2" xfId="10893"/>
    <cellStyle name="Normal 79 3 3" xfId="8504"/>
    <cellStyle name="Normal 79 4" xfId="4605"/>
    <cellStyle name="Normal 79 4 2" xfId="9701"/>
    <cellStyle name="Normal 79 5" xfId="7254"/>
    <cellStyle name="Normal 8" xfId="71"/>
    <cellStyle name="Normal 8 2" xfId="514"/>
    <cellStyle name="Normal 8 2 2" xfId="932"/>
    <cellStyle name="Normal 8 2 2 2" xfId="984"/>
    <cellStyle name="Normal 8 2 3" xfId="1066"/>
    <cellStyle name="Normal 8 2 4" xfId="2092"/>
    <cellStyle name="Normal 8 3" xfId="774"/>
    <cellStyle name="Normal 8 3 2" xfId="972"/>
    <cellStyle name="Normal 8 3 2 2" xfId="2094"/>
    <cellStyle name="Normal 8 3 2 2 2" xfId="3404"/>
    <cellStyle name="Normal 8 3 2 2 2 2" xfId="5800"/>
    <cellStyle name="Normal 8 3 2 2 2 2 2" xfId="10896"/>
    <cellStyle name="Normal 8 3 2 2 2 3" xfId="8507"/>
    <cellStyle name="Normal 8 3 2 2 3" xfId="4608"/>
    <cellStyle name="Normal 8 3 2 2 3 2" xfId="9704"/>
    <cellStyle name="Normal 8 3 2 2 4" xfId="7257"/>
    <cellStyle name="Normal 8 3 3" xfId="2093"/>
    <cellStyle name="Normal 8 3 3 2" xfId="3403"/>
    <cellStyle name="Normal 8 3 3 2 2" xfId="5799"/>
    <cellStyle name="Normal 8 3 3 2 2 2" xfId="10895"/>
    <cellStyle name="Normal 8 3 3 2 3" xfId="8506"/>
    <cellStyle name="Normal 8 3 3 3" xfId="4607"/>
    <cellStyle name="Normal 8 3 3 3 2" xfId="9703"/>
    <cellStyle name="Normal 8 3 3 4" xfId="7256"/>
    <cellStyle name="Normal 8 3 4" xfId="2555"/>
    <cellStyle name="Normal 8 3 4 2" xfId="5002"/>
    <cellStyle name="Normal 8 3 4 2 2" xfId="10098"/>
    <cellStyle name="Normal 8 3 4 3" xfId="7659"/>
    <cellStyle name="Normal 8 3 5" xfId="3819"/>
    <cellStyle name="Normal 8 3 5 2" xfId="8918"/>
    <cellStyle name="Normal 8 3 6" xfId="6399"/>
    <cellStyle name="Normal 8 4" xfId="667"/>
    <cellStyle name="Normal 8 4 2" xfId="996"/>
    <cellStyle name="Normal 8 4 3" xfId="2095"/>
    <cellStyle name="Normal 8 4 3 2" xfId="3405"/>
    <cellStyle name="Normal 8 4 3 2 2" xfId="5801"/>
    <cellStyle name="Normal 8 4 3 2 2 2" xfId="10897"/>
    <cellStyle name="Normal 8 4 3 2 3" xfId="8508"/>
    <cellStyle name="Normal 8 4 3 3" xfId="4609"/>
    <cellStyle name="Normal 8 4 3 3 2" xfId="9705"/>
    <cellStyle name="Normal 8 4 3 4" xfId="7258"/>
    <cellStyle name="Normal 8 4 4" xfId="2471"/>
    <cellStyle name="Normal 8 4 4 2" xfId="4918"/>
    <cellStyle name="Normal 8 4 4 2 2" xfId="10014"/>
    <cellStyle name="Normal 8 4 4 3" xfId="7575"/>
    <cellStyle name="Normal 8 4 5" xfId="3735"/>
    <cellStyle name="Normal 8 4 5 2" xfId="8834"/>
    <cellStyle name="Normal 8 4 6" xfId="6315"/>
    <cellStyle name="Normal 8 5" xfId="1074"/>
    <cellStyle name="Normal 8 5 2" xfId="2096"/>
    <cellStyle name="Normal 8 5 2 2" xfId="3406"/>
    <cellStyle name="Normal 8 5 2 2 2" xfId="5802"/>
    <cellStyle name="Normal 8 5 2 2 2 2" xfId="10898"/>
    <cellStyle name="Normal 8 5 2 2 3" xfId="8509"/>
    <cellStyle name="Normal 8 5 2 3" xfId="4610"/>
    <cellStyle name="Normal 8 5 2 3 2" xfId="9706"/>
    <cellStyle name="Normal 8 5 2 4" xfId="7259"/>
    <cellStyle name="Normal 8 6" xfId="1089"/>
    <cellStyle name="Normal 80" xfId="2097"/>
    <cellStyle name="Normal 80 2" xfId="2098"/>
    <cellStyle name="Normal 80 2 2" xfId="3408"/>
    <cellStyle name="Normal 80 2 2 2" xfId="5804"/>
    <cellStyle name="Normal 80 2 2 2 2" xfId="10900"/>
    <cellStyle name="Normal 80 2 2 3" xfId="8511"/>
    <cellStyle name="Normal 80 2 3" xfId="4612"/>
    <cellStyle name="Normal 80 2 3 2" xfId="9708"/>
    <cellStyle name="Normal 80 2 4" xfId="7261"/>
    <cellStyle name="Normal 80 3" xfId="3407"/>
    <cellStyle name="Normal 80 3 2" xfId="5803"/>
    <cellStyle name="Normal 80 3 2 2" xfId="10899"/>
    <cellStyle name="Normal 80 3 3" xfId="8510"/>
    <cellStyle name="Normal 80 4" xfId="4611"/>
    <cellStyle name="Normal 80 4 2" xfId="9707"/>
    <cellStyle name="Normal 80 5" xfId="7260"/>
    <cellStyle name="Normal 81" xfId="2099"/>
    <cellStyle name="Normal 81 2" xfId="2100"/>
    <cellStyle name="Normal 81 2 2" xfId="3410"/>
    <cellStyle name="Normal 81 2 2 2" xfId="5806"/>
    <cellStyle name="Normal 81 2 2 2 2" xfId="10902"/>
    <cellStyle name="Normal 81 2 2 3" xfId="8513"/>
    <cellStyle name="Normal 81 2 3" xfId="4614"/>
    <cellStyle name="Normal 81 2 3 2" xfId="9710"/>
    <cellStyle name="Normal 81 2 4" xfId="7263"/>
    <cellStyle name="Normal 81 3" xfId="3409"/>
    <cellStyle name="Normal 81 3 2" xfId="5805"/>
    <cellStyle name="Normal 81 3 2 2" xfId="10901"/>
    <cellStyle name="Normal 81 3 3" xfId="8512"/>
    <cellStyle name="Normal 81 4" xfId="4613"/>
    <cellStyle name="Normal 81 4 2" xfId="9709"/>
    <cellStyle name="Normal 81 5" xfId="7262"/>
    <cellStyle name="Normal 82" xfId="2101"/>
    <cellStyle name="Normal 82 2" xfId="2102"/>
    <cellStyle name="Normal 82 2 2" xfId="3412"/>
    <cellStyle name="Normal 82 2 2 2" xfId="5808"/>
    <cellStyle name="Normal 82 2 2 2 2" xfId="10904"/>
    <cellStyle name="Normal 82 2 2 3" xfId="8515"/>
    <cellStyle name="Normal 82 2 3" xfId="4616"/>
    <cellStyle name="Normal 82 2 3 2" xfId="9712"/>
    <cellStyle name="Normal 82 2 4" xfId="7265"/>
    <cellStyle name="Normal 82 3" xfId="3411"/>
    <cellStyle name="Normal 82 3 2" xfId="5807"/>
    <cellStyle name="Normal 82 3 2 2" xfId="10903"/>
    <cellStyle name="Normal 82 3 3" xfId="8514"/>
    <cellStyle name="Normal 82 4" xfId="4615"/>
    <cellStyle name="Normal 82 4 2" xfId="9711"/>
    <cellStyle name="Normal 82 5" xfId="7264"/>
    <cellStyle name="Normal 83" xfId="2103"/>
    <cellStyle name="Normal 83 2" xfId="2104"/>
    <cellStyle name="Normal 83 2 2" xfId="3414"/>
    <cellStyle name="Normal 83 2 2 2" xfId="5810"/>
    <cellStyle name="Normal 83 2 2 2 2" xfId="10906"/>
    <cellStyle name="Normal 83 2 2 3" xfId="8517"/>
    <cellStyle name="Normal 83 2 3" xfId="4618"/>
    <cellStyle name="Normal 83 2 3 2" xfId="9714"/>
    <cellStyle name="Normal 83 2 4" xfId="7267"/>
    <cellStyle name="Normal 83 3" xfId="3413"/>
    <cellStyle name="Normal 83 3 2" xfId="5809"/>
    <cellStyle name="Normal 83 3 2 2" xfId="10905"/>
    <cellStyle name="Normal 83 3 3" xfId="8516"/>
    <cellStyle name="Normal 83 4" xfId="4617"/>
    <cellStyle name="Normal 83 4 2" xfId="9713"/>
    <cellStyle name="Normal 83 5" xfId="7266"/>
    <cellStyle name="Normal 84" xfId="2105"/>
    <cellStyle name="Normal 85" xfId="2106"/>
    <cellStyle name="Normal 86" xfId="2107"/>
    <cellStyle name="Normal 87" xfId="2108"/>
    <cellStyle name="Normal 88" xfId="2109"/>
    <cellStyle name="Normal 89" xfId="2110"/>
    <cellStyle name="Normal 9" xfId="72"/>
    <cellStyle name="Normal 9 2" xfId="732"/>
    <cellStyle name="Normal 9 2 2" xfId="974"/>
    <cellStyle name="Normal 9 2 2 2" xfId="2113"/>
    <cellStyle name="Normal 9 2 2 2 2" xfId="2114"/>
    <cellStyle name="Normal 9 2 2 2 2 2" xfId="3418"/>
    <cellStyle name="Normal 9 2 2 2 2 2 2" xfId="5814"/>
    <cellStyle name="Normal 9 2 2 2 2 2 2 2" xfId="10910"/>
    <cellStyle name="Normal 9 2 2 2 2 2 3" xfId="8521"/>
    <cellStyle name="Normal 9 2 2 2 2 3" xfId="4622"/>
    <cellStyle name="Normal 9 2 2 2 2 3 2" xfId="9718"/>
    <cellStyle name="Normal 9 2 2 2 2 4" xfId="7271"/>
    <cellStyle name="Normal 9 2 2 2 3" xfId="3417"/>
    <cellStyle name="Normal 9 2 2 2 3 2" xfId="5813"/>
    <cellStyle name="Normal 9 2 2 2 3 2 2" xfId="10909"/>
    <cellStyle name="Normal 9 2 2 2 3 3" xfId="8520"/>
    <cellStyle name="Normal 9 2 2 2 4" xfId="4621"/>
    <cellStyle name="Normal 9 2 2 2 4 2" xfId="9717"/>
    <cellStyle name="Normal 9 2 2 2 5" xfId="7270"/>
    <cellStyle name="Normal 9 2 2 3" xfId="2115"/>
    <cellStyle name="Normal 9 2 2 3 2" xfId="3419"/>
    <cellStyle name="Normal 9 2 2 3 2 2" xfId="5815"/>
    <cellStyle name="Normal 9 2 2 3 2 2 2" xfId="10911"/>
    <cellStyle name="Normal 9 2 2 3 2 3" xfId="8522"/>
    <cellStyle name="Normal 9 2 2 3 3" xfId="4623"/>
    <cellStyle name="Normal 9 2 2 3 3 2" xfId="9719"/>
    <cellStyle name="Normal 9 2 2 3 4" xfId="7272"/>
    <cellStyle name="Normal 9 2 2 4" xfId="2116"/>
    <cellStyle name="Normal 9 2 2 4 2" xfId="3420"/>
    <cellStyle name="Normal 9 2 2 4 2 2" xfId="5816"/>
    <cellStyle name="Normal 9 2 2 4 2 2 2" xfId="10912"/>
    <cellStyle name="Normal 9 2 2 4 2 3" xfId="8523"/>
    <cellStyle name="Normal 9 2 2 4 3" xfId="4624"/>
    <cellStyle name="Normal 9 2 2 4 3 2" xfId="9720"/>
    <cellStyle name="Normal 9 2 2 4 4" xfId="7273"/>
    <cellStyle name="Normal 9 2 2 5" xfId="2112"/>
    <cellStyle name="Normal 9 2 2 5 2" xfId="3416"/>
    <cellStyle name="Normal 9 2 2 5 2 2" xfId="5812"/>
    <cellStyle name="Normal 9 2 2 5 2 2 2" xfId="10908"/>
    <cellStyle name="Normal 9 2 2 5 2 3" xfId="8519"/>
    <cellStyle name="Normal 9 2 2 5 3" xfId="4620"/>
    <cellStyle name="Normal 9 2 2 5 3 2" xfId="9716"/>
    <cellStyle name="Normal 9 2 2 5 4" xfId="7269"/>
    <cellStyle name="Normal 9 2 3" xfId="2117"/>
    <cellStyle name="Normal 9 2 3 2" xfId="2118"/>
    <cellStyle name="Normal 9 2 3 2 2" xfId="3422"/>
    <cellStyle name="Normal 9 2 3 2 2 2" xfId="5818"/>
    <cellStyle name="Normal 9 2 3 2 2 2 2" xfId="10914"/>
    <cellStyle name="Normal 9 2 3 2 2 3" xfId="8525"/>
    <cellStyle name="Normal 9 2 3 2 3" xfId="4626"/>
    <cellStyle name="Normal 9 2 3 2 3 2" xfId="9722"/>
    <cellStyle name="Normal 9 2 3 2 4" xfId="7275"/>
    <cellStyle name="Normal 9 2 3 3" xfId="2119"/>
    <cellStyle name="Normal 9 2 3 3 2" xfId="3423"/>
    <cellStyle name="Normal 9 2 3 3 2 2" xfId="5819"/>
    <cellStyle name="Normal 9 2 3 3 2 2 2" xfId="10915"/>
    <cellStyle name="Normal 9 2 3 3 2 3" xfId="8526"/>
    <cellStyle name="Normal 9 2 3 3 3" xfId="4627"/>
    <cellStyle name="Normal 9 2 3 3 3 2" xfId="9723"/>
    <cellStyle name="Normal 9 2 3 3 4" xfId="7276"/>
    <cellStyle name="Normal 9 2 3 4" xfId="3421"/>
    <cellStyle name="Normal 9 2 3 4 2" xfId="5817"/>
    <cellStyle name="Normal 9 2 3 4 2 2" xfId="10913"/>
    <cellStyle name="Normal 9 2 3 4 3" xfId="8524"/>
    <cellStyle name="Normal 9 2 3 5" xfId="4625"/>
    <cellStyle name="Normal 9 2 3 5 2" xfId="9721"/>
    <cellStyle name="Normal 9 2 3 6" xfId="7274"/>
    <cellStyle name="Normal 9 2 4" xfId="2120"/>
    <cellStyle name="Normal 9 2 5" xfId="2111"/>
    <cellStyle name="Normal 9 2 5 2" xfId="3415"/>
    <cellStyle name="Normal 9 2 5 2 2" xfId="5811"/>
    <cellStyle name="Normal 9 2 5 2 2 2" xfId="10907"/>
    <cellStyle name="Normal 9 2 5 2 3" xfId="8518"/>
    <cellStyle name="Normal 9 2 5 3" xfId="4619"/>
    <cellStyle name="Normal 9 2 5 3 2" xfId="9715"/>
    <cellStyle name="Normal 9 2 5 4" xfId="7268"/>
    <cellStyle name="Normal 9 2 6" xfId="2518"/>
    <cellStyle name="Normal 9 2 6 2" xfId="4965"/>
    <cellStyle name="Normal 9 2 6 2 2" xfId="10061"/>
    <cellStyle name="Normal 9 2 6 3" xfId="7622"/>
    <cellStyle name="Normal 9 2 7" xfId="3782"/>
    <cellStyle name="Normal 9 2 7 2" xfId="8881"/>
    <cellStyle name="Normal 9 2 8" xfId="6362"/>
    <cellStyle name="Normal 9 3" xfId="1059"/>
    <cellStyle name="Normal 9 3 2" xfId="2122"/>
    <cellStyle name="Normal 9 3 2 2" xfId="3425"/>
    <cellStyle name="Normal 9 3 2 2 2" xfId="5821"/>
    <cellStyle name="Normal 9 3 2 2 2 2" xfId="10917"/>
    <cellStyle name="Normal 9 3 2 2 3" xfId="8528"/>
    <cellStyle name="Normal 9 3 2 3" xfId="4629"/>
    <cellStyle name="Normal 9 3 2 3 2" xfId="9725"/>
    <cellStyle name="Normal 9 3 2 4" xfId="7278"/>
    <cellStyle name="Normal 9 3 3" xfId="2123"/>
    <cellStyle name="Normal 9 3 3 2" xfId="3426"/>
    <cellStyle name="Normal 9 3 3 2 2" xfId="5822"/>
    <cellStyle name="Normal 9 3 3 2 2 2" xfId="10918"/>
    <cellStyle name="Normal 9 3 3 2 3" xfId="8529"/>
    <cellStyle name="Normal 9 3 3 3" xfId="4630"/>
    <cellStyle name="Normal 9 3 3 3 2" xfId="9726"/>
    <cellStyle name="Normal 9 3 3 4" xfId="7279"/>
    <cellStyle name="Normal 9 3 4" xfId="2121"/>
    <cellStyle name="Normal 9 3 4 2" xfId="3424"/>
    <cellStyle name="Normal 9 3 4 2 2" xfId="5820"/>
    <cellStyle name="Normal 9 3 4 2 2 2" xfId="10916"/>
    <cellStyle name="Normal 9 3 4 2 3" xfId="8527"/>
    <cellStyle name="Normal 9 3 4 3" xfId="4628"/>
    <cellStyle name="Normal 9 3 4 3 2" xfId="9724"/>
    <cellStyle name="Normal 9 3 4 4" xfId="7277"/>
    <cellStyle name="Normal 9 4" xfId="2124"/>
    <cellStyle name="Normal 9 4 2" xfId="3427"/>
    <cellStyle name="Normal 9 4 2 2" xfId="5823"/>
    <cellStyle name="Normal 9 4 2 2 2" xfId="10919"/>
    <cellStyle name="Normal 9 4 2 3" xfId="8530"/>
    <cellStyle name="Normal 9 4 3" xfId="4631"/>
    <cellStyle name="Normal 9 4 3 2" xfId="9727"/>
    <cellStyle name="Normal 9 4 4" xfId="7280"/>
    <cellStyle name="Normal 9 5" xfId="2125"/>
    <cellStyle name="Normal 9 5 2" xfId="3428"/>
    <cellStyle name="Normal 9 5 2 2" xfId="5824"/>
    <cellStyle name="Normal 9 5 2 2 2" xfId="10920"/>
    <cellStyle name="Normal 9 5 2 3" xfId="8531"/>
    <cellStyle name="Normal 9 5 3" xfId="4632"/>
    <cellStyle name="Normal 9 5 3 2" xfId="9728"/>
    <cellStyle name="Normal 9 5 4" xfId="7281"/>
    <cellStyle name="Normal 90" xfId="2126"/>
    <cellStyle name="Normal 91" xfId="2127"/>
    <cellStyle name="Normal 91 2" xfId="3430"/>
    <cellStyle name="Normal 91 2 2" xfId="5825"/>
    <cellStyle name="Normal 91 2 2 2" xfId="10921"/>
    <cellStyle name="Normal 91 2 3" xfId="8533"/>
    <cellStyle name="Normal 91 3" xfId="4633"/>
    <cellStyle name="Normal 91 3 2" xfId="9729"/>
    <cellStyle name="Normal 91 4" xfId="7282"/>
    <cellStyle name="Normal 92" xfId="2128"/>
    <cellStyle name="Normal 92 2" xfId="3431"/>
    <cellStyle name="Normal 92 2 2" xfId="5826"/>
    <cellStyle name="Normal 92 2 2 2" xfId="10922"/>
    <cellStyle name="Normal 92 2 3" xfId="8534"/>
    <cellStyle name="Normal 92 3" xfId="4634"/>
    <cellStyle name="Normal 92 3 2" xfId="9730"/>
    <cellStyle name="Normal 92 4" xfId="7283"/>
    <cellStyle name="Normal 93" xfId="1153"/>
    <cellStyle name="Normal 93 2" xfId="2738"/>
    <cellStyle name="Normal 93 2 2" xfId="5140"/>
    <cellStyle name="Normal 93 2 2 2" xfId="10236"/>
    <cellStyle name="Normal 93 2 3" xfId="7841"/>
    <cellStyle name="Normal 93 3" xfId="3948"/>
    <cellStyle name="Normal 93 3 2" xfId="9044"/>
    <cellStyle name="Normal 93 4" xfId="6553"/>
    <cellStyle name="Normal 94" xfId="1871"/>
    <cellStyle name="Normal 94 2" xfId="3254"/>
    <cellStyle name="Normal 94 2 2" xfId="5650"/>
    <cellStyle name="Normal 94 2 2 2" xfId="10746"/>
    <cellStyle name="Normal 94 2 3" xfId="8357"/>
    <cellStyle name="Normal 94 3" xfId="4458"/>
    <cellStyle name="Normal 94 3 2" xfId="9554"/>
    <cellStyle name="Normal 94 4" xfId="7096"/>
    <cellStyle name="Normal 95" xfId="2269"/>
    <cellStyle name="Normal 95 2" xfId="3522"/>
    <cellStyle name="Normal 95 2 2" xfId="5917"/>
    <cellStyle name="Normal 95 2 2 2" xfId="11013"/>
    <cellStyle name="Normal 95 2 3" xfId="8625"/>
    <cellStyle name="Normal 95 3" xfId="4728"/>
    <cellStyle name="Normal 95 3 2" xfId="9824"/>
    <cellStyle name="Normal 95 4" xfId="7378"/>
    <cellStyle name="Normal 96" xfId="2271"/>
    <cellStyle name="Normal 96 2" xfId="3524"/>
    <cellStyle name="Normal 96 2 2" xfId="5919"/>
    <cellStyle name="Normal 96 2 2 2" xfId="11015"/>
    <cellStyle name="Normal 96 2 3" xfId="8627"/>
    <cellStyle name="Normal 96 3" xfId="4730"/>
    <cellStyle name="Normal 96 3 2" xfId="9826"/>
    <cellStyle name="Normal 96 4" xfId="7380"/>
    <cellStyle name="Normal 97" xfId="2273"/>
    <cellStyle name="Normal 97 2" xfId="3526"/>
    <cellStyle name="Normal 97 2 2" xfId="5921"/>
    <cellStyle name="Normal 97 2 2 2" xfId="11017"/>
    <cellStyle name="Normal 97 2 3" xfId="8629"/>
    <cellStyle name="Normal 97 3" xfId="4732"/>
    <cellStyle name="Normal 97 3 2" xfId="9828"/>
    <cellStyle name="Normal 97 4" xfId="7382"/>
    <cellStyle name="Normal 98" xfId="2275"/>
    <cellStyle name="Normal 98 2" xfId="3528"/>
    <cellStyle name="Normal 98 2 2" xfId="5923"/>
    <cellStyle name="Normal 98 2 2 2" xfId="11019"/>
    <cellStyle name="Normal 98 2 3" xfId="8631"/>
    <cellStyle name="Normal 98 3" xfId="4734"/>
    <cellStyle name="Normal 98 3 2" xfId="9830"/>
    <cellStyle name="Normal 98 4" xfId="7384"/>
    <cellStyle name="Normal 99" xfId="2278"/>
    <cellStyle name="Normal 99 2" xfId="3531"/>
    <cellStyle name="Normal 99 2 2" xfId="5926"/>
    <cellStyle name="Normal 99 2 2 2" xfId="11022"/>
    <cellStyle name="Normal 99 2 3" xfId="8634"/>
    <cellStyle name="Normal 99 3" xfId="4737"/>
    <cellStyle name="Normal 99 3 2" xfId="9833"/>
    <cellStyle name="Normal 99 4" xfId="7387"/>
    <cellStyle name="Normal_CGE Load Res. Sum. 2006 2007" xfId="4"/>
    <cellStyle name="Normal_DE OH Gas COSS JUNE 5 2007 Final - Includes AMRP" xfId="5"/>
    <cellStyle name="Normal_Mains Accounts 2761 62 63 and 2765" xfId="6"/>
    <cellStyle name="Normal_PUCO GAS SFRs" xfId="107"/>
    <cellStyle name="Normal_Rev req link" xfId="7"/>
    <cellStyle name="Normal_Storck Meters and Regs" xfId="8"/>
    <cellStyle name="Normal_ULHP Gas COS ITO Daily Stats 20001" xfId="9"/>
    <cellStyle name="Normal_ULHP Gas COS NS Daily Stats 20001" xfId="10"/>
    <cellStyle name="Normal_WPE - CGE Gas COS Daily Stats 2006-2007" xfId="11"/>
    <cellStyle name="Note 10" xfId="1155"/>
    <cellStyle name="Note 10 2" xfId="2740"/>
    <cellStyle name="Note 10 2 2" xfId="5142"/>
    <cellStyle name="Note 10 2 2 2" xfId="10238"/>
    <cellStyle name="Note 10 2 3" xfId="7843"/>
    <cellStyle name="Note 10 3" xfId="3950"/>
    <cellStyle name="Note 10 3 2" xfId="9046"/>
    <cellStyle name="Note 10 4" xfId="6555"/>
    <cellStyle name="Note 2" xfId="54"/>
    <cellStyle name="Note 2 10" xfId="2129"/>
    <cellStyle name="Note 2 10 2" xfId="3432"/>
    <cellStyle name="Note 2 10 2 2" xfId="5827"/>
    <cellStyle name="Note 2 10 2 2 2" xfId="10923"/>
    <cellStyle name="Note 2 10 2 3" xfId="8535"/>
    <cellStyle name="Note 2 10 3" xfId="4635"/>
    <cellStyle name="Note 2 10 3 2" xfId="9731"/>
    <cellStyle name="Note 2 10 4" xfId="7284"/>
    <cellStyle name="Note 2 11" xfId="162"/>
    <cellStyle name="Note 2 2" xfId="515"/>
    <cellStyle name="Note 2 2 2" xfId="551"/>
    <cellStyle name="Note 2 2 2 2" xfId="2132"/>
    <cellStyle name="Note 2 2 2 2 2" xfId="3435"/>
    <cellStyle name="Note 2 2 2 2 2 2" xfId="5830"/>
    <cellStyle name="Note 2 2 2 2 2 2 2" xfId="10926"/>
    <cellStyle name="Note 2 2 2 2 2 3" xfId="8538"/>
    <cellStyle name="Note 2 2 2 2 3" xfId="4638"/>
    <cellStyle name="Note 2 2 2 2 3 2" xfId="9734"/>
    <cellStyle name="Note 2 2 2 2 4" xfId="7287"/>
    <cellStyle name="Note 2 2 2 3" xfId="2131"/>
    <cellStyle name="Note 2 2 2 3 2" xfId="3434"/>
    <cellStyle name="Note 2 2 2 3 2 2" xfId="5829"/>
    <cellStyle name="Note 2 2 2 3 2 2 2" xfId="10925"/>
    <cellStyle name="Note 2 2 2 3 2 3" xfId="8537"/>
    <cellStyle name="Note 2 2 2 3 3" xfId="4637"/>
    <cellStyle name="Note 2 2 2 3 3 2" xfId="9733"/>
    <cellStyle name="Note 2 2 2 3 4" xfId="7286"/>
    <cellStyle name="Note 2 2 2 4" xfId="2357"/>
    <cellStyle name="Note 2 2 2 4 2" xfId="4804"/>
    <cellStyle name="Note 2 2 2 4 2 2" xfId="9900"/>
    <cellStyle name="Note 2 2 2 4 3" xfId="7461"/>
    <cellStyle name="Note 2 2 2 5" xfId="3621"/>
    <cellStyle name="Note 2 2 2 5 2" xfId="8720"/>
    <cellStyle name="Note 2 2 2 6" xfId="6201"/>
    <cellStyle name="Note 2 2 3" xfId="616"/>
    <cellStyle name="Note 2 2 3 2" xfId="2133"/>
    <cellStyle name="Note 2 2 3 2 2" xfId="3436"/>
    <cellStyle name="Note 2 2 3 2 2 2" xfId="5831"/>
    <cellStyle name="Note 2 2 3 2 2 2 2" xfId="10927"/>
    <cellStyle name="Note 2 2 3 2 2 3" xfId="8539"/>
    <cellStyle name="Note 2 2 3 2 3" xfId="4639"/>
    <cellStyle name="Note 2 2 3 2 3 2" xfId="9735"/>
    <cellStyle name="Note 2 2 3 2 4" xfId="7288"/>
    <cellStyle name="Note 2 2 3 3" xfId="2422"/>
    <cellStyle name="Note 2 2 3 3 2" xfId="4869"/>
    <cellStyle name="Note 2 2 3 3 2 2" xfId="9965"/>
    <cellStyle name="Note 2 2 3 3 3" xfId="7526"/>
    <cellStyle name="Note 2 2 3 4" xfId="3686"/>
    <cellStyle name="Note 2 2 3 4 2" xfId="8785"/>
    <cellStyle name="Note 2 2 3 5" xfId="6266"/>
    <cellStyle name="Note 2 2 4" xfId="872"/>
    <cellStyle name="Note 2 2 4 2" xfId="2134"/>
    <cellStyle name="Note 2 2 4 2 2" xfId="3437"/>
    <cellStyle name="Note 2 2 4 2 2 2" xfId="5832"/>
    <cellStyle name="Note 2 2 4 2 2 2 2" xfId="10928"/>
    <cellStyle name="Note 2 2 4 2 2 3" xfId="8540"/>
    <cellStyle name="Note 2 2 4 2 3" xfId="4640"/>
    <cellStyle name="Note 2 2 4 2 3 2" xfId="9736"/>
    <cellStyle name="Note 2 2 4 2 4" xfId="7289"/>
    <cellStyle name="Note 2 2 4 3" xfId="2577"/>
    <cellStyle name="Note 2 2 4 3 2" xfId="5021"/>
    <cellStyle name="Note 2 2 4 3 2 2" xfId="10117"/>
    <cellStyle name="Note 2 2 4 3 3" xfId="7680"/>
    <cellStyle name="Note 2 2 4 4" xfId="3838"/>
    <cellStyle name="Note 2 2 4 4 2" xfId="8937"/>
    <cellStyle name="Note 2 2 4 5" xfId="6423"/>
    <cellStyle name="Note 2 2 5" xfId="679"/>
    <cellStyle name="Note 2 2 5 2" xfId="2481"/>
    <cellStyle name="Note 2 2 5 2 2" xfId="4928"/>
    <cellStyle name="Note 2 2 5 2 2 2" xfId="10024"/>
    <cellStyle name="Note 2 2 5 2 3" xfId="7585"/>
    <cellStyle name="Note 2 2 5 3" xfId="3745"/>
    <cellStyle name="Note 2 2 5 3 2" xfId="8844"/>
    <cellStyle name="Note 2 2 5 4" xfId="6325"/>
    <cellStyle name="Note 2 2 6" xfId="2130"/>
    <cellStyle name="Note 2 2 6 2" xfId="3433"/>
    <cellStyle name="Note 2 2 6 2 2" xfId="5828"/>
    <cellStyle name="Note 2 2 6 2 2 2" xfId="10924"/>
    <cellStyle name="Note 2 2 6 2 3" xfId="8536"/>
    <cellStyle name="Note 2 2 6 3" xfId="4636"/>
    <cellStyle name="Note 2 2 6 3 2" xfId="9732"/>
    <cellStyle name="Note 2 2 6 4" xfId="7285"/>
    <cellStyle name="Note 2 3" xfId="522"/>
    <cellStyle name="Note 2 3 2" xfId="599"/>
    <cellStyle name="Note 2 3 2 2" xfId="2136"/>
    <cellStyle name="Note 2 3 2 2 2" xfId="3439"/>
    <cellStyle name="Note 2 3 2 2 2 2" xfId="5834"/>
    <cellStyle name="Note 2 3 2 2 2 2 2" xfId="10930"/>
    <cellStyle name="Note 2 3 2 2 2 3" xfId="8542"/>
    <cellStyle name="Note 2 3 2 2 3" xfId="4642"/>
    <cellStyle name="Note 2 3 2 2 3 2" xfId="9738"/>
    <cellStyle name="Note 2 3 2 2 4" xfId="7291"/>
    <cellStyle name="Note 2 3 2 3" xfId="2405"/>
    <cellStyle name="Note 2 3 2 3 2" xfId="4852"/>
    <cellStyle name="Note 2 3 2 3 2 2" xfId="9948"/>
    <cellStyle name="Note 2 3 2 3 3" xfId="7509"/>
    <cellStyle name="Note 2 3 2 4" xfId="3669"/>
    <cellStyle name="Note 2 3 2 4 2" xfId="8768"/>
    <cellStyle name="Note 2 3 2 5" xfId="6249"/>
    <cellStyle name="Note 2 3 3" xfId="769"/>
    <cellStyle name="Note 2 3 3 2" xfId="2137"/>
    <cellStyle name="Note 2 3 3 2 2" xfId="3440"/>
    <cellStyle name="Note 2 3 3 2 2 2" xfId="5835"/>
    <cellStyle name="Note 2 3 3 2 2 2 2" xfId="10931"/>
    <cellStyle name="Note 2 3 3 2 2 3" xfId="8543"/>
    <cellStyle name="Note 2 3 3 2 3" xfId="4643"/>
    <cellStyle name="Note 2 3 3 2 3 2" xfId="9739"/>
    <cellStyle name="Note 2 3 3 2 4" xfId="7292"/>
    <cellStyle name="Note 2 3 3 3" xfId="2550"/>
    <cellStyle name="Note 2 3 3 3 2" xfId="4997"/>
    <cellStyle name="Note 2 3 3 3 2 2" xfId="10093"/>
    <cellStyle name="Note 2 3 3 3 3" xfId="7654"/>
    <cellStyle name="Note 2 3 3 4" xfId="3814"/>
    <cellStyle name="Note 2 3 3 4 2" xfId="8913"/>
    <cellStyle name="Note 2 3 3 5" xfId="6394"/>
    <cellStyle name="Note 2 3 4" xfId="746"/>
    <cellStyle name="Note 2 3 4 2" xfId="2531"/>
    <cellStyle name="Note 2 3 4 2 2" xfId="4978"/>
    <cellStyle name="Note 2 3 4 2 2 2" xfId="10074"/>
    <cellStyle name="Note 2 3 4 2 3" xfId="7635"/>
    <cellStyle name="Note 2 3 4 3" xfId="3795"/>
    <cellStyle name="Note 2 3 4 3 2" xfId="8894"/>
    <cellStyle name="Note 2 3 4 4" xfId="6375"/>
    <cellStyle name="Note 2 3 5" xfId="542"/>
    <cellStyle name="Note 2 3 5 2" xfId="2351"/>
    <cellStyle name="Note 2 3 5 2 2" xfId="4798"/>
    <cellStyle name="Note 2 3 5 2 2 2" xfId="9894"/>
    <cellStyle name="Note 2 3 5 2 3" xfId="7455"/>
    <cellStyle name="Note 2 3 5 3" xfId="3615"/>
    <cellStyle name="Note 2 3 5 3 2" xfId="8714"/>
    <cellStyle name="Note 2 3 5 4" xfId="6195"/>
    <cellStyle name="Note 2 3 6" xfId="1133"/>
    <cellStyle name="Note 2 3 6 10" xfId="14488"/>
    <cellStyle name="Note 2 3 6 11" xfId="14954"/>
    <cellStyle name="Note 2 3 6 2" xfId="2720"/>
    <cellStyle name="Note 2 3 6 2 10" xfId="14559"/>
    <cellStyle name="Note 2 3 6 2 2" xfId="6120"/>
    <cellStyle name="Note 2 3 6 2 2 2" xfId="11216"/>
    <cellStyle name="Note 2 3 6 2 2 2 2" xfId="15522"/>
    <cellStyle name="Note 2 3 6 2 2 2 3" xfId="16601"/>
    <cellStyle name="Note 2 3 6 2 2 2 4" xfId="17635"/>
    <cellStyle name="Note 2 3 6 2 2 2 5" xfId="18605"/>
    <cellStyle name="Note 2 3 6 2 2 2 6" xfId="19511"/>
    <cellStyle name="Note 2 3 6 2 2 3" xfId="11798"/>
    <cellStyle name="Note 2 3 6 2 2 3 2" xfId="16104"/>
    <cellStyle name="Note 2 3 6 2 2 3 3" xfId="17183"/>
    <cellStyle name="Note 2 3 6 2 2 3 4" xfId="18205"/>
    <cellStyle name="Note 2 3 6 2 2 3 5" xfId="19175"/>
    <cellStyle name="Note 2 3 6 2 2 3 6" xfId="20081"/>
    <cellStyle name="Note 2 3 6 2 2 4" xfId="11970"/>
    <cellStyle name="Note 2 3 6 2 2 4 2" xfId="16276"/>
    <cellStyle name="Note 2 3 6 2 2 4 3" xfId="17355"/>
    <cellStyle name="Note 2 3 6 2 2 4 4" xfId="18373"/>
    <cellStyle name="Note 2 3 6 2 2 4 5" xfId="19343"/>
    <cellStyle name="Note 2 3 6 2 2 4 6" xfId="20249"/>
    <cellStyle name="Note 2 3 6 2 2 5" xfId="13853"/>
    <cellStyle name="Note 2 3 6 2 2 6" xfId="14896"/>
    <cellStyle name="Note 2 3 6 2 2 7" xfId="13030"/>
    <cellStyle name="Note 2 3 6 2 2 8" xfId="16354"/>
    <cellStyle name="Note 2 3 6 2 2 9" xfId="16394"/>
    <cellStyle name="Note 2 3 6 2 3" xfId="7823"/>
    <cellStyle name="Note 2 3 6 2 3 2" xfId="14474"/>
    <cellStyle name="Note 2 3 6 2 3 3" xfId="14085"/>
    <cellStyle name="Note 2 3 6 2 3 4" xfId="13519"/>
    <cellStyle name="Note 2 3 6 2 3 5" xfId="12513"/>
    <cellStyle name="Note 2 3 6 2 3 6" xfId="18395"/>
    <cellStyle name="Note 2 3 6 2 4" xfId="11406"/>
    <cellStyle name="Note 2 3 6 2 4 2" xfId="15712"/>
    <cellStyle name="Note 2 3 6 2 4 3" xfId="16791"/>
    <cellStyle name="Note 2 3 6 2 4 4" xfId="17820"/>
    <cellStyle name="Note 2 3 6 2 4 5" xfId="18790"/>
    <cellStyle name="Note 2 3 6 2 4 6" xfId="19696"/>
    <cellStyle name="Note 2 3 6 2 5" xfId="11427"/>
    <cellStyle name="Note 2 3 6 2 5 2" xfId="15733"/>
    <cellStyle name="Note 2 3 6 2 5 3" xfId="16812"/>
    <cellStyle name="Note 2 3 6 2 5 4" xfId="17840"/>
    <cellStyle name="Note 2 3 6 2 5 5" xfId="18810"/>
    <cellStyle name="Note 2 3 6 2 5 6" xfId="19716"/>
    <cellStyle name="Note 2 3 6 2 6" xfId="12777"/>
    <cellStyle name="Note 2 3 6 2 7" xfId="12482"/>
    <cellStyle name="Note 2 3 6 2 8" xfId="12945"/>
    <cellStyle name="Note 2 3 6 2 9" xfId="15270"/>
    <cellStyle name="Note 2 3 6 3" xfId="6010"/>
    <cellStyle name="Note 2 3 6 3 2" xfId="11106"/>
    <cellStyle name="Note 2 3 6 3 2 2" xfId="15412"/>
    <cellStyle name="Note 2 3 6 3 2 3" xfId="16491"/>
    <cellStyle name="Note 2 3 6 3 2 4" xfId="17526"/>
    <cellStyle name="Note 2 3 6 3 2 5" xfId="18496"/>
    <cellStyle name="Note 2 3 6 3 2 6" xfId="19402"/>
    <cellStyle name="Note 2 3 6 3 3" xfId="11688"/>
    <cellStyle name="Note 2 3 6 3 3 2" xfId="15994"/>
    <cellStyle name="Note 2 3 6 3 3 3" xfId="17073"/>
    <cellStyle name="Note 2 3 6 3 3 4" xfId="18096"/>
    <cellStyle name="Note 2 3 6 3 3 5" xfId="19066"/>
    <cellStyle name="Note 2 3 6 3 3 6" xfId="19972"/>
    <cellStyle name="Note 2 3 6 3 4" xfId="11860"/>
    <cellStyle name="Note 2 3 6 3 4 2" xfId="16166"/>
    <cellStyle name="Note 2 3 6 3 4 3" xfId="17245"/>
    <cellStyle name="Note 2 3 6 3 4 4" xfId="18264"/>
    <cellStyle name="Note 2 3 6 3 4 5" xfId="19234"/>
    <cellStyle name="Note 2 3 6 3 4 6" xfId="20140"/>
    <cellStyle name="Note 2 3 6 3 5" xfId="13743"/>
    <cellStyle name="Note 2 3 6 3 6" xfId="13355"/>
    <cellStyle name="Note 2 3 6 3 7" xfId="13231"/>
    <cellStyle name="Note 2 3 6 3 8" xfId="13387"/>
    <cellStyle name="Note 2 3 6 3 9" xfId="16368"/>
    <cellStyle name="Note 2 3 6 4" xfId="6535"/>
    <cellStyle name="Note 2 3 6 4 2" xfId="14038"/>
    <cellStyle name="Note 2 3 6 4 3" xfId="14122"/>
    <cellStyle name="Note 2 3 6 4 4" xfId="12347"/>
    <cellStyle name="Note 2 3 6 4 5" xfId="14351"/>
    <cellStyle name="Note 2 3 6 4 6" xfId="16364"/>
    <cellStyle name="Note 2 3 6 5" xfId="6586"/>
    <cellStyle name="Note 2 3 6 5 2" xfId="14062"/>
    <cellStyle name="Note 2 3 6 5 3" xfId="15205"/>
    <cellStyle name="Note 2 3 6 5 4" xfId="16321"/>
    <cellStyle name="Note 2 3 6 5 5" xfId="14912"/>
    <cellStyle name="Note 2 3 6 5 6" xfId="18403"/>
    <cellStyle name="Note 2 3 6 6" xfId="11297"/>
    <cellStyle name="Note 2 3 6 6 2" xfId="15603"/>
    <cellStyle name="Note 2 3 6 6 3" xfId="16682"/>
    <cellStyle name="Note 2 3 6 6 4" xfId="17711"/>
    <cellStyle name="Note 2 3 6 6 5" xfId="18681"/>
    <cellStyle name="Note 2 3 6 6 6" xfId="19587"/>
    <cellStyle name="Note 2 3 6 7" xfId="12262"/>
    <cellStyle name="Note 2 3 6 8" xfId="12551"/>
    <cellStyle name="Note 2 3 6 9" xfId="12939"/>
    <cellStyle name="Note 2 3 7" xfId="2135"/>
    <cellStyle name="Note 2 3 7 2" xfId="3438"/>
    <cellStyle name="Note 2 3 7 2 2" xfId="5833"/>
    <cellStyle name="Note 2 3 7 2 2 2" xfId="10929"/>
    <cellStyle name="Note 2 3 7 2 3" xfId="8541"/>
    <cellStyle name="Note 2 3 7 3" xfId="4641"/>
    <cellStyle name="Note 2 3 7 3 2" xfId="9737"/>
    <cellStyle name="Note 2 3 7 4" xfId="7290"/>
    <cellStyle name="Note 2 4" xfId="669"/>
    <cellStyle name="Note 2 4 2" xfId="763"/>
    <cellStyle name="Note 2 4 2 2" xfId="2544"/>
    <cellStyle name="Note 2 4 2 2 2" xfId="4991"/>
    <cellStyle name="Note 2 4 2 2 2 2" xfId="10087"/>
    <cellStyle name="Note 2 4 2 2 3" xfId="7648"/>
    <cellStyle name="Note 2 4 2 3" xfId="3808"/>
    <cellStyle name="Note 2 4 2 3 2" xfId="8907"/>
    <cellStyle name="Note 2 4 2 4" xfId="6388"/>
    <cellStyle name="Note 2 4 3" xfId="926"/>
    <cellStyle name="Note 2 4 3 2" xfId="2627"/>
    <cellStyle name="Note 2 4 3 2 2" xfId="5071"/>
    <cellStyle name="Note 2 4 3 2 2 2" xfId="10167"/>
    <cellStyle name="Note 2 4 3 2 3" xfId="7730"/>
    <cellStyle name="Note 2 4 3 3" xfId="3888"/>
    <cellStyle name="Note 2 4 3 3 2" xfId="8987"/>
    <cellStyle name="Note 2 4 3 4" xfId="6473"/>
    <cellStyle name="Note 2 4 4" xfId="743"/>
    <cellStyle name="Note 2 4 4 2" xfId="2528"/>
    <cellStyle name="Note 2 4 4 2 2" xfId="4975"/>
    <cellStyle name="Note 2 4 4 2 2 2" xfId="10071"/>
    <cellStyle name="Note 2 4 4 2 3" xfId="7632"/>
    <cellStyle name="Note 2 4 4 3" xfId="3792"/>
    <cellStyle name="Note 2 4 4 3 2" xfId="8891"/>
    <cellStyle name="Note 2 4 4 4" xfId="6372"/>
    <cellStyle name="Note 2 4 5" xfId="2138"/>
    <cellStyle name="Note 2 4 6" xfId="2472"/>
    <cellStyle name="Note 2 4 6 2" xfId="4919"/>
    <cellStyle name="Note 2 4 6 2 2" xfId="10015"/>
    <cellStyle name="Note 2 4 6 3" xfId="7576"/>
    <cellStyle name="Note 2 4 7" xfId="3736"/>
    <cellStyle name="Note 2 4 7 2" xfId="8835"/>
    <cellStyle name="Note 2 4 8" xfId="6316"/>
    <cellStyle name="Note 2 5" xfId="650"/>
    <cellStyle name="Note 2 5 2" xfId="607"/>
    <cellStyle name="Note 2 5 2 2" xfId="2413"/>
    <cellStyle name="Note 2 5 2 2 2" xfId="4860"/>
    <cellStyle name="Note 2 5 2 2 2 2" xfId="9956"/>
    <cellStyle name="Note 2 5 2 2 3" xfId="7517"/>
    <cellStyle name="Note 2 5 2 3" xfId="3677"/>
    <cellStyle name="Note 2 5 2 3 2" xfId="8776"/>
    <cellStyle name="Note 2 5 2 4" xfId="6257"/>
    <cellStyle name="Note 2 5 3" xfId="2454"/>
    <cellStyle name="Note 2 5 3 2" xfId="4901"/>
    <cellStyle name="Note 2 5 3 2 2" xfId="9997"/>
    <cellStyle name="Note 2 5 3 3" xfId="7558"/>
    <cellStyle name="Note 2 5 4" xfId="3718"/>
    <cellStyle name="Note 2 5 4 2" xfId="8817"/>
    <cellStyle name="Note 2 5 5" xfId="6298"/>
    <cellStyle name="Note 2 6" xfId="899"/>
    <cellStyle name="Note 2 6 2" xfId="2604"/>
    <cellStyle name="Note 2 6 2 2" xfId="5048"/>
    <cellStyle name="Note 2 6 2 2 2" xfId="10144"/>
    <cellStyle name="Note 2 6 2 3" xfId="7707"/>
    <cellStyle name="Note 2 6 3" xfId="3865"/>
    <cellStyle name="Note 2 6 3 2" xfId="8964"/>
    <cellStyle name="Note 2 6 4" xfId="6450"/>
    <cellStyle name="Note 2 7" xfId="881"/>
    <cellStyle name="Note 2 7 2" xfId="2586"/>
    <cellStyle name="Note 2 7 2 2" xfId="5030"/>
    <cellStyle name="Note 2 7 2 2 2" xfId="10126"/>
    <cellStyle name="Note 2 7 2 3" xfId="7689"/>
    <cellStyle name="Note 2 7 3" xfId="3847"/>
    <cellStyle name="Note 2 7 3 2" xfId="8946"/>
    <cellStyle name="Note 2 7 4" xfId="6432"/>
    <cellStyle name="Note 2 8" xfId="702"/>
    <cellStyle name="Note 2 8 2" xfId="2504"/>
    <cellStyle name="Note 2 8 2 2" xfId="4951"/>
    <cellStyle name="Note 2 8 2 2 2" xfId="10047"/>
    <cellStyle name="Note 2 8 2 3" xfId="7608"/>
    <cellStyle name="Note 2 8 3" xfId="3768"/>
    <cellStyle name="Note 2 8 3 2" xfId="8867"/>
    <cellStyle name="Note 2 8 4" xfId="6348"/>
    <cellStyle name="Note 2 9" xfId="1018"/>
    <cellStyle name="Note 2 9 10" xfId="13986"/>
    <cellStyle name="Note 2 9 11" xfId="13044"/>
    <cellStyle name="Note 2 9 2" xfId="2648"/>
    <cellStyle name="Note 2 9 2 10" xfId="15363"/>
    <cellStyle name="Note 2 9 2 2" xfId="6064"/>
    <cellStyle name="Note 2 9 2 2 2" xfId="11160"/>
    <cellStyle name="Note 2 9 2 2 2 2" xfId="15466"/>
    <cellStyle name="Note 2 9 2 2 2 3" xfId="16545"/>
    <cellStyle name="Note 2 9 2 2 2 4" xfId="17579"/>
    <cellStyle name="Note 2 9 2 2 2 5" xfId="18549"/>
    <cellStyle name="Note 2 9 2 2 2 6" xfId="19455"/>
    <cellStyle name="Note 2 9 2 2 3" xfId="11742"/>
    <cellStyle name="Note 2 9 2 2 3 2" xfId="16048"/>
    <cellStyle name="Note 2 9 2 2 3 3" xfId="17127"/>
    <cellStyle name="Note 2 9 2 2 3 4" xfId="18149"/>
    <cellStyle name="Note 2 9 2 2 3 5" xfId="19119"/>
    <cellStyle name="Note 2 9 2 2 3 6" xfId="20025"/>
    <cellStyle name="Note 2 9 2 2 4" xfId="11914"/>
    <cellStyle name="Note 2 9 2 2 4 2" xfId="16220"/>
    <cellStyle name="Note 2 9 2 2 4 3" xfId="17299"/>
    <cellStyle name="Note 2 9 2 2 4 4" xfId="18317"/>
    <cellStyle name="Note 2 9 2 2 4 5" xfId="19287"/>
    <cellStyle name="Note 2 9 2 2 4 6" xfId="20193"/>
    <cellStyle name="Note 2 9 2 2 5" xfId="13797"/>
    <cellStyle name="Note 2 9 2 2 6" xfId="14131"/>
    <cellStyle name="Note 2 9 2 2 7" xfId="14110"/>
    <cellStyle name="Note 2 9 2 2 8" xfId="16348"/>
    <cellStyle name="Note 2 9 2 2 9" xfId="14350"/>
    <cellStyle name="Note 2 9 2 3" xfId="7751"/>
    <cellStyle name="Note 2 9 2 3 2" xfId="14417"/>
    <cellStyle name="Note 2 9 2 3 3" xfId="13169"/>
    <cellStyle name="Note 2 9 2 3 4" xfId="12897"/>
    <cellStyle name="Note 2 9 2 3 5" xfId="16446"/>
    <cellStyle name="Note 2 9 2 3 6" xfId="13485"/>
    <cellStyle name="Note 2 9 2 4" xfId="11350"/>
    <cellStyle name="Note 2 9 2 4 2" xfId="15656"/>
    <cellStyle name="Note 2 9 2 4 3" xfId="16735"/>
    <cellStyle name="Note 2 9 2 4 4" xfId="17764"/>
    <cellStyle name="Note 2 9 2 4 5" xfId="18734"/>
    <cellStyle name="Note 2 9 2 4 6" xfId="19640"/>
    <cellStyle name="Note 2 9 2 5" xfId="11279"/>
    <cellStyle name="Note 2 9 2 5 2" xfId="15585"/>
    <cellStyle name="Note 2 9 2 5 3" xfId="16664"/>
    <cellStyle name="Note 2 9 2 5 4" xfId="17694"/>
    <cellStyle name="Note 2 9 2 5 5" xfId="18664"/>
    <cellStyle name="Note 2 9 2 5 6" xfId="19570"/>
    <cellStyle name="Note 2 9 2 6" xfId="12718"/>
    <cellStyle name="Note 2 9 2 7" xfId="12192"/>
    <cellStyle name="Note 2 9 2 8" xfId="12124"/>
    <cellStyle name="Note 2 9 2 9" xfId="16445"/>
    <cellStyle name="Note 2 9 3" xfId="5989"/>
    <cellStyle name="Note 2 9 3 2" xfId="11085"/>
    <cellStyle name="Note 2 9 3 2 2" xfId="15391"/>
    <cellStyle name="Note 2 9 3 2 3" xfId="16470"/>
    <cellStyle name="Note 2 9 3 2 4" xfId="17505"/>
    <cellStyle name="Note 2 9 3 2 5" xfId="18475"/>
    <cellStyle name="Note 2 9 3 2 6" xfId="19381"/>
    <cellStyle name="Note 2 9 3 3" xfId="11667"/>
    <cellStyle name="Note 2 9 3 3 2" xfId="15973"/>
    <cellStyle name="Note 2 9 3 3 3" xfId="17052"/>
    <cellStyle name="Note 2 9 3 3 4" xfId="18075"/>
    <cellStyle name="Note 2 9 3 3 5" xfId="19045"/>
    <cellStyle name="Note 2 9 3 3 6" xfId="19951"/>
    <cellStyle name="Note 2 9 3 4" xfId="11839"/>
    <cellStyle name="Note 2 9 3 4 2" xfId="16145"/>
    <cellStyle name="Note 2 9 3 4 3" xfId="17224"/>
    <cellStyle name="Note 2 9 3 4 4" xfId="18243"/>
    <cellStyle name="Note 2 9 3 4 5" xfId="19213"/>
    <cellStyle name="Note 2 9 3 4 6" xfId="20119"/>
    <cellStyle name="Note 2 9 3 5" xfId="13722"/>
    <cellStyle name="Note 2 9 3 6" xfId="13704"/>
    <cellStyle name="Note 2 9 3 7" xfId="13552"/>
    <cellStyle name="Note 2 9 3 8" xfId="16352"/>
    <cellStyle name="Note 2 9 3 9" xfId="12648"/>
    <cellStyle name="Note 2 9 4" xfId="6495"/>
    <cellStyle name="Note 2 9 4 2" xfId="14008"/>
    <cellStyle name="Note 2 9 4 3" xfId="14125"/>
    <cellStyle name="Note 2 9 4 4" xfId="13179"/>
    <cellStyle name="Note 2 9 4 5" xfId="13060"/>
    <cellStyle name="Note 2 9 4 6" xfId="14932"/>
    <cellStyle name="Note 2 9 5" xfId="6143"/>
    <cellStyle name="Note 2 9 5 2" xfId="13876"/>
    <cellStyle name="Note 2 9 5 3" xfId="12373"/>
    <cellStyle name="Note 2 9 5 4" xfId="15326"/>
    <cellStyle name="Note 2 9 5 5" xfId="15184"/>
    <cellStyle name="Note 2 9 5 6" xfId="12060"/>
    <cellStyle name="Note 2 9 6" xfId="6169"/>
    <cellStyle name="Note 2 9 6 2" xfId="13901"/>
    <cellStyle name="Note 2 9 6 3" xfId="13201"/>
    <cellStyle name="Note 2 9 6 4" xfId="13595"/>
    <cellStyle name="Note 2 9 6 5" xfId="14906"/>
    <cellStyle name="Note 2 9 6 6" xfId="17428"/>
    <cellStyle name="Note 2 9 7" xfId="12210"/>
    <cellStyle name="Note 2 9 8" xfId="12674"/>
    <cellStyle name="Note 2 9 9" xfId="15119"/>
    <cellStyle name="Note 3" xfId="452"/>
    <cellStyle name="Note 3 2" xfId="597"/>
    <cellStyle name="Note 3 2 2" xfId="1110"/>
    <cellStyle name="Note 3 2 2 2" xfId="2141"/>
    <cellStyle name="Note 3 2 2 2 2" xfId="3443"/>
    <cellStyle name="Note 3 2 2 2 2 2" xfId="5838"/>
    <cellStyle name="Note 3 2 2 2 2 2 2" xfId="10934"/>
    <cellStyle name="Note 3 2 2 2 2 3" xfId="8546"/>
    <cellStyle name="Note 3 2 2 2 3" xfId="4646"/>
    <cellStyle name="Note 3 2 2 2 3 2" xfId="9742"/>
    <cellStyle name="Note 3 2 2 2 4" xfId="7295"/>
    <cellStyle name="Note 3 2 2 3" xfId="2700"/>
    <cellStyle name="Note 3 2 2 3 10" xfId="15170"/>
    <cellStyle name="Note 3 2 2 3 11" xfId="14767"/>
    <cellStyle name="Note 3 2 2 3 2" xfId="6100"/>
    <cellStyle name="Note 3 2 2 3 2 2" xfId="11196"/>
    <cellStyle name="Note 3 2 2 3 2 2 2" xfId="15502"/>
    <cellStyle name="Note 3 2 2 3 2 2 3" xfId="16581"/>
    <cellStyle name="Note 3 2 2 3 2 2 4" xfId="17615"/>
    <cellStyle name="Note 3 2 2 3 2 2 5" xfId="18585"/>
    <cellStyle name="Note 3 2 2 3 2 2 6" xfId="19491"/>
    <cellStyle name="Note 3 2 2 3 2 3" xfId="11778"/>
    <cellStyle name="Note 3 2 2 3 2 3 2" xfId="16084"/>
    <cellStyle name="Note 3 2 2 3 2 3 3" xfId="17163"/>
    <cellStyle name="Note 3 2 2 3 2 3 4" xfId="18185"/>
    <cellStyle name="Note 3 2 2 3 2 3 5" xfId="19155"/>
    <cellStyle name="Note 3 2 2 3 2 3 6" xfId="20061"/>
    <cellStyle name="Note 3 2 2 3 2 4" xfId="11950"/>
    <cellStyle name="Note 3 2 2 3 2 4 2" xfId="16256"/>
    <cellStyle name="Note 3 2 2 3 2 4 3" xfId="17335"/>
    <cellStyle name="Note 3 2 2 3 2 4 4" xfId="18353"/>
    <cellStyle name="Note 3 2 2 3 2 4 5" xfId="19323"/>
    <cellStyle name="Note 3 2 2 3 2 4 6" xfId="20229"/>
    <cellStyle name="Note 3 2 2 3 2 5" xfId="13833"/>
    <cellStyle name="Note 3 2 2 3 2 6" xfId="13548"/>
    <cellStyle name="Note 3 2 2 3 2 7" xfId="13563"/>
    <cellStyle name="Note 3 2 2 3 2 8" xfId="15350"/>
    <cellStyle name="Note 3 2 2 3 2 9" xfId="15366"/>
    <cellStyle name="Note 3 2 2 3 3" xfId="5108"/>
    <cellStyle name="Note 3 2 2 3 3 2" xfId="10204"/>
    <cellStyle name="Note 3 2 2 3 3 2 2" xfId="15142"/>
    <cellStyle name="Note 3 2 2 3 3 2 3" xfId="14052"/>
    <cellStyle name="Note 3 2 2 3 3 2 4" xfId="12357"/>
    <cellStyle name="Note 3 2 2 3 3 2 5" xfId="12052"/>
    <cellStyle name="Note 3 2 2 3 3 2 6" xfId="14833"/>
    <cellStyle name="Note 3 2 2 3 3 3" xfId="11586"/>
    <cellStyle name="Note 3 2 2 3 3 3 2" xfId="15892"/>
    <cellStyle name="Note 3 2 2 3 3 3 3" xfId="16971"/>
    <cellStyle name="Note 3 2 2 3 3 3 4" xfId="17995"/>
    <cellStyle name="Note 3 2 2 3 3 3 5" xfId="18965"/>
    <cellStyle name="Note 3 2 2 3 3 3 6" xfId="19871"/>
    <cellStyle name="Note 3 2 2 3 3 4" xfId="11243"/>
    <cellStyle name="Note 3 2 2 3 3 4 2" xfId="15549"/>
    <cellStyle name="Note 3 2 2 3 3 4 3" xfId="16628"/>
    <cellStyle name="Note 3 2 2 3 3 4 4" xfId="17660"/>
    <cellStyle name="Note 3 2 2 3 3 4 5" xfId="18630"/>
    <cellStyle name="Note 3 2 2 3 3 4 6" xfId="19536"/>
    <cellStyle name="Note 3 2 2 3 3 5" xfId="13462"/>
    <cellStyle name="Note 3 2 2 3 3 6" xfId="13686"/>
    <cellStyle name="Note 3 2 2 3 3 7" xfId="14562"/>
    <cellStyle name="Note 3 2 2 3 3 8" xfId="13263"/>
    <cellStyle name="Note 3 2 2 3 3 9" xfId="15078"/>
    <cellStyle name="Note 3 2 2 3 4" xfId="7803"/>
    <cellStyle name="Note 3 2 2 3 4 2" xfId="14454"/>
    <cellStyle name="Note 3 2 2 3 4 3" xfId="14508"/>
    <cellStyle name="Note 3 2 2 3 4 4" xfId="14358"/>
    <cellStyle name="Note 3 2 2 3 4 5" xfId="13505"/>
    <cellStyle name="Note 3 2 2 3 4 6" xfId="17474"/>
    <cellStyle name="Note 3 2 2 3 5" xfId="11386"/>
    <cellStyle name="Note 3 2 2 3 5 2" xfId="15692"/>
    <cellStyle name="Note 3 2 2 3 5 3" xfId="16771"/>
    <cellStyle name="Note 3 2 2 3 5 4" xfId="17800"/>
    <cellStyle name="Note 3 2 2 3 5 5" xfId="18770"/>
    <cellStyle name="Note 3 2 2 3 5 6" xfId="19676"/>
    <cellStyle name="Note 3 2 2 3 6" xfId="11429"/>
    <cellStyle name="Note 3 2 2 3 6 2" xfId="15735"/>
    <cellStyle name="Note 3 2 2 3 6 3" xfId="16814"/>
    <cellStyle name="Note 3 2 2 3 6 4" xfId="17842"/>
    <cellStyle name="Note 3 2 2 3 6 5" xfId="18812"/>
    <cellStyle name="Note 3 2 2 3 6 6" xfId="19718"/>
    <cellStyle name="Note 3 2 2 3 7" xfId="12757"/>
    <cellStyle name="Note 3 2 2 3 8" xfId="14618"/>
    <cellStyle name="Note 3 2 2 3 9" xfId="13503"/>
    <cellStyle name="Note 3 2 2 4" xfId="3925"/>
    <cellStyle name="Note 3 2 2 4 2" xfId="9024"/>
    <cellStyle name="Note 3 2 2 4 2 2" xfId="14802"/>
    <cellStyle name="Note 3 2 2 4 2 3" xfId="12163"/>
    <cellStyle name="Note 3 2 2 4 2 4" xfId="12258"/>
    <cellStyle name="Note 3 2 2 4 2 5" xfId="13613"/>
    <cellStyle name="Note 3 2 2 4 2 6" xfId="14490"/>
    <cellStyle name="Note 3 2 2 4 3" xfId="11492"/>
    <cellStyle name="Note 3 2 2 4 3 2" xfId="15798"/>
    <cellStyle name="Note 3 2 2 4 3 3" xfId="16877"/>
    <cellStyle name="Note 3 2 2 4 3 4" xfId="17903"/>
    <cellStyle name="Note 3 2 2 4 3 5" xfId="18873"/>
    <cellStyle name="Note 3 2 2 4 3 6" xfId="19779"/>
    <cellStyle name="Note 3 2 2 4 4" xfId="7155"/>
    <cellStyle name="Note 3 2 2 4 4 2" xfId="14224"/>
    <cellStyle name="Note 3 2 2 4 4 3" xfId="14377"/>
    <cellStyle name="Note 3 2 2 4 4 4" xfId="15048"/>
    <cellStyle name="Note 3 2 2 4 4 5" xfId="15194"/>
    <cellStyle name="Note 3 2 2 4 4 6" xfId="12085"/>
    <cellStyle name="Note 3 2 2 4 5" xfId="13114"/>
    <cellStyle name="Note 3 2 2 4 6" xfId="14947"/>
    <cellStyle name="Note 3 2 2 4 7" xfId="14492"/>
    <cellStyle name="Note 3 2 2 4 8" xfId="17440"/>
    <cellStyle name="Note 3 2 2 4 9" xfId="13444"/>
    <cellStyle name="Note 3 2 3" xfId="1134"/>
    <cellStyle name="Note 3 2 3 10" xfId="14075"/>
    <cellStyle name="Note 3 2 3 11" xfId="14981"/>
    <cellStyle name="Note 3 2 3 2" xfId="2721"/>
    <cellStyle name="Note 3 2 3 2 10" xfId="12808"/>
    <cellStyle name="Note 3 2 3 2 2" xfId="6121"/>
    <cellStyle name="Note 3 2 3 2 2 2" xfId="11217"/>
    <cellStyle name="Note 3 2 3 2 2 2 2" xfId="15523"/>
    <cellStyle name="Note 3 2 3 2 2 2 3" xfId="16602"/>
    <cellStyle name="Note 3 2 3 2 2 2 4" xfId="17636"/>
    <cellStyle name="Note 3 2 3 2 2 2 5" xfId="18606"/>
    <cellStyle name="Note 3 2 3 2 2 2 6" xfId="19512"/>
    <cellStyle name="Note 3 2 3 2 2 3" xfId="11799"/>
    <cellStyle name="Note 3 2 3 2 2 3 2" xfId="16105"/>
    <cellStyle name="Note 3 2 3 2 2 3 3" xfId="17184"/>
    <cellStyle name="Note 3 2 3 2 2 3 4" xfId="18206"/>
    <cellStyle name="Note 3 2 3 2 2 3 5" xfId="19176"/>
    <cellStyle name="Note 3 2 3 2 2 3 6" xfId="20082"/>
    <cellStyle name="Note 3 2 3 2 2 4" xfId="11971"/>
    <cellStyle name="Note 3 2 3 2 2 4 2" xfId="16277"/>
    <cellStyle name="Note 3 2 3 2 2 4 3" xfId="17356"/>
    <cellStyle name="Note 3 2 3 2 2 4 4" xfId="18374"/>
    <cellStyle name="Note 3 2 3 2 2 4 5" xfId="19344"/>
    <cellStyle name="Note 3 2 3 2 2 4 6" xfId="20250"/>
    <cellStyle name="Note 3 2 3 2 2 5" xfId="13854"/>
    <cellStyle name="Note 3 2 3 2 2 6" xfId="13208"/>
    <cellStyle name="Note 3 2 3 2 2 7" xfId="14938"/>
    <cellStyle name="Note 3 2 3 2 2 8" xfId="14843"/>
    <cellStyle name="Note 3 2 3 2 2 9" xfId="12872"/>
    <cellStyle name="Note 3 2 3 2 3" xfId="7824"/>
    <cellStyle name="Note 3 2 3 2 3 2" xfId="14475"/>
    <cellStyle name="Note 3 2 3 2 3 3" xfId="14851"/>
    <cellStyle name="Note 3 2 3 2 3 4" xfId="13437"/>
    <cellStyle name="Note 3 2 3 2 3 5" xfId="14719"/>
    <cellStyle name="Note 3 2 3 2 3 6" xfId="14528"/>
    <cellStyle name="Note 3 2 3 2 4" xfId="11407"/>
    <cellStyle name="Note 3 2 3 2 4 2" xfId="15713"/>
    <cellStyle name="Note 3 2 3 2 4 3" xfId="16792"/>
    <cellStyle name="Note 3 2 3 2 4 4" xfId="17821"/>
    <cellStyle name="Note 3 2 3 2 4 5" xfId="18791"/>
    <cellStyle name="Note 3 2 3 2 4 6" xfId="19697"/>
    <cellStyle name="Note 3 2 3 2 5" xfId="11525"/>
    <cellStyle name="Note 3 2 3 2 5 2" xfId="15831"/>
    <cellStyle name="Note 3 2 3 2 5 3" xfId="16910"/>
    <cellStyle name="Note 3 2 3 2 5 4" xfId="17935"/>
    <cellStyle name="Note 3 2 3 2 5 5" xfId="18905"/>
    <cellStyle name="Note 3 2 3 2 5 6" xfId="19811"/>
    <cellStyle name="Note 3 2 3 2 6" xfId="12778"/>
    <cellStyle name="Note 3 2 3 2 7" xfId="13940"/>
    <cellStyle name="Note 3 2 3 2 8" xfId="13197"/>
    <cellStyle name="Note 3 2 3 2 9" xfId="12799"/>
    <cellStyle name="Note 3 2 3 3" xfId="6011"/>
    <cellStyle name="Note 3 2 3 3 2" xfId="11107"/>
    <cellStyle name="Note 3 2 3 3 2 2" xfId="15413"/>
    <cellStyle name="Note 3 2 3 3 2 3" xfId="16492"/>
    <cellStyle name="Note 3 2 3 3 2 4" xfId="17527"/>
    <cellStyle name="Note 3 2 3 3 2 5" xfId="18497"/>
    <cellStyle name="Note 3 2 3 3 2 6" xfId="19403"/>
    <cellStyle name="Note 3 2 3 3 3" xfId="11689"/>
    <cellStyle name="Note 3 2 3 3 3 2" xfId="15995"/>
    <cellStyle name="Note 3 2 3 3 3 3" xfId="17074"/>
    <cellStyle name="Note 3 2 3 3 3 4" xfId="18097"/>
    <cellStyle name="Note 3 2 3 3 3 5" xfId="19067"/>
    <cellStyle name="Note 3 2 3 3 3 6" xfId="19973"/>
    <cellStyle name="Note 3 2 3 3 4" xfId="11861"/>
    <cellStyle name="Note 3 2 3 3 4 2" xfId="16167"/>
    <cellStyle name="Note 3 2 3 3 4 3" xfId="17246"/>
    <cellStyle name="Note 3 2 3 3 4 4" xfId="18265"/>
    <cellStyle name="Note 3 2 3 3 4 5" xfId="19235"/>
    <cellStyle name="Note 3 2 3 3 4 6" xfId="20141"/>
    <cellStyle name="Note 3 2 3 3 5" xfId="13744"/>
    <cellStyle name="Note 3 2 3 3 6" xfId="14687"/>
    <cellStyle name="Note 3 2 3 3 7" xfId="14073"/>
    <cellStyle name="Note 3 2 3 3 8" xfId="14184"/>
    <cellStyle name="Note 3 2 3 3 9" xfId="14675"/>
    <cellStyle name="Note 3 2 3 4" xfId="6536"/>
    <cellStyle name="Note 3 2 3 4 2" xfId="14039"/>
    <cellStyle name="Note 3 2 3 4 3" xfId="14874"/>
    <cellStyle name="Note 3 2 3 4 4" xfId="13484"/>
    <cellStyle name="Note 3 2 3 4 5" xfId="16423"/>
    <cellStyle name="Note 3 2 3 4 6" xfId="18405"/>
    <cellStyle name="Note 3 2 3 5" xfId="6150"/>
    <cellStyle name="Note 3 2 3 5 2" xfId="13882"/>
    <cellStyle name="Note 3 2 3 5 3" xfId="12844"/>
    <cellStyle name="Note 3 2 3 5 4" xfId="12186"/>
    <cellStyle name="Note 3 2 3 5 5" xfId="17411"/>
    <cellStyle name="Note 3 2 3 5 6" xfId="14359"/>
    <cellStyle name="Note 3 2 3 6" xfId="11296"/>
    <cellStyle name="Note 3 2 3 6 2" xfId="15602"/>
    <cellStyle name="Note 3 2 3 6 3" xfId="16681"/>
    <cellStyle name="Note 3 2 3 6 4" xfId="17710"/>
    <cellStyle name="Note 3 2 3 6 5" xfId="18680"/>
    <cellStyle name="Note 3 2 3 6 6" xfId="19586"/>
    <cellStyle name="Note 3 2 3 7" xfId="12263"/>
    <cellStyle name="Note 3 2 3 8" xfId="169"/>
    <cellStyle name="Note 3 2 3 9" xfId="12045"/>
    <cellStyle name="Note 3 2 4" xfId="2140"/>
    <cellStyle name="Note 3 2 4 2" xfId="3442"/>
    <cellStyle name="Note 3 2 4 2 2" xfId="5837"/>
    <cellStyle name="Note 3 2 4 2 2 2" xfId="10933"/>
    <cellStyle name="Note 3 2 4 2 3" xfId="8545"/>
    <cellStyle name="Note 3 2 4 3" xfId="4645"/>
    <cellStyle name="Note 3 2 4 3 2" xfId="9741"/>
    <cellStyle name="Note 3 2 4 4" xfId="7294"/>
    <cellStyle name="Note 3 2 5" xfId="2403"/>
    <cellStyle name="Note 3 2 5 2" xfId="4850"/>
    <cellStyle name="Note 3 2 5 2 2" xfId="9946"/>
    <cellStyle name="Note 3 2 5 3" xfId="7507"/>
    <cellStyle name="Note 3 2 6" xfId="3667"/>
    <cellStyle name="Note 3 2 6 2" xfId="8766"/>
    <cellStyle name="Note 3 2 7" xfId="6247"/>
    <cellStyle name="Note 3 3" xfId="553"/>
    <cellStyle name="Note 3 3 2" xfId="2142"/>
    <cellStyle name="Note 3 3 2 2" xfId="3444"/>
    <cellStyle name="Note 3 3 2 2 2" xfId="5839"/>
    <cellStyle name="Note 3 3 2 2 2 2" xfId="10935"/>
    <cellStyle name="Note 3 3 2 2 3" xfId="8547"/>
    <cellStyle name="Note 3 3 2 3" xfId="4647"/>
    <cellStyle name="Note 3 3 2 3 2" xfId="9743"/>
    <cellStyle name="Note 3 3 2 4" xfId="7296"/>
    <cellStyle name="Note 3 3 3" xfId="2359"/>
    <cellStyle name="Note 3 3 3 2" xfId="4806"/>
    <cellStyle name="Note 3 3 3 2 2" xfId="9902"/>
    <cellStyle name="Note 3 3 3 3" xfId="7463"/>
    <cellStyle name="Note 3 3 4" xfId="3623"/>
    <cellStyle name="Note 3 3 4 2" xfId="8722"/>
    <cellStyle name="Note 3 3 5" xfId="6203"/>
    <cellStyle name="Note 3 4" xfId="893"/>
    <cellStyle name="Note 3 4 2" xfId="2143"/>
    <cellStyle name="Note 3 4 2 2" xfId="3445"/>
    <cellStyle name="Note 3 4 2 2 2" xfId="5840"/>
    <cellStyle name="Note 3 4 2 2 2 2" xfId="10936"/>
    <cellStyle name="Note 3 4 2 2 3" xfId="8548"/>
    <cellStyle name="Note 3 4 2 3" xfId="4648"/>
    <cellStyle name="Note 3 4 2 3 2" xfId="9744"/>
    <cellStyle name="Note 3 4 2 4" xfId="7297"/>
    <cellStyle name="Note 3 4 3" xfId="2598"/>
    <cellStyle name="Note 3 4 3 2" xfId="5042"/>
    <cellStyle name="Note 3 4 3 2 2" xfId="10138"/>
    <cellStyle name="Note 3 4 3 3" xfId="7701"/>
    <cellStyle name="Note 3 4 4" xfId="3859"/>
    <cellStyle name="Note 3 4 4 2" xfId="8958"/>
    <cellStyle name="Note 3 4 5" xfId="6444"/>
    <cellStyle name="Note 3 5" xfId="541"/>
    <cellStyle name="Note 3 5 2" xfId="2350"/>
    <cellStyle name="Note 3 5 2 2" xfId="4797"/>
    <cellStyle name="Note 3 5 2 2 2" xfId="9893"/>
    <cellStyle name="Note 3 5 2 3" xfId="7454"/>
    <cellStyle name="Note 3 5 3" xfId="3614"/>
    <cellStyle name="Note 3 5 3 2" xfId="8713"/>
    <cellStyle name="Note 3 5 4" xfId="6194"/>
    <cellStyle name="Note 3 6" xfId="1019"/>
    <cellStyle name="Note 3 6 10" xfId="12395"/>
    <cellStyle name="Note 3 6 11" xfId="12157"/>
    <cellStyle name="Note 3 6 2" xfId="2649"/>
    <cellStyle name="Note 3 6 2 10" xfId="12111"/>
    <cellStyle name="Note 3 6 2 2" xfId="6065"/>
    <cellStyle name="Note 3 6 2 2 2" xfId="11161"/>
    <cellStyle name="Note 3 6 2 2 2 2" xfId="15467"/>
    <cellStyle name="Note 3 6 2 2 2 3" xfId="16546"/>
    <cellStyle name="Note 3 6 2 2 2 4" xfId="17580"/>
    <cellStyle name="Note 3 6 2 2 2 5" xfId="18550"/>
    <cellStyle name="Note 3 6 2 2 2 6" xfId="19456"/>
    <cellStyle name="Note 3 6 2 2 3" xfId="11743"/>
    <cellStyle name="Note 3 6 2 2 3 2" xfId="16049"/>
    <cellStyle name="Note 3 6 2 2 3 3" xfId="17128"/>
    <cellStyle name="Note 3 6 2 2 3 4" xfId="18150"/>
    <cellStyle name="Note 3 6 2 2 3 5" xfId="19120"/>
    <cellStyle name="Note 3 6 2 2 3 6" xfId="20026"/>
    <cellStyle name="Note 3 6 2 2 4" xfId="11915"/>
    <cellStyle name="Note 3 6 2 2 4 2" xfId="16221"/>
    <cellStyle name="Note 3 6 2 2 4 3" xfId="17300"/>
    <cellStyle name="Note 3 6 2 2 4 4" xfId="18318"/>
    <cellStyle name="Note 3 6 2 2 4 5" xfId="19288"/>
    <cellStyle name="Note 3 6 2 2 4 6" xfId="20194"/>
    <cellStyle name="Note 3 6 2 2 5" xfId="13798"/>
    <cellStyle name="Note 3 6 2 2 6" xfId="14884"/>
    <cellStyle name="Note 3 6 2 2 7" xfId="12107"/>
    <cellStyle name="Note 3 6 2 2 8" xfId="14930"/>
    <cellStyle name="Note 3 6 2 2 9" xfId="15334"/>
    <cellStyle name="Note 3 6 2 3" xfId="7752"/>
    <cellStyle name="Note 3 6 2 3 2" xfId="14418"/>
    <cellStyle name="Note 3 6 2 3 3" xfId="14512"/>
    <cellStyle name="Note 3 6 2 3 4" xfId="15069"/>
    <cellStyle name="Note 3 6 2 3 5" xfId="14711"/>
    <cellStyle name="Note 3 6 2 3 6" xfId="12287"/>
    <cellStyle name="Note 3 6 2 4" xfId="11351"/>
    <cellStyle name="Note 3 6 2 4 2" xfId="15657"/>
    <cellStyle name="Note 3 6 2 4 3" xfId="16736"/>
    <cellStyle name="Note 3 6 2 4 4" xfId="17765"/>
    <cellStyle name="Note 3 6 2 4 5" xfId="18735"/>
    <cellStyle name="Note 3 6 2 4 6" xfId="19641"/>
    <cellStyle name="Note 3 6 2 5" xfId="11539"/>
    <cellStyle name="Note 3 6 2 5 2" xfId="15845"/>
    <cellStyle name="Note 3 6 2 5 3" xfId="16924"/>
    <cellStyle name="Note 3 6 2 5 4" xfId="17949"/>
    <cellStyle name="Note 3 6 2 5 5" xfId="18919"/>
    <cellStyle name="Note 3 6 2 5 6" xfId="19825"/>
    <cellStyle name="Note 3 6 2 6" xfId="12719"/>
    <cellStyle name="Note 3 6 2 7" xfId="12105"/>
    <cellStyle name="Note 3 6 2 8" xfId="12570"/>
    <cellStyle name="Note 3 6 2 9" xfId="14234"/>
    <cellStyle name="Note 3 6 3" xfId="5990"/>
    <cellStyle name="Note 3 6 3 2" xfId="11086"/>
    <cellStyle name="Note 3 6 3 2 2" xfId="15392"/>
    <cellStyle name="Note 3 6 3 2 3" xfId="16471"/>
    <cellStyle name="Note 3 6 3 2 4" xfId="17506"/>
    <cellStyle name="Note 3 6 3 2 5" xfId="18476"/>
    <cellStyle name="Note 3 6 3 2 6" xfId="19382"/>
    <cellStyle name="Note 3 6 3 3" xfId="11668"/>
    <cellStyle name="Note 3 6 3 3 2" xfId="15974"/>
    <cellStyle name="Note 3 6 3 3 3" xfId="17053"/>
    <cellStyle name="Note 3 6 3 3 4" xfId="18076"/>
    <cellStyle name="Note 3 6 3 3 5" xfId="19046"/>
    <cellStyle name="Note 3 6 3 3 6" xfId="19952"/>
    <cellStyle name="Note 3 6 3 4" xfId="11840"/>
    <cellStyle name="Note 3 6 3 4 2" xfId="16146"/>
    <cellStyle name="Note 3 6 3 4 3" xfId="17225"/>
    <cellStyle name="Note 3 6 3 4 4" xfId="18244"/>
    <cellStyle name="Note 3 6 3 4 5" xfId="19214"/>
    <cellStyle name="Note 3 6 3 4 6" xfId="20120"/>
    <cellStyle name="Note 3 6 3 5" xfId="13723"/>
    <cellStyle name="Note 3 6 3 6" xfId="13004"/>
    <cellStyle name="Note 3 6 3 7" xfId="15292"/>
    <cellStyle name="Note 3 6 3 8" xfId="12295"/>
    <cellStyle name="Note 3 6 3 9" xfId="14372"/>
    <cellStyle name="Note 3 6 4" xfId="6496"/>
    <cellStyle name="Note 3 6 4 2" xfId="14009"/>
    <cellStyle name="Note 3 6 4 3" xfId="14876"/>
    <cellStyle name="Note 3 6 4 4" xfId="13070"/>
    <cellStyle name="Note 3 6 4 5" xfId="14516"/>
    <cellStyle name="Note 3 6 4 6" xfId="18408"/>
    <cellStyle name="Note 3 6 5" xfId="6690"/>
    <cellStyle name="Note 3 6 5 2" xfId="14093"/>
    <cellStyle name="Note 3 6 5 3" xfId="14868"/>
    <cellStyle name="Note 3 6 5 4" xfId="14837"/>
    <cellStyle name="Note 3 6 5 5" xfId="14397"/>
    <cellStyle name="Note 3 6 5 6" xfId="14927"/>
    <cellStyle name="Note 3 6 6" xfId="11555"/>
    <cellStyle name="Note 3 6 6 2" xfId="15861"/>
    <cellStyle name="Note 3 6 6 3" xfId="16940"/>
    <cellStyle name="Note 3 6 6 4" xfId="17965"/>
    <cellStyle name="Note 3 6 6 5" xfId="18935"/>
    <cellStyle name="Note 3 6 6 6" xfId="19841"/>
    <cellStyle name="Note 3 6 7" xfId="12211"/>
    <cellStyle name="Note 3 6 8" xfId="12119"/>
    <cellStyle name="Note 3 6 9" xfId="14030"/>
    <cellStyle name="Note 3 7" xfId="2139"/>
    <cellStyle name="Note 3 7 2" xfId="3441"/>
    <cellStyle name="Note 3 7 2 2" xfId="5836"/>
    <cellStyle name="Note 3 7 2 2 2" xfId="10932"/>
    <cellStyle name="Note 3 7 2 3" xfId="8544"/>
    <cellStyle name="Note 3 7 3" xfId="4644"/>
    <cellStyle name="Note 3 7 3 2" xfId="9740"/>
    <cellStyle name="Note 3 7 4" xfId="7293"/>
    <cellStyle name="Note 4" xfId="453"/>
    <cellStyle name="Note 4 2" xfId="786"/>
    <cellStyle name="Note 4 2 2" xfId="1111"/>
    <cellStyle name="Note 4 2 2 2" xfId="2701"/>
    <cellStyle name="Note 4 2 2 2 10" xfId="15052"/>
    <cellStyle name="Note 4 2 2 2 11" xfId="18435"/>
    <cellStyle name="Note 4 2 2 2 2" xfId="6101"/>
    <cellStyle name="Note 4 2 2 2 2 2" xfId="11197"/>
    <cellStyle name="Note 4 2 2 2 2 2 2" xfId="15503"/>
    <cellStyle name="Note 4 2 2 2 2 2 3" xfId="16582"/>
    <cellStyle name="Note 4 2 2 2 2 2 4" xfId="17616"/>
    <cellStyle name="Note 4 2 2 2 2 2 5" xfId="18586"/>
    <cellStyle name="Note 4 2 2 2 2 2 6" xfId="19492"/>
    <cellStyle name="Note 4 2 2 2 2 3" xfId="11779"/>
    <cellStyle name="Note 4 2 2 2 2 3 2" xfId="16085"/>
    <cellStyle name="Note 4 2 2 2 2 3 3" xfId="17164"/>
    <cellStyle name="Note 4 2 2 2 2 3 4" xfId="18186"/>
    <cellStyle name="Note 4 2 2 2 2 3 5" xfId="19156"/>
    <cellStyle name="Note 4 2 2 2 2 3 6" xfId="20062"/>
    <cellStyle name="Note 4 2 2 2 2 4" xfId="11951"/>
    <cellStyle name="Note 4 2 2 2 2 4 2" xfId="16257"/>
    <cellStyle name="Note 4 2 2 2 2 4 3" xfId="17336"/>
    <cellStyle name="Note 4 2 2 2 2 4 4" xfId="18354"/>
    <cellStyle name="Note 4 2 2 2 2 4 5" xfId="19324"/>
    <cellStyle name="Note 4 2 2 2 2 4 6" xfId="20230"/>
    <cellStyle name="Note 4 2 2 2 2 5" xfId="13834"/>
    <cellStyle name="Note 4 2 2 2 2 6" xfId="12855"/>
    <cellStyle name="Note 4 2 2 2 2 7" xfId="13066"/>
    <cellStyle name="Note 4 2 2 2 2 8" xfId="15298"/>
    <cellStyle name="Note 4 2 2 2 2 9" xfId="14048"/>
    <cellStyle name="Note 4 2 2 2 3" xfId="5109"/>
    <cellStyle name="Note 4 2 2 2 3 2" xfId="10205"/>
    <cellStyle name="Note 4 2 2 2 3 2 2" xfId="15143"/>
    <cellStyle name="Note 4 2 2 2 3 2 3" xfId="14826"/>
    <cellStyle name="Note 4 2 2 2 3 2 4" xfId="14068"/>
    <cellStyle name="Note 4 2 2 2 3 2 5" xfId="12153"/>
    <cellStyle name="Note 4 2 2 2 3 2 6" xfId="13247"/>
    <cellStyle name="Note 4 2 2 2 3 3" xfId="11587"/>
    <cellStyle name="Note 4 2 2 2 3 3 2" xfId="15893"/>
    <cellStyle name="Note 4 2 2 2 3 3 3" xfId="16972"/>
    <cellStyle name="Note 4 2 2 2 3 3 4" xfId="17996"/>
    <cellStyle name="Note 4 2 2 2 3 3 5" xfId="18966"/>
    <cellStyle name="Note 4 2 2 2 3 3 6" xfId="19872"/>
    <cellStyle name="Note 4 2 2 2 3 4" xfId="6723"/>
    <cellStyle name="Note 4 2 2 2 3 4 2" xfId="14108"/>
    <cellStyle name="Note 4 2 2 2 3 4 3" xfId="14865"/>
    <cellStyle name="Note 4 2 2 2 3 4 4" xfId="12292"/>
    <cellStyle name="Note 4 2 2 2 3 4 5" xfId="14905"/>
    <cellStyle name="Note 4 2 2 2 3 4 6" xfId="18402"/>
    <cellStyle name="Note 4 2 2 2 3 5" xfId="13463"/>
    <cellStyle name="Note 4 2 2 2 3 6" xfId="12986"/>
    <cellStyle name="Note 4 2 2 2 3 7" xfId="14958"/>
    <cellStyle name="Note 4 2 2 2 3 8" xfId="14667"/>
    <cellStyle name="Note 4 2 2 2 3 9" xfId="17445"/>
    <cellStyle name="Note 4 2 2 2 4" xfId="7804"/>
    <cellStyle name="Note 4 2 2 2 4 2" xfId="14455"/>
    <cellStyle name="Note 4 2 2 2 4 3" xfId="15188"/>
    <cellStyle name="Note 4 2 2 2 4 4" xfId="16306"/>
    <cellStyle name="Note 4 2 2 2 4 5" xfId="14842"/>
    <cellStyle name="Note 4 2 2 2 4 6" xfId="12877"/>
    <cellStyle name="Note 4 2 2 2 5" xfId="11387"/>
    <cellStyle name="Note 4 2 2 2 5 2" xfId="15693"/>
    <cellStyle name="Note 4 2 2 2 5 3" xfId="16772"/>
    <cellStyle name="Note 4 2 2 2 5 4" xfId="17801"/>
    <cellStyle name="Note 4 2 2 2 5 5" xfId="18771"/>
    <cellStyle name="Note 4 2 2 2 5 6" xfId="19677"/>
    <cellStyle name="Note 4 2 2 2 6" xfId="11530"/>
    <cellStyle name="Note 4 2 2 2 6 2" xfId="15836"/>
    <cellStyle name="Note 4 2 2 2 6 3" xfId="16915"/>
    <cellStyle name="Note 4 2 2 2 6 4" xfId="17940"/>
    <cellStyle name="Note 4 2 2 2 6 5" xfId="18910"/>
    <cellStyle name="Note 4 2 2 2 6 6" xfId="19816"/>
    <cellStyle name="Note 4 2 2 2 7" xfId="12758"/>
    <cellStyle name="Note 4 2 2 2 8" xfId="15301"/>
    <cellStyle name="Note 4 2 2 2 9" xfId="16396"/>
    <cellStyle name="Note 4 2 2 3" xfId="3926"/>
    <cellStyle name="Note 4 2 2 3 2" xfId="9025"/>
    <cellStyle name="Note 4 2 2 3 2 2" xfId="14803"/>
    <cellStyle name="Note 4 2 2 3 2 3" xfId="151"/>
    <cellStyle name="Note 4 2 2 3 2 4" xfId="15344"/>
    <cellStyle name="Note 4 2 2 3 2 5" xfId="13144"/>
    <cellStyle name="Note 4 2 2 3 2 6" xfId="14116"/>
    <cellStyle name="Note 4 2 2 3 3" xfId="11493"/>
    <cellStyle name="Note 4 2 2 3 3 2" xfId="15799"/>
    <cellStyle name="Note 4 2 2 3 3 3" xfId="16878"/>
    <cellStyle name="Note 4 2 2 3 3 4" xfId="17904"/>
    <cellStyle name="Note 4 2 2 3 3 5" xfId="18874"/>
    <cellStyle name="Note 4 2 2 3 3 6" xfId="19780"/>
    <cellStyle name="Note 4 2 2 3 4" xfId="7156"/>
    <cellStyle name="Note 4 2 2 3 4 2" xfId="14225"/>
    <cellStyle name="Note 4 2 2 3 4 3" xfId="15096"/>
    <cellStyle name="Note 4 2 2 3 4 4" xfId="14332"/>
    <cellStyle name="Note 4 2 2 3 4 5" xfId="13311"/>
    <cellStyle name="Note 4 2 2 3 4 6" xfId="14863"/>
    <cellStyle name="Note 4 2 2 3 5" xfId="13115"/>
    <cellStyle name="Note 4 2 2 3 6" xfId="13252"/>
    <cellStyle name="Note 4 2 2 3 7" xfId="13242"/>
    <cellStyle name="Note 4 2 2 3 8" xfId="15340"/>
    <cellStyle name="Note 4 2 2 3 9" xfId="150"/>
    <cellStyle name="Note 4 2 3" xfId="1135"/>
    <cellStyle name="Note 4 2 3 10" xfId="16307"/>
    <cellStyle name="Note 4 2 3 11" xfId="15028"/>
    <cellStyle name="Note 4 2 3 2" xfId="2722"/>
    <cellStyle name="Note 4 2 3 2 10" xfId="15181"/>
    <cellStyle name="Note 4 2 3 2 2" xfId="6122"/>
    <cellStyle name="Note 4 2 3 2 2 2" xfId="11218"/>
    <cellStyle name="Note 4 2 3 2 2 2 2" xfId="15524"/>
    <cellStyle name="Note 4 2 3 2 2 2 3" xfId="16603"/>
    <cellStyle name="Note 4 2 3 2 2 2 4" xfId="17637"/>
    <cellStyle name="Note 4 2 3 2 2 2 5" xfId="18607"/>
    <cellStyle name="Note 4 2 3 2 2 2 6" xfId="19513"/>
    <cellStyle name="Note 4 2 3 2 2 3" xfId="11800"/>
    <cellStyle name="Note 4 2 3 2 2 3 2" xfId="16106"/>
    <cellStyle name="Note 4 2 3 2 2 3 3" xfId="17185"/>
    <cellStyle name="Note 4 2 3 2 2 3 4" xfId="18207"/>
    <cellStyle name="Note 4 2 3 2 2 3 5" xfId="19177"/>
    <cellStyle name="Note 4 2 3 2 2 3 6" xfId="20083"/>
    <cellStyle name="Note 4 2 3 2 2 4" xfId="11972"/>
    <cellStyle name="Note 4 2 3 2 2 4 2" xfId="16278"/>
    <cellStyle name="Note 4 2 3 2 2 4 3" xfId="17357"/>
    <cellStyle name="Note 4 2 3 2 2 4 4" xfId="18375"/>
    <cellStyle name="Note 4 2 3 2 2 4 5" xfId="19345"/>
    <cellStyle name="Note 4 2 3 2 2 4 6" xfId="20251"/>
    <cellStyle name="Note 4 2 3 2 2 5" xfId="13855"/>
    <cellStyle name="Note 4 2 3 2 2 6" xfId="14551"/>
    <cellStyle name="Note 4 2 3 2 2 7" xfId="13162"/>
    <cellStyle name="Note 4 2 3 2 2 8" xfId="12960"/>
    <cellStyle name="Note 4 2 3 2 2 9" xfId="18418"/>
    <cellStyle name="Note 4 2 3 2 3" xfId="7825"/>
    <cellStyle name="Note 4 2 3 2 3 2" xfId="14476"/>
    <cellStyle name="Note 4 2 3 2 3 3" xfId="13166"/>
    <cellStyle name="Note 4 2 3 2 3 4" xfId="14944"/>
    <cellStyle name="Note 4 2 3 2 3 5" xfId="15110"/>
    <cellStyle name="Note 4 2 3 2 3 6" xfId="12509"/>
    <cellStyle name="Note 4 2 3 2 4" xfId="11408"/>
    <cellStyle name="Note 4 2 3 2 4 2" xfId="15714"/>
    <cellStyle name="Note 4 2 3 2 4 3" xfId="16793"/>
    <cellStyle name="Note 4 2 3 2 4 4" xfId="17822"/>
    <cellStyle name="Note 4 2 3 2 4 5" xfId="18792"/>
    <cellStyle name="Note 4 2 3 2 4 6" xfId="19698"/>
    <cellStyle name="Note 4 2 3 2 5" xfId="11616"/>
    <cellStyle name="Note 4 2 3 2 5 2" xfId="15922"/>
    <cellStyle name="Note 4 2 3 2 5 3" xfId="17001"/>
    <cellStyle name="Note 4 2 3 2 5 4" xfId="18025"/>
    <cellStyle name="Note 4 2 3 2 5 5" xfId="18995"/>
    <cellStyle name="Note 4 2 3 2 5 6" xfId="19901"/>
    <cellStyle name="Note 4 2 3 2 6" xfId="12779"/>
    <cellStyle name="Note 4 2 3 2 7" xfId="14742"/>
    <cellStyle name="Note 4 2 3 2 8" xfId="13987"/>
    <cellStyle name="Note 4 2 3 2 9" xfId="14084"/>
    <cellStyle name="Note 4 2 3 3" xfId="6012"/>
    <cellStyle name="Note 4 2 3 3 2" xfId="11108"/>
    <cellStyle name="Note 4 2 3 3 2 2" xfId="15414"/>
    <cellStyle name="Note 4 2 3 3 2 3" xfId="16493"/>
    <cellStyle name="Note 4 2 3 3 2 4" xfId="17528"/>
    <cellStyle name="Note 4 2 3 3 2 5" xfId="18498"/>
    <cellStyle name="Note 4 2 3 3 2 6" xfId="19404"/>
    <cellStyle name="Note 4 2 3 3 3" xfId="11690"/>
    <cellStyle name="Note 4 2 3 3 3 2" xfId="15996"/>
    <cellStyle name="Note 4 2 3 3 3 3" xfId="17075"/>
    <cellStyle name="Note 4 2 3 3 3 4" xfId="18098"/>
    <cellStyle name="Note 4 2 3 3 3 5" xfId="19068"/>
    <cellStyle name="Note 4 2 3 3 3 6" xfId="19974"/>
    <cellStyle name="Note 4 2 3 3 4" xfId="11862"/>
    <cellStyle name="Note 4 2 3 3 4 2" xfId="16168"/>
    <cellStyle name="Note 4 2 3 3 4 3" xfId="17247"/>
    <cellStyle name="Note 4 2 3 3 4 4" xfId="18266"/>
    <cellStyle name="Note 4 2 3 3 4 5" xfId="19236"/>
    <cellStyle name="Note 4 2 3 3 4 6" xfId="20142"/>
    <cellStyle name="Note 4 2 3 3 5" xfId="13745"/>
    <cellStyle name="Note 4 2 3 3 6" xfId="15369"/>
    <cellStyle name="Note 4 2 3 3 7" xfId="16448"/>
    <cellStyle name="Note 4 2 3 3 8" xfId="14193"/>
    <cellStyle name="Note 4 2 3 3 9" xfId="14940"/>
    <cellStyle name="Note 4 2 3 4" xfId="6537"/>
    <cellStyle name="Note 4 2 3 4 2" xfId="14040"/>
    <cellStyle name="Note 4 2 3 4 3" xfId="13186"/>
    <cellStyle name="Note 4 2 3 4 4" xfId="14186"/>
    <cellStyle name="Note 4 2 3 4 5" xfId="14396"/>
    <cellStyle name="Note 4 2 3 4 6" xfId="14998"/>
    <cellStyle name="Note 4 2 3 5" xfId="6585"/>
    <cellStyle name="Note 4 2 3 5 2" xfId="14061"/>
    <cellStyle name="Note 4 2 3 5 3" xfId="14531"/>
    <cellStyle name="Note 4 2 3 5 4" xfId="12308"/>
    <cellStyle name="Note 4 2 3 5 5" xfId="14269"/>
    <cellStyle name="Note 4 2 3 5 6" xfId="13583"/>
    <cellStyle name="Note 4 2 3 6" xfId="6168"/>
    <cellStyle name="Note 4 2 3 6 2" xfId="13900"/>
    <cellStyle name="Note 4 2 3 6 3" xfId="14889"/>
    <cellStyle name="Note 4 2 3 6 4" xfId="13418"/>
    <cellStyle name="Note 4 2 3 6 5" xfId="14961"/>
    <cellStyle name="Note 4 2 3 6 6" xfId="18415"/>
    <cellStyle name="Note 4 2 3 7" xfId="12264"/>
    <cellStyle name="Note 4 2 3 8" xfId="14051"/>
    <cellStyle name="Note 4 2 3 9" xfId="14529"/>
    <cellStyle name="Note 4 2 4" xfId="2145"/>
    <cellStyle name="Note 4 2 5" xfId="2567"/>
    <cellStyle name="Note 4 2 5 2" xfId="5014"/>
    <cellStyle name="Note 4 2 5 2 2" xfId="10110"/>
    <cellStyle name="Note 4 2 5 3" xfId="7671"/>
    <cellStyle name="Note 4 2 6" xfId="3831"/>
    <cellStyle name="Note 4 2 6 2" xfId="8930"/>
    <cellStyle name="Note 4 2 7" xfId="6411"/>
    <cellStyle name="Note 4 3" xfId="754"/>
    <cellStyle name="Note 4 3 2" xfId="2146"/>
    <cellStyle name="Note 4 3 2 2" xfId="3447"/>
    <cellStyle name="Note 4 3 2 2 2" xfId="5842"/>
    <cellStyle name="Note 4 3 2 2 2 2" xfId="10938"/>
    <cellStyle name="Note 4 3 2 2 3" xfId="8550"/>
    <cellStyle name="Note 4 3 2 3" xfId="4650"/>
    <cellStyle name="Note 4 3 2 3 2" xfId="9746"/>
    <cellStyle name="Note 4 3 2 4" xfId="7299"/>
    <cellStyle name="Note 4 3 3" xfId="2537"/>
    <cellStyle name="Note 4 3 3 2" xfId="4984"/>
    <cellStyle name="Note 4 3 3 2 2" xfId="10080"/>
    <cellStyle name="Note 4 3 3 3" xfId="7641"/>
    <cellStyle name="Note 4 3 4" xfId="3801"/>
    <cellStyle name="Note 4 3 4 2" xfId="8900"/>
    <cellStyle name="Note 4 3 5" xfId="6381"/>
    <cellStyle name="Note 4 4" xfId="775"/>
    <cellStyle name="Note 4 4 2" xfId="2556"/>
    <cellStyle name="Note 4 4 2 2" xfId="5003"/>
    <cellStyle name="Note 4 4 2 2 2" xfId="10099"/>
    <cellStyle name="Note 4 4 2 3" xfId="7660"/>
    <cellStyle name="Note 4 4 3" xfId="3820"/>
    <cellStyle name="Note 4 4 3 2" xfId="8919"/>
    <cellStyle name="Note 4 4 4" xfId="6400"/>
    <cellStyle name="Note 4 5" xfId="676"/>
    <cellStyle name="Note 4 5 2" xfId="2479"/>
    <cellStyle name="Note 4 5 2 2" xfId="4926"/>
    <cellStyle name="Note 4 5 2 2 2" xfId="10022"/>
    <cellStyle name="Note 4 5 2 3" xfId="7583"/>
    <cellStyle name="Note 4 5 3" xfId="3743"/>
    <cellStyle name="Note 4 5 3 2" xfId="8842"/>
    <cellStyle name="Note 4 5 4" xfId="6323"/>
    <cellStyle name="Note 4 6" xfId="1020"/>
    <cellStyle name="Note 4 6 10" xfId="13227"/>
    <cellStyle name="Note 4 6 11" xfId="16407"/>
    <cellStyle name="Note 4 6 2" xfId="2650"/>
    <cellStyle name="Note 4 6 2 10" xfId="13157"/>
    <cellStyle name="Note 4 6 2 2" xfId="6066"/>
    <cellStyle name="Note 4 6 2 2 2" xfId="11162"/>
    <cellStyle name="Note 4 6 2 2 2 2" xfId="15468"/>
    <cellStyle name="Note 4 6 2 2 2 3" xfId="16547"/>
    <cellStyle name="Note 4 6 2 2 2 4" xfId="17581"/>
    <cellStyle name="Note 4 6 2 2 2 5" xfId="18551"/>
    <cellStyle name="Note 4 6 2 2 2 6" xfId="19457"/>
    <cellStyle name="Note 4 6 2 2 3" xfId="11744"/>
    <cellStyle name="Note 4 6 2 2 3 2" xfId="16050"/>
    <cellStyle name="Note 4 6 2 2 3 3" xfId="17129"/>
    <cellStyle name="Note 4 6 2 2 3 4" xfId="18151"/>
    <cellStyle name="Note 4 6 2 2 3 5" xfId="19121"/>
    <cellStyle name="Note 4 6 2 2 3 6" xfId="20027"/>
    <cellStyle name="Note 4 6 2 2 4" xfId="11916"/>
    <cellStyle name="Note 4 6 2 2 4 2" xfId="16222"/>
    <cellStyle name="Note 4 6 2 2 4 3" xfId="17301"/>
    <cellStyle name="Note 4 6 2 2 4 4" xfId="18319"/>
    <cellStyle name="Note 4 6 2 2 4 5" xfId="19289"/>
    <cellStyle name="Note 4 6 2 2 4 6" xfId="20195"/>
    <cellStyle name="Note 4 6 2 2 5" xfId="13799"/>
    <cellStyle name="Note 4 6 2 2 6" xfId="13195"/>
    <cellStyle name="Note 4 6 2 2 7" xfId="14594"/>
    <cellStyle name="Note 4 6 2 2 8" xfId="16409"/>
    <cellStyle name="Note 4 6 2 2 9" xfId="18449"/>
    <cellStyle name="Note 4 6 2 3" xfId="7753"/>
    <cellStyle name="Note 4 6 2 3 2" xfId="14419"/>
    <cellStyle name="Note 4 6 2 3 3" xfId="15193"/>
    <cellStyle name="Note 4 6 2 3 4" xfId="16311"/>
    <cellStyle name="Note 4 6 2 3 5" xfId="12474"/>
    <cellStyle name="Note 4 6 2 3 6" xfId="17461"/>
    <cellStyle name="Note 4 6 2 4" xfId="11352"/>
    <cellStyle name="Note 4 6 2 4 2" xfId="15658"/>
    <cellStyle name="Note 4 6 2 4 3" xfId="16737"/>
    <cellStyle name="Note 4 6 2 4 4" xfId="17766"/>
    <cellStyle name="Note 4 6 2 4 5" xfId="18736"/>
    <cellStyle name="Note 4 6 2 4 6" xfId="19642"/>
    <cellStyle name="Note 4 6 2 5" xfId="11629"/>
    <cellStyle name="Note 4 6 2 5 2" xfId="15935"/>
    <cellStyle name="Note 4 6 2 5 3" xfId="17014"/>
    <cellStyle name="Note 4 6 2 5 4" xfId="18038"/>
    <cellStyle name="Note 4 6 2 5 5" xfId="19008"/>
    <cellStyle name="Note 4 6 2 5 6" xfId="19914"/>
    <cellStyle name="Note 4 6 2 6" xfId="12720"/>
    <cellStyle name="Note 4 6 2 7" xfId="12183"/>
    <cellStyle name="Note 4 6 2 8" xfId="14356"/>
    <cellStyle name="Note 4 6 2 9" xfId="12460"/>
    <cellStyle name="Note 4 6 3" xfId="5991"/>
    <cellStyle name="Note 4 6 3 2" xfId="11087"/>
    <cellStyle name="Note 4 6 3 2 2" xfId="15393"/>
    <cellStyle name="Note 4 6 3 2 3" xfId="16472"/>
    <cellStyle name="Note 4 6 3 2 4" xfId="17507"/>
    <cellStyle name="Note 4 6 3 2 5" xfId="18477"/>
    <cellStyle name="Note 4 6 3 2 6" xfId="19383"/>
    <cellStyle name="Note 4 6 3 3" xfId="11669"/>
    <cellStyle name="Note 4 6 3 3 2" xfId="15975"/>
    <cellStyle name="Note 4 6 3 3 3" xfId="17054"/>
    <cellStyle name="Note 4 6 3 3 4" xfId="18077"/>
    <cellStyle name="Note 4 6 3 3 5" xfId="19047"/>
    <cellStyle name="Note 4 6 3 3 6" xfId="19953"/>
    <cellStyle name="Note 4 6 3 4" xfId="11841"/>
    <cellStyle name="Note 4 6 3 4 2" xfId="16147"/>
    <cellStyle name="Note 4 6 3 4 3" xfId="17226"/>
    <cellStyle name="Note 4 6 3 4 4" xfId="18245"/>
    <cellStyle name="Note 4 6 3 4 5" xfId="19215"/>
    <cellStyle name="Note 4 6 3 4 6" xfId="20121"/>
    <cellStyle name="Note 4 6 3 5" xfId="13724"/>
    <cellStyle name="Note 4 6 3 6" xfId="12603"/>
    <cellStyle name="Note 4 6 3 7" xfId="12936"/>
    <cellStyle name="Note 4 6 3 8" xfId="13946"/>
    <cellStyle name="Note 4 6 3 9" xfId="18425"/>
    <cellStyle name="Note 4 6 4" xfId="6497"/>
    <cellStyle name="Note 4 6 4 2" xfId="14010"/>
    <cellStyle name="Note 4 6 4 3" xfId="13189"/>
    <cellStyle name="Note 4 6 4 4" xfId="13593"/>
    <cellStyle name="Note 4 6 4 5" xfId="12515"/>
    <cellStyle name="Note 4 6 4 6" xfId="16353"/>
    <cellStyle name="Note 4 6 5" xfId="6159"/>
    <cellStyle name="Note 4 6 5 2" xfId="13891"/>
    <cellStyle name="Note 4 6 5 3" xfId="14138"/>
    <cellStyle name="Note 4 6 5 4" xfId="15199"/>
    <cellStyle name="Note 4 6 5 5" xfId="12020"/>
    <cellStyle name="Note 4 6 5 6" xfId="12529"/>
    <cellStyle name="Note 4 6 6" xfId="11644"/>
    <cellStyle name="Note 4 6 6 2" xfId="15950"/>
    <cellStyle name="Note 4 6 6 3" xfId="17029"/>
    <cellStyle name="Note 4 6 6 4" xfId="18053"/>
    <cellStyle name="Note 4 6 6 5" xfId="19023"/>
    <cellStyle name="Note 4 6 6 6" xfId="19929"/>
    <cellStyle name="Note 4 6 7" xfId="12212"/>
    <cellStyle name="Note 4 6 8" xfId="13966"/>
    <cellStyle name="Note 4 6 9" xfId="13275"/>
    <cellStyle name="Note 4 7" xfId="2144"/>
    <cellStyle name="Note 4 7 2" xfId="3446"/>
    <cellStyle name="Note 4 7 2 2" xfId="5841"/>
    <cellStyle name="Note 4 7 2 2 2" xfId="10937"/>
    <cellStyle name="Note 4 7 2 3" xfId="8549"/>
    <cellStyle name="Note 4 7 3" xfId="4649"/>
    <cellStyle name="Note 4 7 3 2" xfId="9745"/>
    <cellStyle name="Note 4 7 4" xfId="7298"/>
    <cellStyle name="Note 5" xfId="454"/>
    <cellStyle name="Note 5 2" xfId="773"/>
    <cellStyle name="Note 5 2 2" xfId="1112"/>
    <cellStyle name="Note 5 2 2 2" xfId="2702"/>
    <cellStyle name="Note 5 2 2 2 10" xfId="15289"/>
    <cellStyle name="Note 5 2 2 2 11" xfId="13196"/>
    <cellStyle name="Note 5 2 2 2 2" xfId="6102"/>
    <cellStyle name="Note 5 2 2 2 2 2" xfId="11198"/>
    <cellStyle name="Note 5 2 2 2 2 2 2" xfId="15504"/>
    <cellStyle name="Note 5 2 2 2 2 2 3" xfId="16583"/>
    <cellStyle name="Note 5 2 2 2 2 2 4" xfId="17617"/>
    <cellStyle name="Note 5 2 2 2 2 2 5" xfId="18587"/>
    <cellStyle name="Note 5 2 2 2 2 2 6" xfId="19493"/>
    <cellStyle name="Note 5 2 2 2 2 3" xfId="11780"/>
    <cellStyle name="Note 5 2 2 2 2 3 2" xfId="16086"/>
    <cellStyle name="Note 5 2 2 2 2 3 3" xfId="17165"/>
    <cellStyle name="Note 5 2 2 2 2 3 4" xfId="18187"/>
    <cellStyle name="Note 5 2 2 2 2 3 5" xfId="19157"/>
    <cellStyle name="Note 5 2 2 2 2 3 6" xfId="20063"/>
    <cellStyle name="Note 5 2 2 2 2 4" xfId="11952"/>
    <cellStyle name="Note 5 2 2 2 2 4 2" xfId="16258"/>
    <cellStyle name="Note 5 2 2 2 2 4 3" xfId="17337"/>
    <cellStyle name="Note 5 2 2 2 2 4 4" xfId="18355"/>
    <cellStyle name="Note 5 2 2 2 2 4 5" xfId="19325"/>
    <cellStyle name="Note 5 2 2 2 2 4 6" xfId="20231"/>
    <cellStyle name="Note 5 2 2 2 2 5" xfId="13835"/>
    <cellStyle name="Note 5 2 2 2 2 6" xfId="12379"/>
    <cellStyle name="Note 5 2 2 2 2 7" xfId="14995"/>
    <cellStyle name="Note 5 2 2 2 2 8" xfId="12968"/>
    <cellStyle name="Note 5 2 2 2 2 9" xfId="14245"/>
    <cellStyle name="Note 5 2 2 2 3" xfId="5110"/>
    <cellStyle name="Note 5 2 2 2 3 2" xfId="10206"/>
    <cellStyle name="Note 5 2 2 2 3 2 2" xfId="15144"/>
    <cellStyle name="Note 5 2 2 2 3 2 3" xfId="13139"/>
    <cellStyle name="Note 5 2 2 2 3 2 4" xfId="12448"/>
    <cellStyle name="Note 5 2 2 2 3 2 5" xfId="12442"/>
    <cellStyle name="Note 5 2 2 2 3 2 6" xfId="14649"/>
    <cellStyle name="Note 5 2 2 2 3 3" xfId="11588"/>
    <cellStyle name="Note 5 2 2 2 3 3 2" xfId="15894"/>
    <cellStyle name="Note 5 2 2 2 3 3 3" xfId="16973"/>
    <cellStyle name="Note 5 2 2 2 3 3 4" xfId="17997"/>
    <cellStyle name="Note 5 2 2 2 3 3 5" xfId="18967"/>
    <cellStyle name="Note 5 2 2 2 3 3 6" xfId="19873"/>
    <cellStyle name="Note 5 2 2 2 3 4" xfId="6532"/>
    <cellStyle name="Note 5 2 2 2 3 4 2" xfId="14035"/>
    <cellStyle name="Note 5 2 2 2 3 4 3" xfId="13528"/>
    <cellStyle name="Note 5 2 2 2 3 4 4" xfId="13927"/>
    <cellStyle name="Note 5 2 2 2 3 4 5" xfId="13494"/>
    <cellStyle name="Note 5 2 2 2 3 4 6" xfId="12461"/>
    <cellStyle name="Note 5 2 2 2 3 5" xfId="13464"/>
    <cellStyle name="Note 5 2 2 2 3 6" xfId="12583"/>
    <cellStyle name="Note 5 2 2 2 3 7" xfId="13300"/>
    <cellStyle name="Note 5 2 2 2 3 8" xfId="16366"/>
    <cellStyle name="Note 5 2 2 2 3 9" xfId="16453"/>
    <cellStyle name="Note 5 2 2 2 4" xfId="7805"/>
    <cellStyle name="Note 5 2 2 2 4 2" xfId="14456"/>
    <cellStyle name="Note 5 2 2 2 4 3" xfId="13509"/>
    <cellStyle name="Note 5 2 2 2 4 4" xfId="14915"/>
    <cellStyle name="Note 5 2 2 2 4 5" xfId="17382"/>
    <cellStyle name="Note 5 2 2 2 4 6" xfId="16403"/>
    <cellStyle name="Note 5 2 2 2 5" xfId="11388"/>
    <cellStyle name="Note 5 2 2 2 5 2" xfId="15694"/>
    <cellStyle name="Note 5 2 2 2 5 3" xfId="16773"/>
    <cellStyle name="Note 5 2 2 2 5 4" xfId="17802"/>
    <cellStyle name="Note 5 2 2 2 5 5" xfId="18772"/>
    <cellStyle name="Note 5 2 2 2 5 6" xfId="19678"/>
    <cellStyle name="Note 5 2 2 2 6" xfId="11621"/>
    <cellStyle name="Note 5 2 2 2 6 2" xfId="15927"/>
    <cellStyle name="Note 5 2 2 2 6 3" xfId="17006"/>
    <cellStyle name="Note 5 2 2 2 6 4" xfId="18030"/>
    <cellStyle name="Note 5 2 2 2 6 5" xfId="19000"/>
    <cellStyle name="Note 5 2 2 2 6 6" xfId="19906"/>
    <cellStyle name="Note 5 2 2 2 7" xfId="12759"/>
    <cellStyle name="Note 5 2 2 2 8" xfId="13630"/>
    <cellStyle name="Note 5 2 2 2 9" xfId="12390"/>
    <cellStyle name="Note 5 2 2 3" xfId="3927"/>
    <cellStyle name="Note 5 2 2 3 2" xfId="9026"/>
    <cellStyle name="Note 5 2 2 3 2 2" xfId="14804"/>
    <cellStyle name="Note 5 2 2 3 2 3" xfId="14067"/>
    <cellStyle name="Note 5 2 2 3 2 4" xfId="14119"/>
    <cellStyle name="Note 5 2 2 3 2 5" xfId="15263"/>
    <cellStyle name="Note 5 2 2 3 2 6" xfId="15217"/>
    <cellStyle name="Note 5 2 2 3 3" xfId="11494"/>
    <cellStyle name="Note 5 2 2 3 3 2" xfId="15800"/>
    <cellStyle name="Note 5 2 2 3 3 3" xfId="16879"/>
    <cellStyle name="Note 5 2 2 3 3 4" xfId="17905"/>
    <cellStyle name="Note 5 2 2 3 3 5" xfId="18875"/>
    <cellStyle name="Note 5 2 2 3 3 6" xfId="19781"/>
    <cellStyle name="Note 5 2 2 3 4" xfId="6182"/>
    <cellStyle name="Note 5 2 2 3 4 2" xfId="13914"/>
    <cellStyle name="Note 5 2 2 3 4 3" xfId="12369"/>
    <cellStyle name="Note 5 2 2 3 4 4" xfId="14246"/>
    <cellStyle name="Note 5 2 2 3 4 5" xfId="17407"/>
    <cellStyle name="Note 5 2 2 3 4 6" xfId="14918"/>
    <cellStyle name="Note 5 2 2 3 5" xfId="13116"/>
    <cellStyle name="Note 5 2 2 3 6" xfId="14598"/>
    <cellStyle name="Note 5 2 2 3 7" xfId="11996"/>
    <cellStyle name="Note 5 2 2 3 8" xfId="14203"/>
    <cellStyle name="Note 5 2 2 3 9" xfId="15269"/>
    <cellStyle name="Note 5 2 3" xfId="1136"/>
    <cellStyle name="Note 5 2 3 10" xfId="12365"/>
    <cellStyle name="Note 5 2 3 11" xfId="14636"/>
    <cellStyle name="Note 5 2 3 2" xfId="2723"/>
    <cellStyle name="Note 5 2 3 2 10" xfId="12260"/>
    <cellStyle name="Note 5 2 3 2 2" xfId="6123"/>
    <cellStyle name="Note 5 2 3 2 2 2" xfId="11219"/>
    <cellStyle name="Note 5 2 3 2 2 2 2" xfId="15525"/>
    <cellStyle name="Note 5 2 3 2 2 2 3" xfId="16604"/>
    <cellStyle name="Note 5 2 3 2 2 2 4" xfId="17638"/>
    <cellStyle name="Note 5 2 3 2 2 2 5" xfId="18608"/>
    <cellStyle name="Note 5 2 3 2 2 2 6" xfId="19514"/>
    <cellStyle name="Note 5 2 3 2 2 3" xfId="11801"/>
    <cellStyle name="Note 5 2 3 2 2 3 2" xfId="16107"/>
    <cellStyle name="Note 5 2 3 2 2 3 3" xfId="17186"/>
    <cellStyle name="Note 5 2 3 2 2 3 4" xfId="18208"/>
    <cellStyle name="Note 5 2 3 2 2 3 5" xfId="19178"/>
    <cellStyle name="Note 5 2 3 2 2 3 6" xfId="20084"/>
    <cellStyle name="Note 5 2 3 2 2 4" xfId="11973"/>
    <cellStyle name="Note 5 2 3 2 2 4 2" xfId="16279"/>
    <cellStyle name="Note 5 2 3 2 2 4 3" xfId="17358"/>
    <cellStyle name="Note 5 2 3 2 2 4 4" xfId="18376"/>
    <cellStyle name="Note 5 2 3 2 2 4 5" xfId="19346"/>
    <cellStyle name="Note 5 2 3 2 2 4 6" xfId="20252"/>
    <cellStyle name="Note 5 2 3 2 2 5" xfId="13856"/>
    <cellStyle name="Note 5 2 3 2 2 6" xfId="15228"/>
    <cellStyle name="Note 5 2 3 2 2 7" xfId="16340"/>
    <cellStyle name="Note 5 2 3 2 2 8" xfId="15260"/>
    <cellStyle name="Note 5 2 3 2 2 9" xfId="13619"/>
    <cellStyle name="Note 5 2 3 2 3" xfId="7826"/>
    <cellStyle name="Note 5 2 3 2 3 2" xfId="14477"/>
    <cellStyle name="Note 5 2 3 2 3 3" xfId="14509"/>
    <cellStyle name="Note 5 2 3 2 3 4" xfId="12101"/>
    <cellStyle name="Note 5 2 3 2 3 5" xfId="14860"/>
    <cellStyle name="Note 5 2 3 2 3 6" xfId="159"/>
    <cellStyle name="Note 5 2 3 2 4" xfId="11409"/>
    <cellStyle name="Note 5 2 3 2 4 2" xfId="15715"/>
    <cellStyle name="Note 5 2 3 2 4 3" xfId="16794"/>
    <cellStyle name="Note 5 2 3 2 4 4" xfId="17823"/>
    <cellStyle name="Note 5 2 3 2 4 5" xfId="18793"/>
    <cellStyle name="Note 5 2 3 2 4 6" xfId="19699"/>
    <cellStyle name="Note 5 2 3 2 5" xfId="11428"/>
    <cellStyle name="Note 5 2 3 2 5 2" xfId="15734"/>
    <cellStyle name="Note 5 2 3 2 5 3" xfId="16813"/>
    <cellStyle name="Note 5 2 3 2 5 4" xfId="17841"/>
    <cellStyle name="Note 5 2 3 2 5 5" xfId="18811"/>
    <cellStyle name="Note 5 2 3 2 5 6" xfId="19717"/>
    <cellStyle name="Note 5 2 3 2 6" xfId="12780"/>
    <cellStyle name="Note 5 2 3 2 7" xfId="13057"/>
    <cellStyle name="Note 5 2 3 2 8" xfId="13261"/>
    <cellStyle name="Note 5 2 3 2 9" xfId="14207"/>
    <cellStyle name="Note 5 2 3 3" xfId="6013"/>
    <cellStyle name="Note 5 2 3 3 2" xfId="11109"/>
    <cellStyle name="Note 5 2 3 3 2 2" xfId="15415"/>
    <cellStyle name="Note 5 2 3 3 2 3" xfId="16494"/>
    <cellStyle name="Note 5 2 3 3 2 4" xfId="17529"/>
    <cellStyle name="Note 5 2 3 3 2 5" xfId="18499"/>
    <cellStyle name="Note 5 2 3 3 2 6" xfId="19405"/>
    <cellStyle name="Note 5 2 3 3 3" xfId="11691"/>
    <cellStyle name="Note 5 2 3 3 3 2" xfId="15997"/>
    <cellStyle name="Note 5 2 3 3 3 3" xfId="17076"/>
    <cellStyle name="Note 5 2 3 3 3 4" xfId="18099"/>
    <cellStyle name="Note 5 2 3 3 3 5" xfId="19069"/>
    <cellStyle name="Note 5 2 3 3 3 6" xfId="19975"/>
    <cellStyle name="Note 5 2 3 3 4" xfId="11863"/>
    <cellStyle name="Note 5 2 3 3 4 2" xfId="16169"/>
    <cellStyle name="Note 5 2 3 3 4 3" xfId="17248"/>
    <cellStyle name="Note 5 2 3 3 4 4" xfId="18267"/>
    <cellStyle name="Note 5 2 3 3 4 5" xfId="19237"/>
    <cellStyle name="Note 5 2 3 3 4 6" xfId="20143"/>
    <cellStyle name="Note 5 2 3 3 5" xfId="13746"/>
    <cellStyle name="Note 5 2 3 3 6" xfId="13701"/>
    <cellStyle name="Note 5 2 3 3 7" xfId="12386"/>
    <cellStyle name="Note 5 2 3 3 8" xfId="14328"/>
    <cellStyle name="Note 5 2 3 3 9" xfId="12031"/>
    <cellStyle name="Note 5 2 3 4" xfId="6538"/>
    <cellStyle name="Note 5 2 3 4 2" xfId="14041"/>
    <cellStyle name="Note 5 2 3 4 3" xfId="14533"/>
    <cellStyle name="Note 5 2 3 4 4" xfId="13049"/>
    <cellStyle name="Note 5 2 3 4 5" xfId="14179"/>
    <cellStyle name="Note 5 2 3 4 6" xfId="13079"/>
    <cellStyle name="Note 5 2 3 5" xfId="6149"/>
    <cellStyle name="Note 5 2 3 5 2" xfId="13881"/>
    <cellStyle name="Note 5 2 3 5 3" xfId="13537"/>
    <cellStyle name="Note 5 2 3 5 4" xfId="14909"/>
    <cellStyle name="Note 5 2 3 5 5" xfId="14946"/>
    <cellStyle name="Note 5 2 3 5 6" xfId="12174"/>
    <cellStyle name="Note 5 2 3 6" xfId="6186"/>
    <cellStyle name="Note 5 2 3 6 2" xfId="13918"/>
    <cellStyle name="Note 5 2 3 6 3" xfId="13200"/>
    <cellStyle name="Note 5 2 3 6 4" xfId="12894"/>
    <cellStyle name="Note 5 2 3 6 5" xfId="16319"/>
    <cellStyle name="Note 5 2 3 6 6" xfId="12972"/>
    <cellStyle name="Note 5 2 3 7" xfId="12265"/>
    <cellStyle name="Note 5 2 3 8" xfId="14822"/>
    <cellStyle name="Note 5 2 3 9" xfId="15068"/>
    <cellStyle name="Note 5 2 4" xfId="2554"/>
    <cellStyle name="Note 5 2 4 2" xfId="5001"/>
    <cellStyle name="Note 5 2 4 2 2" xfId="10097"/>
    <cellStyle name="Note 5 2 4 3" xfId="7658"/>
    <cellStyle name="Note 5 2 5" xfId="3818"/>
    <cellStyle name="Note 5 2 5 2" xfId="8917"/>
    <cellStyle name="Note 5 2 6" xfId="6398"/>
    <cellStyle name="Note 5 3" xfId="933"/>
    <cellStyle name="Note 5 3 2" xfId="2632"/>
    <cellStyle name="Note 5 3 2 2" xfId="5076"/>
    <cellStyle name="Note 5 3 2 2 2" xfId="10172"/>
    <cellStyle name="Note 5 3 2 3" xfId="7735"/>
    <cellStyle name="Note 5 3 3" xfId="3893"/>
    <cellStyle name="Note 5 3 3 2" xfId="8992"/>
    <cellStyle name="Note 5 3 4" xfId="6478"/>
    <cellStyle name="Note 5 4" xfId="1021"/>
    <cellStyle name="Note 5 4 10" xfId="13490"/>
    <cellStyle name="Note 5 4 11" xfId="15176"/>
    <cellStyle name="Note 5 4 2" xfId="2651"/>
    <cellStyle name="Note 5 4 2 10" xfId="14334"/>
    <cellStyle name="Note 5 4 2 2" xfId="6067"/>
    <cellStyle name="Note 5 4 2 2 2" xfId="11163"/>
    <cellStyle name="Note 5 4 2 2 2 2" xfId="15469"/>
    <cellStyle name="Note 5 4 2 2 2 3" xfId="16548"/>
    <cellStyle name="Note 5 4 2 2 2 4" xfId="17582"/>
    <cellStyle name="Note 5 4 2 2 2 5" xfId="18552"/>
    <cellStyle name="Note 5 4 2 2 2 6" xfId="19458"/>
    <cellStyle name="Note 5 4 2 2 3" xfId="11745"/>
    <cellStyle name="Note 5 4 2 2 3 2" xfId="16051"/>
    <cellStyle name="Note 5 4 2 2 3 3" xfId="17130"/>
    <cellStyle name="Note 5 4 2 2 3 4" xfId="18152"/>
    <cellStyle name="Note 5 4 2 2 3 5" xfId="19122"/>
    <cellStyle name="Note 5 4 2 2 3 6" xfId="20028"/>
    <cellStyle name="Note 5 4 2 2 4" xfId="11917"/>
    <cellStyle name="Note 5 4 2 2 4 2" xfId="16223"/>
    <cellStyle name="Note 5 4 2 2 4 3" xfId="17302"/>
    <cellStyle name="Note 5 4 2 2 4 4" xfId="18320"/>
    <cellStyle name="Note 5 4 2 2 4 5" xfId="19290"/>
    <cellStyle name="Note 5 4 2 2 4 6" xfId="20196"/>
    <cellStyle name="Note 5 4 2 2 5" xfId="13800"/>
    <cellStyle name="Note 5 4 2 2 6" xfId="14539"/>
    <cellStyle name="Note 5 4 2 2 7" xfId="15186"/>
    <cellStyle name="Note 5 4 2 2 8" xfId="14922"/>
    <cellStyle name="Note 5 4 2 2 9" xfId="14941"/>
    <cellStyle name="Note 5 4 2 3" xfId="7754"/>
    <cellStyle name="Note 5 4 2 3 2" xfId="14420"/>
    <cellStyle name="Note 5 4 2 3 3" xfId="13513"/>
    <cellStyle name="Note 5 4 2 3 4" xfId="13224"/>
    <cellStyle name="Note 5 4 2 3 5" xfId="13636"/>
    <cellStyle name="Note 5 4 2 3 6" xfId="13362"/>
    <cellStyle name="Note 5 4 2 4" xfId="11353"/>
    <cellStyle name="Note 5 4 2 4 2" xfId="15659"/>
    <cellStyle name="Note 5 4 2 4 3" xfId="16738"/>
    <cellStyle name="Note 5 4 2 4 4" xfId="17767"/>
    <cellStyle name="Note 5 4 2 4 5" xfId="18737"/>
    <cellStyle name="Note 5 4 2 4 6" xfId="19643"/>
    <cellStyle name="Note 5 4 2 5" xfId="11441"/>
    <cellStyle name="Note 5 4 2 5 2" xfId="15747"/>
    <cellStyle name="Note 5 4 2 5 3" xfId="16826"/>
    <cellStyle name="Note 5 4 2 5 4" xfId="17854"/>
    <cellStyle name="Note 5 4 2 5 5" xfId="18824"/>
    <cellStyle name="Note 5 4 2 5 6" xfId="19730"/>
    <cellStyle name="Note 5 4 2 6" xfId="12721"/>
    <cellStyle name="Note 5 4 2 7" xfId="12057"/>
    <cellStyle name="Note 5 4 2 8" xfId="15367"/>
    <cellStyle name="Note 5 4 2 9" xfId="15064"/>
    <cellStyle name="Note 5 4 3" xfId="5992"/>
    <cellStyle name="Note 5 4 3 2" xfId="11088"/>
    <cellStyle name="Note 5 4 3 2 2" xfId="15394"/>
    <cellStyle name="Note 5 4 3 2 3" xfId="16473"/>
    <cellStyle name="Note 5 4 3 2 4" xfId="17508"/>
    <cellStyle name="Note 5 4 3 2 5" xfId="18478"/>
    <cellStyle name="Note 5 4 3 2 6" xfId="19384"/>
    <cellStyle name="Note 5 4 3 3" xfId="11670"/>
    <cellStyle name="Note 5 4 3 3 2" xfId="15976"/>
    <cellStyle name="Note 5 4 3 3 3" xfId="17055"/>
    <cellStyle name="Note 5 4 3 3 4" xfId="18078"/>
    <cellStyle name="Note 5 4 3 3 5" xfId="19048"/>
    <cellStyle name="Note 5 4 3 3 6" xfId="19954"/>
    <cellStyle name="Note 5 4 3 4" xfId="11842"/>
    <cellStyle name="Note 5 4 3 4 2" xfId="16148"/>
    <cellStyle name="Note 5 4 3 4 3" xfId="17227"/>
    <cellStyle name="Note 5 4 3 4 4" xfId="18246"/>
    <cellStyle name="Note 5 4 3 4 5" xfId="19216"/>
    <cellStyle name="Note 5 4 3 4 6" xfId="20122"/>
    <cellStyle name="Note 5 4 3 5" xfId="13725"/>
    <cellStyle name="Note 5 4 3 6" xfId="14307"/>
    <cellStyle name="Note 5 4 3 7" xfId="14097"/>
    <cellStyle name="Note 5 4 3 8" xfId="14257"/>
    <cellStyle name="Note 5 4 3 9" xfId="14265"/>
    <cellStyle name="Note 5 4 4" xfId="6498"/>
    <cellStyle name="Note 5 4 4 2" xfId="14011"/>
    <cellStyle name="Note 5 4 4 3" xfId="14534"/>
    <cellStyle name="Note 5 4 4 4" xfId="14078"/>
    <cellStyle name="Note 5 4 4 5" xfId="12514"/>
    <cellStyle name="Note 5 4 4 6" xfId="13617"/>
    <cellStyle name="Note 5 4 5" xfId="6689"/>
    <cellStyle name="Note 5 4 5 2" xfId="14092"/>
    <cellStyle name="Note 5 4 5 3" xfId="14114"/>
    <cellStyle name="Note 5 4 5 4" xfId="12830"/>
    <cellStyle name="Note 5 4 5 5" xfId="17396"/>
    <cellStyle name="Note 5 4 5 6" xfId="13389"/>
    <cellStyle name="Note 5 4 6" xfId="11454"/>
    <cellStyle name="Note 5 4 6 2" xfId="15760"/>
    <cellStyle name="Note 5 4 6 3" xfId="16839"/>
    <cellStyle name="Note 5 4 6 4" xfId="17867"/>
    <cellStyle name="Note 5 4 6 5" xfId="18837"/>
    <cellStyle name="Note 5 4 6 6" xfId="19743"/>
    <cellStyle name="Note 5 4 7" xfId="12213"/>
    <cellStyle name="Note 5 4 8" xfId="14765"/>
    <cellStyle name="Note 5 4 9" xfId="14757"/>
    <cellStyle name="Note 5 5" xfId="2147"/>
    <cellStyle name="Note 6" xfId="455"/>
    <cellStyle name="Note 6 2" xfId="575"/>
    <cellStyle name="Note 6 2 2" xfId="1113"/>
    <cellStyle name="Note 6 2 2 2" xfId="2703"/>
    <cellStyle name="Note 6 2 2 2 10" xfId="13955"/>
    <cellStyle name="Note 6 2 2 2 11" xfId="12913"/>
    <cellStyle name="Note 6 2 2 2 2" xfId="6103"/>
    <cellStyle name="Note 6 2 2 2 2 2" xfId="11199"/>
    <cellStyle name="Note 6 2 2 2 2 2 2" xfId="15505"/>
    <cellStyle name="Note 6 2 2 2 2 2 3" xfId="16584"/>
    <cellStyle name="Note 6 2 2 2 2 2 4" xfId="17618"/>
    <cellStyle name="Note 6 2 2 2 2 2 5" xfId="18588"/>
    <cellStyle name="Note 6 2 2 2 2 2 6" xfId="19494"/>
    <cellStyle name="Note 6 2 2 2 2 3" xfId="11781"/>
    <cellStyle name="Note 6 2 2 2 2 3 2" xfId="16087"/>
    <cellStyle name="Note 6 2 2 2 2 3 3" xfId="17166"/>
    <cellStyle name="Note 6 2 2 2 2 3 4" xfId="18188"/>
    <cellStyle name="Note 6 2 2 2 2 3 5" xfId="19158"/>
    <cellStyle name="Note 6 2 2 2 2 3 6" xfId="20064"/>
    <cellStyle name="Note 6 2 2 2 2 4" xfId="11953"/>
    <cellStyle name="Note 6 2 2 2 2 4 2" xfId="16259"/>
    <cellStyle name="Note 6 2 2 2 2 4 3" xfId="17338"/>
    <cellStyle name="Note 6 2 2 2 2 4 4" xfId="18356"/>
    <cellStyle name="Note 6 2 2 2 2 4 5" xfId="19326"/>
    <cellStyle name="Note 6 2 2 2 2 4 6" xfId="20232"/>
    <cellStyle name="Note 6 2 2 2 2 5" xfId="13836"/>
    <cellStyle name="Note 6 2 2 2 2 6" xfId="12378"/>
    <cellStyle name="Note 6 2 2 2 2 7" xfId="14252"/>
    <cellStyle name="Note 6 2 2 2 2 8" xfId="17416"/>
    <cellStyle name="Note 6 2 2 2 2 9" xfId="13564"/>
    <cellStyle name="Note 6 2 2 2 3" xfId="5111"/>
    <cellStyle name="Note 6 2 2 2 3 2" xfId="10207"/>
    <cellStyle name="Note 6 2 2 2 3 2 2" xfId="15145"/>
    <cellStyle name="Note 6 2 2 2 3 2 3" xfId="14483"/>
    <cellStyle name="Note 6 2 2 2 3 2 4" xfId="12812"/>
    <cellStyle name="Note 6 2 2 2 3 2 5" xfId="12001"/>
    <cellStyle name="Note 6 2 2 2 3 2 6" xfId="13666"/>
    <cellStyle name="Note 6 2 2 2 3 3" xfId="11589"/>
    <cellStyle name="Note 6 2 2 2 3 3 2" xfId="15895"/>
    <cellStyle name="Note 6 2 2 2 3 3 3" xfId="16974"/>
    <cellStyle name="Note 6 2 2 2 3 3 4" xfId="17998"/>
    <cellStyle name="Note 6 2 2 2 3 3 5" xfId="18968"/>
    <cellStyle name="Note 6 2 2 2 3 3 6" xfId="19874"/>
    <cellStyle name="Note 6 2 2 2 3 4" xfId="6533"/>
    <cellStyle name="Note 6 2 2 2 3 4 2" xfId="14036"/>
    <cellStyle name="Note 6 2 2 2 3 4 3" xfId="12835"/>
    <cellStyle name="Note 6 2 2 2 3 4 4" xfId="12252"/>
    <cellStyle name="Note 6 2 2 2 3 4 5" xfId="17400"/>
    <cellStyle name="Note 6 2 2 2 3 4 6" xfId="14243"/>
    <cellStyle name="Note 6 2 2 2 3 5" xfId="13465"/>
    <cellStyle name="Note 6 2 2 2 3 6" xfId="14293"/>
    <cellStyle name="Note 6 2 2 2 3 7" xfId="13033"/>
    <cellStyle name="Note 6 2 2 2 3 8" xfId="12990"/>
    <cellStyle name="Note 6 2 2 2 3 9" xfId="13422"/>
    <cellStyle name="Note 6 2 2 2 4" xfId="7806"/>
    <cellStyle name="Note 6 2 2 2 4 2" xfId="14457"/>
    <cellStyle name="Note 6 2 2 2 4 3" xfId="12811"/>
    <cellStyle name="Note 6 2 2 2 4 4" xfId="12080"/>
    <cellStyle name="Note 6 2 2 2 4 5" xfId="13317"/>
    <cellStyle name="Note 6 2 2 2 4 6" xfId="13447"/>
    <cellStyle name="Note 6 2 2 2 5" xfId="11389"/>
    <cellStyle name="Note 6 2 2 2 5 2" xfId="15695"/>
    <cellStyle name="Note 6 2 2 2 5 3" xfId="16774"/>
    <cellStyle name="Note 6 2 2 2 5 4" xfId="17803"/>
    <cellStyle name="Note 6 2 2 2 5 5" xfId="18773"/>
    <cellStyle name="Note 6 2 2 2 5 6" xfId="19679"/>
    <cellStyle name="Note 6 2 2 2 6" xfId="11433"/>
    <cellStyle name="Note 6 2 2 2 6 2" xfId="15739"/>
    <cellStyle name="Note 6 2 2 2 6 3" xfId="16818"/>
    <cellStyle name="Note 6 2 2 2 6 4" xfId="17846"/>
    <cellStyle name="Note 6 2 2 2 6 5" xfId="18816"/>
    <cellStyle name="Note 6 2 2 2 6 6" xfId="19722"/>
    <cellStyle name="Note 6 2 2 2 7" xfId="12760"/>
    <cellStyle name="Note 6 2 2 2 8" xfId="12923"/>
    <cellStyle name="Note 6 2 2 2 9" xfId="15074"/>
    <cellStyle name="Note 6 2 2 3" xfId="3928"/>
    <cellStyle name="Note 6 2 2 3 2" xfId="9027"/>
    <cellStyle name="Note 6 2 2 3 2 2" xfId="14805"/>
    <cellStyle name="Note 6 2 2 3 2 3" xfId="14840"/>
    <cellStyle name="Note 6 2 2 3 2 4" xfId="14784"/>
    <cellStyle name="Note 6 2 2 3 2 5" xfId="14069"/>
    <cellStyle name="Note 6 2 2 3 2 6" xfId="12899"/>
    <cellStyle name="Note 6 2 2 3 3" xfId="11495"/>
    <cellStyle name="Note 6 2 2 3 3 2" xfId="15801"/>
    <cellStyle name="Note 6 2 2 3 3 3" xfId="16880"/>
    <cellStyle name="Note 6 2 2 3 3 4" xfId="17906"/>
    <cellStyle name="Note 6 2 2 3 3 5" xfId="18876"/>
    <cellStyle name="Note 6 2 2 3 3 6" xfId="19782"/>
    <cellStyle name="Note 6 2 2 3 4" xfId="7157"/>
    <cellStyle name="Note 6 2 2 3 4 2" xfId="14226"/>
    <cellStyle name="Note 6 2 2 3 4 3" xfId="13414"/>
    <cellStyle name="Note 6 2 2 3 4 4" xfId="14576"/>
    <cellStyle name="Note 6 2 2 3 4 5" xfId="15004"/>
    <cellStyle name="Note 6 2 2 3 4 6" xfId="14204"/>
    <cellStyle name="Note 6 2 2 3 5" xfId="13117"/>
    <cellStyle name="Note 6 2 2 3 6" xfId="15281"/>
    <cellStyle name="Note 6 2 2 3 7" xfId="16378"/>
    <cellStyle name="Note 6 2 2 3 8" xfId="12542"/>
    <cellStyle name="Note 6 2 2 3 9" xfId="18428"/>
    <cellStyle name="Note 6 2 3" xfId="1137"/>
    <cellStyle name="Note 6 2 3 10" xfId="13299"/>
    <cellStyle name="Note 6 2 3 11" xfId="14242"/>
    <cellStyle name="Note 6 2 3 2" xfId="2724"/>
    <cellStyle name="Note 6 2 3 2 10" xfId="12624"/>
    <cellStyle name="Note 6 2 3 2 2" xfId="6124"/>
    <cellStyle name="Note 6 2 3 2 2 2" xfId="11220"/>
    <cellStyle name="Note 6 2 3 2 2 2 2" xfId="15526"/>
    <cellStyle name="Note 6 2 3 2 2 2 3" xfId="16605"/>
    <cellStyle name="Note 6 2 3 2 2 2 4" xfId="17639"/>
    <cellStyle name="Note 6 2 3 2 2 2 5" xfId="18609"/>
    <cellStyle name="Note 6 2 3 2 2 2 6" xfId="19515"/>
    <cellStyle name="Note 6 2 3 2 2 3" xfId="11802"/>
    <cellStyle name="Note 6 2 3 2 2 3 2" xfId="16108"/>
    <cellStyle name="Note 6 2 3 2 2 3 3" xfId="17187"/>
    <cellStyle name="Note 6 2 3 2 2 3 4" xfId="18209"/>
    <cellStyle name="Note 6 2 3 2 2 3 5" xfId="19179"/>
    <cellStyle name="Note 6 2 3 2 2 3 6" xfId="20085"/>
    <cellStyle name="Note 6 2 3 2 2 4" xfId="11974"/>
    <cellStyle name="Note 6 2 3 2 2 4 2" xfId="16280"/>
    <cellStyle name="Note 6 2 3 2 2 4 3" xfId="17359"/>
    <cellStyle name="Note 6 2 3 2 2 4 4" xfId="18377"/>
    <cellStyle name="Note 6 2 3 2 2 4 5" xfId="19347"/>
    <cellStyle name="Note 6 2 3 2 2 4 6" xfId="20253"/>
    <cellStyle name="Note 6 2 3 2 2 5" xfId="13857"/>
    <cellStyle name="Note 6 2 3 2 2 6" xfId="13545"/>
    <cellStyle name="Note 6 2 3 2 2 7" xfId="13222"/>
    <cellStyle name="Note 6 2 3 2 2 8" xfId="16372"/>
    <cellStyle name="Note 6 2 3 2 2 9" xfId="13953"/>
    <cellStyle name="Note 6 2 3 2 3" xfId="7827"/>
    <cellStyle name="Note 6 2 3 2 3 2" xfId="14478"/>
    <cellStyle name="Note 6 2 3 2 3 3" xfId="15190"/>
    <cellStyle name="Note 6 2 3 2 3 4" xfId="16308"/>
    <cellStyle name="Note 6 2 3 2 3 5" xfId="14836"/>
    <cellStyle name="Note 6 2 3 2 3 6" xfId="17470"/>
    <cellStyle name="Note 6 2 3 2 4" xfId="11410"/>
    <cellStyle name="Note 6 2 3 2 4 2" xfId="15716"/>
    <cellStyle name="Note 6 2 3 2 4 3" xfId="16795"/>
    <cellStyle name="Note 6 2 3 2 4 4" xfId="17824"/>
    <cellStyle name="Note 6 2 3 2 4 5" xfId="18794"/>
    <cellStyle name="Note 6 2 3 2 4 6" xfId="19700"/>
    <cellStyle name="Note 6 2 3 2 5" xfId="11265"/>
    <cellStyle name="Note 6 2 3 2 5 2" xfId="15571"/>
    <cellStyle name="Note 6 2 3 2 5 3" xfId="16650"/>
    <cellStyle name="Note 6 2 3 2 5 4" xfId="17680"/>
    <cellStyle name="Note 6 2 3 2 5 5" xfId="18650"/>
    <cellStyle name="Note 6 2 3 2 5 6" xfId="19556"/>
    <cellStyle name="Note 6 2 3 2 6" xfId="12781"/>
    <cellStyle name="Note 6 2 3 2 7" xfId="14353"/>
    <cellStyle name="Note 6 2 3 2 8" xfId="14775"/>
    <cellStyle name="Note 6 2 3 2 9" xfId="14741"/>
    <cellStyle name="Note 6 2 3 3" xfId="6014"/>
    <cellStyle name="Note 6 2 3 3 2" xfId="11110"/>
    <cellStyle name="Note 6 2 3 3 2 2" xfId="15416"/>
    <cellStyle name="Note 6 2 3 3 2 3" xfId="16495"/>
    <cellStyle name="Note 6 2 3 3 2 4" xfId="17530"/>
    <cellStyle name="Note 6 2 3 3 2 5" xfId="18500"/>
    <cellStyle name="Note 6 2 3 3 2 6" xfId="19406"/>
    <cellStyle name="Note 6 2 3 3 3" xfId="11692"/>
    <cellStyle name="Note 6 2 3 3 3 2" xfId="15998"/>
    <cellStyle name="Note 6 2 3 3 3 3" xfId="17077"/>
    <cellStyle name="Note 6 2 3 3 3 4" xfId="18100"/>
    <cellStyle name="Note 6 2 3 3 3 5" xfId="19070"/>
    <cellStyle name="Note 6 2 3 3 3 6" xfId="19976"/>
    <cellStyle name="Note 6 2 3 3 4" xfId="11864"/>
    <cellStyle name="Note 6 2 3 3 4 2" xfId="16170"/>
    <cellStyle name="Note 6 2 3 3 4 3" xfId="17249"/>
    <cellStyle name="Note 6 2 3 3 4 4" xfId="18268"/>
    <cellStyle name="Note 6 2 3 3 4 5" xfId="19238"/>
    <cellStyle name="Note 6 2 3 3 4 6" xfId="20144"/>
    <cellStyle name="Note 6 2 3 3 5" xfId="13747"/>
    <cellStyle name="Note 6 2 3 3 6" xfId="13001"/>
    <cellStyle name="Note 6 2 3 3 7" xfId="12911"/>
    <cellStyle name="Note 6 2 3 3 8" xfId="12241"/>
    <cellStyle name="Note 6 2 3 3 9" xfId="14615"/>
    <cellStyle name="Note 6 2 3 4" xfId="6539"/>
    <cellStyle name="Note 6 2 3 4 2" xfId="14042"/>
    <cellStyle name="Note 6 2 3 4 3" xfId="15206"/>
    <cellStyle name="Note 6 2 3 4 4" xfId="16322"/>
    <cellStyle name="Note 6 2 3 4 5" xfId="12611"/>
    <cellStyle name="Note 6 2 3 4 6" xfId="13306"/>
    <cellStyle name="Note 6 2 3 5" xfId="6584"/>
    <cellStyle name="Note 6 2 3 5 2" xfId="14060"/>
    <cellStyle name="Note 6 2 3 5 3" xfId="13184"/>
    <cellStyle name="Note 6 2 3 5 4" xfId="12896"/>
    <cellStyle name="Note 6 2 3 5 5" xfId="16355"/>
    <cellStyle name="Note 6 2 3 5 6" xfId="12014"/>
    <cellStyle name="Note 6 2 3 6" xfId="11551"/>
    <cellStyle name="Note 6 2 3 6 2" xfId="15857"/>
    <cellStyle name="Note 6 2 3 6 3" xfId="16936"/>
    <cellStyle name="Note 6 2 3 6 4" xfId="17961"/>
    <cellStyle name="Note 6 2 3 6 5" xfId="18931"/>
    <cellStyle name="Note 6 2 3 6 6" xfId="19837"/>
    <cellStyle name="Note 6 2 3 7" xfId="12266"/>
    <cellStyle name="Note 6 2 3 8" xfId="13135"/>
    <cellStyle name="Note 6 2 3 9" xfId="14599"/>
    <cellStyle name="Note 6 2 4" xfId="2381"/>
    <cellStyle name="Note 6 2 4 2" xfId="4828"/>
    <cellStyle name="Note 6 2 4 2 2" xfId="9924"/>
    <cellStyle name="Note 6 2 4 3" xfId="7485"/>
    <cellStyle name="Note 6 2 5" xfId="3645"/>
    <cellStyle name="Note 6 2 5 2" xfId="8744"/>
    <cellStyle name="Note 6 2 6" xfId="6225"/>
    <cellStyle name="Note 6 3" xfId="1022"/>
    <cellStyle name="Note 6 3 10" xfId="12019"/>
    <cellStyle name="Note 6 3 11" xfId="12965"/>
    <cellStyle name="Note 6 3 2" xfId="2652"/>
    <cellStyle name="Note 6 3 2 10" xfId="13391"/>
    <cellStyle name="Note 6 3 2 2" xfId="6068"/>
    <cellStyle name="Note 6 3 2 2 2" xfId="11164"/>
    <cellStyle name="Note 6 3 2 2 2 2" xfId="15470"/>
    <cellStyle name="Note 6 3 2 2 2 3" xfId="16549"/>
    <cellStyle name="Note 6 3 2 2 2 4" xfId="17583"/>
    <cellStyle name="Note 6 3 2 2 2 5" xfId="18553"/>
    <cellStyle name="Note 6 3 2 2 2 6" xfId="19459"/>
    <cellStyle name="Note 6 3 2 2 3" xfId="11746"/>
    <cellStyle name="Note 6 3 2 2 3 2" xfId="16052"/>
    <cellStyle name="Note 6 3 2 2 3 3" xfId="17131"/>
    <cellStyle name="Note 6 3 2 2 3 4" xfId="18153"/>
    <cellStyle name="Note 6 3 2 2 3 5" xfId="19123"/>
    <cellStyle name="Note 6 3 2 2 3 6" xfId="20029"/>
    <cellStyle name="Note 6 3 2 2 4" xfId="11918"/>
    <cellStyle name="Note 6 3 2 2 4 2" xfId="16224"/>
    <cellStyle name="Note 6 3 2 2 4 3" xfId="17303"/>
    <cellStyle name="Note 6 3 2 2 4 4" xfId="18321"/>
    <cellStyle name="Note 6 3 2 2 4 5" xfId="19291"/>
    <cellStyle name="Note 6 3 2 2 4 6" xfId="20197"/>
    <cellStyle name="Note 6 3 2 2 5" xfId="13801"/>
    <cellStyle name="Note 6 3 2 2 6" xfId="15213"/>
    <cellStyle name="Note 6 3 2 2 7" xfId="16330"/>
    <cellStyle name="Note 6 3 2 2 8" xfId="13956"/>
    <cellStyle name="Note 6 3 2 2 9" xfId="12435"/>
    <cellStyle name="Note 6 3 2 3" xfId="7755"/>
    <cellStyle name="Note 6 3 2 3 2" xfId="14421"/>
    <cellStyle name="Note 6 3 2 3 3" xfId="12816"/>
    <cellStyle name="Note 6 3 2 3 4" xfId="12097"/>
    <cellStyle name="Note 6 3 2 3 5" xfId="12889"/>
    <cellStyle name="Note 6 3 2 3 6" xfId="17464"/>
    <cellStyle name="Note 6 3 2 4" xfId="11354"/>
    <cellStyle name="Note 6 3 2 4 2" xfId="15660"/>
    <cellStyle name="Note 6 3 2 4 3" xfId="16739"/>
    <cellStyle name="Note 6 3 2 4 4" xfId="17768"/>
    <cellStyle name="Note 6 3 2 4 5" xfId="18738"/>
    <cellStyle name="Note 6 3 2 4 6" xfId="19644"/>
    <cellStyle name="Note 6 3 2 5" xfId="11540"/>
    <cellStyle name="Note 6 3 2 5 2" xfId="15846"/>
    <cellStyle name="Note 6 3 2 5 3" xfId="16925"/>
    <cellStyle name="Note 6 3 2 5 4" xfId="17950"/>
    <cellStyle name="Note 6 3 2 5 5" xfId="18920"/>
    <cellStyle name="Note 6 3 2 5 6" xfId="19826"/>
    <cellStyle name="Note 6 3 2 6" xfId="12722"/>
    <cellStyle name="Note 6 3 2 7" xfId="160"/>
    <cellStyle name="Note 6 3 2 8" xfId="12567"/>
    <cellStyle name="Note 6 3 2 9" xfId="14541"/>
    <cellStyle name="Note 6 3 3" xfId="5993"/>
    <cellStyle name="Note 6 3 3 2" xfId="11089"/>
    <cellStyle name="Note 6 3 3 2 2" xfId="15395"/>
    <cellStyle name="Note 6 3 3 2 3" xfId="16474"/>
    <cellStyle name="Note 6 3 3 2 4" xfId="17509"/>
    <cellStyle name="Note 6 3 3 2 5" xfId="18479"/>
    <cellStyle name="Note 6 3 3 2 6" xfId="19385"/>
    <cellStyle name="Note 6 3 3 3" xfId="11671"/>
    <cellStyle name="Note 6 3 3 3 2" xfId="15977"/>
    <cellStyle name="Note 6 3 3 3 3" xfId="17056"/>
    <cellStyle name="Note 6 3 3 3 4" xfId="18079"/>
    <cellStyle name="Note 6 3 3 3 5" xfId="19049"/>
    <cellStyle name="Note 6 3 3 3 6" xfId="19955"/>
    <cellStyle name="Note 6 3 3 4" xfId="11843"/>
    <cellStyle name="Note 6 3 3 4 2" xfId="16149"/>
    <cellStyle name="Note 6 3 3 4 3" xfId="17228"/>
    <cellStyle name="Note 6 3 3 4 4" xfId="18247"/>
    <cellStyle name="Note 6 3 3 4 5" xfId="19217"/>
    <cellStyle name="Note 6 3 3 4 6" xfId="20123"/>
    <cellStyle name="Note 6 3 3 5" xfId="13726"/>
    <cellStyle name="Note 6 3 3 6" xfId="15034"/>
    <cellStyle name="Note 6 3 3 7" xfId="13958"/>
    <cellStyle name="Note 6 3 3 8" xfId="12800"/>
    <cellStyle name="Note 6 3 3 9" xfId="12901"/>
    <cellStyle name="Note 6 3 4" xfId="6499"/>
    <cellStyle name="Note 6 3 4 2" xfId="14012"/>
    <cellStyle name="Note 6 3 4 3" xfId="15207"/>
    <cellStyle name="Note 6 3 4 4" xfId="16323"/>
    <cellStyle name="Note 6 3 4 5" xfId="13151"/>
    <cellStyle name="Note 6 3 4 6" xfId="14882"/>
    <cellStyle name="Note 6 3 5" xfId="6158"/>
    <cellStyle name="Note 6 3 5 2" xfId="13890"/>
    <cellStyle name="Note 6 3 5 3" xfId="12372"/>
    <cellStyle name="Note 6 3 5 4" xfId="14638"/>
    <cellStyle name="Note 6 3 5 5" xfId="17409"/>
    <cellStyle name="Note 6 3 5 6" xfId="15218"/>
    <cellStyle name="Note 6 3 6" xfId="11300"/>
    <cellStyle name="Note 6 3 6 2" xfId="15606"/>
    <cellStyle name="Note 6 3 6 3" xfId="16685"/>
    <cellStyle name="Note 6 3 6 4" xfId="17714"/>
    <cellStyle name="Note 6 3 6 5" xfId="18684"/>
    <cellStyle name="Note 6 3 6 6" xfId="19590"/>
    <cellStyle name="Note 6 3 7" xfId="12214"/>
    <cellStyle name="Note 6 3 8" xfId="13078"/>
    <cellStyle name="Note 6 3 9" xfId="13609"/>
    <cellStyle name="Note 6 4" xfId="2148"/>
    <cellStyle name="Note 7" xfId="456"/>
    <cellStyle name="Note 7 2" xfId="557"/>
    <cellStyle name="Note 7 2 2" xfId="1114"/>
    <cellStyle name="Note 7 2 2 2" xfId="2704"/>
    <cellStyle name="Note 7 2 2 2 10" xfId="13624"/>
    <cellStyle name="Note 7 2 2 2 11" xfId="12907"/>
    <cellStyle name="Note 7 2 2 2 2" xfId="6104"/>
    <cellStyle name="Note 7 2 2 2 2 2" xfId="11200"/>
    <cellStyle name="Note 7 2 2 2 2 2 2" xfId="15506"/>
    <cellStyle name="Note 7 2 2 2 2 2 3" xfId="16585"/>
    <cellStyle name="Note 7 2 2 2 2 2 4" xfId="17619"/>
    <cellStyle name="Note 7 2 2 2 2 2 5" xfId="18589"/>
    <cellStyle name="Note 7 2 2 2 2 2 6" xfId="19495"/>
    <cellStyle name="Note 7 2 2 2 2 3" xfId="11782"/>
    <cellStyle name="Note 7 2 2 2 2 3 2" xfId="16088"/>
    <cellStyle name="Note 7 2 2 2 2 3 3" xfId="17167"/>
    <cellStyle name="Note 7 2 2 2 2 3 4" xfId="18189"/>
    <cellStyle name="Note 7 2 2 2 2 3 5" xfId="19159"/>
    <cellStyle name="Note 7 2 2 2 2 3 6" xfId="20065"/>
    <cellStyle name="Note 7 2 2 2 2 4" xfId="11954"/>
    <cellStyle name="Note 7 2 2 2 2 4 2" xfId="16260"/>
    <cellStyle name="Note 7 2 2 2 2 4 3" xfId="17339"/>
    <cellStyle name="Note 7 2 2 2 2 4 4" xfId="18357"/>
    <cellStyle name="Note 7 2 2 2 2 4 5" xfId="19327"/>
    <cellStyle name="Note 7 2 2 2 2 4 6" xfId="20233"/>
    <cellStyle name="Note 7 2 2 2 2 5" xfId="13837"/>
    <cellStyle name="Note 7 2 2 2 2 6" xfId="14140"/>
    <cellStyle name="Note 7 2 2 2 2 7" xfId="12826"/>
    <cellStyle name="Note 7 2 2 2 2 8" xfId="12955"/>
    <cellStyle name="Note 7 2 2 2 2 9" xfId="14975"/>
    <cellStyle name="Note 7 2 2 2 3" xfId="5112"/>
    <cellStyle name="Note 7 2 2 2 3 2" xfId="10208"/>
    <cellStyle name="Note 7 2 2 2 3 2 2" xfId="15146"/>
    <cellStyle name="Note 7 2 2 2 3 2 3" xfId="15167"/>
    <cellStyle name="Note 7 2 2 2 3 2 4" xfId="14352"/>
    <cellStyle name="Note 7 2 2 2 3 2 5" xfId="12572"/>
    <cellStyle name="Note 7 2 2 2 3 2 6" xfId="13695"/>
    <cellStyle name="Note 7 2 2 2 3 3" xfId="11590"/>
    <cellStyle name="Note 7 2 2 2 3 3 2" xfId="15896"/>
    <cellStyle name="Note 7 2 2 2 3 3 3" xfId="16975"/>
    <cellStyle name="Note 7 2 2 2 3 3 4" xfId="17999"/>
    <cellStyle name="Note 7 2 2 2 3 3 5" xfId="18969"/>
    <cellStyle name="Note 7 2 2 2 3 3 6" xfId="19875"/>
    <cellStyle name="Note 7 2 2 2 3 4" xfId="11512"/>
    <cellStyle name="Note 7 2 2 2 3 4 2" xfId="15818"/>
    <cellStyle name="Note 7 2 2 2 3 4 3" xfId="16897"/>
    <cellStyle name="Note 7 2 2 2 3 4 4" xfId="17923"/>
    <cellStyle name="Note 7 2 2 2 3 4 5" xfId="18893"/>
    <cellStyle name="Note 7 2 2 2 3 4 6" xfId="19799"/>
    <cellStyle name="Note 7 2 2 2 3 5" xfId="13466"/>
    <cellStyle name="Note 7 2 2 2 3 6" xfId="15023"/>
    <cellStyle name="Note 7 2 2 2 3 7" xfId="1149"/>
    <cellStyle name="Note 7 2 2 2 3 8" xfId="17478"/>
    <cellStyle name="Note 7 2 2 2 3 9" xfId="12790"/>
    <cellStyle name="Note 7 2 2 2 4" xfId="7807"/>
    <cellStyle name="Note 7 2 2 2 4 2" xfId="14458"/>
    <cellStyle name="Note 7 2 2 2 4 3" xfId="12311"/>
    <cellStyle name="Note 7 2 2 2 4 4" xfId="12547"/>
    <cellStyle name="Note 7 2 2 2 4 5" xfId="14241"/>
    <cellStyle name="Note 7 2 2 2 4 6" xfId="12507"/>
    <cellStyle name="Note 7 2 2 2 5" xfId="11390"/>
    <cellStyle name="Note 7 2 2 2 5 2" xfId="15696"/>
    <cellStyle name="Note 7 2 2 2 5 3" xfId="16775"/>
    <cellStyle name="Note 7 2 2 2 5 4" xfId="17804"/>
    <cellStyle name="Note 7 2 2 2 5 5" xfId="18774"/>
    <cellStyle name="Note 7 2 2 2 5 6" xfId="19680"/>
    <cellStyle name="Note 7 2 2 2 6" xfId="11270"/>
    <cellStyle name="Note 7 2 2 2 6 2" xfId="15576"/>
    <cellStyle name="Note 7 2 2 2 6 3" xfId="16655"/>
    <cellStyle name="Note 7 2 2 2 6 4" xfId="17685"/>
    <cellStyle name="Note 7 2 2 2 6 5" xfId="18655"/>
    <cellStyle name="Note 7 2 2 2 6 6" xfId="19561"/>
    <cellStyle name="Note 7 2 2 2 7" xfId="12761"/>
    <cellStyle name="Note 7 2 2 2 8" xfId="12480"/>
    <cellStyle name="Note 7 2 2 2 9" xfId="14633"/>
    <cellStyle name="Note 7 2 2 3" xfId="3929"/>
    <cellStyle name="Note 7 2 2 3 2" xfId="9028"/>
    <cellStyle name="Note 7 2 2 3 2 2" xfId="14806"/>
    <cellStyle name="Note 7 2 2 3 2 3" xfId="13153"/>
    <cellStyle name="Note 7 2 2 3 2 4" xfId="13250"/>
    <cellStyle name="Note 7 2 2 3 2 5" xfId="16384"/>
    <cellStyle name="Note 7 2 2 3 2 6" xfId="17462"/>
    <cellStyle name="Note 7 2 2 3 3" xfId="11496"/>
    <cellStyle name="Note 7 2 2 3 3 2" xfId="15802"/>
    <cellStyle name="Note 7 2 2 3 3 3" xfId="16881"/>
    <cellStyle name="Note 7 2 2 3 3 4" xfId="17907"/>
    <cellStyle name="Note 7 2 2 3 3 5" xfId="18877"/>
    <cellStyle name="Note 7 2 2 3 3 6" xfId="19783"/>
    <cellStyle name="Note 7 2 2 3 4" xfId="11248"/>
    <cellStyle name="Note 7 2 2 3 4 2" xfId="15554"/>
    <cellStyle name="Note 7 2 2 3 4 3" xfId="16633"/>
    <cellStyle name="Note 7 2 2 3 4 4" xfId="17665"/>
    <cellStyle name="Note 7 2 2 3 4 5" xfId="18635"/>
    <cellStyle name="Note 7 2 2 3 4 6" xfId="19541"/>
    <cellStyle name="Note 7 2 2 3 5" xfId="13118"/>
    <cellStyle name="Note 7 2 2 3 6" xfId="13602"/>
    <cellStyle name="Note 7 2 2 3 7" xfId="12023"/>
    <cellStyle name="Note 7 2 2 3 8" xfId="13667"/>
    <cellStyle name="Note 7 2 2 3 9" xfId="15349"/>
    <cellStyle name="Note 7 2 3" xfId="1138"/>
    <cellStyle name="Note 7 2 3 10" xfId="16397"/>
    <cellStyle name="Note 7 2 3 11" xfId="13246"/>
    <cellStyle name="Note 7 2 3 2" xfId="2725"/>
    <cellStyle name="Note 7 2 3 2 10" xfId="12388"/>
    <cellStyle name="Note 7 2 3 2 2" xfId="6125"/>
    <cellStyle name="Note 7 2 3 2 2 2" xfId="11221"/>
    <cellStyle name="Note 7 2 3 2 2 2 2" xfId="15527"/>
    <cellStyle name="Note 7 2 3 2 2 2 3" xfId="16606"/>
    <cellStyle name="Note 7 2 3 2 2 2 4" xfId="17640"/>
    <cellStyle name="Note 7 2 3 2 2 2 5" xfId="18610"/>
    <cellStyle name="Note 7 2 3 2 2 2 6" xfId="19516"/>
    <cellStyle name="Note 7 2 3 2 2 3" xfId="11803"/>
    <cellStyle name="Note 7 2 3 2 2 3 2" xfId="16109"/>
    <cellStyle name="Note 7 2 3 2 2 3 3" xfId="17188"/>
    <cellStyle name="Note 7 2 3 2 2 3 4" xfId="18210"/>
    <cellStyle name="Note 7 2 3 2 2 3 5" xfId="19180"/>
    <cellStyle name="Note 7 2 3 2 2 3 6" xfId="20086"/>
    <cellStyle name="Note 7 2 3 2 2 4" xfId="11975"/>
    <cellStyle name="Note 7 2 3 2 2 4 2" xfId="16281"/>
    <cellStyle name="Note 7 2 3 2 2 4 3" xfId="17360"/>
    <cellStyle name="Note 7 2 3 2 2 4 4" xfId="18378"/>
    <cellStyle name="Note 7 2 3 2 2 4 5" xfId="19348"/>
    <cellStyle name="Note 7 2 3 2 2 4 6" xfId="20254"/>
    <cellStyle name="Note 7 2 3 2 2 5" xfId="13858"/>
    <cellStyle name="Note 7 2 3 2 2 6" xfId="12852"/>
    <cellStyle name="Note 7 2 3 2 2 7" xfId="12242"/>
    <cellStyle name="Note 7 2 3 2 2 8" xfId="12874"/>
    <cellStyle name="Note 7 2 3 2 2 9" xfId="12627"/>
    <cellStyle name="Note 7 2 3 2 3" xfId="7828"/>
    <cellStyle name="Note 7 2 3 2 3 2" xfId="14479"/>
    <cellStyle name="Note 7 2 3 2 3 3" xfId="13510"/>
    <cellStyle name="Note 7 2 3 2 3 4" xfId="13567"/>
    <cellStyle name="Note 7 2 3 2 3 5" xfId="14033"/>
    <cellStyle name="Note 7 2 3 2 3 6" xfId="14622"/>
    <cellStyle name="Note 7 2 3 2 4" xfId="11411"/>
    <cellStyle name="Note 7 2 3 2 4 2" xfId="15717"/>
    <cellStyle name="Note 7 2 3 2 4 3" xfId="16796"/>
    <cellStyle name="Note 7 2 3 2 4 4" xfId="17825"/>
    <cellStyle name="Note 7 2 3 2 4 5" xfId="18795"/>
    <cellStyle name="Note 7 2 3 2 4 6" xfId="19701"/>
    <cellStyle name="Note 7 2 3 2 5" xfId="11524"/>
    <cellStyle name="Note 7 2 3 2 5 2" xfId="15830"/>
    <cellStyle name="Note 7 2 3 2 5 3" xfId="16909"/>
    <cellStyle name="Note 7 2 3 2 5 4" xfId="17934"/>
    <cellStyle name="Note 7 2 3 2 5 5" xfId="18904"/>
    <cellStyle name="Note 7 2 3 2 5 6" xfId="19810"/>
    <cellStyle name="Note 7 2 3 2 6" xfId="12782"/>
    <cellStyle name="Note 7 2 3 2 7" xfId="15073"/>
    <cellStyle name="Note 7 2 3 2 8" xfId="14487"/>
    <cellStyle name="Note 7 2 3 2 9" xfId="12964"/>
    <cellStyle name="Note 7 2 3 3" xfId="6015"/>
    <cellStyle name="Note 7 2 3 3 2" xfId="11111"/>
    <cellStyle name="Note 7 2 3 3 2 2" xfId="15417"/>
    <cellStyle name="Note 7 2 3 3 2 3" xfId="16496"/>
    <cellStyle name="Note 7 2 3 3 2 4" xfId="17531"/>
    <cellStyle name="Note 7 2 3 3 2 5" xfId="18501"/>
    <cellStyle name="Note 7 2 3 3 2 6" xfId="19407"/>
    <cellStyle name="Note 7 2 3 3 3" xfId="11693"/>
    <cellStyle name="Note 7 2 3 3 3 2" xfId="15999"/>
    <cellStyle name="Note 7 2 3 3 3 3" xfId="17078"/>
    <cellStyle name="Note 7 2 3 3 3 4" xfId="18101"/>
    <cellStyle name="Note 7 2 3 3 3 5" xfId="19071"/>
    <cellStyle name="Note 7 2 3 3 3 6" xfId="19977"/>
    <cellStyle name="Note 7 2 3 3 4" xfId="11865"/>
    <cellStyle name="Note 7 2 3 3 4 2" xfId="16171"/>
    <cellStyle name="Note 7 2 3 3 4 3" xfId="17250"/>
    <cellStyle name="Note 7 2 3 3 4 4" xfId="18269"/>
    <cellStyle name="Note 7 2 3 3 4 5" xfId="19239"/>
    <cellStyle name="Note 7 2 3 3 4 6" xfId="20145"/>
    <cellStyle name="Note 7 2 3 3 5" xfId="13748"/>
    <cellStyle name="Note 7 2 3 3 6" xfId="12600"/>
    <cellStyle name="Note 7 2 3 3 7" xfId="14223"/>
    <cellStyle name="Note 7 2 3 3 8" xfId="17489"/>
    <cellStyle name="Note 7 2 3 3 9" xfId="12187"/>
    <cellStyle name="Note 7 2 3 4" xfId="6540"/>
    <cellStyle name="Note 7 2 3 4 2" xfId="14043"/>
    <cellStyle name="Note 7 2 3 4 3" xfId="13527"/>
    <cellStyle name="Note 7 2 3 4 4" xfId="12410"/>
    <cellStyle name="Note 7 2 3 4 5" xfId="13137"/>
    <cellStyle name="Note 7 2 3 4 6" xfId="12933"/>
    <cellStyle name="Note 7 2 3 5" xfId="6148"/>
    <cellStyle name="Note 7 2 3 5 2" xfId="13880"/>
    <cellStyle name="Note 7 2 3 5 3" xfId="15220"/>
    <cellStyle name="Note 7 2 3 5 4" xfId="16333"/>
    <cellStyle name="Note 7 2 3 5 5" xfId="12104"/>
    <cellStyle name="Note 7 2 3 5 6" xfId="15113"/>
    <cellStyle name="Note 7 2 3 6" xfId="11640"/>
    <cellStyle name="Note 7 2 3 6 2" xfId="15946"/>
    <cellStyle name="Note 7 2 3 6 3" xfId="17025"/>
    <cellStyle name="Note 7 2 3 6 4" xfId="18049"/>
    <cellStyle name="Note 7 2 3 6 5" xfId="19019"/>
    <cellStyle name="Note 7 2 3 6 6" xfId="19925"/>
    <cellStyle name="Note 7 2 3 7" xfId="12267"/>
    <cellStyle name="Note 7 2 3 8" xfId="14482"/>
    <cellStyle name="Note 7 2 3 9" xfId="15189"/>
    <cellStyle name="Note 7 2 4" xfId="2363"/>
    <cellStyle name="Note 7 2 4 2" xfId="4810"/>
    <cellStyle name="Note 7 2 4 2 2" xfId="9906"/>
    <cellStyle name="Note 7 2 4 3" xfId="7467"/>
    <cellStyle name="Note 7 2 5" xfId="3627"/>
    <cellStyle name="Note 7 2 5 2" xfId="8726"/>
    <cellStyle name="Note 7 2 6" xfId="6207"/>
    <cellStyle name="Note 7 3" xfId="1023"/>
    <cellStyle name="Note 7 3 10" xfId="12117"/>
    <cellStyle name="Note 7 3 11" xfId="13347"/>
    <cellStyle name="Note 7 3 2" xfId="2653"/>
    <cellStyle name="Note 7 3 2 10" xfId="12953"/>
    <cellStyle name="Note 7 3 2 2" xfId="6069"/>
    <cellStyle name="Note 7 3 2 2 2" xfId="11165"/>
    <cellStyle name="Note 7 3 2 2 2 2" xfId="15471"/>
    <cellStyle name="Note 7 3 2 2 2 3" xfId="16550"/>
    <cellStyle name="Note 7 3 2 2 2 4" xfId="17584"/>
    <cellStyle name="Note 7 3 2 2 2 5" xfId="18554"/>
    <cellStyle name="Note 7 3 2 2 2 6" xfId="19460"/>
    <cellStyle name="Note 7 3 2 2 3" xfId="11747"/>
    <cellStyle name="Note 7 3 2 2 3 2" xfId="16053"/>
    <cellStyle name="Note 7 3 2 2 3 3" xfId="17132"/>
    <cellStyle name="Note 7 3 2 2 3 4" xfId="18154"/>
    <cellStyle name="Note 7 3 2 2 3 5" xfId="19124"/>
    <cellStyle name="Note 7 3 2 2 3 6" xfId="20030"/>
    <cellStyle name="Note 7 3 2 2 4" xfId="11919"/>
    <cellStyle name="Note 7 3 2 2 4 2" xfId="16225"/>
    <cellStyle name="Note 7 3 2 2 4 3" xfId="17304"/>
    <cellStyle name="Note 7 3 2 2 4 4" xfId="18322"/>
    <cellStyle name="Note 7 3 2 2 4 5" xfId="19292"/>
    <cellStyle name="Note 7 3 2 2 4 6" xfId="20198"/>
    <cellStyle name="Note 7 3 2 2 5" xfId="13802"/>
    <cellStyle name="Note 7 3 2 2 6" xfId="13535"/>
    <cellStyle name="Note 7 3 2 2 7" xfId="14911"/>
    <cellStyle name="Note 7 3 2 2 8" xfId="16365"/>
    <cellStyle name="Note 7 3 2 2 9" xfId="13230"/>
    <cellStyle name="Note 7 3 2 3" xfId="7756"/>
    <cellStyle name="Note 7 3 2 3 2" xfId="14422"/>
    <cellStyle name="Note 7 3 2 3 3" xfId="12314"/>
    <cellStyle name="Note 7 3 2 3 4" xfId="12543"/>
    <cellStyle name="Note 7 3 2 3 5" xfId="13198"/>
    <cellStyle name="Note 7 3 2 3 6" xfId="16376"/>
    <cellStyle name="Note 7 3 2 4" xfId="11355"/>
    <cellStyle name="Note 7 3 2 4 2" xfId="15661"/>
    <cellStyle name="Note 7 3 2 4 3" xfId="16740"/>
    <cellStyle name="Note 7 3 2 4 4" xfId="17769"/>
    <cellStyle name="Note 7 3 2 4 5" xfId="18739"/>
    <cellStyle name="Note 7 3 2 4 6" xfId="19645"/>
    <cellStyle name="Note 7 3 2 5" xfId="11630"/>
    <cellStyle name="Note 7 3 2 5 2" xfId="15936"/>
    <cellStyle name="Note 7 3 2 5 3" xfId="17015"/>
    <cellStyle name="Note 7 3 2 5 4" xfId="18039"/>
    <cellStyle name="Note 7 3 2 5 5" xfId="19009"/>
    <cellStyle name="Note 7 3 2 5 6" xfId="19915"/>
    <cellStyle name="Note 7 3 2 6" xfId="12723"/>
    <cellStyle name="Note 7 3 2 7" xfId="12492"/>
    <cellStyle name="Note 7 3 2 8" xfId="13045"/>
    <cellStyle name="Note 7 3 2 9" xfId="12941"/>
    <cellStyle name="Note 7 3 3" xfId="5994"/>
    <cellStyle name="Note 7 3 3 2" xfId="11090"/>
    <cellStyle name="Note 7 3 3 2 2" xfId="15396"/>
    <cellStyle name="Note 7 3 3 2 3" xfId="16475"/>
    <cellStyle name="Note 7 3 3 2 4" xfId="17510"/>
    <cellStyle name="Note 7 3 3 2 5" xfId="18480"/>
    <cellStyle name="Note 7 3 3 2 6" xfId="19386"/>
    <cellStyle name="Note 7 3 3 3" xfId="11672"/>
    <cellStyle name="Note 7 3 3 3 2" xfId="15978"/>
    <cellStyle name="Note 7 3 3 3 3" xfId="17057"/>
    <cellStyle name="Note 7 3 3 3 4" xfId="18080"/>
    <cellStyle name="Note 7 3 3 3 5" xfId="19050"/>
    <cellStyle name="Note 7 3 3 3 6" xfId="19956"/>
    <cellStyle name="Note 7 3 3 4" xfId="11844"/>
    <cellStyle name="Note 7 3 3 4 2" xfId="16150"/>
    <cellStyle name="Note 7 3 3 4 3" xfId="17229"/>
    <cellStyle name="Note 7 3 3 4 4" xfId="18248"/>
    <cellStyle name="Note 7 3 3 4 5" xfId="19218"/>
    <cellStyle name="Note 7 3 3 4 6" xfId="20124"/>
    <cellStyle name="Note 7 3 3 5" xfId="13727"/>
    <cellStyle name="Note 7 3 3 6" xfId="13358"/>
    <cellStyle name="Note 7 3 3 7" xfId="12879"/>
    <cellStyle name="Note 7 3 3 8" xfId="12890"/>
    <cellStyle name="Note 7 3 3 9" xfId="17458"/>
    <cellStyle name="Note 7 3 4" xfId="6500"/>
    <cellStyle name="Note 7 3 4 2" xfId="14013"/>
    <cellStyle name="Note 7 3 4 3" xfId="13529"/>
    <cellStyle name="Note 7 3 4 4" xfId="14333"/>
    <cellStyle name="Note 7 3 4 5" xfId="15177"/>
    <cellStyle name="Note 7 3 4 6" xfId="12027"/>
    <cellStyle name="Note 7 3 5" xfId="6688"/>
    <cellStyle name="Note 7 3 5 2" xfId="14091"/>
    <cellStyle name="Note 7 3 5 3" xfId="12832"/>
    <cellStyle name="Note 7 3 5 4" xfId="12059"/>
    <cellStyle name="Note 7 3 5 5" xfId="12635"/>
    <cellStyle name="Note 7 3 5 6" xfId="12949"/>
    <cellStyle name="Note 7 3 6" xfId="11556"/>
    <cellStyle name="Note 7 3 6 2" xfId="15862"/>
    <cellStyle name="Note 7 3 6 3" xfId="16941"/>
    <cellStyle name="Note 7 3 6 4" xfId="17966"/>
    <cellStyle name="Note 7 3 6 5" xfId="18936"/>
    <cellStyle name="Note 7 3 6 6" xfId="19842"/>
    <cellStyle name="Note 7 3 7" xfId="12215"/>
    <cellStyle name="Note 7 3 8" xfId="14382"/>
    <cellStyle name="Note 7 3 9" xfId="13425"/>
    <cellStyle name="Note 7 4" xfId="2149"/>
    <cellStyle name="Note 8" xfId="457"/>
    <cellStyle name="Note 8 2" xfId="1024"/>
    <cellStyle name="Note 8 2 10" xfId="15077"/>
    <cellStyle name="Note 8 2 11" xfId="12842"/>
    <cellStyle name="Note 8 2 12" xfId="14959"/>
    <cellStyle name="Note 8 2 2" xfId="1115"/>
    <cellStyle name="Note 8 2 2 2" xfId="2705"/>
    <cellStyle name="Note 8 2 2 2 10" xfId="14132"/>
    <cellStyle name="Note 8 2 2 2 11" xfId="13612"/>
    <cellStyle name="Note 8 2 2 2 2" xfId="6105"/>
    <cellStyle name="Note 8 2 2 2 2 2" xfId="11201"/>
    <cellStyle name="Note 8 2 2 2 2 2 2" xfId="15507"/>
    <cellStyle name="Note 8 2 2 2 2 2 3" xfId="16586"/>
    <cellStyle name="Note 8 2 2 2 2 2 4" xfId="17620"/>
    <cellStyle name="Note 8 2 2 2 2 2 5" xfId="18590"/>
    <cellStyle name="Note 8 2 2 2 2 2 6" xfId="19496"/>
    <cellStyle name="Note 8 2 2 2 2 3" xfId="11783"/>
    <cellStyle name="Note 8 2 2 2 2 3 2" xfId="16089"/>
    <cellStyle name="Note 8 2 2 2 2 3 3" xfId="17168"/>
    <cellStyle name="Note 8 2 2 2 2 3 4" xfId="18190"/>
    <cellStyle name="Note 8 2 2 2 2 3 5" xfId="19160"/>
    <cellStyle name="Note 8 2 2 2 2 3 6" xfId="20066"/>
    <cellStyle name="Note 8 2 2 2 2 4" xfId="11955"/>
    <cellStyle name="Note 8 2 2 2 2 4 2" xfId="16261"/>
    <cellStyle name="Note 8 2 2 2 2 4 3" xfId="17340"/>
    <cellStyle name="Note 8 2 2 2 2 4 4" xfId="18358"/>
    <cellStyle name="Note 8 2 2 2 2 4 5" xfId="19328"/>
    <cellStyle name="Note 8 2 2 2 2 4 6" xfId="20234"/>
    <cellStyle name="Note 8 2 2 2 2 5" xfId="13838"/>
    <cellStyle name="Note 8 2 2 2 2 6" xfId="14893"/>
    <cellStyle name="Note 8 2 2 2 2 7" xfId="12290"/>
    <cellStyle name="Note 8 2 2 2 2 8" xfId="14700"/>
    <cellStyle name="Note 8 2 2 2 2 9" xfId="13438"/>
    <cellStyle name="Note 8 2 2 2 3" xfId="5113"/>
    <cellStyle name="Note 8 2 2 2 3 2" xfId="10209"/>
    <cellStyle name="Note 8 2 2 2 3 2 2" xfId="15147"/>
    <cellStyle name="Note 8 2 2 2 3 2 3" xfId="13487"/>
    <cellStyle name="Note 8 2 2 2 3 2 4" xfId="13351"/>
    <cellStyle name="Note 8 2 2 2 3 2 5" xfId="13500"/>
    <cellStyle name="Note 8 2 2 2 3 2 6" xfId="15103"/>
    <cellStyle name="Note 8 2 2 2 3 3" xfId="11591"/>
    <cellStyle name="Note 8 2 2 2 3 3 2" xfId="15897"/>
    <cellStyle name="Note 8 2 2 2 3 3 3" xfId="16976"/>
    <cellStyle name="Note 8 2 2 2 3 3 4" xfId="18000"/>
    <cellStyle name="Note 8 2 2 2 3 3 5" xfId="18970"/>
    <cellStyle name="Note 8 2 2 2 3 3 6" xfId="19876"/>
    <cellStyle name="Note 8 2 2 2 3 4" xfId="11606"/>
    <cellStyle name="Note 8 2 2 2 3 4 2" xfId="15912"/>
    <cellStyle name="Note 8 2 2 2 3 4 3" xfId="16991"/>
    <cellStyle name="Note 8 2 2 2 3 4 4" xfId="18015"/>
    <cellStyle name="Note 8 2 2 2 3 4 5" xfId="18985"/>
    <cellStyle name="Note 8 2 2 2 3 4 6" xfId="19891"/>
    <cellStyle name="Note 8 2 2 2 3 5" xfId="13467"/>
    <cellStyle name="Note 8 2 2 2 3 6" xfId="13348"/>
    <cellStyle name="Note 8 2 2 2 3 7" xfId="15264"/>
    <cellStyle name="Note 8 2 2 2 3 8" xfId="13518"/>
    <cellStyle name="Note 8 2 2 2 3 9" xfId="14612"/>
    <cellStyle name="Note 8 2 2 2 4" xfId="7808"/>
    <cellStyle name="Note 8 2 2 2 4 2" xfId="14459"/>
    <cellStyle name="Note 8 2 2 2 4 3" xfId="13982"/>
    <cellStyle name="Note 8 2 2 2 4 4" xfId="14879"/>
    <cellStyle name="Note 8 2 2 2 4 5" xfId="14235"/>
    <cellStyle name="Note 8 2 2 2 4 6" xfId="18394"/>
    <cellStyle name="Note 8 2 2 2 5" xfId="11391"/>
    <cellStyle name="Note 8 2 2 2 5 2" xfId="15697"/>
    <cellStyle name="Note 8 2 2 2 5 3" xfId="16776"/>
    <cellStyle name="Note 8 2 2 2 5 4" xfId="17805"/>
    <cellStyle name="Note 8 2 2 2 5 5" xfId="18775"/>
    <cellStyle name="Note 8 2 2 2 5 6" xfId="19681"/>
    <cellStyle name="Note 8 2 2 2 6" xfId="11529"/>
    <cellStyle name="Note 8 2 2 2 6 2" xfId="15835"/>
    <cellStyle name="Note 8 2 2 2 6 3" xfId="16914"/>
    <cellStyle name="Note 8 2 2 2 6 4" xfId="17939"/>
    <cellStyle name="Note 8 2 2 2 6 5" xfId="18909"/>
    <cellStyle name="Note 8 2 2 2 6 6" xfId="19815"/>
    <cellStyle name="Note 8 2 2 2 7" xfId="12762"/>
    <cellStyle name="Note 8 2 2 2 8" xfId="14213"/>
    <cellStyle name="Note 8 2 2 2 9" xfId="13058"/>
    <cellStyle name="Note 8 2 2 3" xfId="3930"/>
    <cellStyle name="Note 8 2 2 3 2" xfId="9029"/>
    <cellStyle name="Note 8 2 2 3 2 2" xfId="14807"/>
    <cellStyle name="Note 8 2 2 3 2 3" xfId="14496"/>
    <cellStyle name="Note 8 2 2 3 2 4" xfId="12151"/>
    <cellStyle name="Note 8 2 2 3 2 5" xfId="13665"/>
    <cellStyle name="Note 8 2 2 3 2 6" xfId="173"/>
    <cellStyle name="Note 8 2 2 3 3" xfId="11497"/>
    <cellStyle name="Note 8 2 2 3 3 2" xfId="15803"/>
    <cellStyle name="Note 8 2 2 3 3 3" xfId="16882"/>
    <cellStyle name="Note 8 2 2 3 3 4" xfId="17908"/>
    <cellStyle name="Note 8 2 2 3 3 5" xfId="18878"/>
    <cellStyle name="Note 8 2 2 3 3 6" xfId="19784"/>
    <cellStyle name="Note 8 2 2 3 4" xfId="6183"/>
    <cellStyle name="Note 8 2 2 3 4 2" xfId="13915"/>
    <cellStyle name="Note 8 2 2 3 4 3" xfId="12368"/>
    <cellStyle name="Note 8 2 2 3 4 4" xfId="12538"/>
    <cellStyle name="Note 8 2 2 3 4 5" xfId="12076"/>
    <cellStyle name="Note 8 2 2 3 4 6" xfId="15007"/>
    <cellStyle name="Note 8 2 2 3 5" xfId="13119"/>
    <cellStyle name="Note 8 2 2 3 6" xfId="12900"/>
    <cellStyle name="Note 8 2 2 3 7" xfId="12918"/>
    <cellStyle name="Note 8 2 2 3 8" xfId="12916"/>
    <cellStyle name="Note 8 2 2 3 9" xfId="12090"/>
    <cellStyle name="Note 8 2 3" xfId="2654"/>
    <cellStyle name="Note 8 2 3 10" xfId="13138"/>
    <cellStyle name="Note 8 2 3 2" xfId="6070"/>
    <cellStyle name="Note 8 2 3 2 2" xfId="11166"/>
    <cellStyle name="Note 8 2 3 2 2 2" xfId="15472"/>
    <cellStyle name="Note 8 2 3 2 2 3" xfId="16551"/>
    <cellStyle name="Note 8 2 3 2 2 4" xfId="17585"/>
    <cellStyle name="Note 8 2 3 2 2 5" xfId="18555"/>
    <cellStyle name="Note 8 2 3 2 2 6" xfId="19461"/>
    <cellStyle name="Note 8 2 3 2 3" xfId="11748"/>
    <cellStyle name="Note 8 2 3 2 3 2" xfId="16054"/>
    <cellStyle name="Note 8 2 3 2 3 3" xfId="17133"/>
    <cellStyle name="Note 8 2 3 2 3 4" xfId="18155"/>
    <cellStyle name="Note 8 2 3 2 3 5" xfId="19125"/>
    <cellStyle name="Note 8 2 3 2 3 6" xfId="20031"/>
    <cellStyle name="Note 8 2 3 2 4" xfId="11920"/>
    <cellStyle name="Note 8 2 3 2 4 2" xfId="16226"/>
    <cellStyle name="Note 8 2 3 2 4 3" xfId="17305"/>
    <cellStyle name="Note 8 2 3 2 4 4" xfId="18323"/>
    <cellStyle name="Note 8 2 3 2 4 5" xfId="19293"/>
    <cellStyle name="Note 8 2 3 2 4 6" xfId="20199"/>
    <cellStyle name="Note 8 2 3 2 5" xfId="13803"/>
    <cellStyle name="Note 8 2 3 2 6" xfId="12841"/>
    <cellStyle name="Note 8 2 3 2 7" xfId="12251"/>
    <cellStyle name="Note 8 2 3 2 8" xfId="12164"/>
    <cellStyle name="Note 8 2 3 2 9" xfId="15116"/>
    <cellStyle name="Note 8 2 3 3" xfId="7757"/>
    <cellStyle name="Note 8 2 3 3 2" xfId="14423"/>
    <cellStyle name="Note 8 2 3 3 3" xfId="12130"/>
    <cellStyle name="Note 8 2 3 3 4" xfId="14401"/>
    <cellStyle name="Note 8 2 3 3 5" xfId="17381"/>
    <cellStyle name="Note 8 2 3 3 6" xfId="13015"/>
    <cellStyle name="Note 8 2 3 4" xfId="11356"/>
    <cellStyle name="Note 8 2 3 4 2" xfId="15662"/>
    <cellStyle name="Note 8 2 3 4 3" xfId="16741"/>
    <cellStyle name="Note 8 2 3 4 4" xfId="17770"/>
    <cellStyle name="Note 8 2 3 4 5" xfId="18740"/>
    <cellStyle name="Note 8 2 3 4 6" xfId="19646"/>
    <cellStyle name="Note 8 2 3 5" xfId="11442"/>
    <cellStyle name="Note 8 2 3 5 2" xfId="15748"/>
    <cellStyle name="Note 8 2 3 5 3" xfId="16827"/>
    <cellStyle name="Note 8 2 3 5 4" xfId="17855"/>
    <cellStyle name="Note 8 2 3 5 5" xfId="18825"/>
    <cellStyle name="Note 8 2 3 5 6" xfId="19731"/>
    <cellStyle name="Note 8 2 3 6" xfId="12724"/>
    <cellStyle name="Note 8 2 3 7" xfId="12491"/>
    <cellStyle name="Note 8 2 3 8" xfId="14730"/>
    <cellStyle name="Note 8 2 3 9" xfId="14237"/>
    <cellStyle name="Note 8 2 4" xfId="5995"/>
    <cellStyle name="Note 8 2 4 2" xfId="11091"/>
    <cellStyle name="Note 8 2 4 2 2" xfId="15397"/>
    <cellStyle name="Note 8 2 4 2 3" xfId="16476"/>
    <cellStyle name="Note 8 2 4 2 4" xfId="17511"/>
    <cellStyle name="Note 8 2 4 2 5" xfId="18481"/>
    <cellStyle name="Note 8 2 4 2 6" xfId="19387"/>
    <cellStyle name="Note 8 2 4 3" xfId="11673"/>
    <cellStyle name="Note 8 2 4 3 2" xfId="15979"/>
    <cellStyle name="Note 8 2 4 3 3" xfId="17058"/>
    <cellStyle name="Note 8 2 4 3 4" xfId="18081"/>
    <cellStyle name="Note 8 2 4 3 5" xfId="19051"/>
    <cellStyle name="Note 8 2 4 3 6" xfId="19957"/>
    <cellStyle name="Note 8 2 4 4" xfId="11845"/>
    <cellStyle name="Note 8 2 4 4 2" xfId="16151"/>
    <cellStyle name="Note 8 2 4 4 3" xfId="17230"/>
    <cellStyle name="Note 8 2 4 4 4" xfId="18249"/>
    <cellStyle name="Note 8 2 4 4 5" xfId="19219"/>
    <cellStyle name="Note 8 2 4 4 6" xfId="20125"/>
    <cellStyle name="Note 8 2 4 5" xfId="13728"/>
    <cellStyle name="Note 8 2 4 6" xfId="14689"/>
    <cellStyle name="Note 8 2 4 7" xfId="15178"/>
    <cellStyle name="Note 8 2 4 8" xfId="15058"/>
    <cellStyle name="Note 8 2 4 9" xfId="14342"/>
    <cellStyle name="Note 8 2 5" xfId="6501"/>
    <cellStyle name="Note 8 2 5 2" xfId="14014"/>
    <cellStyle name="Note 8 2 5 3" xfId="12836"/>
    <cellStyle name="Note 8 2 5 4" xfId="12184"/>
    <cellStyle name="Note 8 2 5 5" xfId="16373"/>
    <cellStyle name="Note 8 2 5 6" xfId="13499"/>
    <cellStyle name="Note 8 2 6" xfId="6157"/>
    <cellStyle name="Note 8 2 6 2" xfId="13889"/>
    <cellStyle name="Note 8 2 6 3" xfId="12848"/>
    <cellStyle name="Note 8 2 6 4" xfId="12122"/>
    <cellStyle name="Note 8 2 6 5" xfId="14869"/>
    <cellStyle name="Note 8 2 6 6" xfId="12112"/>
    <cellStyle name="Note 8 2 7" xfId="11645"/>
    <cellStyle name="Note 8 2 7 2" xfId="15951"/>
    <cellStyle name="Note 8 2 7 3" xfId="17030"/>
    <cellStyle name="Note 8 2 7 4" xfId="18054"/>
    <cellStyle name="Note 8 2 7 5" xfId="19024"/>
    <cellStyle name="Note 8 2 7 6" xfId="19930"/>
    <cellStyle name="Note 8 2 8" xfId="12216"/>
    <cellStyle name="Note 8 2 9" xfId="15101"/>
    <cellStyle name="Note 9" xfId="999"/>
    <cellStyle name="Note 9 2" xfId="1042"/>
    <cellStyle name="Note 9 2 2" xfId="2672"/>
    <cellStyle name="Note 9 2 2 2" xfId="5081"/>
    <cellStyle name="Note 9 2 2 2 2" xfId="10177"/>
    <cellStyle name="Note 9 2 2 3" xfId="7775"/>
    <cellStyle name="Note 9 2 3" xfId="3898"/>
    <cellStyle name="Note 9 2 3 2" xfId="8997"/>
    <cellStyle name="Note 9 2 4" xfId="6519"/>
    <cellStyle name="Note 9 3" xfId="2633"/>
    <cellStyle name="Note 9 3 2" xfId="5077"/>
    <cellStyle name="Note 9 3 2 2" xfId="10173"/>
    <cellStyle name="Note 9 3 3" xfId="7736"/>
    <cellStyle name="Note 9 4" xfId="3894"/>
    <cellStyle name="Note 9 4 2" xfId="8993"/>
    <cellStyle name="Note 9 5" xfId="6480"/>
    <cellStyle name="Output" xfId="117" builtinId="21" customBuiltin="1"/>
    <cellStyle name="Output 2" xfId="55"/>
    <cellStyle name="Output 2 2" xfId="523"/>
    <cellStyle name="Output 2 2 2" xfId="860"/>
    <cellStyle name="Output 2 2 3" xfId="2337"/>
    <cellStyle name="Output 2 2 3 10" xfId="12637"/>
    <cellStyle name="Output 2 2 3 11" xfId="18439"/>
    <cellStyle name="Output 2 2 3 2" xfId="6046"/>
    <cellStyle name="Output 2 2 3 2 2" xfId="11142"/>
    <cellStyle name="Output 2 2 3 2 2 2" xfId="15448"/>
    <cellStyle name="Output 2 2 3 2 2 3" xfId="16527"/>
    <cellStyle name="Output 2 2 3 2 2 4" xfId="17561"/>
    <cellStyle name="Output 2 2 3 2 2 5" xfId="18531"/>
    <cellStyle name="Output 2 2 3 2 2 6" xfId="19437"/>
    <cellStyle name="Output 2 2 3 2 3" xfId="11724"/>
    <cellStyle name="Output 2 2 3 2 3 2" xfId="16030"/>
    <cellStyle name="Output 2 2 3 2 3 3" xfId="17109"/>
    <cellStyle name="Output 2 2 3 2 3 4" xfId="18131"/>
    <cellStyle name="Output 2 2 3 2 3 5" xfId="19101"/>
    <cellStyle name="Output 2 2 3 2 3 6" xfId="20007"/>
    <cellStyle name="Output 2 2 3 2 4" xfId="11896"/>
    <cellStyle name="Output 2 2 3 2 4 2" xfId="16202"/>
    <cellStyle name="Output 2 2 3 2 4 3" xfId="17281"/>
    <cellStyle name="Output 2 2 3 2 4 4" xfId="18299"/>
    <cellStyle name="Output 2 2 3 2 4 5" xfId="19269"/>
    <cellStyle name="Output 2 2 3 2 4 6" xfId="20175"/>
    <cellStyle name="Output 2 2 3 2 5" xfId="13779"/>
    <cellStyle name="Output 2 2 3 2 6" xfId="12989"/>
    <cellStyle name="Output 2 2 3 2 7" xfId="14201"/>
    <cellStyle name="Output 2 2 3 2 8" xfId="14172"/>
    <cellStyle name="Output 2 2 3 2 9" xfId="14886"/>
    <cellStyle name="Output 2 2 3 3" xfId="4789"/>
    <cellStyle name="Output 2 2 3 3 2" xfId="9885"/>
    <cellStyle name="Output 2 2 3 3 2 2" xfId="15040"/>
    <cellStyle name="Output 2 2 3 3 2 3" xfId="1150"/>
    <cellStyle name="Output 2 2 3 3 2 4" xfId="15014"/>
    <cellStyle name="Output 2 2 3 3 2 5" xfId="14852"/>
    <cellStyle name="Output 2 2 3 3 2 6" xfId="13039"/>
    <cellStyle name="Output 2 2 3 3 3" xfId="11566"/>
    <cellStyle name="Output 2 2 3 3 3 2" xfId="15872"/>
    <cellStyle name="Output 2 2 3 3 3 3" xfId="16951"/>
    <cellStyle name="Output 2 2 3 3 3 4" xfId="17975"/>
    <cellStyle name="Output 2 2 3 3 3 5" xfId="18945"/>
    <cellStyle name="Output 2 2 3 3 3 6" xfId="19851"/>
    <cellStyle name="Output 2 2 3 3 4" xfId="6179"/>
    <cellStyle name="Output 2 2 3 3 4 2" xfId="13911"/>
    <cellStyle name="Output 2 2 3 3 4 3" xfId="13539"/>
    <cellStyle name="Output 2 2 3 3 4 4" xfId="14569"/>
    <cellStyle name="Output 2 2 3 3 4 5" xfId="14276"/>
    <cellStyle name="Output 2 2 3 3 4 6" xfId="17427"/>
    <cellStyle name="Output 2 2 3 3 5" xfId="13369"/>
    <cellStyle name="Output 2 2 3 3 6" xfId="14177"/>
    <cellStyle name="Output 2 2 3 3 7" xfId="12327"/>
    <cellStyle name="Output 2 2 3 3 8" xfId="14329"/>
    <cellStyle name="Output 2 2 3 3 9" xfId="14979"/>
    <cellStyle name="Output 2 2 3 4" xfId="7446"/>
    <cellStyle name="Output 2 2 3 4 2" xfId="14321"/>
    <cellStyle name="Output 2 2 3 4 3" xfId="13928"/>
    <cellStyle name="Output 2 2 3 4 4" xfId="15122"/>
    <cellStyle name="Output 2 2 3 4 5" xfId="12048"/>
    <cellStyle name="Output 2 2 3 4 6" xfId="14656"/>
    <cellStyle name="Output 2 2 3 5" xfId="11327"/>
    <cellStyle name="Output 2 2 3 5 2" xfId="15633"/>
    <cellStyle name="Output 2 2 3 5 3" xfId="16712"/>
    <cellStyle name="Output 2 2 3 5 4" xfId="17741"/>
    <cellStyle name="Output 2 2 3 5 5" xfId="18711"/>
    <cellStyle name="Output 2 2 3 5 6" xfId="19617"/>
    <cellStyle name="Output 2 2 3 6" xfId="11545"/>
    <cellStyle name="Output 2 2 3 6 2" xfId="15851"/>
    <cellStyle name="Output 2 2 3 6 3" xfId="16930"/>
    <cellStyle name="Output 2 2 3 6 4" xfId="17955"/>
    <cellStyle name="Output 2 2 3 6 5" xfId="18925"/>
    <cellStyle name="Output 2 2 3 6 6" xfId="19831"/>
    <cellStyle name="Output 2 2 3 7" xfId="12618"/>
    <cellStyle name="Output 2 2 3 8" xfId="15311"/>
    <cellStyle name="Output 2 2 3 9" xfId="16405"/>
    <cellStyle name="Output 2 2 4" xfId="3606"/>
    <cellStyle name="Output 2 2 4 2" xfId="8705"/>
    <cellStyle name="Output 2 2 4 2 2" xfId="14706"/>
    <cellStyle name="Output 2 2 4 2 3" xfId="12741"/>
    <cellStyle name="Output 2 2 4 2 4" xfId="14770"/>
    <cellStyle name="Output 2 2 4 2 5" xfId="12533"/>
    <cellStyle name="Output 2 2 4 2 6" xfId="12047"/>
    <cellStyle name="Output 2 2 4 3" xfId="11471"/>
    <cellStyle name="Output 2 2 4 3 2" xfId="15777"/>
    <cellStyle name="Output 2 2 4 3 3" xfId="16856"/>
    <cellStyle name="Output 2 2 4 3 4" xfId="17883"/>
    <cellStyle name="Output 2 2 4 3 5" xfId="18853"/>
    <cellStyle name="Output 2 2 4 3 6" xfId="19759"/>
    <cellStyle name="Output 2 2 4 4" xfId="11611"/>
    <cellStyle name="Output 2 2 4 4 2" xfId="15917"/>
    <cellStyle name="Output 2 2 4 4 3" xfId="16996"/>
    <cellStyle name="Output 2 2 4 4 4" xfId="18020"/>
    <cellStyle name="Output 2 2 4 4 5" xfId="18990"/>
    <cellStyle name="Output 2 2 4 4 6" xfId="19896"/>
    <cellStyle name="Output 2 2 4 5" xfId="13021"/>
    <cellStyle name="Output 2 2 4 6" xfId="12647"/>
    <cellStyle name="Output 2 2 4 7" xfId="14624"/>
    <cellStyle name="Output 2 2 4 8" xfId="16415"/>
    <cellStyle name="Output 2 2 4 9" xfId="12456"/>
    <cellStyle name="Output 2 3" xfId="1025"/>
    <cellStyle name="Output 2 3 10" xfId="14171"/>
    <cellStyle name="Output 2 3 11" xfId="14066"/>
    <cellStyle name="Output 2 3 12" xfId="15091"/>
    <cellStyle name="Output 2 3 2" xfId="1116"/>
    <cellStyle name="Output 2 3 2 2" xfId="2706"/>
    <cellStyle name="Output 2 3 2 2 10" xfId="17451"/>
    <cellStyle name="Output 2 3 2 2 11" xfId="12499"/>
    <cellStyle name="Output 2 3 2 2 2" xfId="6106"/>
    <cellStyle name="Output 2 3 2 2 2 2" xfId="11202"/>
    <cellStyle name="Output 2 3 2 2 2 2 2" xfId="15508"/>
    <cellStyle name="Output 2 3 2 2 2 2 3" xfId="16587"/>
    <cellStyle name="Output 2 3 2 2 2 2 4" xfId="17621"/>
    <cellStyle name="Output 2 3 2 2 2 2 5" xfId="18591"/>
    <cellStyle name="Output 2 3 2 2 2 2 6" xfId="19497"/>
    <cellStyle name="Output 2 3 2 2 2 3" xfId="11784"/>
    <cellStyle name="Output 2 3 2 2 2 3 2" xfId="16090"/>
    <cellStyle name="Output 2 3 2 2 2 3 3" xfId="17169"/>
    <cellStyle name="Output 2 3 2 2 2 3 4" xfId="18191"/>
    <cellStyle name="Output 2 3 2 2 2 3 5" xfId="19161"/>
    <cellStyle name="Output 2 3 2 2 2 3 6" xfId="20067"/>
    <cellStyle name="Output 2 3 2 2 2 4" xfId="11956"/>
    <cellStyle name="Output 2 3 2 2 2 4 2" xfId="16262"/>
    <cellStyle name="Output 2 3 2 2 2 4 3" xfId="17341"/>
    <cellStyle name="Output 2 3 2 2 2 4 4" xfId="18359"/>
    <cellStyle name="Output 2 3 2 2 2 4 5" xfId="19329"/>
    <cellStyle name="Output 2 3 2 2 2 4 6" xfId="20235"/>
    <cellStyle name="Output 2 3 2 2 2 5" xfId="13839"/>
    <cellStyle name="Output 2 3 2 2 2 6" xfId="13205"/>
    <cellStyle name="Output 2 3 2 2 2 7" xfId="12437"/>
    <cellStyle name="Output 2 3 2 2 2 8" xfId="12693"/>
    <cellStyle name="Output 2 3 2 2 2 9" xfId="18421"/>
    <cellStyle name="Output 2 3 2 2 3" xfId="5114"/>
    <cellStyle name="Output 2 3 2 2 3 2" xfId="10210"/>
    <cellStyle name="Output 2 3 2 2 3 2 2" xfId="15148"/>
    <cellStyle name="Output 2 3 2 2 3 2 3" xfId="12785"/>
    <cellStyle name="Output 2 3 2 2 3 2 4" xfId="13629"/>
    <cellStyle name="Output 2 3 2 2 3 2 5" xfId="13640"/>
    <cellStyle name="Output 2 3 2 2 3 2 6" xfId="13032"/>
    <cellStyle name="Output 2 3 2 2 3 3" xfId="11592"/>
    <cellStyle name="Output 2 3 2 2 3 3 2" xfId="15898"/>
    <cellStyle name="Output 2 3 2 2 3 3 3" xfId="16977"/>
    <cellStyle name="Output 2 3 2 2 3 3 4" xfId="18001"/>
    <cellStyle name="Output 2 3 2 2 3 3 5" xfId="18971"/>
    <cellStyle name="Output 2 3 2 2 3 3 6" xfId="19877"/>
    <cellStyle name="Output 2 3 2 2 3 4" xfId="11412"/>
    <cellStyle name="Output 2 3 2 2 3 4 2" xfId="15718"/>
    <cellStyle name="Output 2 3 2 2 3 4 3" xfId="16797"/>
    <cellStyle name="Output 2 3 2 2 3 4 4" xfId="17826"/>
    <cellStyle name="Output 2 3 2 2 3 4 5" xfId="18796"/>
    <cellStyle name="Output 2 3 2 2 3 4 6" xfId="19702"/>
    <cellStyle name="Output 2 3 2 2 3 5" xfId="13468"/>
    <cellStyle name="Output 2 3 2 2 3 6" xfId="14679"/>
    <cellStyle name="Output 2 3 2 2 3 7" xfId="13947"/>
    <cellStyle name="Output 2 3 2 2 3 8" xfId="12524"/>
    <cellStyle name="Output 2 3 2 2 3 9" xfId="12165"/>
    <cellStyle name="Output 2 3 2 2 4" xfId="7809"/>
    <cellStyle name="Output 2 3 2 2 4 2" xfId="14460"/>
    <cellStyle name="Output 2 3 2 2 4 3" xfId="14774"/>
    <cellStyle name="Output 2 3 2 2 4 4" xfId="15175"/>
    <cellStyle name="Output 2 3 2 2 4 5" xfId="16331"/>
    <cellStyle name="Output 2 3 2 2 4 6" xfId="14150"/>
    <cellStyle name="Output 2 3 2 2 5" xfId="11392"/>
    <cellStyle name="Output 2 3 2 2 5 2" xfId="15698"/>
    <cellStyle name="Output 2 3 2 2 5 3" xfId="16777"/>
    <cellStyle name="Output 2 3 2 2 5 4" xfId="17806"/>
    <cellStyle name="Output 2 3 2 2 5 5" xfId="18776"/>
    <cellStyle name="Output 2 3 2 2 5 6" xfId="19682"/>
    <cellStyle name="Output 2 3 2 2 6" xfId="11620"/>
    <cellStyle name="Output 2 3 2 2 6 2" xfId="15926"/>
    <cellStyle name="Output 2 3 2 2 6 3" xfId="17005"/>
    <cellStyle name="Output 2 3 2 2 6 4" xfId="18029"/>
    <cellStyle name="Output 2 3 2 2 6 5" xfId="18999"/>
    <cellStyle name="Output 2 3 2 2 6 6" xfId="19905"/>
    <cellStyle name="Output 2 3 2 2 7" xfId="12763"/>
    <cellStyle name="Output 2 3 2 2 8" xfId="14970"/>
    <cellStyle name="Output 2 3 2 2 9" xfId="14491"/>
    <cellStyle name="Output 2 3 2 3" xfId="3931"/>
    <cellStyle name="Output 2 3 2 3 2" xfId="9030"/>
    <cellStyle name="Output 2 3 2 3 2 2" xfId="14808"/>
    <cellStyle name="Output 2 3 2 3 2 3" xfId="15174"/>
    <cellStyle name="Output 2 3 2 3 2 4" xfId="12082"/>
    <cellStyle name="Output 2 3 2 3 2 5" xfId="13134"/>
    <cellStyle name="Output 2 3 2 3 2 6" xfId="13436"/>
    <cellStyle name="Output 2 3 2 3 3" xfId="11498"/>
    <cellStyle name="Output 2 3 2 3 3 2" xfId="15804"/>
    <cellStyle name="Output 2 3 2 3 3 3" xfId="16883"/>
    <cellStyle name="Output 2 3 2 3 3 4" xfId="17909"/>
    <cellStyle name="Output 2 3 2 3 3 5" xfId="18879"/>
    <cellStyle name="Output 2 3 2 3 3 6" xfId="19785"/>
    <cellStyle name="Output 2 3 2 3 4" xfId="6534"/>
    <cellStyle name="Output 2 3 2 3 4 2" xfId="14037"/>
    <cellStyle name="Output 2 3 2 3 4 3" xfId="12358"/>
    <cellStyle name="Output 2 3 2 3 4 4" xfId="14255"/>
    <cellStyle name="Output 2 3 2 3 4 5" xfId="14059"/>
    <cellStyle name="Output 2 3 2 3 4 6" xfId="16369"/>
    <cellStyle name="Output 2 3 2 3 5" xfId="13120"/>
    <cellStyle name="Output 2 3 2 3 6" xfId="14190"/>
    <cellStyle name="Output 2 3 2 3 7" xfId="12324"/>
    <cellStyle name="Output 2 3 2 3 8" xfId="13957"/>
    <cellStyle name="Output 2 3 2 3 9" xfId="15255"/>
    <cellStyle name="Output 2 3 3" xfId="2655"/>
    <cellStyle name="Output 2 3 3 10" xfId="12246"/>
    <cellStyle name="Output 2 3 3 2" xfId="6071"/>
    <cellStyle name="Output 2 3 3 2 2" xfId="11167"/>
    <cellStyle name="Output 2 3 3 2 2 2" xfId="15473"/>
    <cellStyle name="Output 2 3 3 2 2 3" xfId="16552"/>
    <cellStyle name="Output 2 3 3 2 2 4" xfId="17586"/>
    <cellStyle name="Output 2 3 3 2 2 5" xfId="18556"/>
    <cellStyle name="Output 2 3 3 2 2 6" xfId="19462"/>
    <cellStyle name="Output 2 3 3 2 3" xfId="11749"/>
    <cellStyle name="Output 2 3 3 2 3 2" xfId="16055"/>
    <cellStyle name="Output 2 3 3 2 3 3" xfId="17134"/>
    <cellStyle name="Output 2 3 3 2 3 4" xfId="18156"/>
    <cellStyle name="Output 2 3 3 2 3 5" xfId="19126"/>
    <cellStyle name="Output 2 3 3 2 3 6" xfId="20032"/>
    <cellStyle name="Output 2 3 3 2 4" xfId="11921"/>
    <cellStyle name="Output 2 3 3 2 4 2" xfId="16227"/>
    <cellStyle name="Output 2 3 3 2 4 3" xfId="17306"/>
    <cellStyle name="Output 2 3 3 2 4 4" xfId="18324"/>
    <cellStyle name="Output 2 3 3 2 4 5" xfId="19294"/>
    <cellStyle name="Output 2 3 3 2 4 6" xfId="20200"/>
    <cellStyle name="Output 2 3 3 2 5" xfId="13804"/>
    <cellStyle name="Output 2 3 3 2 6" xfId="12367"/>
    <cellStyle name="Output 2 3 3 2 7" xfId="14254"/>
    <cellStyle name="Output 2 3 3 2 8" xfId="17476"/>
    <cellStyle name="Output 2 3 3 2 9" xfId="14497"/>
    <cellStyle name="Output 2 3 3 3" xfId="7758"/>
    <cellStyle name="Output 2 3 3 3 2" xfId="14424"/>
    <cellStyle name="Output 2 3 3 3 3" xfId="13937"/>
    <cellStyle name="Output 2 3 3 3 4" xfId="15215"/>
    <cellStyle name="Output 2 3 3 3 5" xfId="12236"/>
    <cellStyle name="Output 2 3 3 3 6" xfId="12561"/>
    <cellStyle name="Output 2 3 3 4" xfId="11357"/>
    <cellStyle name="Output 2 3 3 4 2" xfId="15663"/>
    <cellStyle name="Output 2 3 3 4 3" xfId="16742"/>
    <cellStyle name="Output 2 3 3 4 4" xfId="17771"/>
    <cellStyle name="Output 2 3 3 4 5" xfId="18741"/>
    <cellStyle name="Output 2 3 3 4 6" xfId="19647"/>
    <cellStyle name="Output 2 3 3 5" xfId="11278"/>
    <cellStyle name="Output 2 3 3 5 2" xfId="15584"/>
    <cellStyle name="Output 2 3 3 5 3" xfId="16663"/>
    <cellStyle name="Output 2 3 3 5 4" xfId="17693"/>
    <cellStyle name="Output 2 3 3 5 5" xfId="18663"/>
    <cellStyle name="Output 2 3 3 5 6" xfId="19569"/>
    <cellStyle name="Output 2 3 3 6" xfId="12725"/>
    <cellStyle name="Output 2 3 3 7" xfId="12490"/>
    <cellStyle name="Output 2 3 3 8" xfId="13933"/>
    <cellStyle name="Output 2 3 3 9" xfId="14369"/>
    <cellStyle name="Output 2 3 4" xfId="5996"/>
    <cellStyle name="Output 2 3 4 2" xfId="11092"/>
    <cellStyle name="Output 2 3 4 2 2" xfId="15398"/>
    <cellStyle name="Output 2 3 4 2 3" xfId="16477"/>
    <cellStyle name="Output 2 3 4 2 4" xfId="17512"/>
    <cellStyle name="Output 2 3 4 2 5" xfId="18482"/>
    <cellStyle name="Output 2 3 4 2 6" xfId="19388"/>
    <cellStyle name="Output 2 3 4 3" xfId="11674"/>
    <cellStyle name="Output 2 3 4 3 2" xfId="15980"/>
    <cellStyle name="Output 2 3 4 3 3" xfId="17059"/>
    <cellStyle name="Output 2 3 4 3 4" xfId="18082"/>
    <cellStyle name="Output 2 3 4 3 5" xfId="19052"/>
    <cellStyle name="Output 2 3 4 3 6" xfId="19958"/>
    <cellStyle name="Output 2 3 4 4" xfId="11846"/>
    <cellStyle name="Output 2 3 4 4 2" xfId="16152"/>
    <cellStyle name="Output 2 3 4 4 3" xfId="17231"/>
    <cellStyle name="Output 2 3 4 4 4" xfId="18250"/>
    <cellStyle name="Output 2 3 4 4 5" xfId="19220"/>
    <cellStyle name="Output 2 3 4 4 6" xfId="20126"/>
    <cellStyle name="Output 2 3 4 5" xfId="13729"/>
    <cellStyle name="Output 2 3 4 6" xfId="15371"/>
    <cellStyle name="Output 2 3 4 7" xfId="16450"/>
    <cellStyle name="Output 2 3 4 8" xfId="17417"/>
    <cellStyle name="Output 2 3 4 9" xfId="13601"/>
    <cellStyle name="Output 2 3 5" xfId="6502"/>
    <cellStyle name="Output 2 3 5 2" xfId="14015"/>
    <cellStyle name="Output 2 3 5 3" xfId="14126"/>
    <cellStyle name="Output 2 3 5 4" xfId="14522"/>
    <cellStyle name="Output 2 3 5 5" xfId="15308"/>
    <cellStyle name="Output 2 3 5 6" xfId="12321"/>
    <cellStyle name="Output 2 3 6" xfId="6687"/>
    <cellStyle name="Output 2 3 6 2" xfId="14090"/>
    <cellStyle name="Output 2 3 6 3" xfId="13524"/>
    <cellStyle name="Output 2 3 6 4" xfId="15249"/>
    <cellStyle name="Output 2 3 6 5" xfId="13431"/>
    <cellStyle name="Output 2 3 6 6" xfId="13035"/>
    <cellStyle name="Output 2 3 7" xfId="11455"/>
    <cellStyle name="Output 2 3 7 2" xfId="15761"/>
    <cellStyle name="Output 2 3 7 3" xfId="16840"/>
    <cellStyle name="Output 2 3 7 4" xfId="17868"/>
    <cellStyle name="Output 2 3 7 5" xfId="18838"/>
    <cellStyle name="Output 2 3 7 6" xfId="19744"/>
    <cellStyle name="Output 2 3 8" xfId="12217"/>
    <cellStyle name="Output 2 3 9" xfId="13420"/>
    <cellStyle name="Output 2 4" xfId="2150"/>
    <cellStyle name="Output 2 5" xfId="163"/>
    <cellStyle name="Output 3" xfId="458"/>
    <cellStyle name="Output 3 2" xfId="861"/>
    <cellStyle name="Output 3 3" xfId="1026"/>
    <cellStyle name="Output 3 3 10" xfId="12185"/>
    <cellStyle name="Output 3 3 11" xfId="14206"/>
    <cellStyle name="Output 3 3 12" xfId="13491"/>
    <cellStyle name="Output 3 3 2" xfId="1117"/>
    <cellStyle name="Output 3 3 2 2" xfId="2707"/>
    <cellStyle name="Output 3 3 2 2 10" xfId="13576"/>
    <cellStyle name="Output 3 3 2 2 11" xfId="12562"/>
    <cellStyle name="Output 3 3 2 2 2" xfId="6107"/>
    <cellStyle name="Output 3 3 2 2 2 2" xfId="11203"/>
    <cellStyle name="Output 3 3 2 2 2 2 2" xfId="15509"/>
    <cellStyle name="Output 3 3 2 2 2 2 3" xfId="16588"/>
    <cellStyle name="Output 3 3 2 2 2 2 4" xfId="17622"/>
    <cellStyle name="Output 3 3 2 2 2 2 5" xfId="18592"/>
    <cellStyle name="Output 3 3 2 2 2 2 6" xfId="19498"/>
    <cellStyle name="Output 3 3 2 2 2 3" xfId="11785"/>
    <cellStyle name="Output 3 3 2 2 2 3 2" xfId="16091"/>
    <cellStyle name="Output 3 3 2 2 2 3 3" xfId="17170"/>
    <cellStyle name="Output 3 3 2 2 2 3 4" xfId="18192"/>
    <cellStyle name="Output 3 3 2 2 2 3 5" xfId="19162"/>
    <cellStyle name="Output 3 3 2 2 2 3 6" xfId="20068"/>
    <cellStyle name="Output 3 3 2 2 2 4" xfId="11957"/>
    <cellStyle name="Output 3 3 2 2 2 4 2" xfId="16263"/>
    <cellStyle name="Output 3 3 2 2 2 4 3" xfId="17342"/>
    <cellStyle name="Output 3 3 2 2 2 4 4" xfId="18360"/>
    <cellStyle name="Output 3 3 2 2 2 4 5" xfId="19330"/>
    <cellStyle name="Output 3 3 2 2 2 4 6" xfId="20236"/>
    <cellStyle name="Output 3 3 2 2 2 5" xfId="13840"/>
    <cellStyle name="Output 3 3 2 2 2 6" xfId="14548"/>
    <cellStyle name="Output 3 3 2 2 2 7" xfId="11998"/>
    <cellStyle name="Output 3 3 2 2 2 8" xfId="13663"/>
    <cellStyle name="Output 3 3 2 2 2 9" xfId="13921"/>
    <cellStyle name="Output 3 3 2 2 3" xfId="5115"/>
    <cellStyle name="Output 3 3 2 2 3 2" xfId="10211"/>
    <cellStyle name="Output 3 3 2 2 3 2 2" xfId="15149"/>
    <cellStyle name="Output 3 3 2 2 3 2 3" xfId="12276"/>
    <cellStyle name="Output 3 3 2 2 3 2 4" xfId="12919"/>
    <cellStyle name="Output 3 3 2 2 3 2 5" xfId="13554"/>
    <cellStyle name="Output 3 3 2 2 3 2 6" xfId="15049"/>
    <cellStyle name="Output 3 3 2 2 3 3" xfId="11593"/>
    <cellStyle name="Output 3 3 2 2 3 3 2" xfId="15899"/>
    <cellStyle name="Output 3 3 2 2 3 3 3" xfId="16978"/>
    <cellStyle name="Output 3 3 2 2 3 3 4" xfId="18002"/>
    <cellStyle name="Output 3 3 2 2 3 3 5" xfId="18972"/>
    <cellStyle name="Output 3 3 2 2 3 3 6" xfId="19878"/>
    <cellStyle name="Output 3 3 2 2 3 4" xfId="11240"/>
    <cellStyle name="Output 3 3 2 2 3 4 2" xfId="15546"/>
    <cellStyle name="Output 3 3 2 2 3 4 3" xfId="16625"/>
    <cellStyle name="Output 3 3 2 2 3 4 4" xfId="17657"/>
    <cellStyle name="Output 3 3 2 2 3 4 5" xfId="18627"/>
    <cellStyle name="Output 3 3 2 2 3 4 6" xfId="19533"/>
    <cellStyle name="Output 3 3 2 2 3 5" xfId="13469"/>
    <cellStyle name="Output 3 3 2 2 3 6" xfId="15360"/>
    <cellStyle name="Output 3 3 2 2 3 7" xfId="16441"/>
    <cellStyle name="Output 3 3 2 2 3 8" xfId="13648"/>
    <cellStyle name="Output 3 3 2 2 3 9" xfId="18453"/>
    <cellStyle name="Output 3 3 2 2 4" xfId="7810"/>
    <cellStyle name="Output 3 3 2 2 4 2" xfId="14461"/>
    <cellStyle name="Output 3 3 2 2 4 3" xfId="13085"/>
    <cellStyle name="Output 3 3 2 2 4 4" xfId="15276"/>
    <cellStyle name="Output 3 3 2 2 4 5" xfId="12238"/>
    <cellStyle name="Output 3 3 2 2 4 6" xfId="13580"/>
    <cellStyle name="Output 3 3 2 2 5" xfId="11393"/>
    <cellStyle name="Output 3 3 2 2 5 2" xfId="15699"/>
    <cellStyle name="Output 3 3 2 2 5 3" xfId="16778"/>
    <cellStyle name="Output 3 3 2 2 5 4" xfId="17807"/>
    <cellStyle name="Output 3 3 2 2 5 5" xfId="18777"/>
    <cellStyle name="Output 3 3 2 2 5 6" xfId="19683"/>
    <cellStyle name="Output 3 3 2 2 6" xfId="11432"/>
    <cellStyle name="Output 3 3 2 2 6 2" xfId="15738"/>
    <cellStyle name="Output 3 3 2 2 6 3" xfId="16817"/>
    <cellStyle name="Output 3 3 2 2 6 4" xfId="17845"/>
    <cellStyle name="Output 3 3 2 2 6 5" xfId="18815"/>
    <cellStyle name="Output 3 3 2 2 6 6" xfId="19721"/>
    <cellStyle name="Output 3 3 2 2 7" xfId="12764"/>
    <cellStyle name="Output 3 3 2 2 8" xfId="13284"/>
    <cellStyle name="Output 3 3 2 2 9" xfId="12886"/>
    <cellStyle name="Output 3 3 2 3" xfId="3932"/>
    <cellStyle name="Output 3 3 2 3 2" xfId="9031"/>
    <cellStyle name="Output 3 3 2 3 2 2" xfId="14809"/>
    <cellStyle name="Output 3 3 2 3 2 3" xfId="13498"/>
    <cellStyle name="Output 3 3 2 3 2 4" xfId="12414"/>
    <cellStyle name="Output 3 3 2 3 2 5" xfId="14754"/>
    <cellStyle name="Output 3 3 2 3 2 6" xfId="15166"/>
    <cellStyle name="Output 3 3 2 3 3" xfId="11499"/>
    <cellStyle name="Output 3 3 2 3 3 2" xfId="15805"/>
    <cellStyle name="Output 3 3 2 3 3 3" xfId="16884"/>
    <cellStyle name="Output 3 3 2 3 3 4" xfId="17910"/>
    <cellStyle name="Output 3 3 2 3 3 5" xfId="18880"/>
    <cellStyle name="Output 3 3 2 3 3 6" xfId="19786"/>
    <cellStyle name="Output 3 3 2 3 4" xfId="11238"/>
    <cellStyle name="Output 3 3 2 3 4 2" xfId="15544"/>
    <cellStyle name="Output 3 3 2 3 4 3" xfId="16623"/>
    <cellStyle name="Output 3 3 2 3 4 4" xfId="17655"/>
    <cellStyle name="Output 3 3 2 3 4 5" xfId="18625"/>
    <cellStyle name="Output 3 3 2 3 4 6" xfId="19531"/>
    <cellStyle name="Output 3 3 2 3 5" xfId="13121"/>
    <cellStyle name="Output 3 3 2 3 6" xfId="14949"/>
    <cellStyle name="Output 3 3 2 3 7" xfId="12288"/>
    <cellStyle name="Output 3 3 2 3 8" xfId="17442"/>
    <cellStyle name="Output 3 3 2 3 9" xfId="13967"/>
    <cellStyle name="Output 3 3 3" xfId="2656"/>
    <cellStyle name="Output 3 3 3 10" xfId="12526"/>
    <cellStyle name="Output 3 3 3 2" xfId="6072"/>
    <cellStyle name="Output 3 3 3 2 2" xfId="11168"/>
    <cellStyle name="Output 3 3 3 2 2 2" xfId="15474"/>
    <cellStyle name="Output 3 3 3 2 2 3" xfId="16553"/>
    <cellStyle name="Output 3 3 3 2 2 4" xfId="17587"/>
    <cellStyle name="Output 3 3 3 2 2 5" xfId="18557"/>
    <cellStyle name="Output 3 3 3 2 2 6" xfId="19463"/>
    <cellStyle name="Output 3 3 3 2 3" xfId="11750"/>
    <cellStyle name="Output 3 3 3 2 3 2" xfId="16056"/>
    <cellStyle name="Output 3 3 3 2 3 3" xfId="17135"/>
    <cellStyle name="Output 3 3 3 2 3 4" xfId="18157"/>
    <cellStyle name="Output 3 3 3 2 3 5" xfId="19127"/>
    <cellStyle name="Output 3 3 3 2 3 6" xfId="20033"/>
    <cellStyle name="Output 3 3 3 2 4" xfId="11922"/>
    <cellStyle name="Output 3 3 3 2 4 2" xfId="16228"/>
    <cellStyle name="Output 3 3 3 2 4 3" xfId="17307"/>
    <cellStyle name="Output 3 3 3 2 4 4" xfId="18325"/>
    <cellStyle name="Output 3 3 3 2 4 5" xfId="19295"/>
    <cellStyle name="Output 3 3 3 2 4 6" xfId="20201"/>
    <cellStyle name="Output 3 3 3 2 5" xfId="13805"/>
    <cellStyle name="Output 3 3 3 2 6" xfId="14148"/>
    <cellStyle name="Output 3 3 3 2 7" xfId="12341"/>
    <cellStyle name="Output 3 3 3 2 8" xfId="12339"/>
    <cellStyle name="Output 3 3 3 2 9" xfId="14823"/>
    <cellStyle name="Output 3 3 3 3" xfId="7759"/>
    <cellStyle name="Output 3 3 3 3 2" xfId="14425"/>
    <cellStyle name="Output 3 3 3 3 3" xfId="14733"/>
    <cellStyle name="Output 3 3 3 3 4" xfId="12297"/>
    <cellStyle name="Output 3 3 3 3 5" xfId="12948"/>
    <cellStyle name="Output 3 3 3 3 6" xfId="13092"/>
    <cellStyle name="Output 3 3 3 4" xfId="11358"/>
    <cellStyle name="Output 3 3 3 4 2" xfId="15664"/>
    <cellStyle name="Output 3 3 3 4 3" xfId="16743"/>
    <cellStyle name="Output 3 3 3 4 4" xfId="17772"/>
    <cellStyle name="Output 3 3 3 4 5" xfId="18742"/>
    <cellStyle name="Output 3 3 3 4 6" xfId="19648"/>
    <cellStyle name="Output 3 3 3 5" xfId="11277"/>
    <cellStyle name="Output 3 3 3 5 2" xfId="15583"/>
    <cellStyle name="Output 3 3 3 5 3" xfId="16662"/>
    <cellStyle name="Output 3 3 3 5 4" xfId="17692"/>
    <cellStyle name="Output 3 3 3 5 5" xfId="18662"/>
    <cellStyle name="Output 3 3 3 5 6" xfId="19568"/>
    <cellStyle name="Output 3 3 3 6" xfId="12726"/>
    <cellStyle name="Output 3 3 3 7" xfId="12489"/>
    <cellStyle name="Output 3 3 3 8" xfId="12520"/>
    <cellStyle name="Output 3 3 3 9" xfId="13036"/>
    <cellStyle name="Output 3 3 4" xfId="5997"/>
    <cellStyle name="Output 3 3 4 2" xfId="11093"/>
    <cellStyle name="Output 3 3 4 2 2" xfId="15399"/>
    <cellStyle name="Output 3 3 4 2 3" xfId="16478"/>
    <cellStyle name="Output 3 3 4 2 4" xfId="17513"/>
    <cellStyle name="Output 3 3 4 2 5" xfId="18483"/>
    <cellStyle name="Output 3 3 4 2 6" xfId="19389"/>
    <cellStyle name="Output 3 3 4 3" xfId="11675"/>
    <cellStyle name="Output 3 3 4 3 2" xfId="15981"/>
    <cellStyle name="Output 3 3 4 3 3" xfId="17060"/>
    <cellStyle name="Output 3 3 4 3 4" xfId="18083"/>
    <cellStyle name="Output 3 3 4 3 5" xfId="19053"/>
    <cellStyle name="Output 3 3 4 3 6" xfId="19959"/>
    <cellStyle name="Output 3 3 4 4" xfId="11847"/>
    <cellStyle name="Output 3 3 4 4 2" xfId="16153"/>
    <cellStyle name="Output 3 3 4 4 3" xfId="17232"/>
    <cellStyle name="Output 3 3 4 4 4" xfId="18251"/>
    <cellStyle name="Output 3 3 4 4 5" xfId="19221"/>
    <cellStyle name="Output 3 3 4 4 6" xfId="20127"/>
    <cellStyle name="Output 3 3 4 5" xfId="13730"/>
    <cellStyle name="Output 3 3 4 6" xfId="13703"/>
    <cellStyle name="Output 3 3 4 7" xfId="14557"/>
    <cellStyle name="Output 3 3 4 8" xfId="14698"/>
    <cellStyle name="Output 3 3 4 9" xfId="12259"/>
    <cellStyle name="Output 3 3 5" xfId="6503"/>
    <cellStyle name="Output 3 3 5 2" xfId="14016"/>
    <cellStyle name="Output 3 3 5 3" xfId="14877"/>
    <cellStyle name="Output 3 3 5 4" xfId="14371"/>
    <cellStyle name="Output 3 3 5 5" xfId="17399"/>
    <cellStyle name="Output 3 3 5 6" xfId="13594"/>
    <cellStyle name="Output 3 3 6" xfId="6156"/>
    <cellStyle name="Output 3 3 6 2" xfId="13888"/>
    <cellStyle name="Output 3 3 6 3" xfId="13541"/>
    <cellStyle name="Output 3 3 6 4" xfId="13562"/>
    <cellStyle name="Output 3 3 6 5" xfId="13313"/>
    <cellStyle name="Output 3 3 6 6" xfId="15000"/>
    <cellStyle name="Output 3 3 7" xfId="11301"/>
    <cellStyle name="Output 3 3 7 2" xfId="15607"/>
    <cellStyle name="Output 3 3 7 3" xfId="16686"/>
    <cellStyle name="Output 3 3 7 4" xfId="17715"/>
    <cellStyle name="Output 3 3 7 5" xfId="18685"/>
    <cellStyle name="Output 3 3 7 6" xfId="19591"/>
    <cellStyle name="Output 3 3 8" xfId="12218"/>
    <cellStyle name="Output 3 3 9" xfId="12682"/>
    <cellStyle name="Output 4" xfId="459"/>
    <cellStyle name="Output 4 2" xfId="1027"/>
    <cellStyle name="Output 4 2 10" xfId="13934"/>
    <cellStyle name="Output 4 2 11" xfId="13327"/>
    <cellStyle name="Output 4 2 12" xfId="15376"/>
    <cellStyle name="Output 4 2 2" xfId="1118"/>
    <cellStyle name="Output 4 2 2 2" xfId="2708"/>
    <cellStyle name="Output 4 2 2 2 10" xfId="13330"/>
    <cellStyle name="Output 4 2 2 2 11" xfId="12796"/>
    <cellStyle name="Output 4 2 2 2 2" xfId="6108"/>
    <cellStyle name="Output 4 2 2 2 2 2" xfId="11204"/>
    <cellStyle name="Output 4 2 2 2 2 2 2" xfId="15510"/>
    <cellStyle name="Output 4 2 2 2 2 2 3" xfId="16589"/>
    <cellStyle name="Output 4 2 2 2 2 2 4" xfId="17623"/>
    <cellStyle name="Output 4 2 2 2 2 2 5" xfId="18593"/>
    <cellStyle name="Output 4 2 2 2 2 2 6" xfId="19499"/>
    <cellStyle name="Output 4 2 2 2 2 3" xfId="11786"/>
    <cellStyle name="Output 4 2 2 2 2 3 2" xfId="16092"/>
    <cellStyle name="Output 4 2 2 2 2 3 3" xfId="17171"/>
    <cellStyle name="Output 4 2 2 2 2 3 4" xfId="18193"/>
    <cellStyle name="Output 4 2 2 2 2 3 5" xfId="19163"/>
    <cellStyle name="Output 4 2 2 2 2 3 6" xfId="20069"/>
    <cellStyle name="Output 4 2 2 2 2 4" xfId="11958"/>
    <cellStyle name="Output 4 2 2 2 2 4 2" xfId="16264"/>
    <cellStyle name="Output 4 2 2 2 2 4 3" xfId="17343"/>
    <cellStyle name="Output 4 2 2 2 2 4 4" xfId="18361"/>
    <cellStyle name="Output 4 2 2 2 2 4 5" xfId="19331"/>
    <cellStyle name="Output 4 2 2 2 2 4 6" xfId="20237"/>
    <cellStyle name="Output 4 2 2 2 2 5" xfId="13841"/>
    <cellStyle name="Output 4 2 2 2 2 6" xfId="15225"/>
    <cellStyle name="Output 4 2 2 2 2 7" xfId="16338"/>
    <cellStyle name="Output 4 2 2 2 2 8" xfId="15310"/>
    <cellStyle name="Output 4 2 2 2 2 9" xfId="13286"/>
    <cellStyle name="Output 4 2 2 2 3" xfId="5116"/>
    <cellStyle name="Output 4 2 2 2 3 2" xfId="10212"/>
    <cellStyle name="Output 4 2 2 2 3 2 2" xfId="15150"/>
    <cellStyle name="Output 4 2 2 2 3 2 3" xfId="13961"/>
    <cellStyle name="Output 4 2 2 2 3 2 4" xfId="14682"/>
    <cellStyle name="Output 4 2 2 2 3 2 5" xfId="12075"/>
    <cellStyle name="Output 4 2 2 2 3 2 6" xfId="13303"/>
    <cellStyle name="Output 4 2 2 2 3 3" xfId="11594"/>
    <cellStyle name="Output 4 2 2 2 3 3 2" xfId="15900"/>
    <cellStyle name="Output 4 2 2 2 3 3 3" xfId="16979"/>
    <cellStyle name="Output 4 2 2 2 3 3 4" xfId="18003"/>
    <cellStyle name="Output 4 2 2 2 3 3 5" xfId="18973"/>
    <cellStyle name="Output 4 2 2 2 3 3 6" xfId="19879"/>
    <cellStyle name="Output 4 2 2 2 3 4" xfId="11476"/>
    <cellStyle name="Output 4 2 2 2 3 4 2" xfId="15782"/>
    <cellStyle name="Output 4 2 2 2 3 4 3" xfId="16861"/>
    <cellStyle name="Output 4 2 2 2 3 4 4" xfId="17888"/>
    <cellStyle name="Output 4 2 2 2 3 4 5" xfId="18858"/>
    <cellStyle name="Output 4 2 2 2 3 4 6" xfId="19764"/>
    <cellStyle name="Output 4 2 2 2 3 5" xfId="13470"/>
    <cellStyle name="Output 4 2 2 2 3 6" xfId="13692"/>
    <cellStyle name="Output 4 2 2 2 3 7" xfId="14151"/>
    <cellStyle name="Output 4 2 2 2 3 8" xfId="14582"/>
    <cellStyle name="Output 4 2 2 2 3 9" xfId="12035"/>
    <cellStyle name="Output 4 2 2 2 4" xfId="7811"/>
    <cellStyle name="Output 4 2 2 2 4 2" xfId="14462"/>
    <cellStyle name="Output 4 2 2 2 4 3" xfId="14394"/>
    <cellStyle name="Output 4 2 2 2 4 4" xfId="12694"/>
    <cellStyle name="Output 4 2 2 2 4 5" xfId="13586"/>
    <cellStyle name="Output 4 2 2 2 4 6" xfId="13005"/>
    <cellStyle name="Output 4 2 2 2 5" xfId="11394"/>
    <cellStyle name="Output 4 2 2 2 5 2" xfId="15700"/>
    <cellStyle name="Output 4 2 2 2 5 3" xfId="16779"/>
    <cellStyle name="Output 4 2 2 2 5 4" xfId="17808"/>
    <cellStyle name="Output 4 2 2 2 5 5" xfId="18778"/>
    <cellStyle name="Output 4 2 2 2 5 6" xfId="19684"/>
    <cellStyle name="Output 4 2 2 2 6" xfId="11269"/>
    <cellStyle name="Output 4 2 2 2 6 2" xfId="15575"/>
    <cellStyle name="Output 4 2 2 2 6 3" xfId="16654"/>
    <cellStyle name="Output 4 2 2 2 6 4" xfId="17684"/>
    <cellStyle name="Output 4 2 2 2 6 5" xfId="18654"/>
    <cellStyle name="Output 4 2 2 2 6 6" xfId="19560"/>
    <cellStyle name="Output 4 2 2 2 7" xfId="12765"/>
    <cellStyle name="Output 4 2 2 2 8" xfId="14620"/>
    <cellStyle name="Output 4 2 2 2 9" xfId="13935"/>
    <cellStyle name="Output 4 2 2 3" xfId="3933"/>
    <cellStyle name="Output 4 2 2 3 2" xfId="9032"/>
    <cellStyle name="Output 4 2 2 3 2 2" xfId="14810"/>
    <cellStyle name="Output 4 2 2 3 2 3" xfId="12798"/>
    <cellStyle name="Output 4 2 2 3 2 4" xfId="12099"/>
    <cellStyle name="Output 4 2 2 3 2 5" xfId="14398"/>
    <cellStyle name="Output 4 2 2 3 2 6" xfId="13578"/>
    <cellStyle name="Output 4 2 2 3 3" xfId="11500"/>
    <cellStyle name="Output 4 2 2 3 3 2" xfId="15806"/>
    <cellStyle name="Output 4 2 2 3 3 3" xfId="16885"/>
    <cellStyle name="Output 4 2 2 3 3 4" xfId="17911"/>
    <cellStyle name="Output 4 2 2 3 3 5" xfId="18881"/>
    <cellStyle name="Output 4 2 2 3 3 6" xfId="19787"/>
    <cellStyle name="Output 4 2 2 3 4" xfId="6972"/>
    <cellStyle name="Output 4 2 2 3 4 2" xfId="14183"/>
    <cellStyle name="Output 4 2 2 3 4 3" xfId="12138"/>
    <cellStyle name="Output 4 2 2 3 4 4" xfId="12678"/>
    <cellStyle name="Output 4 2 2 3 4 5" xfId="16426"/>
    <cellStyle name="Output 4 2 2 3 4 6" xfId="17465"/>
    <cellStyle name="Output 4 2 2 3 5" xfId="13122"/>
    <cellStyle name="Output 4 2 2 3 6" xfId="13254"/>
    <cellStyle name="Output 4 2 2 3 7" xfId="12888"/>
    <cellStyle name="Output 4 2 2 3 8" xfId="15006"/>
    <cellStyle name="Output 4 2 2 3 9" xfId="14871"/>
    <cellStyle name="Output 4 2 3" xfId="2657"/>
    <cellStyle name="Output 4 2 3 10" xfId="14056"/>
    <cellStyle name="Output 4 2 3 2" xfId="6073"/>
    <cellStyle name="Output 4 2 3 2 2" xfId="11169"/>
    <cellStyle name="Output 4 2 3 2 2 2" xfId="15475"/>
    <cellStyle name="Output 4 2 3 2 2 3" xfId="16554"/>
    <cellStyle name="Output 4 2 3 2 2 4" xfId="17588"/>
    <cellStyle name="Output 4 2 3 2 2 5" xfId="18558"/>
    <cellStyle name="Output 4 2 3 2 2 6" xfId="19464"/>
    <cellStyle name="Output 4 2 3 2 3" xfId="11751"/>
    <cellStyle name="Output 4 2 3 2 3 2" xfId="16057"/>
    <cellStyle name="Output 4 2 3 2 3 3" xfId="17136"/>
    <cellStyle name="Output 4 2 3 2 3 4" xfId="18158"/>
    <cellStyle name="Output 4 2 3 2 3 5" xfId="19128"/>
    <cellStyle name="Output 4 2 3 2 3 6" xfId="20034"/>
    <cellStyle name="Output 4 2 3 2 4" xfId="11923"/>
    <cellStyle name="Output 4 2 3 2 4 2" xfId="16229"/>
    <cellStyle name="Output 4 2 3 2 4 3" xfId="17308"/>
    <cellStyle name="Output 4 2 3 2 4 4" xfId="18326"/>
    <cellStyle name="Output 4 2 3 2 4 5" xfId="19296"/>
    <cellStyle name="Output 4 2 3 2 4 6" xfId="20202"/>
    <cellStyle name="Output 4 2 3 2 5" xfId="13806"/>
    <cellStyle name="Output 4 2 3 2 6" xfId="14901"/>
    <cellStyle name="Output 4 2 3 2 7" xfId="12074"/>
    <cellStyle name="Output 4 2 3 2 8" xfId="12008"/>
    <cellStyle name="Output 4 2 3 2 9" xfId="12975"/>
    <cellStyle name="Output 4 2 3 3" xfId="7760"/>
    <cellStyle name="Output 4 2 3 3 2" xfId="14426"/>
    <cellStyle name="Output 4 2 3 3 3" xfId="13048"/>
    <cellStyle name="Output 4 2 3 3 4" xfId="13265"/>
    <cellStyle name="Output 4 2 3 3 5" xfId="14985"/>
    <cellStyle name="Output 4 2 3 3 6" xfId="18393"/>
    <cellStyle name="Output 4 2 3 4" xfId="11359"/>
    <cellStyle name="Output 4 2 3 4 2" xfId="15665"/>
    <cellStyle name="Output 4 2 3 4 3" xfId="16744"/>
    <cellStyle name="Output 4 2 3 4 4" xfId="17773"/>
    <cellStyle name="Output 4 2 3 4 5" xfId="18743"/>
    <cellStyle name="Output 4 2 3 4 6" xfId="19649"/>
    <cellStyle name="Output 4 2 3 5" xfId="11535"/>
    <cellStyle name="Output 4 2 3 5 2" xfId="15841"/>
    <cellStyle name="Output 4 2 3 5 3" xfId="16920"/>
    <cellStyle name="Output 4 2 3 5 4" xfId="17945"/>
    <cellStyle name="Output 4 2 3 5 5" xfId="18915"/>
    <cellStyle name="Output 4 2 3 5 6" xfId="19821"/>
    <cellStyle name="Output 4 2 3 6" xfId="12727"/>
    <cellStyle name="Output 4 2 3 7" xfId="12488"/>
    <cellStyle name="Output 4 2 3 8" xfId="12521"/>
    <cellStyle name="Output 4 2 3 9" xfId="15234"/>
    <cellStyle name="Output 4 2 4" xfId="5998"/>
    <cellStyle name="Output 4 2 4 2" xfId="11094"/>
    <cellStyle name="Output 4 2 4 2 2" xfId="15400"/>
    <cellStyle name="Output 4 2 4 2 3" xfId="16479"/>
    <cellStyle name="Output 4 2 4 2 4" xfId="17514"/>
    <cellStyle name="Output 4 2 4 2 5" xfId="18484"/>
    <cellStyle name="Output 4 2 4 2 6" xfId="19390"/>
    <cellStyle name="Output 4 2 4 3" xfId="11676"/>
    <cellStyle name="Output 4 2 4 3 2" xfId="15982"/>
    <cellStyle name="Output 4 2 4 3 3" xfId="17061"/>
    <cellStyle name="Output 4 2 4 3 4" xfId="18084"/>
    <cellStyle name="Output 4 2 4 3 5" xfId="19054"/>
    <cellStyle name="Output 4 2 4 3 6" xfId="19960"/>
    <cellStyle name="Output 4 2 4 4" xfId="11848"/>
    <cellStyle name="Output 4 2 4 4 2" xfId="16154"/>
    <cellStyle name="Output 4 2 4 4 3" xfId="17233"/>
    <cellStyle name="Output 4 2 4 4 4" xfId="18252"/>
    <cellStyle name="Output 4 2 4 4 5" xfId="19222"/>
    <cellStyle name="Output 4 2 4 4 6" xfId="20128"/>
    <cellStyle name="Output 4 2 4 5" xfId="13731"/>
    <cellStyle name="Output 4 2 4 6" xfId="13003"/>
    <cellStyle name="Output 4 2 4 7" xfId="13268"/>
    <cellStyle name="Output 4 2 4 8" xfId="14294"/>
    <cellStyle name="Output 4 2 4 9" xfId="12397"/>
    <cellStyle name="Output 4 2 5" xfId="6504"/>
    <cellStyle name="Output 4 2 5 2" xfId="14017"/>
    <cellStyle name="Output 4 2 5 3" xfId="13190"/>
    <cellStyle name="Output 4 2 5 4" xfId="12893"/>
    <cellStyle name="Output 4 2 5 5" xfId="14824"/>
    <cellStyle name="Output 4 2 5 6" xfId="13674"/>
    <cellStyle name="Output 4 2 6" xfId="6685"/>
    <cellStyle name="Output 4 2 6 2" xfId="14089"/>
    <cellStyle name="Output 4 2 6 3" xfId="14527"/>
    <cellStyle name="Output 4 2 6 4" xfId="12071"/>
    <cellStyle name="Output 4 2 6 5" xfId="12831"/>
    <cellStyle name="Output 4 2 6 6" xfId="12999"/>
    <cellStyle name="Output 4 2 7" xfId="6170"/>
    <cellStyle name="Output 4 2 7 2" xfId="13902"/>
    <cellStyle name="Output 4 2 7 3" xfId="14544"/>
    <cellStyle name="Output 4 2 7 4" xfId="12810"/>
    <cellStyle name="Output 4 2 7 5" xfId="16417"/>
    <cellStyle name="Output 4 2 7 6" xfId="13152"/>
    <cellStyle name="Output 4 2 8" xfId="12219"/>
    <cellStyle name="Output 4 2 9" xfId="14264"/>
    <cellStyle name="Output 5" xfId="460"/>
    <cellStyle name="Output 5 2" xfId="1028"/>
    <cellStyle name="Output 5 2 10" xfId="14832"/>
    <cellStyle name="Output 5 2 11" xfId="17463"/>
    <cellStyle name="Output 5 2 12" xfId="12033"/>
    <cellStyle name="Output 5 2 2" xfId="1119"/>
    <cellStyle name="Output 5 2 2 2" xfId="2709"/>
    <cellStyle name="Output 5 2 2 2 10" xfId="13052"/>
    <cellStyle name="Output 5 2 2 2 11" xfId="18437"/>
    <cellStyle name="Output 5 2 2 2 2" xfId="6109"/>
    <cellStyle name="Output 5 2 2 2 2 2" xfId="11205"/>
    <cellStyle name="Output 5 2 2 2 2 2 2" xfId="15511"/>
    <cellStyle name="Output 5 2 2 2 2 2 3" xfId="16590"/>
    <cellStyle name="Output 5 2 2 2 2 2 4" xfId="17624"/>
    <cellStyle name="Output 5 2 2 2 2 2 5" xfId="18594"/>
    <cellStyle name="Output 5 2 2 2 2 2 6" xfId="19500"/>
    <cellStyle name="Output 5 2 2 2 2 3" xfId="11787"/>
    <cellStyle name="Output 5 2 2 2 2 3 2" xfId="16093"/>
    <cellStyle name="Output 5 2 2 2 2 3 3" xfId="17172"/>
    <cellStyle name="Output 5 2 2 2 2 3 4" xfId="18194"/>
    <cellStyle name="Output 5 2 2 2 2 3 5" xfId="19164"/>
    <cellStyle name="Output 5 2 2 2 2 3 6" xfId="20070"/>
    <cellStyle name="Output 5 2 2 2 2 4" xfId="11959"/>
    <cellStyle name="Output 5 2 2 2 2 4 2" xfId="16265"/>
    <cellStyle name="Output 5 2 2 2 2 4 3" xfId="17344"/>
    <cellStyle name="Output 5 2 2 2 2 4 4" xfId="18362"/>
    <cellStyle name="Output 5 2 2 2 2 4 5" xfId="19332"/>
    <cellStyle name="Output 5 2 2 2 2 4 6" xfId="20238"/>
    <cellStyle name="Output 5 2 2 2 2 5" xfId="13842"/>
    <cellStyle name="Output 5 2 2 2 2 6" xfId="13542"/>
    <cellStyle name="Output 5 2 2 2 2 7" xfId="12868"/>
    <cellStyle name="Output 5 2 2 2 2 8" xfId="166"/>
    <cellStyle name="Output 5 2 2 2 2 9" xfId="11992"/>
    <cellStyle name="Output 5 2 2 2 3" xfId="5117"/>
    <cellStyle name="Output 5 2 2 2 3 2" xfId="10213"/>
    <cellStyle name="Output 5 2 2 2 3 2 2" xfId="15151"/>
    <cellStyle name="Output 5 2 2 2 3 2 3" xfId="14761"/>
    <cellStyle name="Output 5 2 2 2 3 2 4" xfId="13082"/>
    <cellStyle name="Output 5 2 2 2 3 2 5" xfId="13050"/>
    <cellStyle name="Output 5 2 2 2 3 2 6" xfId="149"/>
    <cellStyle name="Output 5 2 2 2 3 3" xfId="11595"/>
    <cellStyle name="Output 5 2 2 2 3 3 2" xfId="15901"/>
    <cellStyle name="Output 5 2 2 2 3 3 3" xfId="16980"/>
    <cellStyle name="Output 5 2 2 2 3 3 4" xfId="18004"/>
    <cellStyle name="Output 5 2 2 2 3 3 5" xfId="18974"/>
    <cellStyle name="Output 5 2 2 2 3 3 6" xfId="19880"/>
    <cellStyle name="Output 5 2 2 2 3 4" xfId="11571"/>
    <cellStyle name="Output 5 2 2 2 3 4 2" xfId="15877"/>
    <cellStyle name="Output 5 2 2 2 3 4 3" xfId="16956"/>
    <cellStyle name="Output 5 2 2 2 3 4 4" xfId="17980"/>
    <cellStyle name="Output 5 2 2 2 3 4 5" xfId="18950"/>
    <cellStyle name="Output 5 2 2 2 3 4 6" xfId="19856"/>
    <cellStyle name="Output 5 2 2 2 3 5" xfId="13471"/>
    <cellStyle name="Output 5 2 2 2 3 6" xfId="12993"/>
    <cellStyle name="Output 5 2 2 2 3 7" xfId="12464"/>
    <cellStyle name="Output 5 2 2 2 3 8" xfId="12296"/>
    <cellStyle name="Output 5 2 2 2 3 9" xfId="12795"/>
    <cellStyle name="Output 5 2 2 2 4" xfId="7812"/>
    <cellStyle name="Output 5 2 2 2 4 2" xfId="14463"/>
    <cellStyle name="Output 5 2 2 2 4 3" xfId="15111"/>
    <cellStyle name="Output 5 2 2 2 4 4" xfId="13399"/>
    <cellStyle name="Output 5 2 2 2 4 5" xfId="12967"/>
    <cellStyle name="Output 5 2 2 2 4 6" xfId="12411"/>
    <cellStyle name="Output 5 2 2 2 5" xfId="11395"/>
    <cellStyle name="Output 5 2 2 2 5 2" xfId="15701"/>
    <cellStyle name="Output 5 2 2 2 5 3" xfId="16780"/>
    <cellStyle name="Output 5 2 2 2 5 4" xfId="17809"/>
    <cellStyle name="Output 5 2 2 2 5 5" xfId="18779"/>
    <cellStyle name="Output 5 2 2 2 5 6" xfId="19685"/>
    <cellStyle name="Output 5 2 2 2 6" xfId="11527"/>
    <cellStyle name="Output 5 2 2 2 6 2" xfId="15833"/>
    <cellStyle name="Output 5 2 2 2 6 3" xfId="16912"/>
    <cellStyle name="Output 5 2 2 2 6 4" xfId="17937"/>
    <cellStyle name="Output 5 2 2 2 6 5" xfId="18907"/>
    <cellStyle name="Output 5 2 2 2 6 6" xfId="19813"/>
    <cellStyle name="Output 5 2 2 2 7" xfId="12766"/>
    <cellStyle name="Output 5 2 2 2 8" xfId="15303"/>
    <cellStyle name="Output 5 2 2 2 9" xfId="16399"/>
    <cellStyle name="Output 5 2 2 3" xfId="3934"/>
    <cellStyle name="Output 5 2 2 3 2" xfId="9033"/>
    <cellStyle name="Output 5 2 2 3 2 2" xfId="14811"/>
    <cellStyle name="Output 5 2 2 3 2 3" xfId="12293"/>
    <cellStyle name="Output 5 2 2 3 2 4" xfId="15093"/>
    <cellStyle name="Output 5 2 2 3 2 5" xfId="14853"/>
    <cellStyle name="Output 5 2 2 3 2 6" xfId="14999"/>
    <cellStyle name="Output 5 2 2 3 3" xfId="11501"/>
    <cellStyle name="Output 5 2 2 3 3 2" xfId="15807"/>
    <cellStyle name="Output 5 2 2 3 3 3" xfId="16886"/>
    <cellStyle name="Output 5 2 2 3 3 4" xfId="17912"/>
    <cellStyle name="Output 5 2 2 3 3 5" xfId="18882"/>
    <cellStyle name="Output 5 2 2 3 3 6" xfId="19788"/>
    <cellStyle name="Output 5 2 2 3 4" xfId="7158"/>
    <cellStyle name="Output 5 2 2 3 4 2" xfId="14227"/>
    <cellStyle name="Output 5 2 2 3 4 3" xfId="12673"/>
    <cellStyle name="Output 5 2 2 3 4 4" xfId="13093"/>
    <cellStyle name="Output 5 2 2 3 4 5" xfId="15300"/>
    <cellStyle name="Output 5 2 2 3 4 6" xfId="12294"/>
    <cellStyle name="Output 5 2 2 3 5" xfId="13123"/>
    <cellStyle name="Output 5 2 2 3 6" xfId="14601"/>
    <cellStyle name="Output 5 2 2 3 7" xfId="14500"/>
    <cellStyle name="Output 5 2 2 3 8" xfId="14589"/>
    <cellStyle name="Output 5 2 2 3 9" xfId="14493"/>
    <cellStyle name="Output 5 2 3" xfId="2658"/>
    <cellStyle name="Output 5 2 3 10" xfId="15121"/>
    <cellStyle name="Output 5 2 3 2" xfId="6074"/>
    <cellStyle name="Output 5 2 3 2 2" xfId="11170"/>
    <cellStyle name="Output 5 2 3 2 2 2" xfId="15476"/>
    <cellStyle name="Output 5 2 3 2 2 3" xfId="16555"/>
    <cellStyle name="Output 5 2 3 2 2 4" xfId="17589"/>
    <cellStyle name="Output 5 2 3 2 2 5" xfId="18559"/>
    <cellStyle name="Output 5 2 3 2 2 6" xfId="19465"/>
    <cellStyle name="Output 5 2 3 2 3" xfId="11752"/>
    <cellStyle name="Output 5 2 3 2 3 2" xfId="16058"/>
    <cellStyle name="Output 5 2 3 2 3 3" xfId="17137"/>
    <cellStyle name="Output 5 2 3 2 3 4" xfId="18159"/>
    <cellStyle name="Output 5 2 3 2 3 5" xfId="19129"/>
    <cellStyle name="Output 5 2 3 2 3 6" xfId="20035"/>
    <cellStyle name="Output 5 2 3 2 4" xfId="11924"/>
    <cellStyle name="Output 5 2 3 2 4 2" xfId="16230"/>
    <cellStyle name="Output 5 2 3 2 4 3" xfId="17309"/>
    <cellStyle name="Output 5 2 3 2 4 4" xfId="18327"/>
    <cellStyle name="Output 5 2 3 2 4 5" xfId="19297"/>
    <cellStyle name="Output 5 2 3 2 4 6" xfId="20203"/>
    <cellStyle name="Output 5 2 3 2 5" xfId="13807"/>
    <cellStyle name="Output 5 2 3 2 6" xfId="13213"/>
    <cellStyle name="Output 5 2 3 2 7" xfId="12892"/>
    <cellStyle name="Output 5 2 3 2 8" xfId="14701"/>
    <cellStyle name="Output 5 2 3 2 9" xfId="18451"/>
    <cellStyle name="Output 5 2 3 3" xfId="7761"/>
    <cellStyle name="Output 5 2 3 3 2" xfId="14427"/>
    <cellStyle name="Output 5 2 3 3 3" xfId="14343"/>
    <cellStyle name="Output 5 2 3 3 4" xfId="13514"/>
    <cellStyle name="Output 5 2 3 3 5" xfId="14166"/>
    <cellStyle name="Output 5 2 3 3 6" xfId="12740"/>
    <cellStyle name="Output 5 2 3 4" xfId="11360"/>
    <cellStyle name="Output 5 2 3 4 2" xfId="15666"/>
    <cellStyle name="Output 5 2 3 4 3" xfId="16745"/>
    <cellStyle name="Output 5 2 3 4 4" xfId="17774"/>
    <cellStyle name="Output 5 2 3 4 5" xfId="18744"/>
    <cellStyle name="Output 5 2 3 4 6" xfId="19650"/>
    <cellStyle name="Output 5 2 3 5" xfId="11626"/>
    <cellStyle name="Output 5 2 3 5 2" xfId="15932"/>
    <cellStyle name="Output 5 2 3 5 3" xfId="17011"/>
    <cellStyle name="Output 5 2 3 5 4" xfId="18035"/>
    <cellStyle name="Output 5 2 3 5 5" xfId="19005"/>
    <cellStyle name="Output 5 2 3 5 6" xfId="19911"/>
    <cellStyle name="Output 5 2 3 6" xfId="12728"/>
    <cellStyle name="Output 5 2 3 7" xfId="12487"/>
    <cellStyle name="Output 5 2 3 8" xfId="12946"/>
    <cellStyle name="Output 5 2 3 9" xfId="12279"/>
    <cellStyle name="Output 5 2 4" xfId="5999"/>
    <cellStyle name="Output 5 2 4 2" xfId="11095"/>
    <cellStyle name="Output 5 2 4 2 2" xfId="15401"/>
    <cellStyle name="Output 5 2 4 2 3" xfId="16480"/>
    <cellStyle name="Output 5 2 4 2 4" xfId="17515"/>
    <cellStyle name="Output 5 2 4 2 5" xfId="18485"/>
    <cellStyle name="Output 5 2 4 2 6" xfId="19391"/>
    <cellStyle name="Output 5 2 4 3" xfId="11677"/>
    <cellStyle name="Output 5 2 4 3 2" xfId="15983"/>
    <cellStyle name="Output 5 2 4 3 3" xfId="17062"/>
    <cellStyle name="Output 5 2 4 3 4" xfId="18085"/>
    <cellStyle name="Output 5 2 4 3 5" xfId="19055"/>
    <cellStyle name="Output 5 2 4 3 6" xfId="19961"/>
    <cellStyle name="Output 5 2 4 4" xfId="11849"/>
    <cellStyle name="Output 5 2 4 4 2" xfId="16155"/>
    <cellStyle name="Output 5 2 4 4 3" xfId="17234"/>
    <cellStyle name="Output 5 2 4 4 4" xfId="18253"/>
    <cellStyle name="Output 5 2 4 4 5" xfId="19223"/>
    <cellStyle name="Output 5 2 4 4 6" xfId="20129"/>
    <cellStyle name="Output 5 2 4 5" xfId="13732"/>
    <cellStyle name="Output 5 2 4 6" xfId="12602"/>
    <cellStyle name="Output 5 2 4 7" xfId="15313"/>
    <cellStyle name="Output 5 2 4 8" xfId="12660"/>
    <cellStyle name="Output 5 2 4 9" xfId="18423"/>
    <cellStyle name="Output 5 2 5" xfId="6505"/>
    <cellStyle name="Output 5 2 5 2" xfId="14018"/>
    <cellStyle name="Output 5 2 5 3" xfId="14535"/>
    <cellStyle name="Output 5 2 5 4" xfId="14849"/>
    <cellStyle name="Output 5 2 5 5" xfId="15071"/>
    <cellStyle name="Output 5 2 5 6" xfId="14495"/>
    <cellStyle name="Output 5 2 6" xfId="6155"/>
    <cellStyle name="Output 5 2 6 2" xfId="13887"/>
    <cellStyle name="Output 5 2 6 3" xfId="15224"/>
    <cellStyle name="Output 5 2 6 4" xfId="16337"/>
    <cellStyle name="Output 5 2 6 5" xfId="12843"/>
    <cellStyle name="Output 5 2 6 6" xfId="12393"/>
    <cellStyle name="Output 5 2 7" xfId="11552"/>
    <cellStyle name="Output 5 2 7 2" xfId="15858"/>
    <cellStyle name="Output 5 2 7 3" xfId="16937"/>
    <cellStyle name="Output 5 2 7 4" xfId="17962"/>
    <cellStyle name="Output 5 2 7 5" xfId="18932"/>
    <cellStyle name="Output 5 2 7 6" xfId="19838"/>
    <cellStyle name="Output 5 2 8" xfId="12220"/>
    <cellStyle name="Output 5 2 9" xfId="15001"/>
    <cellStyle name="Output 6" xfId="461"/>
    <cellStyle name="Output 6 2" xfId="1029"/>
    <cellStyle name="Output 6 2 10" xfId="12885"/>
    <cellStyle name="Output 6 2 11" xfId="15244"/>
    <cellStyle name="Output 6 2 12" xfId="14772"/>
    <cellStyle name="Output 6 2 2" xfId="1120"/>
    <cellStyle name="Output 6 2 2 2" xfId="2710"/>
    <cellStyle name="Output 6 2 2 2 10" xfId="13090"/>
    <cellStyle name="Output 6 2 2 2 11" xfId="16346"/>
    <cellStyle name="Output 6 2 2 2 2" xfId="6110"/>
    <cellStyle name="Output 6 2 2 2 2 2" xfId="11206"/>
    <cellStyle name="Output 6 2 2 2 2 2 2" xfId="15512"/>
    <cellStyle name="Output 6 2 2 2 2 2 3" xfId="16591"/>
    <cellStyle name="Output 6 2 2 2 2 2 4" xfId="17625"/>
    <cellStyle name="Output 6 2 2 2 2 2 5" xfId="18595"/>
    <cellStyle name="Output 6 2 2 2 2 2 6" xfId="19501"/>
    <cellStyle name="Output 6 2 2 2 2 3" xfId="11788"/>
    <cellStyle name="Output 6 2 2 2 2 3 2" xfId="16094"/>
    <cellStyle name="Output 6 2 2 2 2 3 3" xfId="17173"/>
    <cellStyle name="Output 6 2 2 2 2 3 4" xfId="18195"/>
    <cellStyle name="Output 6 2 2 2 2 3 5" xfId="19165"/>
    <cellStyle name="Output 6 2 2 2 2 3 6" xfId="20071"/>
    <cellStyle name="Output 6 2 2 2 2 4" xfId="11960"/>
    <cellStyle name="Output 6 2 2 2 2 4 2" xfId="16266"/>
    <cellStyle name="Output 6 2 2 2 2 4 3" xfId="17345"/>
    <cellStyle name="Output 6 2 2 2 2 4 4" xfId="18363"/>
    <cellStyle name="Output 6 2 2 2 2 4 5" xfId="19333"/>
    <cellStyle name="Output 6 2 2 2 2 4 6" xfId="20239"/>
    <cellStyle name="Output 6 2 2 2 2 5" xfId="13843"/>
    <cellStyle name="Output 6 2 2 2 2 6" xfId="12849"/>
    <cellStyle name="Output 6 2 2 2 2 7" xfId="12036"/>
    <cellStyle name="Output 6 2 2 2 2 8" xfId="13628"/>
    <cellStyle name="Output 6 2 2 2 2 9" xfId="13570"/>
    <cellStyle name="Output 6 2 2 2 3" xfId="5118"/>
    <cellStyle name="Output 6 2 2 2 3 2" xfId="10214"/>
    <cellStyle name="Output 6 2 2 2 3 2 2" xfId="15152"/>
    <cellStyle name="Output 6 2 2 2 3 2 3" xfId="13075"/>
    <cellStyle name="Output 6 2 2 2 3 2 4" xfId="13607"/>
    <cellStyle name="Output 6 2 2 2 3 2 5" xfId="14268"/>
    <cellStyle name="Output 6 2 2 2 3 2 6" xfId="14072"/>
    <cellStyle name="Output 6 2 2 2 3 3" xfId="11596"/>
    <cellStyle name="Output 6 2 2 2 3 3 2" xfId="15902"/>
    <cellStyle name="Output 6 2 2 2 3 3 3" xfId="16981"/>
    <cellStyle name="Output 6 2 2 2 3 3 4" xfId="18005"/>
    <cellStyle name="Output 6 2 2 2 3 3 5" xfId="18975"/>
    <cellStyle name="Output 6 2 2 2 3 3 6" xfId="19881"/>
    <cellStyle name="Output 6 2 2 2 3 4" xfId="11335"/>
    <cellStyle name="Output 6 2 2 2 3 4 2" xfId="15641"/>
    <cellStyle name="Output 6 2 2 2 3 4 3" xfId="16720"/>
    <cellStyle name="Output 6 2 2 2 3 4 4" xfId="17749"/>
    <cellStyle name="Output 6 2 2 2 3 4 5" xfId="18719"/>
    <cellStyle name="Output 6 2 2 2 3 4 6" xfId="19625"/>
    <cellStyle name="Output 6 2 2 2 3 5" xfId="13472"/>
    <cellStyle name="Output 6 2 2 2 3 6" xfId="12591"/>
    <cellStyle name="Output 6 2 2 2 3 7" xfId="12506"/>
    <cellStyle name="Output 6 2 2 2 3 8" xfId="12952"/>
    <cellStyle name="Output 6 2 2 2 3 9" xfId="14309"/>
    <cellStyle name="Output 6 2 2 2 4" xfId="7813"/>
    <cellStyle name="Output 6 2 2 2 4 2" xfId="14464"/>
    <cellStyle name="Output 6 2 2 2 4 3" xfId="13433"/>
    <cellStyle name="Output 6 2 2 2 4 4" xfId="13225"/>
    <cellStyle name="Output 6 2 2 2 4 5" xfId="15055"/>
    <cellStyle name="Output 6 2 2 2 4 6" xfId="12834"/>
    <cellStyle name="Output 6 2 2 2 5" xfId="11396"/>
    <cellStyle name="Output 6 2 2 2 5 2" xfId="15702"/>
    <cellStyle name="Output 6 2 2 2 5 3" xfId="16781"/>
    <cellStyle name="Output 6 2 2 2 5 4" xfId="17810"/>
    <cellStyle name="Output 6 2 2 2 5 5" xfId="18780"/>
    <cellStyle name="Output 6 2 2 2 5 6" xfId="19686"/>
    <cellStyle name="Output 6 2 2 2 6" xfId="11618"/>
    <cellStyle name="Output 6 2 2 2 6 2" xfId="15924"/>
    <cellStyle name="Output 6 2 2 2 6 3" xfId="17003"/>
    <cellStyle name="Output 6 2 2 2 6 4" xfId="18027"/>
    <cellStyle name="Output 6 2 2 2 6 5" xfId="18997"/>
    <cellStyle name="Output 6 2 2 2 6 6" xfId="19903"/>
    <cellStyle name="Output 6 2 2 2 7" xfId="12767"/>
    <cellStyle name="Output 6 2 2 2 8" xfId="13632"/>
    <cellStyle name="Output 6 2 2 2 9" xfId="13363"/>
    <cellStyle name="Output 6 2 2 3" xfId="3935"/>
    <cellStyle name="Output 6 2 2 3 2" xfId="9034"/>
    <cellStyle name="Output 6 2 2 3 2 2" xfId="14812"/>
    <cellStyle name="Output 6 2 2 3 2 3" xfId="13942"/>
    <cellStyle name="Output 6 2 2 3 2 4" xfId="12689"/>
    <cellStyle name="Output 6 2 2 3 2 5" xfId="13557"/>
    <cellStyle name="Output 6 2 2 3 2 6" xfId="17431"/>
    <cellStyle name="Output 6 2 2 3 3" xfId="11502"/>
    <cellStyle name="Output 6 2 2 3 3 2" xfId="15808"/>
    <cellStyle name="Output 6 2 2 3 3 3" xfId="16887"/>
    <cellStyle name="Output 6 2 2 3 3 4" xfId="17913"/>
    <cellStyle name="Output 6 2 2 3 3 5" xfId="18883"/>
    <cellStyle name="Output 6 2 2 3 3 6" xfId="19789"/>
    <cellStyle name="Output 6 2 2 3 4" xfId="7159"/>
    <cellStyle name="Output 6 2 2 3 4 2" xfId="14228"/>
    <cellStyle name="Output 6 2 2 3 4 3" xfId="12118"/>
    <cellStyle name="Output 6 2 2 3 4 4" xfId="13443"/>
    <cellStyle name="Output 6 2 2 3 4 5" xfId="12531"/>
    <cellStyle name="Output 6 2 2 3 4 6" xfId="12180"/>
    <cellStyle name="Output 6 2 2 3 5" xfId="13124"/>
    <cellStyle name="Output 6 2 2 3 6" xfId="15284"/>
    <cellStyle name="Output 6 2 2 3 7" xfId="16380"/>
    <cellStyle name="Output 6 2 2 3 8" xfId="16416"/>
    <cellStyle name="Output 6 2 2 3 9" xfId="18430"/>
    <cellStyle name="Output 6 2 3" xfId="2659"/>
    <cellStyle name="Output 6 2 3 10" xfId="14581"/>
    <cellStyle name="Output 6 2 3 2" xfId="6075"/>
    <cellStyle name="Output 6 2 3 2 2" xfId="11171"/>
    <cellStyle name="Output 6 2 3 2 2 2" xfId="15477"/>
    <cellStyle name="Output 6 2 3 2 2 3" xfId="16556"/>
    <cellStyle name="Output 6 2 3 2 2 4" xfId="17590"/>
    <cellStyle name="Output 6 2 3 2 2 5" xfId="18560"/>
    <cellStyle name="Output 6 2 3 2 2 6" xfId="19466"/>
    <cellStyle name="Output 6 2 3 2 3" xfId="11753"/>
    <cellStyle name="Output 6 2 3 2 3 2" xfId="16059"/>
    <cellStyle name="Output 6 2 3 2 3 3" xfId="17138"/>
    <cellStyle name="Output 6 2 3 2 3 4" xfId="18160"/>
    <cellStyle name="Output 6 2 3 2 3 5" xfId="19130"/>
    <cellStyle name="Output 6 2 3 2 3 6" xfId="20036"/>
    <cellStyle name="Output 6 2 3 2 4" xfId="11925"/>
    <cellStyle name="Output 6 2 3 2 4 2" xfId="16231"/>
    <cellStyle name="Output 6 2 3 2 4 3" xfId="17310"/>
    <cellStyle name="Output 6 2 3 2 4 4" xfId="18328"/>
    <cellStyle name="Output 6 2 3 2 4 5" xfId="19298"/>
    <cellStyle name="Output 6 2 3 2 4 6" xfId="20204"/>
    <cellStyle name="Output 6 2 3 2 5" xfId="13808"/>
    <cellStyle name="Output 6 2 3 2 6" xfId="14556"/>
    <cellStyle name="Output 6 2 3 2 7" xfId="12302"/>
    <cellStyle name="Output 6 2 3 2 8" xfId="13938"/>
    <cellStyle name="Output 6 2 3 2 9" xfId="12640"/>
    <cellStyle name="Output 6 2 3 3" xfId="7762"/>
    <cellStyle name="Output 6 2 3 3 2" xfId="14428"/>
    <cellStyle name="Output 6 2 3 3 3" xfId="15066"/>
    <cellStyle name="Output 6 2 3 3 4" xfId="12666"/>
    <cellStyle name="Output 6 2 3 3 5" xfId="13639"/>
    <cellStyle name="Output 6 2 3 3 6" xfId="15365"/>
    <cellStyle name="Output 6 2 3 4" xfId="11361"/>
    <cellStyle name="Output 6 2 3 4 2" xfId="15667"/>
    <cellStyle name="Output 6 2 3 4 3" xfId="16746"/>
    <cellStyle name="Output 6 2 3 4 4" xfId="17775"/>
    <cellStyle name="Output 6 2 3 4 5" xfId="18745"/>
    <cellStyle name="Output 6 2 3 4 6" xfId="19651"/>
    <cellStyle name="Output 6 2 3 5" xfId="11438"/>
    <cellStyle name="Output 6 2 3 5 2" xfId="15744"/>
    <cellStyle name="Output 6 2 3 5 3" xfId="16823"/>
    <cellStyle name="Output 6 2 3 5 4" xfId="17851"/>
    <cellStyle name="Output 6 2 3 5 5" xfId="18821"/>
    <cellStyle name="Output 6 2 3 5 6" xfId="19727"/>
    <cellStyle name="Output 6 2 3 6" xfId="12729"/>
    <cellStyle name="Output 6 2 3 7" xfId="12195"/>
    <cellStyle name="Output 6 2 3 8" xfId="12553"/>
    <cellStyle name="Output 6 2 3 9" xfId="16412"/>
    <cellStyle name="Output 6 2 4" xfId="6000"/>
    <cellStyle name="Output 6 2 4 2" xfId="11096"/>
    <cellStyle name="Output 6 2 4 2 2" xfId="15402"/>
    <cellStyle name="Output 6 2 4 2 3" xfId="16481"/>
    <cellStyle name="Output 6 2 4 2 4" xfId="17516"/>
    <cellStyle name="Output 6 2 4 2 5" xfId="18486"/>
    <cellStyle name="Output 6 2 4 2 6" xfId="19392"/>
    <cellStyle name="Output 6 2 4 3" xfId="11678"/>
    <cellStyle name="Output 6 2 4 3 2" xfId="15984"/>
    <cellStyle name="Output 6 2 4 3 3" xfId="17063"/>
    <cellStyle name="Output 6 2 4 3 4" xfId="18086"/>
    <cellStyle name="Output 6 2 4 3 5" xfId="19056"/>
    <cellStyle name="Output 6 2 4 3 6" xfId="19962"/>
    <cellStyle name="Output 6 2 4 4" xfId="11850"/>
    <cellStyle name="Output 6 2 4 4 2" xfId="16156"/>
    <cellStyle name="Output 6 2 4 4 3" xfId="17235"/>
    <cellStyle name="Output 6 2 4 4 4" xfId="18254"/>
    <cellStyle name="Output 6 2 4 4 5" xfId="19224"/>
    <cellStyle name="Output 6 2 4 4 6" xfId="20130"/>
    <cellStyle name="Output 6 2 4 5" xfId="13733"/>
    <cellStyle name="Output 6 2 4 6" xfId="14306"/>
    <cellStyle name="Output 6 2 4 7" xfId="12088"/>
    <cellStyle name="Output 6 2 4 8" xfId="13260"/>
    <cellStyle name="Output 6 2 4 9" xfId="12408"/>
    <cellStyle name="Output 6 2 5" xfId="6506"/>
    <cellStyle name="Output 6 2 5 2" xfId="14019"/>
    <cellStyle name="Output 6 2 5 3" xfId="15208"/>
    <cellStyle name="Output 6 2 5 4" xfId="16324"/>
    <cellStyle name="Output 6 2 5 5" xfId="13223"/>
    <cellStyle name="Output 6 2 5 6" xfId="18404"/>
    <cellStyle name="Output 6 2 6" xfId="6414"/>
    <cellStyle name="Output 6 2 6 2" xfId="13975"/>
    <cellStyle name="Output 6 2 6 3" xfId="12840"/>
    <cellStyle name="Output 6 2 6 4" xfId="12126"/>
    <cellStyle name="Output 6 2 6 5" xfId="12931"/>
    <cellStyle name="Output 6 2 6 6" xfId="13675"/>
    <cellStyle name="Output 6 2 7" xfId="11641"/>
    <cellStyle name="Output 6 2 7 2" xfId="15947"/>
    <cellStyle name="Output 6 2 7 3" xfId="17026"/>
    <cellStyle name="Output 6 2 7 4" xfId="18050"/>
    <cellStyle name="Output 6 2 7 5" xfId="19020"/>
    <cellStyle name="Output 6 2 7 6" xfId="19926"/>
    <cellStyle name="Output 6 2 8" xfId="12221"/>
    <cellStyle name="Output 6 2 9" xfId="13328"/>
    <cellStyle name="Output 7" xfId="462"/>
    <cellStyle name="Output 7 2" xfId="1030"/>
    <cellStyle name="Output 7 2 10" xfId="12298"/>
    <cellStyle name="Output 7 2 11" xfId="14614"/>
    <cellStyle name="Output 7 2 12" xfId="13041"/>
    <cellStyle name="Output 7 2 2" xfId="1121"/>
    <cellStyle name="Output 7 2 2 2" xfId="2711"/>
    <cellStyle name="Output 7 2 2 2 10" xfId="13251"/>
    <cellStyle name="Output 7 2 2 2 11" xfId="14400"/>
    <cellStyle name="Output 7 2 2 2 2" xfId="6111"/>
    <cellStyle name="Output 7 2 2 2 2 2" xfId="11207"/>
    <cellStyle name="Output 7 2 2 2 2 2 2" xfId="15513"/>
    <cellStyle name="Output 7 2 2 2 2 2 3" xfId="16592"/>
    <cellStyle name="Output 7 2 2 2 2 2 4" xfId="17626"/>
    <cellStyle name="Output 7 2 2 2 2 2 5" xfId="18596"/>
    <cellStyle name="Output 7 2 2 2 2 2 6" xfId="19502"/>
    <cellStyle name="Output 7 2 2 2 2 3" xfId="11789"/>
    <cellStyle name="Output 7 2 2 2 2 3 2" xfId="16095"/>
    <cellStyle name="Output 7 2 2 2 2 3 3" xfId="17174"/>
    <cellStyle name="Output 7 2 2 2 2 3 4" xfId="18196"/>
    <cellStyle name="Output 7 2 2 2 2 3 5" xfId="19166"/>
    <cellStyle name="Output 7 2 2 2 2 3 6" xfId="20072"/>
    <cellStyle name="Output 7 2 2 2 2 4" xfId="11961"/>
    <cellStyle name="Output 7 2 2 2 2 4 2" xfId="16267"/>
    <cellStyle name="Output 7 2 2 2 2 4 3" xfId="17346"/>
    <cellStyle name="Output 7 2 2 2 2 4 4" xfId="18364"/>
    <cellStyle name="Output 7 2 2 2 2 4 5" xfId="19334"/>
    <cellStyle name="Output 7 2 2 2 2 4 6" xfId="20240"/>
    <cellStyle name="Output 7 2 2 2 2 5" xfId="13844"/>
    <cellStyle name="Output 7 2 2 2 2 6" xfId="14144"/>
    <cellStyle name="Output 7 2 2 2 2 7" xfId="156"/>
    <cellStyle name="Output 7 2 2 2 2 8" xfId="17415"/>
    <cellStyle name="Output 7 2 2 2 2 9" xfId="12429"/>
    <cellStyle name="Output 7 2 2 2 3" xfId="5119"/>
    <cellStyle name="Output 7 2 2 2 3 2" xfId="10215"/>
    <cellStyle name="Output 7 2 2 2 3 2 2" xfId="15153"/>
    <cellStyle name="Output 7 2 2 2 3 2 3" xfId="14380"/>
    <cellStyle name="Output 7 2 2 2 3 2 4" xfId="13925"/>
    <cellStyle name="Output 7 2 2 2 3 2 5" xfId="14848"/>
    <cellStyle name="Output 7 2 2 2 3 2 6" xfId="16301"/>
    <cellStyle name="Output 7 2 2 2 3 3" xfId="11597"/>
    <cellStyle name="Output 7 2 2 2 3 3 2" xfId="15903"/>
    <cellStyle name="Output 7 2 2 2 3 3 3" xfId="16982"/>
    <cellStyle name="Output 7 2 2 2 3 3 4" xfId="18006"/>
    <cellStyle name="Output 7 2 2 2 3 3 5" xfId="18976"/>
    <cellStyle name="Output 7 2 2 2 3 3 6" xfId="19882"/>
    <cellStyle name="Output 7 2 2 2 3 4" xfId="6167"/>
    <cellStyle name="Output 7 2 2 2 3 4 2" xfId="13899"/>
    <cellStyle name="Output 7 2 2 2 3 4 3" xfId="14136"/>
    <cellStyle name="Output 7 2 2 2 3 4 4" xfId="13180"/>
    <cellStyle name="Output 7 2 2 2 3 4 5" xfId="12147"/>
    <cellStyle name="Output 7 2 2 2 3 4 6" xfId="12959"/>
    <cellStyle name="Output 7 2 2 2 3 5" xfId="13473"/>
    <cellStyle name="Output 7 2 2 2 3 6" xfId="14296"/>
    <cellStyle name="Output 7 2 2 2 3 7" xfId="13378"/>
    <cellStyle name="Output 7 2 2 2 3 8" xfId="14857"/>
    <cellStyle name="Output 7 2 2 2 3 9" xfId="12110"/>
    <cellStyle name="Output 7 2 2 2 4" xfId="7814"/>
    <cellStyle name="Output 7 2 2 2 4 2" xfId="14465"/>
    <cellStyle name="Output 7 2 2 2 4 3" xfId="12692"/>
    <cellStyle name="Output 7 2 2 2 4 4" xfId="12642"/>
    <cellStyle name="Output 7 2 2 2 4 5" xfId="12050"/>
    <cellStyle name="Output 7 2 2 2 4 6" xfId="13319"/>
    <cellStyle name="Output 7 2 2 2 5" xfId="11397"/>
    <cellStyle name="Output 7 2 2 2 5 2" xfId="15703"/>
    <cellStyle name="Output 7 2 2 2 5 3" xfId="16782"/>
    <cellStyle name="Output 7 2 2 2 5 4" xfId="17811"/>
    <cellStyle name="Output 7 2 2 2 5 5" xfId="18781"/>
    <cellStyle name="Output 7 2 2 2 5 6" xfId="19687"/>
    <cellStyle name="Output 7 2 2 2 6" xfId="11430"/>
    <cellStyle name="Output 7 2 2 2 6 2" xfId="15736"/>
    <cellStyle name="Output 7 2 2 2 6 3" xfId="16815"/>
    <cellStyle name="Output 7 2 2 2 6 4" xfId="17843"/>
    <cellStyle name="Output 7 2 2 2 6 5" xfId="18813"/>
    <cellStyle name="Output 7 2 2 2 6 6" xfId="19719"/>
    <cellStyle name="Output 7 2 2 2 7" xfId="12768"/>
    <cellStyle name="Output 7 2 2 2 8" xfId="12925"/>
    <cellStyle name="Output 7 2 2 2 9" xfId="12034"/>
    <cellStyle name="Output 7 2 2 3" xfId="3936"/>
    <cellStyle name="Output 7 2 2 3 2" xfId="9035"/>
    <cellStyle name="Output 7 2 2 3 2 2" xfId="14813"/>
    <cellStyle name="Output 7 2 2 3 2 3" xfId="14746"/>
    <cellStyle name="Output 7 2 2 3 2 4" xfId="12160"/>
    <cellStyle name="Output 7 2 2 3 2 5" xfId="13944"/>
    <cellStyle name="Output 7 2 2 3 2 6" xfId="16300"/>
    <cellStyle name="Output 7 2 2 3 3" xfId="11503"/>
    <cellStyle name="Output 7 2 2 3 3 2" xfId="15809"/>
    <cellStyle name="Output 7 2 2 3 3 3" xfId="16888"/>
    <cellStyle name="Output 7 2 2 3 3 4" xfId="17914"/>
    <cellStyle name="Output 7 2 2 3 3 5" xfId="18884"/>
    <cellStyle name="Output 7 2 2 3 3 6" xfId="19790"/>
    <cellStyle name="Output 7 2 2 3 4" xfId="7160"/>
    <cellStyle name="Output 7 2 2 3 4 2" xfId="14229"/>
    <cellStyle name="Output 7 2 2 3 4 3" xfId="13932"/>
    <cellStyle name="Output 7 2 2 3 4 4" xfId="13536"/>
    <cellStyle name="Output 7 2 2 3 4 5" xfId="13235"/>
    <cellStyle name="Output 7 2 2 3 4 6" xfId="12645"/>
    <cellStyle name="Output 7 2 2 3 5" xfId="13125"/>
    <cellStyle name="Output 7 2 2 3 6" xfId="13604"/>
    <cellStyle name="Output 7 2 2 3 7" xfId="12022"/>
    <cellStyle name="Output 7 2 2 3 8" xfId="15008"/>
    <cellStyle name="Output 7 2 2 3 9" xfId="15318"/>
    <cellStyle name="Output 7 2 3" xfId="2660"/>
    <cellStyle name="Output 7 2 3 10" xfId="14613"/>
    <cellStyle name="Output 7 2 3 2" xfId="6076"/>
    <cellStyle name="Output 7 2 3 2 2" xfId="11172"/>
    <cellStyle name="Output 7 2 3 2 2 2" xfId="15478"/>
    <cellStyle name="Output 7 2 3 2 2 3" xfId="16557"/>
    <cellStyle name="Output 7 2 3 2 2 4" xfId="17591"/>
    <cellStyle name="Output 7 2 3 2 2 5" xfId="18561"/>
    <cellStyle name="Output 7 2 3 2 2 6" xfId="19467"/>
    <cellStyle name="Output 7 2 3 2 3" xfId="11754"/>
    <cellStyle name="Output 7 2 3 2 3 2" xfId="16060"/>
    <cellStyle name="Output 7 2 3 2 3 3" xfId="17139"/>
    <cellStyle name="Output 7 2 3 2 3 4" xfId="18161"/>
    <cellStyle name="Output 7 2 3 2 3 5" xfId="19131"/>
    <cellStyle name="Output 7 2 3 2 3 6" xfId="20037"/>
    <cellStyle name="Output 7 2 3 2 4" xfId="11926"/>
    <cellStyle name="Output 7 2 3 2 4 2" xfId="16232"/>
    <cellStyle name="Output 7 2 3 2 4 3" xfId="17311"/>
    <cellStyle name="Output 7 2 3 2 4 4" xfId="18329"/>
    <cellStyle name="Output 7 2 3 2 4 5" xfId="19299"/>
    <cellStyle name="Output 7 2 3 2 4 6" xfId="20205"/>
    <cellStyle name="Output 7 2 3 2 5" xfId="13809"/>
    <cellStyle name="Output 7 2 3 2 6" xfId="15233"/>
    <cellStyle name="Output 7 2 3 2 7" xfId="16345"/>
    <cellStyle name="Output 7 2 3 2 8" xfId="15211"/>
    <cellStyle name="Output 7 2 3 2 9" xfId="15355"/>
    <cellStyle name="Output 7 2 3 3" xfId="7763"/>
    <cellStyle name="Output 7 2 3 3 2" xfId="14429"/>
    <cellStyle name="Output 7 2 3 3 3" xfId="13394"/>
    <cellStyle name="Output 7 2 3 3 4" xfId="14920"/>
    <cellStyle name="Output 7 2 3 3 5" xfId="12042"/>
    <cellStyle name="Output 7 2 3 3 6" xfId="13620"/>
    <cellStyle name="Output 7 2 3 4" xfId="11362"/>
    <cellStyle name="Output 7 2 3 4 2" xfId="15668"/>
    <cellStyle name="Output 7 2 3 4 3" xfId="16747"/>
    <cellStyle name="Output 7 2 3 4 4" xfId="17776"/>
    <cellStyle name="Output 7 2 3 4 5" xfId="18746"/>
    <cellStyle name="Output 7 2 3 4 6" xfId="19652"/>
    <cellStyle name="Output 7 2 3 5" xfId="11538"/>
    <cellStyle name="Output 7 2 3 5 2" xfId="15844"/>
    <cellStyle name="Output 7 2 3 5 3" xfId="16923"/>
    <cellStyle name="Output 7 2 3 5 4" xfId="17948"/>
    <cellStyle name="Output 7 2 3 5 5" xfId="18918"/>
    <cellStyle name="Output 7 2 3 5 6" xfId="19824"/>
    <cellStyle name="Output 7 2 3 6" xfId="12730"/>
    <cellStyle name="Output 7 2 3 7" xfId="12486"/>
    <cellStyle name="Output 7 2 3 8" xfId="13652"/>
    <cellStyle name="Output 7 2 3 9" xfId="15179"/>
    <cellStyle name="Output 7 2 4" xfId="6001"/>
    <cellStyle name="Output 7 2 4 2" xfId="11097"/>
    <cellStyle name="Output 7 2 4 2 2" xfId="15403"/>
    <cellStyle name="Output 7 2 4 2 3" xfId="16482"/>
    <cellStyle name="Output 7 2 4 2 4" xfId="17517"/>
    <cellStyle name="Output 7 2 4 2 5" xfId="18487"/>
    <cellStyle name="Output 7 2 4 2 6" xfId="19393"/>
    <cellStyle name="Output 7 2 4 3" xfId="11679"/>
    <cellStyle name="Output 7 2 4 3 2" xfId="15985"/>
    <cellStyle name="Output 7 2 4 3 3" xfId="17064"/>
    <cellStyle name="Output 7 2 4 3 4" xfId="18087"/>
    <cellStyle name="Output 7 2 4 3 5" xfId="19057"/>
    <cellStyle name="Output 7 2 4 3 6" xfId="19963"/>
    <cellStyle name="Output 7 2 4 4" xfId="11851"/>
    <cellStyle name="Output 7 2 4 4 2" xfId="16157"/>
    <cellStyle name="Output 7 2 4 4 3" xfId="17236"/>
    <cellStyle name="Output 7 2 4 4 4" xfId="18255"/>
    <cellStyle name="Output 7 2 4 4 5" xfId="19225"/>
    <cellStyle name="Output 7 2 4 4 6" xfId="20131"/>
    <cellStyle name="Output 7 2 4 5" xfId="13734"/>
    <cellStyle name="Output 7 2 4 6" xfId="15033"/>
    <cellStyle name="Output 7 2 4 7" xfId="12663"/>
    <cellStyle name="Output 7 2 4 8" xfId="13398"/>
    <cellStyle name="Output 7 2 4 9" xfId="16383"/>
    <cellStyle name="Output 7 2 5" xfId="6507"/>
    <cellStyle name="Output 7 2 5 2" xfId="14020"/>
    <cellStyle name="Output 7 2 5 3" xfId="13530"/>
    <cellStyle name="Output 7 2 5 4" xfId="15053"/>
    <cellStyle name="Output 7 2 5 5" xfId="14173"/>
    <cellStyle name="Output 7 2 5 6" xfId="14991"/>
    <cellStyle name="Output 7 2 6" xfId="6154"/>
    <cellStyle name="Output 7 2 6 2" xfId="13886"/>
    <cellStyle name="Output 7 2 6 3" xfId="14547"/>
    <cellStyle name="Output 7 2 6 4" xfId="12134"/>
    <cellStyle name="Output 7 2 6 5" xfId="13969"/>
    <cellStyle name="Output 7 2 6 6" xfId="168"/>
    <cellStyle name="Output 7 2 7" xfId="11451"/>
    <cellStyle name="Output 7 2 7 2" xfId="15757"/>
    <cellStyle name="Output 7 2 7 3" xfId="16836"/>
    <cellStyle name="Output 7 2 7 4" xfId="17864"/>
    <cellStyle name="Output 7 2 7 5" xfId="18834"/>
    <cellStyle name="Output 7 2 7 6" xfId="19740"/>
    <cellStyle name="Output 7 2 8" xfId="12222"/>
    <cellStyle name="Output 7 2 9" xfId="14653"/>
    <cellStyle name="Output 8" xfId="463"/>
    <cellStyle name="Output 8 2" xfId="1031"/>
    <cellStyle name="Output 8 2 10" xfId="16425"/>
    <cellStyle name="Output 8 2 11" xfId="14831"/>
    <cellStyle name="Output 8 2 12" xfId="18442"/>
    <cellStyle name="Output 8 2 2" xfId="1122"/>
    <cellStyle name="Output 8 2 2 2" xfId="2712"/>
    <cellStyle name="Output 8 2 2 2 10" xfId="12268"/>
    <cellStyle name="Output 8 2 2 2 11" xfId="12421"/>
    <cellStyle name="Output 8 2 2 2 2" xfId="6112"/>
    <cellStyle name="Output 8 2 2 2 2 2" xfId="11208"/>
    <cellStyle name="Output 8 2 2 2 2 2 2" xfId="15514"/>
    <cellStyle name="Output 8 2 2 2 2 2 3" xfId="16593"/>
    <cellStyle name="Output 8 2 2 2 2 2 4" xfId="17627"/>
    <cellStyle name="Output 8 2 2 2 2 2 5" xfId="18597"/>
    <cellStyle name="Output 8 2 2 2 2 2 6" xfId="19503"/>
    <cellStyle name="Output 8 2 2 2 2 3" xfId="11790"/>
    <cellStyle name="Output 8 2 2 2 2 3 2" xfId="16096"/>
    <cellStyle name="Output 8 2 2 2 2 3 3" xfId="17175"/>
    <cellStyle name="Output 8 2 2 2 2 3 4" xfId="18197"/>
    <cellStyle name="Output 8 2 2 2 2 3 5" xfId="19167"/>
    <cellStyle name="Output 8 2 2 2 2 3 6" xfId="20073"/>
    <cellStyle name="Output 8 2 2 2 2 4" xfId="11962"/>
    <cellStyle name="Output 8 2 2 2 2 4 2" xfId="16268"/>
    <cellStyle name="Output 8 2 2 2 2 4 3" xfId="17347"/>
    <cellStyle name="Output 8 2 2 2 2 4 4" xfId="18365"/>
    <cellStyle name="Output 8 2 2 2 2 4 5" xfId="19335"/>
    <cellStyle name="Output 8 2 2 2 2 4 6" xfId="20241"/>
    <cellStyle name="Output 8 2 2 2 2 5" xfId="13845"/>
    <cellStyle name="Output 8 2 2 2 2 6" xfId="14897"/>
    <cellStyle name="Output 8 2 2 2 2 7" xfId="14327"/>
    <cellStyle name="Output 8 2 2 2 2 8" xfId="12470"/>
    <cellStyle name="Output 8 2 2 2 2 9" xfId="13334"/>
    <cellStyle name="Output 8 2 2 2 3" xfId="5120"/>
    <cellStyle name="Output 8 2 2 2 3 2" xfId="10216"/>
    <cellStyle name="Output 8 2 2 2 3 2 2" xfId="15154"/>
    <cellStyle name="Output 8 2 2 2 3 2 3" xfId="15098"/>
    <cellStyle name="Output 8 2 2 2 3 2 4" xfId="12278"/>
    <cellStyle name="Output 8 2 2 2 3 2 5" xfId="15171"/>
    <cellStyle name="Output 8 2 2 2 3 2 6" xfId="12038"/>
    <cellStyle name="Output 8 2 2 2 3 3" xfId="11598"/>
    <cellStyle name="Output 8 2 2 2 3 3 2" xfId="15904"/>
    <cellStyle name="Output 8 2 2 2 3 3 3" xfId="16983"/>
    <cellStyle name="Output 8 2 2 2 3 3 4" xfId="18007"/>
    <cellStyle name="Output 8 2 2 2 3 3 5" xfId="18977"/>
    <cellStyle name="Output 8 2 2 2 3 3 6" xfId="19883"/>
    <cellStyle name="Output 8 2 2 2 3 4" xfId="11474"/>
    <cellStyle name="Output 8 2 2 2 3 4 2" xfId="15780"/>
    <cellStyle name="Output 8 2 2 2 3 4 3" xfId="16859"/>
    <cellStyle name="Output 8 2 2 2 3 4 4" xfId="17886"/>
    <cellStyle name="Output 8 2 2 2 3 4 5" xfId="18856"/>
    <cellStyle name="Output 8 2 2 2 3 4 6" xfId="19762"/>
    <cellStyle name="Output 8 2 2 2 3 5" xfId="13474"/>
    <cellStyle name="Output 8 2 2 2 3 6" xfId="15025"/>
    <cellStyle name="Output 8 2 2 2 3 7" xfId="14776"/>
    <cellStyle name="Output 8 2 2 2 3 8" xfId="17480"/>
    <cellStyle name="Output 8 2 2 2 3 9" xfId="13047"/>
    <cellStyle name="Output 8 2 2 2 4" xfId="7815"/>
    <cellStyle name="Output 8 2 2 2 4 2" xfId="14466"/>
    <cellStyle name="Output 8 2 2 2 4 3" xfId="12150"/>
    <cellStyle name="Output 8 2 2 2 4 4" xfId="14712"/>
    <cellStyle name="Output 8 2 2 2 4 5" xfId="16404"/>
    <cellStyle name="Output 8 2 2 2 4 6" xfId="12061"/>
    <cellStyle name="Output 8 2 2 2 5" xfId="11398"/>
    <cellStyle name="Output 8 2 2 2 5 2" xfId="15704"/>
    <cellStyle name="Output 8 2 2 2 5 3" xfId="16783"/>
    <cellStyle name="Output 8 2 2 2 5 4" xfId="17812"/>
    <cellStyle name="Output 8 2 2 2 5 5" xfId="18782"/>
    <cellStyle name="Output 8 2 2 2 5 6" xfId="19688"/>
    <cellStyle name="Output 8 2 2 2 6" xfId="11528"/>
    <cellStyle name="Output 8 2 2 2 6 2" xfId="15834"/>
    <cellStyle name="Output 8 2 2 2 6 3" xfId="16913"/>
    <cellStyle name="Output 8 2 2 2 6 4" xfId="17938"/>
    <cellStyle name="Output 8 2 2 2 6 5" xfId="18908"/>
    <cellStyle name="Output 8 2 2 2 6 6" xfId="19814"/>
    <cellStyle name="Output 8 2 2 2 7" xfId="12769"/>
    <cellStyle name="Output 8 2 2 2 8" xfId="12483"/>
    <cellStyle name="Output 8 2 2 2 9" xfId="14240"/>
    <cellStyle name="Output 8 2 2 3" xfId="3937"/>
    <cellStyle name="Output 8 2 2 3 2" xfId="9036"/>
    <cellStyle name="Output 8 2 2 3 2 2" xfId="14814"/>
    <cellStyle name="Output 8 2 2 3 2 3" xfId="13061"/>
    <cellStyle name="Output 8 2 2 3 2 4" xfId="13262"/>
    <cellStyle name="Output 8 2 2 3 2 5" xfId="15060"/>
    <cellStyle name="Output 8 2 2 3 2 6" xfId="12934"/>
    <cellStyle name="Output 8 2 2 3 3" xfId="11504"/>
    <cellStyle name="Output 8 2 2 3 3 2" xfId="15810"/>
    <cellStyle name="Output 8 2 2 3 3 3" xfId="16889"/>
    <cellStyle name="Output 8 2 2 3 3 4" xfId="17915"/>
    <cellStyle name="Output 8 2 2 3 3 5" xfId="18885"/>
    <cellStyle name="Output 8 2 2 3 3 6" xfId="19791"/>
    <cellStyle name="Output 8 2 2 3 4" xfId="7161"/>
    <cellStyle name="Output 8 2 2 3 4 2" xfId="14230"/>
    <cellStyle name="Output 8 2 2 3 4 3" xfId="14727"/>
    <cellStyle name="Output 8 2 2 3 4 4" xfId="12162"/>
    <cellStyle name="Output 8 2 2 3 4 5" xfId="13684"/>
    <cellStyle name="Output 8 2 2 3 4 6" xfId="14205"/>
    <cellStyle name="Output 8 2 2 3 5" xfId="13126"/>
    <cellStyle name="Output 8 2 2 3 6" xfId="12902"/>
    <cellStyle name="Output 8 2 2 3 7" xfId="13278"/>
    <cellStyle name="Output 8 2 2 3 8" xfId="12922"/>
    <cellStyle name="Output 8 2 2 3 9" xfId="14608"/>
    <cellStyle name="Output 8 2 3" xfId="2661"/>
    <cellStyle name="Output 8 2 3 10" xfId="1143"/>
    <cellStyle name="Output 8 2 3 2" xfId="6077"/>
    <cellStyle name="Output 8 2 3 2 2" xfId="11173"/>
    <cellStyle name="Output 8 2 3 2 2 2" xfId="15479"/>
    <cellStyle name="Output 8 2 3 2 2 3" xfId="16558"/>
    <cellStyle name="Output 8 2 3 2 2 4" xfId="17592"/>
    <cellStyle name="Output 8 2 3 2 2 5" xfId="18562"/>
    <cellStyle name="Output 8 2 3 2 2 6" xfId="19468"/>
    <cellStyle name="Output 8 2 3 2 3" xfId="11755"/>
    <cellStyle name="Output 8 2 3 2 3 2" xfId="16061"/>
    <cellStyle name="Output 8 2 3 2 3 3" xfId="17140"/>
    <cellStyle name="Output 8 2 3 2 3 4" xfId="18162"/>
    <cellStyle name="Output 8 2 3 2 3 5" xfId="19132"/>
    <cellStyle name="Output 8 2 3 2 3 6" xfId="20038"/>
    <cellStyle name="Output 8 2 3 2 4" xfId="11927"/>
    <cellStyle name="Output 8 2 3 2 4 2" xfId="16233"/>
    <cellStyle name="Output 8 2 3 2 4 3" xfId="17312"/>
    <cellStyle name="Output 8 2 3 2 4 4" xfId="18330"/>
    <cellStyle name="Output 8 2 3 2 4 5" xfId="19300"/>
    <cellStyle name="Output 8 2 3 2 4 6" xfId="20206"/>
    <cellStyle name="Output 8 2 3 2 5" xfId="13810"/>
    <cellStyle name="Output 8 2 3 2 6" xfId="13550"/>
    <cellStyle name="Output 8 2 3 2 7" xfId="12409"/>
    <cellStyle name="Output 8 2 3 2 8" xfId="13623"/>
    <cellStyle name="Output 8 2 3 2 9" xfId="16388"/>
    <cellStyle name="Output 8 2 3 3" xfId="7764"/>
    <cellStyle name="Output 8 2 3 3 2" xfId="14430"/>
    <cellStyle name="Output 8 2 3 3 3" xfId="12649"/>
    <cellStyle name="Output 8 2 3 3 4" xfId="14623"/>
    <cellStyle name="Output 8 2 3 3 5" xfId="12352"/>
    <cellStyle name="Output 8 2 3 3 6" xfId="12573"/>
    <cellStyle name="Output 8 2 3 4" xfId="11363"/>
    <cellStyle name="Output 8 2 3 4 2" xfId="15669"/>
    <cellStyle name="Output 8 2 3 4 3" xfId="16748"/>
    <cellStyle name="Output 8 2 3 4 4" xfId="17777"/>
    <cellStyle name="Output 8 2 3 4 5" xfId="18747"/>
    <cellStyle name="Output 8 2 3 4 6" xfId="19653"/>
    <cellStyle name="Output 8 2 3 5" xfId="11628"/>
    <cellStyle name="Output 8 2 3 5 2" xfId="15934"/>
    <cellStyle name="Output 8 2 3 5 3" xfId="17013"/>
    <cellStyle name="Output 8 2 3 5 4" xfId="18037"/>
    <cellStyle name="Output 8 2 3 5 5" xfId="19007"/>
    <cellStyle name="Output 8 2 3 5 6" xfId="19913"/>
    <cellStyle name="Output 8 2 3 6" xfId="12731"/>
    <cellStyle name="Output 8 2 3 7" xfId="12182"/>
    <cellStyle name="Output 8 2 3 8" xfId="15062"/>
    <cellStyle name="Output 8 2 3 9" xfId="14917"/>
    <cellStyle name="Output 8 2 4" xfId="6002"/>
    <cellStyle name="Output 8 2 4 2" xfId="11098"/>
    <cellStyle name="Output 8 2 4 2 2" xfId="15404"/>
    <cellStyle name="Output 8 2 4 2 3" xfId="16483"/>
    <cellStyle name="Output 8 2 4 2 4" xfId="17518"/>
    <cellStyle name="Output 8 2 4 2 5" xfId="18488"/>
    <cellStyle name="Output 8 2 4 2 6" xfId="19394"/>
    <cellStyle name="Output 8 2 4 3" xfId="11680"/>
    <cellStyle name="Output 8 2 4 3 2" xfId="15986"/>
    <cellStyle name="Output 8 2 4 3 3" xfId="17065"/>
    <cellStyle name="Output 8 2 4 3 4" xfId="18088"/>
    <cellStyle name="Output 8 2 4 3 5" xfId="19058"/>
    <cellStyle name="Output 8 2 4 3 6" xfId="19964"/>
    <cellStyle name="Output 8 2 4 4" xfId="11852"/>
    <cellStyle name="Output 8 2 4 4 2" xfId="16158"/>
    <cellStyle name="Output 8 2 4 4 3" xfId="17237"/>
    <cellStyle name="Output 8 2 4 4 4" xfId="18256"/>
    <cellStyle name="Output 8 2 4 4 5" xfId="19226"/>
    <cellStyle name="Output 8 2 4 4 6" xfId="20132"/>
    <cellStyle name="Output 8 2 4 5" xfId="13735"/>
    <cellStyle name="Output 8 2 4 6" xfId="13357"/>
    <cellStyle name="Output 8 2 4 7" xfId="15258"/>
    <cellStyle name="Output 8 2 4 8" xfId="12789"/>
    <cellStyle name="Output 8 2 4 9" xfId="12672"/>
    <cellStyle name="Output 8 2 5" xfId="6508"/>
    <cellStyle name="Output 8 2 5 2" xfId="14021"/>
    <cellStyle name="Output 8 2 5 3" xfId="12837"/>
    <cellStyle name="Output 8 2 5 4" xfId="12177"/>
    <cellStyle name="Output 8 2 5 5" xfId="15042"/>
    <cellStyle name="Output 8 2 5 6" xfId="13069"/>
    <cellStyle name="Output 8 2 6" xfId="6413"/>
    <cellStyle name="Output 8 2 6 2" xfId="13974"/>
    <cellStyle name="Output 8 2 6 3" xfId="13534"/>
    <cellStyle name="Output 8 2 6 4" xfId="12407"/>
    <cellStyle name="Output 8 2 6 5" xfId="15271"/>
    <cellStyle name="Output 8 2 6 6" xfId="13280"/>
    <cellStyle name="Output 8 2 7" xfId="11298"/>
    <cellStyle name="Output 8 2 7 2" xfId="15604"/>
    <cellStyle name="Output 8 2 7 3" xfId="16683"/>
    <cellStyle name="Output 8 2 7 4" xfId="17712"/>
    <cellStyle name="Output 8 2 7 5" xfId="18682"/>
    <cellStyle name="Output 8 2 7 6" xfId="19588"/>
    <cellStyle name="Output 8 2 8" xfId="12223"/>
    <cellStyle name="Output 8 2 9" xfId="15336"/>
    <cellStyle name="Output 9" xfId="723"/>
    <cellStyle name="Output Report Heading_C_BS5_D_C_YTD_CONSG_ALL_U" xfId="2151"/>
    <cellStyle name="Percent" xfId="12" builtinId="5"/>
    <cellStyle name="Percent [2]" xfId="2152"/>
    <cellStyle name="Percent 10" xfId="2153"/>
    <cellStyle name="Percent 11" xfId="2154"/>
    <cellStyle name="Percent 12" xfId="1158"/>
    <cellStyle name="Percent 12 2" xfId="2743"/>
    <cellStyle name="Percent 12 2 2" xfId="5145"/>
    <cellStyle name="Percent 12 2 2 2" xfId="10241"/>
    <cellStyle name="Percent 12 2 3" xfId="7846"/>
    <cellStyle name="Percent 12 3" xfId="3953"/>
    <cellStyle name="Percent 12 3 2" xfId="9049"/>
    <cellStyle name="Percent 12 4" xfId="6558"/>
    <cellStyle name="Percent 13" xfId="1156"/>
    <cellStyle name="Percent 13 2" xfId="2741"/>
    <cellStyle name="Percent 13 2 2" xfId="5143"/>
    <cellStyle name="Percent 13 2 2 2" xfId="10239"/>
    <cellStyle name="Percent 13 2 3" xfId="7844"/>
    <cellStyle name="Percent 13 3" xfId="3951"/>
    <cellStyle name="Percent 13 3 2" xfId="9047"/>
    <cellStyle name="Percent 13 4" xfId="6556"/>
    <cellStyle name="Percent 14" xfId="2263"/>
    <cellStyle name="Percent 14 2" xfId="3516"/>
    <cellStyle name="Percent 14 2 2" xfId="5911"/>
    <cellStyle name="Percent 14 2 2 2" xfId="11007"/>
    <cellStyle name="Percent 14 2 3" xfId="8619"/>
    <cellStyle name="Percent 14 3" xfId="4722"/>
    <cellStyle name="Percent 14 3 2" xfId="9818"/>
    <cellStyle name="Percent 14 4" xfId="7372"/>
    <cellStyle name="Percent 15" xfId="2221"/>
    <cellStyle name="Percent 15 2" xfId="3482"/>
    <cellStyle name="Percent 15 2 2" xfId="5877"/>
    <cellStyle name="Percent 15 2 2 2" xfId="10973"/>
    <cellStyle name="Percent 15 2 3" xfId="8585"/>
    <cellStyle name="Percent 15 3" xfId="4688"/>
    <cellStyle name="Percent 15 3 2" xfId="9784"/>
    <cellStyle name="Percent 15 4" xfId="7335"/>
    <cellStyle name="Percent 16" xfId="2261"/>
    <cellStyle name="Percent 16 2" xfId="3514"/>
    <cellStyle name="Percent 16 2 2" xfId="5909"/>
    <cellStyle name="Percent 16 2 2 2" xfId="11005"/>
    <cellStyle name="Percent 16 2 3" xfId="8617"/>
    <cellStyle name="Percent 16 3" xfId="4720"/>
    <cellStyle name="Percent 16 3 2" xfId="9816"/>
    <cellStyle name="Percent 16 4" xfId="7370"/>
    <cellStyle name="Percent 17" xfId="2224"/>
    <cellStyle name="Percent 17 2" xfId="3484"/>
    <cellStyle name="Percent 17 2 2" xfId="5879"/>
    <cellStyle name="Percent 17 2 2 2" xfId="10975"/>
    <cellStyle name="Percent 17 2 3" xfId="8587"/>
    <cellStyle name="Percent 17 3" xfId="4690"/>
    <cellStyle name="Percent 17 3 2" xfId="9786"/>
    <cellStyle name="Percent 17 4" xfId="7338"/>
    <cellStyle name="Percent 18" xfId="2260"/>
    <cellStyle name="Percent 18 2" xfId="3513"/>
    <cellStyle name="Percent 18 2 2" xfId="5908"/>
    <cellStyle name="Percent 18 2 2 2" xfId="11004"/>
    <cellStyle name="Percent 18 2 3" xfId="8616"/>
    <cellStyle name="Percent 18 3" xfId="4719"/>
    <cellStyle name="Percent 18 3 2" xfId="9815"/>
    <cellStyle name="Percent 18 4" xfId="7369"/>
    <cellStyle name="Percent 19" xfId="2220"/>
    <cellStyle name="Percent 19 2" xfId="3481"/>
    <cellStyle name="Percent 19 2 2" xfId="5876"/>
    <cellStyle name="Percent 19 2 2 2" xfId="10972"/>
    <cellStyle name="Percent 19 2 3" xfId="8584"/>
    <cellStyle name="Percent 19 3" xfId="4687"/>
    <cellStyle name="Percent 19 3 2" xfId="9783"/>
    <cellStyle name="Percent 19 4" xfId="7334"/>
    <cellStyle name="Percent 2" xfId="464"/>
    <cellStyle name="Percent 2 2" xfId="96"/>
    <cellStyle name="Percent 20" xfId="2252"/>
    <cellStyle name="Percent 20 2" xfId="3505"/>
    <cellStyle name="Percent 20 2 2" xfId="5900"/>
    <cellStyle name="Percent 20 2 2 2" xfId="10996"/>
    <cellStyle name="Percent 20 2 3" xfId="8608"/>
    <cellStyle name="Percent 20 3" xfId="4711"/>
    <cellStyle name="Percent 20 3 2" xfId="9807"/>
    <cellStyle name="Percent 20 4" xfId="7361"/>
    <cellStyle name="Percent 21" xfId="2251"/>
    <cellStyle name="Percent 21 2" xfId="3504"/>
    <cellStyle name="Percent 21 2 2" xfId="5899"/>
    <cellStyle name="Percent 21 2 2 2" xfId="10995"/>
    <cellStyle name="Percent 21 2 3" xfId="8607"/>
    <cellStyle name="Percent 21 3" xfId="4710"/>
    <cellStyle name="Percent 21 3 2" xfId="9806"/>
    <cellStyle name="Percent 21 4" xfId="7360"/>
    <cellStyle name="Percent 22" xfId="2250"/>
    <cellStyle name="Percent 22 2" xfId="3503"/>
    <cellStyle name="Percent 22 2 2" xfId="5898"/>
    <cellStyle name="Percent 22 2 2 2" xfId="10994"/>
    <cellStyle name="Percent 22 2 3" xfId="8606"/>
    <cellStyle name="Percent 22 3" xfId="4709"/>
    <cellStyle name="Percent 22 3 2" xfId="9805"/>
    <cellStyle name="Percent 22 4" xfId="7359"/>
    <cellStyle name="Percent 23" xfId="2266"/>
    <cellStyle name="Percent 23 2" xfId="3519"/>
    <cellStyle name="Percent 23 2 2" xfId="5914"/>
    <cellStyle name="Percent 23 2 2 2" xfId="11010"/>
    <cellStyle name="Percent 23 2 3" xfId="8622"/>
    <cellStyle name="Percent 23 3" xfId="4725"/>
    <cellStyle name="Percent 23 3 2" xfId="9821"/>
    <cellStyle name="Percent 23 4" xfId="7375"/>
    <cellStyle name="Percent 24" xfId="2246"/>
    <cellStyle name="Percent 24 2" xfId="3500"/>
    <cellStyle name="Percent 24 2 2" xfId="5895"/>
    <cellStyle name="Percent 24 2 2 2" xfId="10991"/>
    <cellStyle name="Percent 24 2 3" xfId="8603"/>
    <cellStyle name="Percent 24 3" xfId="4706"/>
    <cellStyle name="Percent 24 3 2" xfId="9802"/>
    <cellStyle name="Percent 24 4" xfId="7355"/>
    <cellStyle name="Percent 25" xfId="2244"/>
    <cellStyle name="Percent 25 2" xfId="3498"/>
    <cellStyle name="Percent 25 2 2" xfId="5893"/>
    <cellStyle name="Percent 25 2 2 2" xfId="10989"/>
    <cellStyle name="Percent 25 2 3" xfId="8601"/>
    <cellStyle name="Percent 25 3" xfId="4704"/>
    <cellStyle name="Percent 25 3 2" xfId="9800"/>
    <cellStyle name="Percent 25 4" xfId="7353"/>
    <cellStyle name="Percent 26" xfId="2243"/>
    <cellStyle name="Percent 26 2" xfId="3497"/>
    <cellStyle name="Percent 26 2 2" xfId="5892"/>
    <cellStyle name="Percent 26 2 2 2" xfId="10988"/>
    <cellStyle name="Percent 26 2 3" xfId="8600"/>
    <cellStyle name="Percent 26 3" xfId="4703"/>
    <cellStyle name="Percent 26 3 2" xfId="9799"/>
    <cellStyle name="Percent 26 4" xfId="7352"/>
    <cellStyle name="Percent 27" xfId="1157"/>
    <cellStyle name="Percent 27 2" xfId="2742"/>
    <cellStyle name="Percent 27 2 2" xfId="5144"/>
    <cellStyle name="Percent 27 2 2 2" xfId="10240"/>
    <cellStyle name="Percent 27 2 3" xfId="7845"/>
    <cellStyle name="Percent 27 3" xfId="3952"/>
    <cellStyle name="Percent 27 3 2" xfId="9048"/>
    <cellStyle name="Percent 27 4" xfId="6557"/>
    <cellStyle name="Percent 28" xfId="2290"/>
    <cellStyle name="Percent 28 2" xfId="3543"/>
    <cellStyle name="Percent 28 2 2" xfId="5938"/>
    <cellStyle name="Percent 28 2 2 2" xfId="11034"/>
    <cellStyle name="Percent 28 2 3" xfId="8646"/>
    <cellStyle name="Percent 28 3" xfId="4749"/>
    <cellStyle name="Percent 28 3 2" xfId="9845"/>
    <cellStyle name="Percent 28 4" xfId="7399"/>
    <cellStyle name="Percent 29" xfId="2223"/>
    <cellStyle name="Percent 29 2" xfId="3483"/>
    <cellStyle name="Percent 29 2 2" xfId="5878"/>
    <cellStyle name="Percent 29 2 2 2" xfId="10974"/>
    <cellStyle name="Percent 29 2 3" xfId="8586"/>
    <cellStyle name="Percent 29 3" xfId="4689"/>
    <cellStyle name="Percent 29 3 2" xfId="9785"/>
    <cellStyle name="Percent 29 4" xfId="7337"/>
    <cellStyle name="Percent 3" xfId="465"/>
    <cellStyle name="Percent 30" xfId="2288"/>
    <cellStyle name="Percent 30 2" xfId="3541"/>
    <cellStyle name="Percent 30 2 2" xfId="5936"/>
    <cellStyle name="Percent 30 2 2 2" xfId="11032"/>
    <cellStyle name="Percent 30 2 3" xfId="8644"/>
    <cellStyle name="Percent 30 3" xfId="4747"/>
    <cellStyle name="Percent 30 3 2" xfId="9843"/>
    <cellStyle name="Percent 30 4" xfId="7397"/>
    <cellStyle name="Percent 31" xfId="2233"/>
    <cellStyle name="Percent 31 2" xfId="3493"/>
    <cellStyle name="Percent 31 2 2" xfId="5888"/>
    <cellStyle name="Percent 31 2 2 2" xfId="10984"/>
    <cellStyle name="Percent 31 2 3" xfId="8596"/>
    <cellStyle name="Percent 31 3" xfId="4699"/>
    <cellStyle name="Percent 31 3 2" xfId="9795"/>
    <cellStyle name="Percent 31 4" xfId="7343"/>
    <cellStyle name="Percent 32" xfId="2289"/>
    <cellStyle name="Percent 32 2" xfId="3542"/>
    <cellStyle name="Percent 32 2 2" xfId="5937"/>
    <cellStyle name="Percent 32 2 2 2" xfId="11033"/>
    <cellStyle name="Percent 32 2 3" xfId="8645"/>
    <cellStyle name="Percent 32 3" xfId="4748"/>
    <cellStyle name="Percent 32 3 2" xfId="9844"/>
    <cellStyle name="Percent 32 4" xfId="7398"/>
    <cellStyle name="Percent 33" xfId="2232"/>
    <cellStyle name="Percent 33 2" xfId="3492"/>
    <cellStyle name="Percent 33 2 2" xfId="5887"/>
    <cellStyle name="Percent 33 2 2 2" xfId="10983"/>
    <cellStyle name="Percent 33 2 3" xfId="8595"/>
    <cellStyle name="Percent 33 3" xfId="4698"/>
    <cellStyle name="Percent 33 3 2" xfId="9794"/>
    <cellStyle name="Percent 33 4" xfId="7342"/>
    <cellStyle name="Percent 34" xfId="2287"/>
    <cellStyle name="Percent 34 2" xfId="3540"/>
    <cellStyle name="Percent 34 2 2" xfId="5935"/>
    <cellStyle name="Percent 34 2 2 2" xfId="11031"/>
    <cellStyle name="Percent 34 2 3" xfId="8643"/>
    <cellStyle name="Percent 34 3" xfId="4746"/>
    <cellStyle name="Percent 34 3 2" xfId="9842"/>
    <cellStyle name="Percent 34 4" xfId="7396"/>
    <cellStyle name="Percent 35" xfId="2231"/>
    <cellStyle name="Percent 35 2" xfId="3491"/>
    <cellStyle name="Percent 35 2 2" xfId="5886"/>
    <cellStyle name="Percent 35 2 2 2" xfId="10982"/>
    <cellStyle name="Percent 35 2 3" xfId="8594"/>
    <cellStyle name="Percent 35 3" xfId="4697"/>
    <cellStyle name="Percent 35 3 2" xfId="9793"/>
    <cellStyle name="Percent 35 4" xfId="7341"/>
    <cellStyle name="Percent 36" xfId="2286"/>
    <cellStyle name="Percent 36 2" xfId="3539"/>
    <cellStyle name="Percent 36 2 2" xfId="5934"/>
    <cellStyle name="Percent 36 2 2 2" xfId="11030"/>
    <cellStyle name="Percent 36 2 3" xfId="8642"/>
    <cellStyle name="Percent 36 3" xfId="4745"/>
    <cellStyle name="Percent 36 3 2" xfId="9841"/>
    <cellStyle name="Percent 36 4" xfId="7395"/>
    <cellStyle name="Percent 37" xfId="2238"/>
    <cellStyle name="Percent 37 2" xfId="3495"/>
    <cellStyle name="Percent 37 2 2" xfId="5890"/>
    <cellStyle name="Percent 37 2 2 2" xfId="10986"/>
    <cellStyle name="Percent 37 2 3" xfId="8598"/>
    <cellStyle name="Percent 37 3" xfId="4701"/>
    <cellStyle name="Percent 37 3 2" xfId="9797"/>
    <cellStyle name="Percent 37 4" xfId="7348"/>
    <cellStyle name="Percent 38" xfId="2285"/>
    <cellStyle name="Percent 38 2" xfId="3538"/>
    <cellStyle name="Percent 38 2 2" xfId="5933"/>
    <cellStyle name="Percent 38 2 2 2" xfId="11029"/>
    <cellStyle name="Percent 38 2 3" xfId="8641"/>
    <cellStyle name="Percent 38 3" xfId="4744"/>
    <cellStyle name="Percent 38 3 2" xfId="9840"/>
    <cellStyle name="Percent 38 4" xfId="7394"/>
    <cellStyle name="Percent 39" xfId="2230"/>
    <cellStyle name="Percent 39 2" xfId="3490"/>
    <cellStyle name="Percent 39 2 2" xfId="5885"/>
    <cellStyle name="Percent 39 2 2 2" xfId="10981"/>
    <cellStyle name="Percent 39 2 3" xfId="8593"/>
    <cellStyle name="Percent 39 3" xfId="4696"/>
    <cellStyle name="Percent 39 3 2" xfId="9792"/>
    <cellStyle name="Percent 39 4" xfId="7340"/>
    <cellStyle name="Percent 4" xfId="179"/>
    <cellStyle name="Percent 4 2" xfId="869"/>
    <cellStyle name="Percent 4 2 2" xfId="2157"/>
    <cellStyle name="Percent 4 2 2 2" xfId="2158"/>
    <cellStyle name="Percent 4 2 2 2 2" xfId="2159"/>
    <cellStyle name="Percent 4 2 2 2 2 2" xfId="3452"/>
    <cellStyle name="Percent 4 2 2 2 2 2 2" xfId="5847"/>
    <cellStyle name="Percent 4 2 2 2 2 2 2 2" xfId="10943"/>
    <cellStyle name="Percent 4 2 2 2 2 2 3" xfId="8555"/>
    <cellStyle name="Percent 4 2 2 2 2 3" xfId="4655"/>
    <cellStyle name="Percent 4 2 2 2 2 3 2" xfId="9751"/>
    <cellStyle name="Percent 4 2 2 2 2 4" xfId="7304"/>
    <cellStyle name="Percent 4 2 2 2 3" xfId="3451"/>
    <cellStyle name="Percent 4 2 2 2 3 2" xfId="5846"/>
    <cellStyle name="Percent 4 2 2 2 3 2 2" xfId="10942"/>
    <cellStyle name="Percent 4 2 2 2 3 3" xfId="8554"/>
    <cellStyle name="Percent 4 2 2 2 4" xfId="4654"/>
    <cellStyle name="Percent 4 2 2 2 4 2" xfId="9750"/>
    <cellStyle name="Percent 4 2 2 2 5" xfId="7303"/>
    <cellStyle name="Percent 4 2 2 3" xfId="2160"/>
    <cellStyle name="Percent 4 2 2 3 2" xfId="3453"/>
    <cellStyle name="Percent 4 2 2 3 2 2" xfId="5848"/>
    <cellStyle name="Percent 4 2 2 3 2 2 2" xfId="10944"/>
    <cellStyle name="Percent 4 2 2 3 2 3" xfId="8556"/>
    <cellStyle name="Percent 4 2 2 3 3" xfId="4656"/>
    <cellStyle name="Percent 4 2 2 3 3 2" xfId="9752"/>
    <cellStyle name="Percent 4 2 2 3 4" xfId="7305"/>
    <cellStyle name="Percent 4 2 2 4" xfId="2161"/>
    <cellStyle name="Percent 4 2 2 4 2" xfId="3454"/>
    <cellStyle name="Percent 4 2 2 4 2 2" xfId="5849"/>
    <cellStyle name="Percent 4 2 2 4 2 2 2" xfId="10945"/>
    <cellStyle name="Percent 4 2 2 4 2 3" xfId="8557"/>
    <cellStyle name="Percent 4 2 2 4 3" xfId="4657"/>
    <cellStyle name="Percent 4 2 2 4 3 2" xfId="9753"/>
    <cellStyle name="Percent 4 2 2 4 4" xfId="7306"/>
    <cellStyle name="Percent 4 2 2 5" xfId="3450"/>
    <cellStyle name="Percent 4 2 2 5 2" xfId="5845"/>
    <cellStyle name="Percent 4 2 2 5 2 2" xfId="10941"/>
    <cellStyle name="Percent 4 2 2 5 3" xfId="8553"/>
    <cellStyle name="Percent 4 2 2 6" xfId="4653"/>
    <cellStyle name="Percent 4 2 2 6 2" xfId="9749"/>
    <cellStyle name="Percent 4 2 2 7" xfId="7302"/>
    <cellStyle name="Percent 4 2 3" xfId="2162"/>
    <cellStyle name="Percent 4 2 3 2" xfId="2163"/>
    <cellStyle name="Percent 4 2 3 2 2" xfId="3456"/>
    <cellStyle name="Percent 4 2 3 2 2 2" xfId="5851"/>
    <cellStyle name="Percent 4 2 3 2 2 2 2" xfId="10947"/>
    <cellStyle name="Percent 4 2 3 2 2 3" xfId="8559"/>
    <cellStyle name="Percent 4 2 3 2 3" xfId="4659"/>
    <cellStyle name="Percent 4 2 3 2 3 2" xfId="9755"/>
    <cellStyle name="Percent 4 2 3 2 4" xfId="7308"/>
    <cellStyle name="Percent 4 2 3 3" xfId="3455"/>
    <cellStyle name="Percent 4 2 3 3 2" xfId="5850"/>
    <cellStyle name="Percent 4 2 3 3 2 2" xfId="10946"/>
    <cellStyle name="Percent 4 2 3 3 3" xfId="8558"/>
    <cellStyle name="Percent 4 2 3 4" xfId="4658"/>
    <cellStyle name="Percent 4 2 3 4 2" xfId="9754"/>
    <cellStyle name="Percent 4 2 3 5" xfId="7307"/>
    <cellStyle name="Percent 4 2 4" xfId="2164"/>
    <cellStyle name="Percent 4 2 4 2" xfId="3457"/>
    <cellStyle name="Percent 4 2 4 2 2" xfId="5852"/>
    <cellStyle name="Percent 4 2 4 2 2 2" xfId="10948"/>
    <cellStyle name="Percent 4 2 4 2 3" xfId="8560"/>
    <cellStyle name="Percent 4 2 4 3" xfId="4660"/>
    <cellStyle name="Percent 4 2 4 3 2" xfId="9756"/>
    <cellStyle name="Percent 4 2 4 4" xfId="7309"/>
    <cellStyle name="Percent 4 2 5" xfId="2165"/>
    <cellStyle name="Percent 4 2 5 2" xfId="3458"/>
    <cellStyle name="Percent 4 2 5 2 2" xfId="5853"/>
    <cellStyle name="Percent 4 2 5 2 2 2" xfId="10949"/>
    <cellStyle name="Percent 4 2 5 2 3" xfId="8561"/>
    <cellStyle name="Percent 4 2 5 3" xfId="4661"/>
    <cellStyle name="Percent 4 2 5 3 2" xfId="9757"/>
    <cellStyle name="Percent 4 2 5 4" xfId="7310"/>
    <cellStyle name="Percent 4 2 6" xfId="2156"/>
    <cellStyle name="Percent 4 2 6 2" xfId="3449"/>
    <cellStyle name="Percent 4 2 6 2 2" xfId="5844"/>
    <cellStyle name="Percent 4 2 6 2 2 2" xfId="10940"/>
    <cellStyle name="Percent 4 2 6 2 3" xfId="8552"/>
    <cellStyle name="Percent 4 2 6 3" xfId="4652"/>
    <cellStyle name="Percent 4 2 6 3 2" xfId="9748"/>
    <cellStyle name="Percent 4 2 6 4" xfId="7301"/>
    <cellStyle name="Percent 4 2 7" xfId="2574"/>
    <cellStyle name="Percent 4 2 7 2" xfId="5018"/>
    <cellStyle name="Percent 4 2 7 2 2" xfId="10114"/>
    <cellStyle name="Percent 4 2 7 3" xfId="7677"/>
    <cellStyle name="Percent 4 2 8" xfId="3835"/>
    <cellStyle name="Percent 4 2 8 2" xfId="8934"/>
    <cellStyle name="Percent 4 2 9" xfId="6420"/>
    <cellStyle name="Percent 4 3" xfId="1041"/>
    <cellStyle name="Percent 4 3 2" xfId="2167"/>
    <cellStyle name="Percent 4 3 2 2" xfId="2168"/>
    <cellStyle name="Percent 4 3 2 2 2" xfId="3461"/>
    <cellStyle name="Percent 4 3 2 2 2 2" xfId="5856"/>
    <cellStyle name="Percent 4 3 2 2 2 2 2" xfId="10952"/>
    <cellStyle name="Percent 4 3 2 2 2 3" xfId="8564"/>
    <cellStyle name="Percent 4 3 2 2 3" xfId="4664"/>
    <cellStyle name="Percent 4 3 2 2 3 2" xfId="9760"/>
    <cellStyle name="Percent 4 3 2 2 4" xfId="7313"/>
    <cellStyle name="Percent 4 3 2 3" xfId="3460"/>
    <cellStyle name="Percent 4 3 2 3 2" xfId="5855"/>
    <cellStyle name="Percent 4 3 2 3 2 2" xfId="10951"/>
    <cellStyle name="Percent 4 3 2 3 3" xfId="8563"/>
    <cellStyle name="Percent 4 3 2 4" xfId="4663"/>
    <cellStyle name="Percent 4 3 2 4 2" xfId="9759"/>
    <cellStyle name="Percent 4 3 2 5" xfId="7312"/>
    <cellStyle name="Percent 4 3 3" xfId="2169"/>
    <cellStyle name="Percent 4 3 3 2" xfId="3462"/>
    <cellStyle name="Percent 4 3 3 2 2" xfId="5857"/>
    <cellStyle name="Percent 4 3 3 2 2 2" xfId="10953"/>
    <cellStyle name="Percent 4 3 3 2 3" xfId="8565"/>
    <cellStyle name="Percent 4 3 3 3" xfId="4665"/>
    <cellStyle name="Percent 4 3 3 3 2" xfId="9761"/>
    <cellStyle name="Percent 4 3 3 4" xfId="7314"/>
    <cellStyle name="Percent 4 3 4" xfId="2170"/>
    <cellStyle name="Percent 4 3 4 2" xfId="3463"/>
    <cellStyle name="Percent 4 3 4 2 2" xfId="5858"/>
    <cellStyle name="Percent 4 3 4 2 2 2" xfId="10954"/>
    <cellStyle name="Percent 4 3 4 2 3" xfId="8566"/>
    <cellStyle name="Percent 4 3 4 3" xfId="4666"/>
    <cellStyle name="Percent 4 3 4 3 2" xfId="9762"/>
    <cellStyle name="Percent 4 3 4 4" xfId="7315"/>
    <cellStyle name="Percent 4 3 5" xfId="2166"/>
    <cellStyle name="Percent 4 3 5 2" xfId="3459"/>
    <cellStyle name="Percent 4 3 5 2 2" xfId="5854"/>
    <cellStyle name="Percent 4 3 5 2 2 2" xfId="10950"/>
    <cellStyle name="Percent 4 3 5 2 3" xfId="8562"/>
    <cellStyle name="Percent 4 3 5 3" xfId="4662"/>
    <cellStyle name="Percent 4 3 5 3 2" xfId="9758"/>
    <cellStyle name="Percent 4 3 5 4" xfId="7311"/>
    <cellStyle name="Percent 4 3 6" xfId="2671"/>
    <cellStyle name="Percent 4 3 6 2" xfId="5080"/>
    <cellStyle name="Percent 4 3 6 2 2" xfId="10176"/>
    <cellStyle name="Percent 4 3 6 3" xfId="7774"/>
    <cellStyle name="Percent 4 3 7" xfId="3897"/>
    <cellStyle name="Percent 4 3 7 2" xfId="8996"/>
    <cellStyle name="Percent 4 3 8" xfId="6518"/>
    <cellStyle name="Percent 4 4" xfId="2171"/>
    <cellStyle name="Percent 4 4 2" xfId="2172"/>
    <cellStyle name="Percent 4 4 2 2" xfId="2173"/>
    <cellStyle name="Percent 4 4 2 2 2" xfId="3466"/>
    <cellStyle name="Percent 4 4 2 2 2 2" xfId="5861"/>
    <cellStyle name="Percent 4 4 2 2 2 2 2" xfId="10957"/>
    <cellStyle name="Percent 4 4 2 2 2 3" xfId="8569"/>
    <cellStyle name="Percent 4 4 2 2 3" xfId="4669"/>
    <cellStyle name="Percent 4 4 2 2 3 2" xfId="9765"/>
    <cellStyle name="Percent 4 4 2 2 4" xfId="7318"/>
    <cellStyle name="Percent 4 4 2 3" xfId="3465"/>
    <cellStyle name="Percent 4 4 2 3 2" xfId="5860"/>
    <cellStyle name="Percent 4 4 2 3 2 2" xfId="10956"/>
    <cellStyle name="Percent 4 4 2 3 3" xfId="8568"/>
    <cellStyle name="Percent 4 4 2 4" xfId="4668"/>
    <cellStyle name="Percent 4 4 2 4 2" xfId="9764"/>
    <cellStyle name="Percent 4 4 2 5" xfId="7317"/>
    <cellStyle name="Percent 4 4 3" xfId="2174"/>
    <cellStyle name="Percent 4 4 3 2" xfId="3467"/>
    <cellStyle name="Percent 4 4 3 2 2" xfId="5862"/>
    <cellStyle name="Percent 4 4 3 2 2 2" xfId="10958"/>
    <cellStyle name="Percent 4 4 3 2 3" xfId="8570"/>
    <cellStyle name="Percent 4 4 3 3" xfId="4670"/>
    <cellStyle name="Percent 4 4 3 3 2" xfId="9766"/>
    <cellStyle name="Percent 4 4 3 4" xfId="7319"/>
    <cellStyle name="Percent 4 4 4" xfId="2175"/>
    <cellStyle name="Percent 4 4 4 2" xfId="3468"/>
    <cellStyle name="Percent 4 4 4 2 2" xfId="5863"/>
    <cellStyle name="Percent 4 4 4 2 2 2" xfId="10959"/>
    <cellStyle name="Percent 4 4 4 2 3" xfId="8571"/>
    <cellStyle name="Percent 4 4 4 3" xfId="4671"/>
    <cellStyle name="Percent 4 4 4 3 2" xfId="9767"/>
    <cellStyle name="Percent 4 4 4 4" xfId="7320"/>
    <cellStyle name="Percent 4 4 5" xfId="3464"/>
    <cellStyle name="Percent 4 4 5 2" xfId="5859"/>
    <cellStyle name="Percent 4 4 5 2 2" xfId="10955"/>
    <cellStyle name="Percent 4 4 5 3" xfId="8567"/>
    <cellStyle name="Percent 4 4 6" xfId="4667"/>
    <cellStyle name="Percent 4 4 6 2" xfId="9763"/>
    <cellStyle name="Percent 4 4 7" xfId="7316"/>
    <cellStyle name="Percent 4 5" xfId="2176"/>
    <cellStyle name="Percent 4 5 2" xfId="2177"/>
    <cellStyle name="Percent 4 5 2 2" xfId="2178"/>
    <cellStyle name="Percent 4 5 2 2 2" xfId="3471"/>
    <cellStyle name="Percent 4 5 2 2 2 2" xfId="5866"/>
    <cellStyle name="Percent 4 5 2 2 2 2 2" xfId="10962"/>
    <cellStyle name="Percent 4 5 2 2 2 3" xfId="8574"/>
    <cellStyle name="Percent 4 5 2 2 3" xfId="4674"/>
    <cellStyle name="Percent 4 5 2 2 3 2" xfId="9770"/>
    <cellStyle name="Percent 4 5 2 2 4" xfId="7323"/>
    <cellStyle name="Percent 4 5 2 3" xfId="3470"/>
    <cellStyle name="Percent 4 5 2 3 2" xfId="5865"/>
    <cellStyle name="Percent 4 5 2 3 2 2" xfId="10961"/>
    <cellStyle name="Percent 4 5 2 3 3" xfId="8573"/>
    <cellStyle name="Percent 4 5 2 4" xfId="4673"/>
    <cellStyle name="Percent 4 5 2 4 2" xfId="9769"/>
    <cellStyle name="Percent 4 5 2 5" xfId="7322"/>
    <cellStyle name="Percent 4 5 3" xfId="2179"/>
    <cellStyle name="Percent 4 5 3 2" xfId="3472"/>
    <cellStyle name="Percent 4 5 3 2 2" xfId="5867"/>
    <cellStyle name="Percent 4 5 3 2 2 2" xfId="10963"/>
    <cellStyle name="Percent 4 5 3 2 3" xfId="8575"/>
    <cellStyle name="Percent 4 5 3 3" xfId="4675"/>
    <cellStyle name="Percent 4 5 3 3 2" xfId="9771"/>
    <cellStyle name="Percent 4 5 3 4" xfId="7324"/>
    <cellStyle name="Percent 4 5 4" xfId="2180"/>
    <cellStyle name="Percent 4 5 4 2" xfId="3473"/>
    <cellStyle name="Percent 4 5 4 2 2" xfId="5868"/>
    <cellStyle name="Percent 4 5 4 2 2 2" xfId="10964"/>
    <cellStyle name="Percent 4 5 4 2 3" xfId="8576"/>
    <cellStyle name="Percent 4 5 4 3" xfId="4676"/>
    <cellStyle name="Percent 4 5 4 3 2" xfId="9772"/>
    <cellStyle name="Percent 4 5 4 4" xfId="7325"/>
    <cellStyle name="Percent 4 5 5" xfId="3469"/>
    <cellStyle name="Percent 4 5 5 2" xfId="5864"/>
    <cellStyle name="Percent 4 5 5 2 2" xfId="10960"/>
    <cellStyle name="Percent 4 5 5 3" xfId="8572"/>
    <cellStyle name="Percent 4 5 6" xfId="4672"/>
    <cellStyle name="Percent 4 5 6 2" xfId="9768"/>
    <cellStyle name="Percent 4 5 7" xfId="7321"/>
    <cellStyle name="Percent 4 6" xfId="2181"/>
    <cellStyle name="Percent 4 6 2" xfId="2182"/>
    <cellStyle name="Percent 4 6 2 2" xfId="3475"/>
    <cellStyle name="Percent 4 6 2 2 2" xfId="5870"/>
    <cellStyle name="Percent 4 6 2 2 2 2" xfId="10966"/>
    <cellStyle name="Percent 4 6 2 2 3" xfId="8578"/>
    <cellStyle name="Percent 4 6 2 3" xfId="4678"/>
    <cellStyle name="Percent 4 6 2 3 2" xfId="9774"/>
    <cellStyle name="Percent 4 6 2 4" xfId="7327"/>
    <cellStyle name="Percent 4 6 3" xfId="3474"/>
    <cellStyle name="Percent 4 6 3 2" xfId="5869"/>
    <cellStyle name="Percent 4 6 3 2 2" xfId="10965"/>
    <cellStyle name="Percent 4 6 3 3" xfId="8577"/>
    <cellStyle name="Percent 4 6 4" xfId="4677"/>
    <cellStyle name="Percent 4 6 4 2" xfId="9773"/>
    <cellStyle name="Percent 4 6 5" xfId="7326"/>
    <cellStyle name="Percent 4 7" xfId="2183"/>
    <cellStyle name="Percent 4 7 2" xfId="3476"/>
    <cellStyle name="Percent 4 7 2 2" xfId="5871"/>
    <cellStyle name="Percent 4 7 2 2 2" xfId="10967"/>
    <cellStyle name="Percent 4 7 2 3" xfId="8579"/>
    <cellStyle name="Percent 4 7 3" xfId="4679"/>
    <cellStyle name="Percent 4 7 3 2" xfId="9775"/>
    <cellStyle name="Percent 4 7 4" xfId="7328"/>
    <cellStyle name="Percent 4 8" xfId="2184"/>
    <cellStyle name="Percent 4 8 2" xfId="3477"/>
    <cellStyle name="Percent 4 8 2 2" xfId="5872"/>
    <cellStyle name="Percent 4 8 2 2 2" xfId="10968"/>
    <cellStyle name="Percent 4 8 2 3" xfId="8580"/>
    <cellStyle name="Percent 4 8 3" xfId="4680"/>
    <cellStyle name="Percent 4 8 3 2" xfId="9776"/>
    <cellStyle name="Percent 4 8 4" xfId="7329"/>
    <cellStyle name="Percent 4 9" xfId="2155"/>
    <cellStyle name="Percent 4 9 2" xfId="3448"/>
    <cellStyle name="Percent 4 9 2 2" xfId="5843"/>
    <cellStyle name="Percent 4 9 2 2 2" xfId="10939"/>
    <cellStyle name="Percent 4 9 2 3" xfId="8551"/>
    <cellStyle name="Percent 4 9 3" xfId="4651"/>
    <cellStyle name="Percent 4 9 3 2" xfId="9747"/>
    <cellStyle name="Percent 4 9 4" xfId="7300"/>
    <cellStyle name="Percent 40" xfId="2284"/>
    <cellStyle name="Percent 40 2" xfId="3537"/>
    <cellStyle name="Percent 40 2 2" xfId="5932"/>
    <cellStyle name="Percent 40 2 2 2" xfId="11028"/>
    <cellStyle name="Percent 40 2 3" xfId="8640"/>
    <cellStyle name="Percent 40 3" xfId="4743"/>
    <cellStyle name="Percent 40 3 2" xfId="9839"/>
    <cellStyle name="Percent 40 4" xfId="7393"/>
    <cellStyle name="Percent 41" xfId="2229"/>
    <cellStyle name="Percent 41 2" xfId="3489"/>
    <cellStyle name="Percent 41 2 2" xfId="5884"/>
    <cellStyle name="Percent 41 2 2 2" xfId="10980"/>
    <cellStyle name="Percent 41 2 3" xfId="8592"/>
    <cellStyle name="Percent 41 3" xfId="4695"/>
    <cellStyle name="Percent 41 3 2" xfId="9791"/>
    <cellStyle name="Percent 41 4" xfId="7339"/>
    <cellStyle name="Percent 42" xfId="2283"/>
    <cellStyle name="Percent 42 2" xfId="3536"/>
    <cellStyle name="Percent 42 2 2" xfId="5931"/>
    <cellStyle name="Percent 42 2 2 2" xfId="11027"/>
    <cellStyle name="Percent 42 2 3" xfId="8639"/>
    <cellStyle name="Percent 42 3" xfId="4742"/>
    <cellStyle name="Percent 42 3 2" xfId="9838"/>
    <cellStyle name="Percent 42 4" xfId="7392"/>
    <cellStyle name="Percent 43" xfId="2219"/>
    <cellStyle name="Percent 43 2" xfId="3480"/>
    <cellStyle name="Percent 43 2 2" xfId="5875"/>
    <cellStyle name="Percent 43 2 2 2" xfId="10971"/>
    <cellStyle name="Percent 43 2 3" xfId="8583"/>
    <cellStyle name="Percent 43 3" xfId="4686"/>
    <cellStyle name="Percent 43 3 2" xfId="9782"/>
    <cellStyle name="Percent 43 4" xfId="7333"/>
    <cellStyle name="Percent 44" xfId="2282"/>
    <cellStyle name="Percent 44 2" xfId="3535"/>
    <cellStyle name="Percent 44 2 2" xfId="5930"/>
    <cellStyle name="Percent 44 2 2 2" xfId="11026"/>
    <cellStyle name="Percent 44 2 3" xfId="8638"/>
    <cellStyle name="Percent 44 3" xfId="4741"/>
    <cellStyle name="Percent 44 3 2" xfId="9837"/>
    <cellStyle name="Percent 44 4" xfId="7391"/>
    <cellStyle name="Percent 45" xfId="2234"/>
    <cellStyle name="Percent 45 2" xfId="3494"/>
    <cellStyle name="Percent 45 2 2" xfId="5889"/>
    <cellStyle name="Percent 45 2 2 2" xfId="10985"/>
    <cellStyle name="Percent 45 2 3" xfId="8597"/>
    <cellStyle name="Percent 45 3" xfId="4700"/>
    <cellStyle name="Percent 45 3 2" xfId="9796"/>
    <cellStyle name="Percent 45 4" xfId="7344"/>
    <cellStyle name="Percent 46" xfId="3602"/>
    <cellStyle name="Percent 47" xfId="3945"/>
    <cellStyle name="Percent 48" xfId="3586"/>
    <cellStyle name="Percent 48 2" xfId="8689"/>
    <cellStyle name="Percent 49" xfId="4683"/>
    <cellStyle name="Percent 49 2" xfId="9779"/>
    <cellStyle name="Percent 5" xfId="529"/>
    <cellStyle name="Percent 5 2" xfId="533"/>
    <cellStyle name="Percent 5 2 2" xfId="2343"/>
    <cellStyle name="Percent 5 3" xfId="1002"/>
    <cellStyle name="Percent 5 4" xfId="2185"/>
    <cellStyle name="Percent 50" xfId="20270"/>
    <cellStyle name="Percent 6" xfId="531"/>
    <cellStyle name="Percent 6 2" xfId="2186"/>
    <cellStyle name="Percent 6 3" xfId="2341"/>
    <cellStyle name="Percent 7" xfId="788"/>
    <cellStyle name="Percent 7 2" xfId="2187"/>
    <cellStyle name="Percent 7 3" xfId="2569"/>
    <cellStyle name="Percent 8" xfId="959"/>
    <cellStyle name="Percent 8 2" xfId="2188"/>
    <cellStyle name="Percent 9" xfId="1140"/>
    <cellStyle name="Percent 9 2" xfId="2190"/>
    <cellStyle name="Percent 9 2 2" xfId="3479"/>
    <cellStyle name="Percent 9 2 2 2" xfId="5874"/>
    <cellStyle name="Percent 9 2 2 2 2" xfId="10970"/>
    <cellStyle name="Percent 9 2 2 3" xfId="8582"/>
    <cellStyle name="Percent 9 2 3" xfId="4682"/>
    <cellStyle name="Percent 9 2 3 2" xfId="9778"/>
    <cellStyle name="Percent 9 2 4" xfId="7331"/>
    <cellStyle name="Percent 9 3" xfId="2189"/>
    <cellStyle name="Percent 9 3 2" xfId="3478"/>
    <cellStyle name="Percent 9 3 2 2" xfId="5873"/>
    <cellStyle name="Percent 9 3 2 2 2" xfId="10969"/>
    <cellStyle name="Percent 9 3 2 3" xfId="8581"/>
    <cellStyle name="Percent 9 3 3" xfId="4681"/>
    <cellStyle name="Percent 9 3 3 2" xfId="9777"/>
    <cellStyle name="Percent 9 3 4" xfId="7330"/>
    <cellStyle name="Phase" xfId="2191"/>
    <cellStyle name="PSChar" xfId="56"/>
    <cellStyle name="PSChar 2" xfId="63"/>
    <cellStyle name="PSChar 2 2" xfId="99"/>
    <cellStyle name="PSDate" xfId="2192"/>
    <cellStyle name="PSDec" xfId="57"/>
    <cellStyle name="PSDec 2" xfId="64"/>
    <cellStyle name="PSDec 2 2" xfId="100"/>
    <cellStyle name="PSDetail" xfId="2193"/>
    <cellStyle name="PSHeading" xfId="58"/>
    <cellStyle name="PSHeading 2" xfId="65"/>
    <cellStyle name="PSHeading 2 2" xfId="101"/>
    <cellStyle name="PSInt" xfId="2194"/>
    <cellStyle name="PSSpacer" xfId="2195"/>
    <cellStyle name="Rangename" xfId="2196"/>
    <cellStyle name="Rangenames" xfId="2197"/>
    <cellStyle name="Result field" xfId="2198"/>
    <cellStyle name="RowLevel_" xfId="2199"/>
    <cellStyle name="Schedule Heading" xfId="2200"/>
    <cellStyle name="Screen Display Heading" xfId="2201"/>
    <cellStyle name="Setup" xfId="2202"/>
    <cellStyle name="Standard_By Team" xfId="2203"/>
    <cellStyle name="Style 1" xfId="2204"/>
    <cellStyle name="Summary Column Cell" xfId="2205"/>
    <cellStyle name="Title" xfId="108" builtinId="15" customBuiltin="1"/>
    <cellStyle name="Title 2" xfId="59"/>
    <cellStyle name="Title 3" xfId="466"/>
    <cellStyle name="Title 4" xfId="467"/>
    <cellStyle name="Title 5" xfId="468"/>
    <cellStyle name="Title 6" xfId="469"/>
    <cellStyle name="Title 7" xfId="470"/>
    <cellStyle name="Title 8" xfId="471"/>
    <cellStyle name="Total" xfId="123" builtinId="25" customBuiltin="1"/>
    <cellStyle name="Total 10" xfId="1000"/>
    <cellStyle name="Total 2" xfId="60"/>
    <cellStyle name="Total 2 2" xfId="525"/>
    <cellStyle name="Total 2 2 2" xfId="862"/>
    <cellStyle name="Total 2 2 3" xfId="2338"/>
    <cellStyle name="Total 2 2 3 10" xfId="13281"/>
    <cellStyle name="Total 2 2 3 11" xfId="14486"/>
    <cellStyle name="Total 2 2 3 2" xfId="6047"/>
    <cellStyle name="Total 2 2 3 2 2" xfId="11143"/>
    <cellStyle name="Total 2 2 3 2 2 2" xfId="15449"/>
    <cellStyle name="Total 2 2 3 2 2 3" xfId="16528"/>
    <cellStyle name="Total 2 2 3 2 2 4" xfId="17562"/>
    <cellStyle name="Total 2 2 3 2 2 5" xfId="18532"/>
    <cellStyle name="Total 2 2 3 2 2 6" xfId="19438"/>
    <cellStyle name="Total 2 2 3 2 3" xfId="11725"/>
    <cellStyle name="Total 2 2 3 2 3 2" xfId="16031"/>
    <cellStyle name="Total 2 2 3 2 3 3" xfId="17110"/>
    <cellStyle name="Total 2 2 3 2 3 4" xfId="18132"/>
    <cellStyle name="Total 2 2 3 2 3 5" xfId="19102"/>
    <cellStyle name="Total 2 2 3 2 3 6" xfId="20008"/>
    <cellStyle name="Total 2 2 3 2 4" xfId="11897"/>
    <cellStyle name="Total 2 2 3 2 4 2" xfId="16203"/>
    <cellStyle name="Total 2 2 3 2 4 3" xfId="17282"/>
    <cellStyle name="Total 2 2 3 2 4 4" xfId="18300"/>
    <cellStyle name="Total 2 2 3 2 4 5" xfId="19270"/>
    <cellStyle name="Total 2 2 3 2 4 6" xfId="20176"/>
    <cellStyle name="Total 2 2 3 2 5" xfId="13780"/>
    <cellStyle name="Total 2 2 3 2 6" xfId="12588"/>
    <cellStyle name="Total 2 2 3 2 7" xfId="14629"/>
    <cellStyle name="Total 2 2 3 2 8" xfId="17485"/>
    <cellStyle name="Total 2 2 3 2 9" xfId="16327"/>
    <cellStyle name="Total 2 2 3 3" xfId="4790"/>
    <cellStyle name="Total 2 2 3 3 2" xfId="9886"/>
    <cellStyle name="Total 2 2 3 3 2 2" xfId="15041"/>
    <cellStyle name="Total 2 2 3 3 2 3" xfId="14058"/>
    <cellStyle name="Total 2 2 3 3 2 4" xfId="13183"/>
    <cellStyle name="Total 2 2 3 3 2 5" xfId="13285"/>
    <cellStyle name="Total 2 2 3 3 2 6" xfId="12109"/>
    <cellStyle name="Total 2 2 3 3 3" xfId="11567"/>
    <cellStyle name="Total 2 2 3 3 3 2" xfId="15873"/>
    <cellStyle name="Total 2 2 3 3 3 3" xfId="16952"/>
    <cellStyle name="Total 2 2 3 3 3 4" xfId="17976"/>
    <cellStyle name="Total 2 2 3 3 3 5" xfId="18946"/>
    <cellStyle name="Total 2 2 3 3 3 6" xfId="19852"/>
    <cellStyle name="Total 2 2 3 3 4" xfId="11516"/>
    <cellStyle name="Total 2 2 3 3 4 2" xfId="15822"/>
    <cellStyle name="Total 2 2 3 3 4 3" xfId="16901"/>
    <cellStyle name="Total 2 2 3 3 4 4" xfId="17927"/>
    <cellStyle name="Total 2 2 3 3 4 5" xfId="18897"/>
    <cellStyle name="Total 2 2 3 3 4 6" xfId="19803"/>
    <cellStyle name="Total 2 2 3 3 5" xfId="13370"/>
    <cellStyle name="Total 2 2 3 3 6" xfId="14921"/>
    <cellStyle name="Total 2 2 3 3 7" xfId="15172"/>
    <cellStyle name="Total 2 2 3 3 8" xfId="17433"/>
    <cellStyle name="Total 2 2 3 3 9" xfId="13095"/>
    <cellStyle name="Total 2 2 3 4" xfId="7447"/>
    <cellStyle name="Total 2 2 3 4 2" xfId="14322"/>
    <cellStyle name="Total 2 2 3 4 3" xfId="14720"/>
    <cellStyle name="Total 2 2 3 4 4" xfId="13968"/>
    <cellStyle name="Total 2 2 3 4 5" xfId="12944"/>
    <cellStyle name="Total 2 2 3 4 6" xfId="14336"/>
    <cellStyle name="Total 2 2 3 5" xfId="11328"/>
    <cellStyle name="Total 2 2 3 5 2" xfId="15634"/>
    <cellStyle name="Total 2 2 3 5 3" xfId="16713"/>
    <cellStyle name="Total 2 2 3 5 4" xfId="17742"/>
    <cellStyle name="Total 2 2 3 5 5" xfId="18712"/>
    <cellStyle name="Total 2 2 3 5 6" xfId="19618"/>
    <cellStyle name="Total 2 2 3 6" xfId="11635"/>
    <cellStyle name="Total 2 2 3 6 2" xfId="15941"/>
    <cellStyle name="Total 2 2 3 6 3" xfId="17020"/>
    <cellStyle name="Total 2 2 3 6 4" xfId="18044"/>
    <cellStyle name="Total 2 2 3 6 5" xfId="19014"/>
    <cellStyle name="Total 2 2 3 6 6" xfId="19920"/>
    <cellStyle name="Total 2 2 3 7" xfId="12619"/>
    <cellStyle name="Total 2 2 3 8" xfId="13646"/>
    <cellStyle name="Total 2 2 3 9" xfId="14692"/>
    <cellStyle name="Total 2 2 4" xfId="3607"/>
    <cellStyle name="Total 2 2 4 2" xfId="8706"/>
    <cellStyle name="Total 2 2 4 2 2" xfId="14707"/>
    <cellStyle name="Total 2 2 4 2 3" xfId="12235"/>
    <cellStyle name="Total 2 2 4 2 4" xfId="14263"/>
    <cellStyle name="Total 2 2 4 2 5" xfId="13653"/>
    <cellStyle name="Total 2 2 4 2 6" xfId="13054"/>
    <cellStyle name="Total 2 2 4 3" xfId="11472"/>
    <cellStyle name="Total 2 2 4 3 2" xfId="15778"/>
    <cellStyle name="Total 2 2 4 3 3" xfId="16857"/>
    <cellStyle name="Total 2 2 4 3 4" xfId="17884"/>
    <cellStyle name="Total 2 2 4 3 5" xfId="18854"/>
    <cellStyle name="Total 2 2 4 3 6" xfId="19760"/>
    <cellStyle name="Total 2 2 4 4" xfId="11421"/>
    <cellStyle name="Total 2 2 4 4 2" xfId="15727"/>
    <cellStyle name="Total 2 2 4 4 3" xfId="16806"/>
    <cellStyle name="Total 2 2 4 4 4" xfId="17835"/>
    <cellStyle name="Total 2 2 4 4 5" xfId="18805"/>
    <cellStyle name="Total 2 2 4 4 6" xfId="19711"/>
    <cellStyle name="Total 2 2 4 5" xfId="13022"/>
    <cellStyle name="Total 2 2 4 6" xfId="12086"/>
    <cellStyle name="Total 2 2 4 7" xfId="15026"/>
    <cellStyle name="Total 2 2 4 8" xfId="14996"/>
    <cellStyle name="Total 2 2 4 9" xfId="17481"/>
    <cellStyle name="Total 2 3" xfId="1032"/>
    <cellStyle name="Total 2 3 10" xfId="13558"/>
    <cellStyle name="Total 2 3 11" xfId="14786"/>
    <cellStyle name="Total 2 3 12" xfId="13279"/>
    <cellStyle name="Total 2 3 2" xfId="1123"/>
    <cellStyle name="Total 2 3 2 2" xfId="2713"/>
    <cellStyle name="Total 2 3 2 2 10" xfId="13329"/>
    <cellStyle name="Total 2 3 2 2 11" xfId="15057"/>
    <cellStyle name="Total 2 3 2 2 2" xfId="6113"/>
    <cellStyle name="Total 2 3 2 2 2 2" xfId="11209"/>
    <cellStyle name="Total 2 3 2 2 2 2 2" xfId="15515"/>
    <cellStyle name="Total 2 3 2 2 2 2 3" xfId="16594"/>
    <cellStyle name="Total 2 3 2 2 2 2 4" xfId="17628"/>
    <cellStyle name="Total 2 3 2 2 2 2 5" xfId="18598"/>
    <cellStyle name="Total 2 3 2 2 2 2 6" xfId="19504"/>
    <cellStyle name="Total 2 3 2 2 2 3" xfId="11791"/>
    <cellStyle name="Total 2 3 2 2 2 3 2" xfId="16097"/>
    <cellStyle name="Total 2 3 2 2 2 3 3" xfId="17176"/>
    <cellStyle name="Total 2 3 2 2 2 3 4" xfId="18198"/>
    <cellStyle name="Total 2 3 2 2 2 3 5" xfId="19168"/>
    <cellStyle name="Total 2 3 2 2 2 3 6" xfId="20074"/>
    <cellStyle name="Total 2 3 2 2 2 4" xfId="11963"/>
    <cellStyle name="Total 2 3 2 2 2 4 2" xfId="16269"/>
    <cellStyle name="Total 2 3 2 2 2 4 3" xfId="17348"/>
    <cellStyle name="Total 2 3 2 2 2 4 4" xfId="18366"/>
    <cellStyle name="Total 2 3 2 2 2 4 5" xfId="19336"/>
    <cellStyle name="Total 2 3 2 2 2 4 6" xfId="20242"/>
    <cellStyle name="Total 2 3 2 2 2 5" xfId="13846"/>
    <cellStyle name="Total 2 3 2 2 2 6" xfId="13209"/>
    <cellStyle name="Total 2 3 2 2 2 7" xfId="13245"/>
    <cellStyle name="Total 2 3 2 2 2 8" xfId="14513"/>
    <cellStyle name="Total 2 3 2 2 2 9" xfId="13364"/>
    <cellStyle name="Total 2 3 2 2 3" xfId="5121"/>
    <cellStyle name="Total 2 3 2 2 3 2" xfId="10217"/>
    <cellStyle name="Total 2 3 2 2 3 2 2" xfId="15155"/>
    <cellStyle name="Total 2 3 2 2 3 2 3" xfId="13417"/>
    <cellStyle name="Total 2 3 2 2 3 2 4" xfId="13228"/>
    <cellStyle name="Total 2 3 2 2 3 2 5" xfId="14244"/>
    <cellStyle name="Total 2 3 2 2 3 2 6" xfId="14935"/>
    <cellStyle name="Total 2 3 2 2 3 3" xfId="11599"/>
    <cellStyle name="Total 2 3 2 2 3 3 2" xfId="15905"/>
    <cellStyle name="Total 2 3 2 2 3 3 3" xfId="16984"/>
    <cellStyle name="Total 2 3 2 2 3 3 4" xfId="18008"/>
    <cellStyle name="Total 2 3 2 2 3 3 5" xfId="18978"/>
    <cellStyle name="Total 2 3 2 2 3 3 6" xfId="19884"/>
    <cellStyle name="Total 2 3 2 2 3 4" xfId="11569"/>
    <cellStyle name="Total 2 3 2 2 3 4 2" xfId="15875"/>
    <cellStyle name="Total 2 3 2 2 3 4 3" xfId="16954"/>
    <cellStyle name="Total 2 3 2 2 3 4 4" xfId="17978"/>
    <cellStyle name="Total 2 3 2 2 3 4 5" xfId="18948"/>
    <cellStyle name="Total 2 3 2 2 3 4 6" xfId="19854"/>
    <cellStyle name="Total 2 3 2 2 3 5" xfId="13475"/>
    <cellStyle name="Total 2 3 2 2 3 6" xfId="13350"/>
    <cellStyle name="Total 2 3 2 2 3 7" xfId="12424"/>
    <cellStyle name="Total 2 3 2 2 3 8" xfId="13056"/>
    <cellStyle name="Total 2 3 2 2 3 9" xfId="16370"/>
    <cellStyle name="Total 2 3 2 2 4" xfId="7816"/>
    <cellStyle name="Total 2 3 2 2 4 2" xfId="14467"/>
    <cellStyle name="Total 2 3 2 2 4 3" xfId="13970"/>
    <cellStyle name="Total 2 3 2 2 4 4" xfId="13194"/>
    <cellStyle name="Total 2 3 2 2 4 5" xfId="12958"/>
    <cellStyle name="Total 2 3 2 2 4 6" xfId="12403"/>
    <cellStyle name="Total 2 3 2 2 5" xfId="11399"/>
    <cellStyle name="Total 2 3 2 2 5 2" xfId="15705"/>
    <cellStyle name="Total 2 3 2 2 5 3" xfId="16784"/>
    <cellStyle name="Total 2 3 2 2 5 4" xfId="17813"/>
    <cellStyle name="Total 2 3 2 2 5 5" xfId="18783"/>
    <cellStyle name="Total 2 3 2 2 5 6" xfId="19689"/>
    <cellStyle name="Total 2 3 2 2 6" xfId="11619"/>
    <cellStyle name="Total 2 3 2 2 6 2" xfId="15925"/>
    <cellStyle name="Total 2 3 2 2 6 3" xfId="17004"/>
    <cellStyle name="Total 2 3 2 2 6 4" xfId="18028"/>
    <cellStyle name="Total 2 3 2 2 6 5" xfId="18998"/>
    <cellStyle name="Total 2 3 2 2 6 6" xfId="19904"/>
    <cellStyle name="Total 2 3 2 2 7" xfId="12770"/>
    <cellStyle name="Total 2 3 2 2 8" xfId="14212"/>
    <cellStyle name="Total 2 3 2 2 9" xfId="14743"/>
    <cellStyle name="Total 2 3 2 3" xfId="3938"/>
    <cellStyle name="Total 2 3 2 3 2" xfId="9037"/>
    <cellStyle name="Total 2 3 2 3 2 2" xfId="14815"/>
    <cellStyle name="Total 2 3 2 3 2 3" xfId="14357"/>
    <cellStyle name="Total 2 3 2 3 2 4" xfId="14094"/>
    <cellStyle name="Total 2 3 2 3 2 5" xfId="13497"/>
    <cellStyle name="Total 2 3 2 3 2 6" xfId="14858"/>
    <cellStyle name="Total 2 3 2 3 3" xfId="11505"/>
    <cellStyle name="Total 2 3 2 3 3 2" xfId="15811"/>
    <cellStyle name="Total 2 3 2 3 3 3" xfId="16890"/>
    <cellStyle name="Total 2 3 2 3 3 4" xfId="17916"/>
    <cellStyle name="Total 2 3 2 3 3 5" xfId="18886"/>
    <cellStyle name="Total 2 3 2 3 3 6" xfId="19792"/>
    <cellStyle name="Total 2 3 2 3 4" xfId="7162"/>
    <cellStyle name="Total 2 3 2 3 4 2" xfId="14231"/>
    <cellStyle name="Total 2 3 2 3 4 3" xfId="13042"/>
    <cellStyle name="Total 2 3 2 3 4 4" xfId="13264"/>
    <cellStyle name="Total 2 3 2 3 4 5" xfId="13271"/>
    <cellStyle name="Total 2 3 2 3 4 6" xfId="16418"/>
    <cellStyle name="Total 2 3 2 3 5" xfId="13127"/>
    <cellStyle name="Total 2 3 2 3 6" xfId="12449"/>
    <cellStyle name="Total 2 3 2 3 7" xfId="15323"/>
    <cellStyle name="Total 2 3 2 3 8" xfId="172"/>
    <cellStyle name="Total 2 3 2 3 9" xfId="12605"/>
    <cellStyle name="Total 2 3 3" xfId="2662"/>
    <cellStyle name="Total 2 3 3 10" xfId="12820"/>
    <cellStyle name="Total 2 3 3 2" xfId="6078"/>
    <cellStyle name="Total 2 3 3 2 2" xfId="11174"/>
    <cellStyle name="Total 2 3 3 2 2 2" xfId="15480"/>
    <cellStyle name="Total 2 3 3 2 2 3" xfId="16559"/>
    <cellStyle name="Total 2 3 3 2 2 4" xfId="17593"/>
    <cellStyle name="Total 2 3 3 2 2 5" xfId="18563"/>
    <cellStyle name="Total 2 3 3 2 2 6" xfId="19469"/>
    <cellStyle name="Total 2 3 3 2 3" xfId="11756"/>
    <cellStyle name="Total 2 3 3 2 3 2" xfId="16062"/>
    <cellStyle name="Total 2 3 3 2 3 3" xfId="17141"/>
    <cellStyle name="Total 2 3 3 2 3 4" xfId="18163"/>
    <cellStyle name="Total 2 3 3 2 3 5" xfId="19133"/>
    <cellStyle name="Total 2 3 3 2 3 6" xfId="20039"/>
    <cellStyle name="Total 2 3 3 2 4" xfId="11928"/>
    <cellStyle name="Total 2 3 3 2 4 2" xfId="16234"/>
    <cellStyle name="Total 2 3 3 2 4 3" xfId="17313"/>
    <cellStyle name="Total 2 3 3 2 4 4" xfId="18331"/>
    <cellStyle name="Total 2 3 3 2 4 5" xfId="19301"/>
    <cellStyle name="Total 2 3 3 2 4 6" xfId="20207"/>
    <cellStyle name="Total 2 3 3 2 5" xfId="13811"/>
    <cellStyle name="Total 2 3 3 2 6" xfId="12857"/>
    <cellStyle name="Total 2 3 3 2 7" xfId="15086"/>
    <cellStyle name="Total 2 3 3 2 8" xfId="14604"/>
    <cellStyle name="Total 2 3 3 2 9" xfId="14192"/>
    <cellStyle name="Total 2 3 3 3" xfId="7765"/>
    <cellStyle name="Total 2 3 3 3 2" xfId="14431"/>
    <cellStyle name="Total 2 3 3 3 3" xfId="14087"/>
    <cellStyle name="Total 2 3 3 3 4" xfId="14112"/>
    <cellStyle name="Total 2 3 3 3 5" xfId="14785"/>
    <cellStyle name="Total 2 3 3 3 6" xfId="12921"/>
    <cellStyle name="Total 2 3 3 4" xfId="11364"/>
    <cellStyle name="Total 2 3 3 4 2" xfId="15670"/>
    <cellStyle name="Total 2 3 3 4 3" xfId="16749"/>
    <cellStyle name="Total 2 3 3 4 4" xfId="17778"/>
    <cellStyle name="Total 2 3 3 4 5" xfId="18748"/>
    <cellStyle name="Total 2 3 3 4 6" xfId="19654"/>
    <cellStyle name="Total 2 3 3 5" xfId="11440"/>
    <cellStyle name="Total 2 3 3 5 2" xfId="15746"/>
    <cellStyle name="Total 2 3 3 5 3" xfId="16825"/>
    <cellStyle name="Total 2 3 3 5 4" xfId="17853"/>
    <cellStyle name="Total 2 3 3 5 5" xfId="18823"/>
    <cellStyle name="Total 2 3 3 5 6" xfId="19729"/>
    <cellStyle name="Total 2 3 3 6" xfId="12732"/>
    <cellStyle name="Total 2 3 3 7" xfId="12485"/>
    <cellStyle name="Total 2 3 3 8" xfId="15321"/>
    <cellStyle name="Total 2 3 3 9" xfId="13380"/>
    <cellStyle name="Total 2 3 4" xfId="6003"/>
    <cellStyle name="Total 2 3 4 2" xfId="11099"/>
    <cellStyle name="Total 2 3 4 2 2" xfId="15405"/>
    <cellStyle name="Total 2 3 4 2 3" xfId="16484"/>
    <cellStyle name="Total 2 3 4 2 4" xfId="17519"/>
    <cellStyle name="Total 2 3 4 2 5" xfId="18489"/>
    <cellStyle name="Total 2 3 4 2 6" xfId="19395"/>
    <cellStyle name="Total 2 3 4 3" xfId="11681"/>
    <cellStyle name="Total 2 3 4 3 2" xfId="15987"/>
    <cellStyle name="Total 2 3 4 3 3" xfId="17066"/>
    <cellStyle name="Total 2 3 4 3 4" xfId="18089"/>
    <cellStyle name="Total 2 3 4 3 5" xfId="19059"/>
    <cellStyle name="Total 2 3 4 3 6" xfId="19965"/>
    <cellStyle name="Total 2 3 4 4" xfId="11853"/>
    <cellStyle name="Total 2 3 4 4 2" xfId="16159"/>
    <cellStyle name="Total 2 3 4 4 3" xfId="17238"/>
    <cellStyle name="Total 2 3 4 4 4" xfId="18257"/>
    <cellStyle name="Total 2 3 4 4 5" xfId="19227"/>
    <cellStyle name="Total 2 3 4 4 6" xfId="20133"/>
    <cellStyle name="Total 2 3 4 5" xfId="13736"/>
    <cellStyle name="Total 2 3 4 6" xfId="14688"/>
    <cellStyle name="Total 2 3 4 7" xfId="13156"/>
    <cellStyle name="Total 2 3 4 8" xfId="17418"/>
    <cellStyle name="Total 2 3 4 9" xfId="11997"/>
    <cellStyle name="Total 2 3 5" xfId="6509"/>
    <cellStyle name="Total 2 3 5 2" xfId="14022"/>
    <cellStyle name="Total 2 3 5 3" xfId="12362"/>
    <cellStyle name="Total 2 3 5 4" xfId="15330"/>
    <cellStyle name="Total 2 3 5 5" xfId="12309"/>
    <cellStyle name="Total 2 3 5 6" xfId="15261"/>
    <cellStyle name="Total 2 3 6" xfId="6142"/>
    <cellStyle name="Total 2 3 6 2" xfId="13875"/>
    <cellStyle name="Total 2 3 6 3" xfId="12374"/>
    <cellStyle name="Total 2 3 6 4" xfId="13656"/>
    <cellStyle name="Total 2 3 6 5" xfId="17412"/>
    <cellStyle name="Total 2 3 6 6" xfId="14169"/>
    <cellStyle name="Total 2 3 7" xfId="11554"/>
    <cellStyle name="Total 2 3 7 2" xfId="15860"/>
    <cellStyle name="Total 2 3 7 3" xfId="16939"/>
    <cellStyle name="Total 2 3 7 4" xfId="17964"/>
    <cellStyle name="Total 2 3 7 5" xfId="18934"/>
    <cellStyle name="Total 2 3 7 6" xfId="19840"/>
    <cellStyle name="Total 2 3 8" xfId="12224"/>
    <cellStyle name="Total 2 3 9" xfId="13669"/>
    <cellStyle name="Total 2 4" xfId="2206"/>
    <cellStyle name="Total 2 5" xfId="165"/>
    <cellStyle name="Total 3" xfId="472"/>
    <cellStyle name="Total 3 2" xfId="863"/>
    <cellStyle name="Total 3 3" xfId="1033"/>
    <cellStyle name="Total 3 3 10" xfId="12914"/>
    <cellStyle name="Total 3 3 11" xfId="15273"/>
    <cellStyle name="Total 3 3 12" xfId="12861"/>
    <cellStyle name="Total 3 3 2" xfId="1124"/>
    <cellStyle name="Total 3 3 2 2" xfId="2714"/>
    <cellStyle name="Total 3 3 2 2 10" xfId="17450"/>
    <cellStyle name="Total 3 3 2 2 11" xfId="15059"/>
    <cellStyle name="Total 3 3 2 2 2" xfId="6114"/>
    <cellStyle name="Total 3 3 2 2 2 2" xfId="11210"/>
    <cellStyle name="Total 3 3 2 2 2 2 2" xfId="15516"/>
    <cellStyle name="Total 3 3 2 2 2 2 3" xfId="16595"/>
    <cellStyle name="Total 3 3 2 2 2 2 4" xfId="17629"/>
    <cellStyle name="Total 3 3 2 2 2 2 5" xfId="18599"/>
    <cellStyle name="Total 3 3 2 2 2 2 6" xfId="19505"/>
    <cellStyle name="Total 3 3 2 2 2 3" xfId="11792"/>
    <cellStyle name="Total 3 3 2 2 2 3 2" xfId="16098"/>
    <cellStyle name="Total 3 3 2 2 2 3 3" xfId="17177"/>
    <cellStyle name="Total 3 3 2 2 2 3 4" xfId="18199"/>
    <cellStyle name="Total 3 3 2 2 2 3 5" xfId="19169"/>
    <cellStyle name="Total 3 3 2 2 2 3 6" xfId="20075"/>
    <cellStyle name="Total 3 3 2 2 2 4" xfId="11964"/>
    <cellStyle name="Total 3 3 2 2 2 4 2" xfId="16270"/>
    <cellStyle name="Total 3 3 2 2 2 4 3" xfId="17349"/>
    <cellStyle name="Total 3 3 2 2 2 4 4" xfId="18367"/>
    <cellStyle name="Total 3 3 2 2 2 4 5" xfId="19337"/>
    <cellStyle name="Total 3 3 2 2 2 4 6" xfId="20243"/>
    <cellStyle name="Total 3 3 2 2 2 5" xfId="13847"/>
    <cellStyle name="Total 3 3 2 2 2 6" xfId="14552"/>
    <cellStyle name="Total 3 3 2 2 2 7" xfId="14503"/>
    <cellStyle name="Total 3 3 2 2 2 8" xfId="14587"/>
    <cellStyle name="Total 3 3 2 2 2 9" xfId="18420"/>
    <cellStyle name="Total 3 3 2 2 3" xfId="5122"/>
    <cellStyle name="Total 3 3 2 2 3 2" xfId="10218"/>
    <cellStyle name="Total 3 3 2 2 3 2 2" xfId="15156"/>
    <cellStyle name="Total 3 3 2 2 3 2 3" xfId="12676"/>
    <cellStyle name="Total 3 3 2 2 3 2 4" xfId="14973"/>
    <cellStyle name="Total 3 3 2 2 3 2 5" xfId="14260"/>
    <cellStyle name="Total 3 3 2 2 3 2 6" xfId="12650"/>
    <cellStyle name="Total 3 3 2 2 3 3" xfId="11600"/>
    <cellStyle name="Total 3 3 2 2 3 3 2" xfId="15906"/>
    <cellStyle name="Total 3 3 2 2 3 3 3" xfId="16985"/>
    <cellStyle name="Total 3 3 2 2 3 3 4" xfId="18009"/>
    <cellStyle name="Total 3 3 2 2 3 3 5" xfId="18979"/>
    <cellStyle name="Total 3 3 2 2 3 3 6" xfId="19885"/>
    <cellStyle name="Total 3 3 2 2 3 4" xfId="11331"/>
    <cellStyle name="Total 3 3 2 2 3 4 2" xfId="15637"/>
    <cellStyle name="Total 3 3 2 2 3 4 3" xfId="16716"/>
    <cellStyle name="Total 3 3 2 2 3 4 4" xfId="17745"/>
    <cellStyle name="Total 3 3 2 2 3 4 5" xfId="18715"/>
    <cellStyle name="Total 3 3 2 2 3 4 6" xfId="19621"/>
    <cellStyle name="Total 3 3 2 2 3 5" xfId="13476"/>
    <cellStyle name="Total 3 3 2 2 3 6" xfId="14681"/>
    <cellStyle name="Total 3 3 2 2 3 7" xfId="14364"/>
    <cellStyle name="Total 3 3 2 2 3 8" xfId="14929"/>
    <cellStyle name="Total 3 3 2 2 3 9" xfId="12467"/>
    <cellStyle name="Total 3 3 2 2 4" xfId="7817"/>
    <cellStyle name="Total 3 3 2 2 4 2" xfId="14468"/>
    <cellStyle name="Total 3 3 2 2 4 3" xfId="14766"/>
    <cellStyle name="Total 3 3 2 2 4 4" xfId="13155"/>
    <cellStyle name="Total 3 3 2 2 4 5" xfId="15027"/>
    <cellStyle name="Total 3 3 2 2 4 6" xfId="13610"/>
    <cellStyle name="Total 3 3 2 2 5" xfId="11400"/>
    <cellStyle name="Total 3 3 2 2 5 2" xfId="15706"/>
    <cellStyle name="Total 3 3 2 2 5 3" xfId="16785"/>
    <cellStyle name="Total 3 3 2 2 5 4" xfId="17814"/>
    <cellStyle name="Total 3 3 2 2 5 5" xfId="18784"/>
    <cellStyle name="Total 3 3 2 2 5 6" xfId="19690"/>
    <cellStyle name="Total 3 3 2 2 6" xfId="11431"/>
    <cellStyle name="Total 3 3 2 2 6 2" xfId="15737"/>
    <cellStyle name="Total 3 3 2 2 6 3" xfId="16816"/>
    <cellStyle name="Total 3 3 2 2 6 4" xfId="17844"/>
    <cellStyle name="Total 3 3 2 2 6 5" xfId="18814"/>
    <cellStyle name="Total 3 3 2 2 6 6" xfId="19720"/>
    <cellStyle name="Total 3 3 2 2 7" xfId="12771"/>
    <cellStyle name="Total 3 3 2 2 8" xfId="14969"/>
    <cellStyle name="Total 3 3 2 2 9" xfId="13146"/>
    <cellStyle name="Total 3 3 2 3" xfId="3939"/>
    <cellStyle name="Total 3 3 2 3 2" xfId="9038"/>
    <cellStyle name="Total 3 3 2 3 2 2" xfId="14816"/>
    <cellStyle name="Total 3 3 2 3 2 3" xfId="15079"/>
    <cellStyle name="Total 3 3 2 3 2 4" xfId="14756"/>
    <cellStyle name="Total 3 3 2 3 2 5" xfId="13504"/>
    <cellStyle name="Total 3 3 2 3 2 6" xfId="13077"/>
    <cellStyle name="Total 3 3 2 3 3" xfId="11506"/>
    <cellStyle name="Total 3 3 2 3 3 2" xfId="15812"/>
    <cellStyle name="Total 3 3 2 3 3 3" xfId="16891"/>
    <cellStyle name="Total 3 3 2 3 3 4" xfId="17917"/>
    <cellStyle name="Total 3 3 2 3 3 5" xfId="18887"/>
    <cellStyle name="Total 3 3 2 3 3 6" xfId="19793"/>
    <cellStyle name="Total 3 3 2 3 4" xfId="6184"/>
    <cellStyle name="Total 3 3 2 3 4 2" xfId="13916"/>
    <cellStyle name="Total 3 3 2 3 4 3" xfId="14133"/>
    <cellStyle name="Total 3 3 2 3 4 4" xfId="14523"/>
    <cellStyle name="Total 3 3 2 3 4 5" xfId="12556"/>
    <cellStyle name="Total 3 3 2 3 4 6" xfId="15243"/>
    <cellStyle name="Total 3 3 2 3 5" xfId="13128"/>
    <cellStyle name="Total 3 3 2 3 6" xfId="14189"/>
    <cellStyle name="Total 3 3 2 3 7" xfId="12011"/>
    <cellStyle name="Total 3 3 2 3 8" xfId="14943"/>
    <cellStyle name="Total 3 3 2 3 9" xfId="13615"/>
    <cellStyle name="Total 3 3 3" xfId="2663"/>
    <cellStyle name="Total 3 3 3 10" xfId="12301"/>
    <cellStyle name="Total 3 3 3 2" xfId="6079"/>
    <cellStyle name="Total 3 3 3 2 2" xfId="11175"/>
    <cellStyle name="Total 3 3 3 2 2 2" xfId="15481"/>
    <cellStyle name="Total 3 3 3 2 2 3" xfId="16560"/>
    <cellStyle name="Total 3 3 3 2 2 4" xfId="17594"/>
    <cellStyle name="Total 3 3 3 2 2 5" xfId="18564"/>
    <cellStyle name="Total 3 3 3 2 2 6" xfId="19470"/>
    <cellStyle name="Total 3 3 3 2 3" xfId="11757"/>
    <cellStyle name="Total 3 3 3 2 3 2" xfId="16063"/>
    <cellStyle name="Total 3 3 3 2 3 3" xfId="17142"/>
    <cellStyle name="Total 3 3 3 2 3 4" xfId="18164"/>
    <cellStyle name="Total 3 3 3 2 3 5" xfId="19134"/>
    <cellStyle name="Total 3 3 3 2 3 6" xfId="20040"/>
    <cellStyle name="Total 3 3 3 2 4" xfId="11929"/>
    <cellStyle name="Total 3 3 3 2 4 2" xfId="16235"/>
    <cellStyle name="Total 3 3 3 2 4 3" xfId="17314"/>
    <cellStyle name="Total 3 3 3 2 4 4" xfId="18332"/>
    <cellStyle name="Total 3 3 3 2 4 5" xfId="19302"/>
    <cellStyle name="Total 3 3 3 2 4 6" xfId="20208"/>
    <cellStyle name="Total 3 3 3 2 5" xfId="13812"/>
    <cellStyle name="Total 3 3 3 2 6" xfId="12381"/>
    <cellStyle name="Total 3 3 3 2 7" xfId="14643"/>
    <cellStyle name="Total 3 3 3 2 8" xfId="17479"/>
    <cellStyle name="Total 3 3 3 2 9" xfId="13257"/>
    <cellStyle name="Total 3 3 3 3" xfId="7766"/>
    <cellStyle name="Total 3 3 3 3 2" xfId="14432"/>
    <cellStyle name="Total 3 3 3 3 3" xfId="14855"/>
    <cellStyle name="Total 3 3 3 3 4" xfId="14760"/>
    <cellStyle name="Total 3 3 3 3 5" xfId="14718"/>
    <cellStyle name="Total 3 3 3 3 6" xfId="12462"/>
    <cellStyle name="Total 3 3 3 4" xfId="11365"/>
    <cellStyle name="Total 3 3 3 4 2" xfId="15671"/>
    <cellStyle name="Total 3 3 3 4 3" xfId="16750"/>
    <cellStyle name="Total 3 3 3 4 4" xfId="17779"/>
    <cellStyle name="Total 3 3 3 4 5" xfId="18749"/>
    <cellStyle name="Total 3 3 3 4 6" xfId="19655"/>
    <cellStyle name="Total 3 3 3 5" xfId="11276"/>
    <cellStyle name="Total 3 3 3 5 2" xfId="15582"/>
    <cellStyle name="Total 3 3 3 5 3" xfId="16661"/>
    <cellStyle name="Total 3 3 3 5 4" xfId="17691"/>
    <cellStyle name="Total 3 3 3 5 5" xfId="18661"/>
    <cellStyle name="Total 3 3 3 5 6" xfId="19567"/>
    <cellStyle name="Total 3 3 3 6" xfId="12733"/>
    <cellStyle name="Total 3 3 3 7" xfId="12245"/>
    <cellStyle name="Total 3 3 3 8" xfId="14651"/>
    <cellStyle name="Total 3 3 3 9" xfId="14564"/>
    <cellStyle name="Total 3 3 4" xfId="6004"/>
    <cellStyle name="Total 3 3 4 2" xfId="11100"/>
    <cellStyle name="Total 3 3 4 2 2" xfId="15406"/>
    <cellStyle name="Total 3 3 4 2 3" xfId="16485"/>
    <cellStyle name="Total 3 3 4 2 4" xfId="17520"/>
    <cellStyle name="Total 3 3 4 2 5" xfId="18490"/>
    <cellStyle name="Total 3 3 4 2 6" xfId="19396"/>
    <cellStyle name="Total 3 3 4 3" xfId="11682"/>
    <cellStyle name="Total 3 3 4 3 2" xfId="15988"/>
    <cellStyle name="Total 3 3 4 3 3" xfId="17067"/>
    <cellStyle name="Total 3 3 4 3 4" xfId="18090"/>
    <cellStyle name="Total 3 3 4 3 5" xfId="19060"/>
    <cellStyle name="Total 3 3 4 3 6" xfId="19966"/>
    <cellStyle name="Total 3 3 4 4" xfId="11854"/>
    <cellStyle name="Total 3 3 4 4 2" xfId="16160"/>
    <cellStyle name="Total 3 3 4 4 3" xfId="17239"/>
    <cellStyle name="Total 3 3 4 4 4" xfId="18258"/>
    <cellStyle name="Total 3 3 4 4 5" xfId="19228"/>
    <cellStyle name="Total 3 3 4 4 6" xfId="20134"/>
    <cellStyle name="Total 3 3 4 5" xfId="13737"/>
    <cellStyle name="Total 3 3 4 6" xfId="15370"/>
    <cellStyle name="Total 3 3 4 7" xfId="16449"/>
    <cellStyle name="Total 3 3 4 8" xfId="12303"/>
    <cellStyle name="Total 3 3 4 9" xfId="14750"/>
    <cellStyle name="Total 3 3 5" xfId="6510"/>
    <cellStyle name="Total 3 3 5 2" xfId="14023"/>
    <cellStyle name="Total 3 3 5 3" xfId="12361"/>
    <cellStyle name="Total 3 3 5 4" xfId="14645"/>
    <cellStyle name="Total 3 3 5 5" xfId="17401"/>
    <cellStyle name="Total 3 3 5 6" xfId="14967"/>
    <cellStyle name="Total 3 3 6" xfId="6673"/>
    <cellStyle name="Total 3 3 6 2" xfId="14081"/>
    <cellStyle name="Total 3 3 6 3" xfId="14109"/>
    <cellStyle name="Total 3 3 6 4" xfId="12828"/>
    <cellStyle name="Total 3 3 6 5" xfId="14209"/>
    <cellStyle name="Total 3 3 6 6" xfId="14748"/>
    <cellStyle name="Total 3 3 7" xfId="11643"/>
    <cellStyle name="Total 3 3 7 2" xfId="15949"/>
    <cellStyle name="Total 3 3 7 3" xfId="17028"/>
    <cellStyle name="Total 3 3 7 4" xfId="18052"/>
    <cellStyle name="Total 3 3 7 5" xfId="19022"/>
    <cellStyle name="Total 3 3 7 6" xfId="19928"/>
    <cellStyle name="Total 3 3 8" xfId="12225"/>
    <cellStyle name="Total 3 3 9" xfId="12971"/>
    <cellStyle name="Total 4" xfId="473"/>
    <cellStyle name="Total 4 2" xfId="1034"/>
    <cellStyle name="Total 4 2 10" xfId="15056"/>
    <cellStyle name="Total 4 2 11" xfId="14055"/>
    <cellStyle name="Total 4 2 12" xfId="13496"/>
    <cellStyle name="Total 4 2 2" xfId="1125"/>
    <cellStyle name="Total 4 2 2 2" xfId="2715"/>
    <cellStyle name="Total 4 2 2 2 10" xfId="12281"/>
    <cellStyle name="Total 4 2 2 2 11" xfId="16419"/>
    <cellStyle name="Total 4 2 2 2 2" xfId="6115"/>
    <cellStyle name="Total 4 2 2 2 2 2" xfId="11211"/>
    <cellStyle name="Total 4 2 2 2 2 2 2" xfId="15517"/>
    <cellStyle name="Total 4 2 2 2 2 2 3" xfId="16596"/>
    <cellStyle name="Total 4 2 2 2 2 2 4" xfId="17630"/>
    <cellStyle name="Total 4 2 2 2 2 2 5" xfId="18600"/>
    <cellStyle name="Total 4 2 2 2 2 2 6" xfId="19506"/>
    <cellStyle name="Total 4 2 2 2 2 3" xfId="11793"/>
    <cellStyle name="Total 4 2 2 2 2 3 2" xfId="16099"/>
    <cellStyle name="Total 4 2 2 2 2 3 3" xfId="17178"/>
    <cellStyle name="Total 4 2 2 2 2 3 4" xfId="18200"/>
    <cellStyle name="Total 4 2 2 2 2 3 5" xfId="19170"/>
    <cellStyle name="Total 4 2 2 2 2 3 6" xfId="20076"/>
    <cellStyle name="Total 4 2 2 2 2 4" xfId="11965"/>
    <cellStyle name="Total 4 2 2 2 2 4 2" xfId="16271"/>
    <cellStyle name="Total 4 2 2 2 2 4 3" xfId="17350"/>
    <cellStyle name="Total 4 2 2 2 2 4 4" xfId="18368"/>
    <cellStyle name="Total 4 2 2 2 2 4 5" xfId="19338"/>
    <cellStyle name="Total 4 2 2 2 2 4 6" xfId="20244"/>
    <cellStyle name="Total 4 2 2 2 2 5" xfId="13848"/>
    <cellStyle name="Total 4 2 2 2 2 6" xfId="15229"/>
    <cellStyle name="Total 4 2 2 2 2 7" xfId="16341"/>
    <cellStyle name="Total 4 2 2 2 2 8" xfId="13672"/>
    <cellStyle name="Total 4 2 2 2 2 9" xfId="14258"/>
    <cellStyle name="Total 4 2 2 2 3" xfId="5123"/>
    <cellStyle name="Total 4 2 2 2 3 2" xfId="10219"/>
    <cellStyle name="Total 4 2 2 2 3 2 2" xfId="15157"/>
    <cellStyle name="Total 4 2 2 2 3 2 3" xfId="14053"/>
    <cellStyle name="Total 4 2 2 2 3 2 4" xfId="14120"/>
    <cellStyle name="Total 4 2 2 2 3 2 5" xfId="12495"/>
    <cellStyle name="Total 4 2 2 2 3 2 6" xfId="14880"/>
    <cellStyle name="Total 4 2 2 2 3 3" xfId="11601"/>
    <cellStyle name="Total 4 2 2 2 3 3 2" xfId="15907"/>
    <cellStyle name="Total 4 2 2 2 3 3 3" xfId="16986"/>
    <cellStyle name="Total 4 2 2 2 3 3 4" xfId="18010"/>
    <cellStyle name="Total 4 2 2 2 3 3 5" xfId="18980"/>
    <cellStyle name="Total 4 2 2 2 3 3 6" xfId="19886"/>
    <cellStyle name="Total 4 2 2 2 3 4" xfId="11513"/>
    <cellStyle name="Total 4 2 2 2 3 4 2" xfId="15819"/>
    <cellStyle name="Total 4 2 2 2 3 4 3" xfId="16898"/>
    <cellStyle name="Total 4 2 2 2 3 4 4" xfId="17924"/>
    <cellStyle name="Total 4 2 2 2 3 4 5" xfId="18894"/>
    <cellStyle name="Total 4 2 2 2 3 4 6" xfId="19800"/>
    <cellStyle name="Total 4 2 2 2 3 5" xfId="13477"/>
    <cellStyle name="Total 4 2 2 2 3 6" xfId="15362"/>
    <cellStyle name="Total 4 2 2 2 3 7" xfId="16443"/>
    <cellStyle name="Total 4 2 2 2 3 8" xfId="13301"/>
    <cellStyle name="Total 4 2 2 2 3 9" xfId="18455"/>
    <cellStyle name="Total 4 2 2 2 4" xfId="7818"/>
    <cellStyle name="Total 4 2 2 2 4 2" xfId="14469"/>
    <cellStyle name="Total 4 2 2 2 4 3" xfId="13080"/>
    <cellStyle name="Total 4 2 2 2 4 4" xfId="13608"/>
    <cellStyle name="Total 4 2 2 2 4 5" xfId="16377"/>
    <cellStyle name="Total 4 2 2 2 4 6" xfId="13952"/>
    <cellStyle name="Total 4 2 2 2 5" xfId="11401"/>
    <cellStyle name="Total 4 2 2 2 5 2" xfId="15707"/>
    <cellStyle name="Total 4 2 2 2 5 3" xfId="16786"/>
    <cellStyle name="Total 4 2 2 2 5 4" xfId="17815"/>
    <cellStyle name="Total 4 2 2 2 5 5" xfId="18785"/>
    <cellStyle name="Total 4 2 2 2 5 6" xfId="19691"/>
    <cellStyle name="Total 4 2 2 2 6" xfId="11268"/>
    <cellStyle name="Total 4 2 2 2 6 2" xfId="15574"/>
    <cellStyle name="Total 4 2 2 2 6 3" xfId="16653"/>
    <cellStyle name="Total 4 2 2 2 6 4" xfId="17683"/>
    <cellStyle name="Total 4 2 2 2 6 5" xfId="18653"/>
    <cellStyle name="Total 4 2 2 2 6 6" xfId="19559"/>
    <cellStyle name="Total 4 2 2 2 7" xfId="12772"/>
    <cellStyle name="Total 4 2 2 2 8" xfId="13283"/>
    <cellStyle name="Total 4 2 2 2 9" xfId="13585"/>
    <cellStyle name="Total 4 2 2 3" xfId="3940"/>
    <cellStyle name="Total 4 2 2 3 2" xfId="9039"/>
    <cellStyle name="Total 4 2 2 3 2 2" xfId="14817"/>
    <cellStyle name="Total 4 2 2 3 2 3" xfId="13407"/>
    <cellStyle name="Total 4 2 2 3 2 4" xfId="15257"/>
    <cellStyle name="Total 4 2 2 3 2 5" xfId="13598"/>
    <cellStyle name="Total 4 2 2 3 2 6" xfId="15120"/>
    <cellStyle name="Total 4 2 2 3 3" xfId="11507"/>
    <cellStyle name="Total 4 2 2 3 3 2" xfId="15813"/>
    <cellStyle name="Total 4 2 2 3 3 3" xfId="16892"/>
    <cellStyle name="Total 4 2 2 3 3 4" xfId="17918"/>
    <cellStyle name="Total 4 2 2 3 3 5" xfId="18888"/>
    <cellStyle name="Total 4 2 2 3 3 6" xfId="19794"/>
    <cellStyle name="Total 4 2 2 3 4" xfId="7164"/>
    <cellStyle name="Total 4 2 2 3 4 2" xfId="14233"/>
    <cellStyle name="Total 4 2 2 3 4 3" xfId="15063"/>
    <cellStyle name="Total 4 2 2 3 4 4" xfId="154"/>
    <cellStyle name="Total 4 2 2 3 4 5" xfId="14825"/>
    <cellStyle name="Total 4 2 2 3 4 6" xfId="14331"/>
    <cellStyle name="Total 4 2 2 3 5" xfId="13129"/>
    <cellStyle name="Total 4 2 2 3 6" xfId="14948"/>
    <cellStyle name="Total 4 2 2 3 7" xfId="12794"/>
    <cellStyle name="Total 4 2 2 3 8" xfId="17441"/>
    <cellStyle name="Total 4 2 2 3 9" xfId="15322"/>
    <cellStyle name="Total 4 2 3" xfId="2664"/>
    <cellStyle name="Total 4 2 3 10" xfId="12307"/>
    <cellStyle name="Total 4 2 3 2" xfId="6080"/>
    <cellStyle name="Total 4 2 3 2 2" xfId="11176"/>
    <cellStyle name="Total 4 2 3 2 2 2" xfId="15482"/>
    <cellStyle name="Total 4 2 3 2 2 3" xfId="16561"/>
    <cellStyle name="Total 4 2 3 2 2 4" xfId="17595"/>
    <cellStyle name="Total 4 2 3 2 2 5" xfId="18565"/>
    <cellStyle name="Total 4 2 3 2 2 6" xfId="19471"/>
    <cellStyle name="Total 4 2 3 2 3" xfId="11758"/>
    <cellStyle name="Total 4 2 3 2 3 2" xfId="16064"/>
    <cellStyle name="Total 4 2 3 2 3 3" xfId="17143"/>
    <cellStyle name="Total 4 2 3 2 3 4" xfId="18165"/>
    <cellStyle name="Total 4 2 3 2 3 5" xfId="19135"/>
    <cellStyle name="Total 4 2 3 2 3 6" xfId="20041"/>
    <cellStyle name="Total 4 2 3 2 4" xfId="11930"/>
    <cellStyle name="Total 4 2 3 2 4 2" xfId="16236"/>
    <cellStyle name="Total 4 2 3 2 4 3" xfId="17315"/>
    <cellStyle name="Total 4 2 3 2 4 4" xfId="18333"/>
    <cellStyle name="Total 4 2 3 2 4 5" xfId="19303"/>
    <cellStyle name="Total 4 2 3 2 4 6" xfId="20209"/>
    <cellStyle name="Total 4 2 3 2 5" xfId="13813"/>
    <cellStyle name="Total 4 2 3 2 6" xfId="14147"/>
    <cellStyle name="Total 4 2 3 2 7" xfId="12342"/>
    <cellStyle name="Total 4 2 3 2 8" xfId="14937"/>
    <cellStyle name="Total 4 2 3 2 9" xfId="14870"/>
    <cellStyle name="Total 4 2 3 3" xfId="7767"/>
    <cellStyle name="Total 4 2 3 3 2" xfId="14433"/>
    <cellStyle name="Total 4 2 3 3 3" xfId="13168"/>
    <cellStyle name="Total 4 2 3 3 4" xfId="13597"/>
    <cellStyle name="Total 4 2 3 3 5" xfId="14925"/>
    <cellStyle name="Total 4 2 3 3 6" xfId="13302"/>
    <cellStyle name="Total 4 2 3 4" xfId="11366"/>
    <cellStyle name="Total 4 2 3 4 2" xfId="15672"/>
    <cellStyle name="Total 4 2 3 4 3" xfId="16751"/>
    <cellStyle name="Total 4 2 3 4 4" xfId="17780"/>
    <cellStyle name="Total 4 2 3 4 5" xfId="18750"/>
    <cellStyle name="Total 4 2 3 4 6" xfId="19656"/>
    <cellStyle name="Total 4 2 3 5" xfId="11537"/>
    <cellStyle name="Total 4 2 3 5 2" xfId="15843"/>
    <cellStyle name="Total 4 2 3 5 3" xfId="16922"/>
    <cellStyle name="Total 4 2 3 5 4" xfId="17947"/>
    <cellStyle name="Total 4 2 3 5 5" xfId="18917"/>
    <cellStyle name="Total 4 2 3 5 6" xfId="19823"/>
    <cellStyle name="Total 4 2 3 6" xfId="12734"/>
    <cellStyle name="Total 4 2 3 7" xfId="12171"/>
    <cellStyle name="Total 4 2 3 8" xfId="13432"/>
    <cellStyle name="Total 4 2 3 9" xfId="13298"/>
    <cellStyle name="Total 4 2 4" xfId="6005"/>
    <cellStyle name="Total 4 2 4 2" xfId="11101"/>
    <cellStyle name="Total 4 2 4 2 2" xfId="15407"/>
    <cellStyle name="Total 4 2 4 2 3" xfId="16486"/>
    <cellStyle name="Total 4 2 4 2 4" xfId="17521"/>
    <cellStyle name="Total 4 2 4 2 5" xfId="18491"/>
    <cellStyle name="Total 4 2 4 2 6" xfId="19397"/>
    <cellStyle name="Total 4 2 4 3" xfId="11683"/>
    <cellStyle name="Total 4 2 4 3 2" xfId="15989"/>
    <cellStyle name="Total 4 2 4 3 3" xfId="17068"/>
    <cellStyle name="Total 4 2 4 3 4" xfId="18091"/>
    <cellStyle name="Total 4 2 4 3 5" xfId="19061"/>
    <cellStyle name="Total 4 2 4 3 6" xfId="19967"/>
    <cellStyle name="Total 4 2 4 4" xfId="11855"/>
    <cellStyle name="Total 4 2 4 4 2" xfId="16161"/>
    <cellStyle name="Total 4 2 4 4 3" xfId="17240"/>
    <cellStyle name="Total 4 2 4 4 4" xfId="18259"/>
    <cellStyle name="Total 4 2 4 4 5" xfId="19229"/>
    <cellStyle name="Total 4 2 4 4 6" xfId="20135"/>
    <cellStyle name="Total 4 2 4 5" xfId="13738"/>
    <cellStyle name="Total 4 2 4 6" xfId="13702"/>
    <cellStyle name="Total 4 2 4 7" xfId="14902"/>
    <cellStyle name="Total 4 2 4 8" xfId="13193"/>
    <cellStyle name="Total 4 2 4 9" xfId="12873"/>
    <cellStyle name="Total 4 2 5" xfId="6511"/>
    <cellStyle name="Total 4 2 5 2" xfId="14024"/>
    <cellStyle name="Total 4 2 5 3" xfId="12360"/>
    <cellStyle name="Total 4 2 5 4" xfId="13322"/>
    <cellStyle name="Total 4 2 5 5" xfId="13291"/>
    <cellStyle name="Total 4 2 5 6" xfId="17438"/>
    <cellStyle name="Total 4 2 6" xfId="6153"/>
    <cellStyle name="Total 4 2 6 2" xfId="13885"/>
    <cellStyle name="Total 4 2 6 3" xfId="13204"/>
    <cellStyle name="Total 4 2 6 4" xfId="12438"/>
    <cellStyle name="Total 4 2 6 5" xfId="12518"/>
    <cellStyle name="Total 4 2 6 6" xfId="18416"/>
    <cellStyle name="Total 4 2 7" xfId="11453"/>
    <cellStyle name="Total 4 2 7 2" xfId="15759"/>
    <cellStyle name="Total 4 2 7 3" xfId="16838"/>
    <cellStyle name="Total 4 2 7 4" xfId="17866"/>
    <cellStyle name="Total 4 2 7 5" xfId="18836"/>
    <cellStyle name="Total 4 2 7 6" xfId="19742"/>
    <cellStyle name="Total 4 2 8" xfId="12226"/>
    <cellStyle name="Total 4 2 9" xfId="12554"/>
    <cellStyle name="Total 5" xfId="474"/>
    <cellStyle name="Total 5 2" xfId="1035"/>
    <cellStyle name="Total 5 2 10" xfId="13926"/>
    <cellStyle name="Total 5 2 11" xfId="12009"/>
    <cellStyle name="Total 5 2 12" xfId="12178"/>
    <cellStyle name="Total 5 2 2" xfId="1126"/>
    <cellStyle name="Total 5 2 2 2" xfId="2716"/>
    <cellStyle name="Total 5 2 2 2 10" xfId="12977"/>
    <cellStyle name="Total 5 2 2 2 11" xfId="17379"/>
    <cellStyle name="Total 5 2 2 2 2" xfId="6116"/>
    <cellStyle name="Total 5 2 2 2 2 2" xfId="11212"/>
    <cellStyle name="Total 5 2 2 2 2 2 2" xfId="15518"/>
    <cellStyle name="Total 5 2 2 2 2 2 3" xfId="16597"/>
    <cellStyle name="Total 5 2 2 2 2 2 4" xfId="17631"/>
    <cellStyle name="Total 5 2 2 2 2 2 5" xfId="18601"/>
    <cellStyle name="Total 5 2 2 2 2 2 6" xfId="19507"/>
    <cellStyle name="Total 5 2 2 2 2 3" xfId="11794"/>
    <cellStyle name="Total 5 2 2 2 2 3 2" xfId="16100"/>
    <cellStyle name="Total 5 2 2 2 2 3 3" xfId="17179"/>
    <cellStyle name="Total 5 2 2 2 2 3 4" xfId="18201"/>
    <cellStyle name="Total 5 2 2 2 2 3 5" xfId="19171"/>
    <cellStyle name="Total 5 2 2 2 2 3 6" xfId="20077"/>
    <cellStyle name="Total 5 2 2 2 2 4" xfId="11966"/>
    <cellStyle name="Total 5 2 2 2 2 4 2" xfId="16272"/>
    <cellStyle name="Total 5 2 2 2 2 4 3" xfId="17351"/>
    <cellStyle name="Total 5 2 2 2 2 4 4" xfId="18369"/>
    <cellStyle name="Total 5 2 2 2 2 4 5" xfId="19339"/>
    <cellStyle name="Total 5 2 2 2 2 4 6" xfId="20245"/>
    <cellStyle name="Total 5 2 2 2 2 5" xfId="13849"/>
    <cellStyle name="Total 5 2 2 2 2 6" xfId="13546"/>
    <cellStyle name="Total 5 2 2 2 2 7" xfId="14570"/>
    <cellStyle name="Total 5 2 2 2 2 8" xfId="13053"/>
    <cellStyle name="Total 5 2 2 2 2 9" xfId="14783"/>
    <cellStyle name="Total 5 2 2 2 3" xfId="5124"/>
    <cellStyle name="Total 5 2 2 2 3 2" xfId="10220"/>
    <cellStyle name="Total 5 2 2 2 3 2 2" xfId="15158"/>
    <cellStyle name="Total 5 2 2 2 3 2 3" xfId="14827"/>
    <cellStyle name="Total 5 2 2 2 3 2 4" xfId="14841"/>
    <cellStyle name="Total 5 2 2 2 3 2 5" xfId="16358"/>
    <cellStyle name="Total 5 2 2 2 3 2 6" xfId="15342"/>
    <cellStyle name="Total 5 2 2 2 3 3" xfId="11602"/>
    <cellStyle name="Total 5 2 2 2 3 3 2" xfId="15908"/>
    <cellStyle name="Total 5 2 2 2 3 3 3" xfId="16987"/>
    <cellStyle name="Total 5 2 2 2 3 3 4" xfId="18011"/>
    <cellStyle name="Total 5 2 2 2 3 3 5" xfId="18981"/>
    <cellStyle name="Total 5 2 2 2 3 3 6" xfId="19887"/>
    <cellStyle name="Total 5 2 2 2 3 4" xfId="11607"/>
    <cellStyle name="Total 5 2 2 2 3 4 2" xfId="15913"/>
    <cellStyle name="Total 5 2 2 2 3 4 3" xfId="16992"/>
    <cellStyle name="Total 5 2 2 2 3 4 4" xfId="18016"/>
    <cellStyle name="Total 5 2 2 2 3 4 5" xfId="18986"/>
    <cellStyle name="Total 5 2 2 2 3 4 6" xfId="19892"/>
    <cellStyle name="Total 5 2 2 2 3 5" xfId="13478"/>
    <cellStyle name="Total 5 2 2 2 3 6" xfId="13694"/>
    <cellStyle name="Total 5 2 2 2 3 7" xfId="14561"/>
    <cellStyle name="Total 5 2 2 2 3 8" xfId="12966"/>
    <cellStyle name="Total 5 2 2 2 3 9" xfId="13406"/>
    <cellStyle name="Total 5 2 2 2 4" xfId="7819"/>
    <cellStyle name="Total 5 2 2 2 4 2" xfId="14470"/>
    <cellStyle name="Total 5 2 2 2 4 3" xfId="14384"/>
    <cellStyle name="Total 5 2 2 2 4 4" xfId="14355"/>
    <cellStyle name="Total 5 2 2 2 4 5" xfId="12459"/>
    <cellStyle name="Total 5 2 2 2 4 6" xfId="17397"/>
    <cellStyle name="Total 5 2 2 2 5" xfId="11402"/>
    <cellStyle name="Total 5 2 2 2 5 2" xfId="15708"/>
    <cellStyle name="Total 5 2 2 2 5 3" xfId="16787"/>
    <cellStyle name="Total 5 2 2 2 5 4" xfId="17816"/>
    <cellStyle name="Total 5 2 2 2 5 5" xfId="18786"/>
    <cellStyle name="Total 5 2 2 2 5 6" xfId="19692"/>
    <cellStyle name="Total 5 2 2 2 6" xfId="11267"/>
    <cellStyle name="Total 5 2 2 2 6 2" xfId="15573"/>
    <cellStyle name="Total 5 2 2 2 6 3" xfId="16652"/>
    <cellStyle name="Total 5 2 2 2 6 4" xfId="17682"/>
    <cellStyle name="Total 5 2 2 2 6 5" xfId="18652"/>
    <cellStyle name="Total 5 2 2 2 6 6" xfId="19558"/>
    <cellStyle name="Total 5 2 2 2 7" xfId="12773"/>
    <cellStyle name="Total 5 2 2 2 8" xfId="14619"/>
    <cellStyle name="Total 5 2 2 2 9" xfId="12159"/>
    <cellStyle name="Total 5 2 2 3" xfId="3941"/>
    <cellStyle name="Total 5 2 2 3 2" xfId="9040"/>
    <cellStyle name="Total 5 2 2 3 2 2" xfId="14818"/>
    <cellStyle name="Total 5 2 2 3 2 3" xfId="12661"/>
    <cellStyle name="Total 5 2 2 3 2 4" xfId="13643"/>
    <cellStyle name="Total 5 2 2 3 2 5" xfId="15280"/>
    <cellStyle name="Total 5 2 2 3 2 6" xfId="13274"/>
    <cellStyle name="Total 5 2 2 3 3" xfId="11508"/>
    <cellStyle name="Total 5 2 2 3 3 2" xfId="15814"/>
    <cellStyle name="Total 5 2 2 3 3 3" xfId="16893"/>
    <cellStyle name="Total 5 2 2 3 3 4" xfId="17919"/>
    <cellStyle name="Total 5 2 2 3 3 5" xfId="18889"/>
    <cellStyle name="Total 5 2 2 3 3 6" xfId="19795"/>
    <cellStyle name="Total 5 2 2 3 4" xfId="11247"/>
    <cellStyle name="Total 5 2 2 3 4 2" xfId="15553"/>
    <cellStyle name="Total 5 2 2 3 4 3" xfId="16632"/>
    <cellStyle name="Total 5 2 2 3 4 4" xfId="17664"/>
    <cellStyle name="Total 5 2 2 3 4 5" xfId="18634"/>
    <cellStyle name="Total 5 2 2 3 4 6" xfId="19540"/>
    <cellStyle name="Total 5 2 2 3 5" xfId="13130"/>
    <cellStyle name="Total 5 2 2 3 6" xfId="13253"/>
    <cellStyle name="Total 5 2 2 3 7" xfId="13588"/>
    <cellStyle name="Total 5 2 2 3 8" xfId="13428"/>
    <cellStyle name="Total 5 2 2 3 9" xfId="12261"/>
    <cellStyle name="Total 5 2 3" xfId="2665"/>
    <cellStyle name="Total 5 2 3 10" xfId="14480"/>
    <cellStyle name="Total 5 2 3 2" xfId="6081"/>
    <cellStyle name="Total 5 2 3 2 2" xfId="11177"/>
    <cellStyle name="Total 5 2 3 2 2 2" xfId="15483"/>
    <cellStyle name="Total 5 2 3 2 2 3" xfId="16562"/>
    <cellStyle name="Total 5 2 3 2 2 4" xfId="17596"/>
    <cellStyle name="Total 5 2 3 2 2 5" xfId="18566"/>
    <cellStyle name="Total 5 2 3 2 2 6" xfId="19472"/>
    <cellStyle name="Total 5 2 3 2 3" xfId="11759"/>
    <cellStyle name="Total 5 2 3 2 3 2" xfId="16065"/>
    <cellStyle name="Total 5 2 3 2 3 3" xfId="17144"/>
    <cellStyle name="Total 5 2 3 2 3 4" xfId="18166"/>
    <cellStyle name="Total 5 2 3 2 3 5" xfId="19136"/>
    <cellStyle name="Total 5 2 3 2 3 6" xfId="20042"/>
    <cellStyle name="Total 5 2 3 2 4" xfId="11931"/>
    <cellStyle name="Total 5 2 3 2 4 2" xfId="16237"/>
    <cellStyle name="Total 5 2 3 2 4 3" xfId="17316"/>
    <cellStyle name="Total 5 2 3 2 4 4" xfId="18334"/>
    <cellStyle name="Total 5 2 3 2 4 5" xfId="19304"/>
    <cellStyle name="Total 5 2 3 2 4 6" xfId="20210"/>
    <cellStyle name="Total 5 2 3 2 5" xfId="13814"/>
    <cellStyle name="Total 5 2 3 2 6" xfId="14900"/>
    <cellStyle name="Total 5 2 3 2 7" xfId="12629"/>
    <cellStyle name="Total 5 2 3 2 8" xfId="14031"/>
    <cellStyle name="Total 5 2 3 2 9" xfId="12905"/>
    <cellStyle name="Total 5 2 3 3" xfId="7768"/>
    <cellStyle name="Total 5 2 3 3 2" xfId="14434"/>
    <cellStyle name="Total 5 2 3 3 3" xfId="14511"/>
    <cellStyle name="Total 5 2 3 3 4" xfId="14348"/>
    <cellStyle name="Total 5 2 3 3 5" xfId="14735"/>
    <cellStyle name="Total 5 2 3 3 6" xfId="14685"/>
    <cellStyle name="Total 5 2 3 4" xfId="11367"/>
    <cellStyle name="Total 5 2 3 4 2" xfId="15673"/>
    <cellStyle name="Total 5 2 3 4 3" xfId="16752"/>
    <cellStyle name="Total 5 2 3 4 4" xfId="17781"/>
    <cellStyle name="Total 5 2 3 4 5" xfId="18751"/>
    <cellStyle name="Total 5 2 3 4 6" xfId="19657"/>
    <cellStyle name="Total 5 2 3 5" xfId="11627"/>
    <cellStyle name="Total 5 2 3 5 2" xfId="15933"/>
    <cellStyle name="Total 5 2 3 5 3" xfId="17012"/>
    <cellStyle name="Total 5 2 3 5 4" xfId="18036"/>
    <cellStyle name="Total 5 2 3 5 5" xfId="19006"/>
    <cellStyle name="Total 5 2 3 5 6" xfId="19912"/>
    <cellStyle name="Total 5 2 3 6" xfId="12735"/>
    <cellStyle name="Total 5 2 3 7" xfId="12484"/>
    <cellStyle name="Total 5 2 3 8" xfId="14634"/>
    <cellStyle name="Total 5 2 3 9" xfId="14324"/>
    <cellStyle name="Total 5 2 4" xfId="6006"/>
    <cellStyle name="Total 5 2 4 2" xfId="11102"/>
    <cellStyle name="Total 5 2 4 2 2" xfId="15408"/>
    <cellStyle name="Total 5 2 4 2 3" xfId="16487"/>
    <cellStyle name="Total 5 2 4 2 4" xfId="17522"/>
    <cellStyle name="Total 5 2 4 2 5" xfId="18492"/>
    <cellStyle name="Total 5 2 4 2 6" xfId="19398"/>
    <cellStyle name="Total 5 2 4 3" xfId="11684"/>
    <cellStyle name="Total 5 2 4 3 2" xfId="15990"/>
    <cellStyle name="Total 5 2 4 3 3" xfId="17069"/>
    <cellStyle name="Total 5 2 4 3 4" xfId="18092"/>
    <cellStyle name="Total 5 2 4 3 5" xfId="19062"/>
    <cellStyle name="Total 5 2 4 3 6" xfId="19968"/>
    <cellStyle name="Total 5 2 4 4" xfId="11856"/>
    <cellStyle name="Total 5 2 4 4 2" xfId="16162"/>
    <cellStyle name="Total 5 2 4 4 3" xfId="17241"/>
    <cellStyle name="Total 5 2 4 4 4" xfId="18260"/>
    <cellStyle name="Total 5 2 4 4 5" xfId="19230"/>
    <cellStyle name="Total 5 2 4 4 6" xfId="20136"/>
    <cellStyle name="Total 5 2 4 5" xfId="13739"/>
    <cellStyle name="Total 5 2 4 6" xfId="13002"/>
    <cellStyle name="Total 5 2 4 7" xfId="14199"/>
    <cellStyle name="Total 5 2 4 8" xfId="13177"/>
    <cellStyle name="Total 5 2 4 9" xfId="18424"/>
    <cellStyle name="Total 5 2 5" xfId="6512"/>
    <cellStyle name="Total 5 2 5 2" xfId="14025"/>
    <cellStyle name="Total 5 2 5 3" xfId="14121"/>
    <cellStyle name="Total 5 2 5 4" xfId="12829"/>
    <cellStyle name="Total 5 2 5 5" xfId="12131"/>
    <cellStyle name="Total 5 2 5 6" xfId="13943"/>
    <cellStyle name="Total 5 2 6" xfId="6672"/>
    <cellStyle name="Total 5 2 6 2" xfId="14080"/>
    <cellStyle name="Total 5 2 6 3" xfId="12354"/>
    <cellStyle name="Total 5 2 6 4" xfId="12539"/>
    <cellStyle name="Total 5 2 6 5" xfId="12662"/>
    <cellStyle name="Total 5 2 6 6" xfId="14383"/>
    <cellStyle name="Total 5 2 7" xfId="11299"/>
    <cellStyle name="Total 5 2 7 2" xfId="15605"/>
    <cellStyle name="Total 5 2 7 3" xfId="16684"/>
    <cellStyle name="Total 5 2 7 4" xfId="17713"/>
    <cellStyle name="Total 5 2 7 5" xfId="18683"/>
    <cellStyle name="Total 5 2 7 6" xfId="19589"/>
    <cellStyle name="Total 5 2 8" xfId="12227"/>
    <cellStyle name="Total 5 2 9" xfId="12127"/>
    <cellStyle name="Total 6" xfId="475"/>
    <cellStyle name="Total 6 2" xfId="1036"/>
    <cellStyle name="Total 6 2 10" xfId="13199"/>
    <cellStyle name="Total 6 2 11" xfId="14572"/>
    <cellStyle name="Total 6 2 12" xfId="13305"/>
    <cellStyle name="Total 6 2 2" xfId="1127"/>
    <cellStyle name="Total 6 2 2 2" xfId="2717"/>
    <cellStyle name="Total 6 2 2 2 10" xfId="13067"/>
    <cellStyle name="Total 6 2 2 2 11" xfId="18436"/>
    <cellStyle name="Total 6 2 2 2 2" xfId="6117"/>
    <cellStyle name="Total 6 2 2 2 2 2" xfId="11213"/>
    <cellStyle name="Total 6 2 2 2 2 2 2" xfId="15519"/>
    <cellStyle name="Total 6 2 2 2 2 2 3" xfId="16598"/>
    <cellStyle name="Total 6 2 2 2 2 2 4" xfId="17632"/>
    <cellStyle name="Total 6 2 2 2 2 2 5" xfId="18602"/>
    <cellStyle name="Total 6 2 2 2 2 2 6" xfId="19508"/>
    <cellStyle name="Total 6 2 2 2 2 3" xfId="11795"/>
    <cellStyle name="Total 6 2 2 2 2 3 2" xfId="16101"/>
    <cellStyle name="Total 6 2 2 2 2 3 3" xfId="17180"/>
    <cellStyle name="Total 6 2 2 2 2 3 4" xfId="18202"/>
    <cellStyle name="Total 6 2 2 2 2 3 5" xfId="19172"/>
    <cellStyle name="Total 6 2 2 2 2 3 6" xfId="20078"/>
    <cellStyle name="Total 6 2 2 2 2 4" xfId="11967"/>
    <cellStyle name="Total 6 2 2 2 2 4 2" xfId="16273"/>
    <cellStyle name="Total 6 2 2 2 2 4 3" xfId="17352"/>
    <cellStyle name="Total 6 2 2 2 2 4 4" xfId="18370"/>
    <cellStyle name="Total 6 2 2 2 2 4 5" xfId="19340"/>
    <cellStyle name="Total 6 2 2 2 2 4 6" xfId="20246"/>
    <cellStyle name="Total 6 2 2 2 2 5" xfId="13850"/>
    <cellStyle name="Total 6 2 2 2 2 6" xfId="12853"/>
    <cellStyle name="Total 6 2 2 2 2 7" xfId="13949"/>
    <cellStyle name="Total 6 2 2 2 2 8" xfId="12653"/>
    <cellStyle name="Total 6 2 2 2 2 9" xfId="14762"/>
    <cellStyle name="Total 6 2 2 2 3" xfId="5125"/>
    <cellStyle name="Total 6 2 2 2 3 2" xfId="10221"/>
    <cellStyle name="Total 6 2 2 2 3 2 2" xfId="15159"/>
    <cellStyle name="Total 6 2 2 2 3 2 3" xfId="13140"/>
    <cellStyle name="Total 6 2 2 2 3 2 4" xfId="12447"/>
    <cellStyle name="Total 6 2 2 2 3 2 5" xfId="13931"/>
    <cellStyle name="Total 6 2 2 2 3 2 6" xfId="12508"/>
    <cellStyle name="Total 6 2 2 2 3 3" xfId="11603"/>
    <cellStyle name="Total 6 2 2 2 3 3 2" xfId="15909"/>
    <cellStyle name="Total 6 2 2 2 3 3 3" xfId="16988"/>
    <cellStyle name="Total 6 2 2 2 3 3 4" xfId="18012"/>
    <cellStyle name="Total 6 2 2 2 3 3 5" xfId="18982"/>
    <cellStyle name="Total 6 2 2 2 3 3 6" xfId="19888"/>
    <cellStyle name="Total 6 2 2 2 3 4" xfId="11413"/>
    <cellStyle name="Total 6 2 2 2 3 4 2" xfId="15719"/>
    <cellStyle name="Total 6 2 2 2 3 4 3" xfId="16798"/>
    <cellStyle name="Total 6 2 2 2 3 4 4" xfId="17827"/>
    <cellStyle name="Total 6 2 2 2 3 4 5" xfId="18797"/>
    <cellStyle name="Total 6 2 2 2 3 4 6" xfId="19703"/>
    <cellStyle name="Total 6 2 2 2 3 5" xfId="13479"/>
    <cellStyle name="Total 6 2 2 2 3 6" xfId="12995"/>
    <cellStyle name="Total 6 2 2 2 3 7" xfId="13269"/>
    <cellStyle name="Total 6 2 2 2 3 8" xfId="15259"/>
    <cellStyle name="Total 6 2 2 2 3 9" xfId="13659"/>
    <cellStyle name="Total 6 2 2 2 4" xfId="7820"/>
    <cellStyle name="Total 6 2 2 2 4 2" xfId="14471"/>
    <cellStyle name="Total 6 2 2 2 4 3" xfId="15104"/>
    <cellStyle name="Total 6 2 2 2 4 4" xfId="15067"/>
    <cellStyle name="Total 6 2 2 2 4 5" xfId="17383"/>
    <cellStyle name="Total 6 2 2 2 4 6" xfId="16320"/>
    <cellStyle name="Total 6 2 2 2 5" xfId="11403"/>
    <cellStyle name="Total 6 2 2 2 5 2" xfId="15709"/>
    <cellStyle name="Total 6 2 2 2 5 3" xfId="16788"/>
    <cellStyle name="Total 6 2 2 2 5 4" xfId="17817"/>
    <cellStyle name="Total 6 2 2 2 5 5" xfId="18787"/>
    <cellStyle name="Total 6 2 2 2 5 6" xfId="19693"/>
    <cellStyle name="Total 6 2 2 2 6" xfId="11266"/>
    <cellStyle name="Total 6 2 2 2 6 2" xfId="15572"/>
    <cellStyle name="Total 6 2 2 2 6 3" xfId="16651"/>
    <cellStyle name="Total 6 2 2 2 6 4" xfId="17681"/>
    <cellStyle name="Total 6 2 2 2 6 5" xfId="18651"/>
    <cellStyle name="Total 6 2 2 2 6 6" xfId="19557"/>
    <cellStyle name="Total 6 2 2 2 7" xfId="12774"/>
    <cellStyle name="Total 6 2 2 2 8" xfId="15302"/>
    <cellStyle name="Total 6 2 2 2 9" xfId="16398"/>
    <cellStyle name="Total 6 2 2 3" xfId="3942"/>
    <cellStyle name="Total 6 2 2 3 2" xfId="9041"/>
    <cellStyle name="Total 6 2 2 3 2 2" xfId="14819"/>
    <cellStyle name="Total 6 2 2 3 2 3" xfId="12100"/>
    <cellStyle name="Total 6 2 2 3 2 4" xfId="13676"/>
    <cellStyle name="Total 6 2 2 3 2 5" xfId="16361"/>
    <cellStyle name="Total 6 2 2 3 2 6" xfId="13099"/>
    <cellStyle name="Total 6 2 2 3 3" xfId="11509"/>
    <cellStyle name="Total 6 2 2 3 3 2" xfId="15815"/>
    <cellStyle name="Total 6 2 2 3 3 3" xfId="16894"/>
    <cellStyle name="Total 6 2 2 3 3 4" xfId="17920"/>
    <cellStyle name="Total 6 2 2 3 3 5" xfId="18890"/>
    <cellStyle name="Total 6 2 2 3 3 6" xfId="19796"/>
    <cellStyle name="Total 6 2 2 3 4" xfId="6185"/>
    <cellStyle name="Total 6 2 2 3 4 2" xfId="13917"/>
    <cellStyle name="Total 6 2 2 3 4 3" xfId="14887"/>
    <cellStyle name="Total 6 2 2 3 4 4" xfId="12291"/>
    <cellStyle name="Total 6 2 2 3 4 5" xfId="12630"/>
    <cellStyle name="Total 6 2 2 3 4 6" xfId="18412"/>
    <cellStyle name="Total 6 2 2 3 5" xfId="13131"/>
    <cellStyle name="Total 6 2 2 3 6" xfId="14600"/>
    <cellStyle name="Total 6 2 2 3 7" xfId="13159"/>
    <cellStyle name="Total 6 2 2 3 8" xfId="15105"/>
    <cellStyle name="Total 6 2 2 3 9" xfId="13440"/>
    <cellStyle name="Total 6 2 3" xfId="2666"/>
    <cellStyle name="Total 6 2 3 10" xfId="16332"/>
    <cellStyle name="Total 6 2 3 2" xfId="6082"/>
    <cellStyle name="Total 6 2 3 2 2" xfId="11178"/>
    <cellStyle name="Total 6 2 3 2 2 2" xfId="15484"/>
    <cellStyle name="Total 6 2 3 2 2 3" xfId="16563"/>
    <cellStyle name="Total 6 2 3 2 2 4" xfId="17597"/>
    <cellStyle name="Total 6 2 3 2 2 5" xfId="18567"/>
    <cellStyle name="Total 6 2 3 2 2 6" xfId="19473"/>
    <cellStyle name="Total 6 2 3 2 3" xfId="11760"/>
    <cellStyle name="Total 6 2 3 2 3 2" xfId="16066"/>
    <cellStyle name="Total 6 2 3 2 3 3" xfId="17145"/>
    <cellStyle name="Total 6 2 3 2 3 4" xfId="18167"/>
    <cellStyle name="Total 6 2 3 2 3 5" xfId="19137"/>
    <cellStyle name="Total 6 2 3 2 3 6" xfId="20043"/>
    <cellStyle name="Total 6 2 3 2 4" xfId="11932"/>
    <cellStyle name="Total 6 2 3 2 4 2" xfId="16238"/>
    <cellStyle name="Total 6 2 3 2 4 3" xfId="17317"/>
    <cellStyle name="Total 6 2 3 2 4 4" xfId="18335"/>
    <cellStyle name="Total 6 2 3 2 4 5" xfId="19305"/>
    <cellStyle name="Total 6 2 3 2 4 6" xfId="20211"/>
    <cellStyle name="Total 6 2 3 2 5" xfId="13815"/>
    <cellStyle name="Total 6 2 3 2 6" xfId="13212"/>
    <cellStyle name="Total 6 2 3 2 7" xfId="13592"/>
    <cellStyle name="Total 6 2 3 2 8" xfId="14630"/>
    <cellStyle name="Total 6 2 3 2 9" xfId="18454"/>
    <cellStyle name="Total 6 2 3 3" xfId="7769"/>
    <cellStyle name="Total 6 2 3 3 2" xfId="14435"/>
    <cellStyle name="Total 6 2 3 3 3" xfId="15192"/>
    <cellStyle name="Total 6 2 3 3 4" xfId="16310"/>
    <cellStyle name="Total 6 2 3 3 5" xfId="12827"/>
    <cellStyle name="Total 6 2 3 3 6" xfId="12864"/>
    <cellStyle name="Total 6 2 3 4" xfId="11368"/>
    <cellStyle name="Total 6 2 3 4 2" xfId="15674"/>
    <cellStyle name="Total 6 2 3 4 3" xfId="16753"/>
    <cellStyle name="Total 6 2 3 4 4" xfId="17782"/>
    <cellStyle name="Total 6 2 3 4 5" xfId="18752"/>
    <cellStyle name="Total 6 2 3 4 6" xfId="19658"/>
    <cellStyle name="Total 6 2 3 5" xfId="11439"/>
    <cellStyle name="Total 6 2 3 5 2" xfId="15745"/>
    <cellStyle name="Total 6 2 3 5 3" xfId="16824"/>
    <cellStyle name="Total 6 2 3 5 4" xfId="17852"/>
    <cellStyle name="Total 6 2 3 5 5" xfId="18822"/>
    <cellStyle name="Total 6 2 3 5 6" xfId="19728"/>
    <cellStyle name="Total 6 2 3 6" xfId="12736"/>
    <cellStyle name="Total 6 2 3 7" xfId="12194"/>
    <cellStyle name="Total 6 2 3 8" xfId="13668"/>
    <cellStyle name="Total 6 2 3 9" xfId="13705"/>
    <cellStyle name="Total 6 2 4" xfId="6007"/>
    <cellStyle name="Total 6 2 4 2" xfId="11103"/>
    <cellStyle name="Total 6 2 4 2 2" xfId="15409"/>
    <cellStyle name="Total 6 2 4 2 3" xfId="16488"/>
    <cellStyle name="Total 6 2 4 2 4" xfId="17523"/>
    <cellStyle name="Total 6 2 4 2 5" xfId="18493"/>
    <cellStyle name="Total 6 2 4 2 6" xfId="19399"/>
    <cellStyle name="Total 6 2 4 3" xfId="11685"/>
    <cellStyle name="Total 6 2 4 3 2" xfId="15991"/>
    <cellStyle name="Total 6 2 4 3 3" xfId="17070"/>
    <cellStyle name="Total 6 2 4 3 4" xfId="18093"/>
    <cellStyle name="Total 6 2 4 3 5" xfId="19063"/>
    <cellStyle name="Total 6 2 4 3 6" xfId="19969"/>
    <cellStyle name="Total 6 2 4 4" xfId="11857"/>
    <cellStyle name="Total 6 2 4 4 2" xfId="16163"/>
    <cellStyle name="Total 6 2 4 4 3" xfId="17242"/>
    <cellStyle name="Total 6 2 4 4 4" xfId="18261"/>
    <cellStyle name="Total 6 2 4 4 5" xfId="19231"/>
    <cellStyle name="Total 6 2 4 4 6" xfId="20137"/>
    <cellStyle name="Total 6 2 4 5" xfId="13740"/>
    <cellStyle name="Total 6 2 4 6" xfId="12601"/>
    <cellStyle name="Total 6 2 4 7" xfId="13297"/>
    <cellStyle name="Total 6 2 4 8" xfId="13304"/>
    <cellStyle name="Total 6 2 4 9" xfId="14668"/>
    <cellStyle name="Total 6 2 5" xfId="6513"/>
    <cellStyle name="Total 6 2 5 2" xfId="14026"/>
    <cellStyle name="Total 6 2 5 3" xfId="14873"/>
    <cellStyle name="Total 6 2 5 4" xfId="15165"/>
    <cellStyle name="Total 6 2 5 5" xfId="12652"/>
    <cellStyle name="Total 6 2 5 6" xfId="18406"/>
    <cellStyle name="Total 6 2 6" xfId="6152"/>
    <cellStyle name="Total 6 2 6 2" xfId="13884"/>
    <cellStyle name="Total 6 2 6 3" xfId="14892"/>
    <cellStyle name="Total 6 2 6 4" xfId="152"/>
    <cellStyle name="Total 6 2 6 5" xfId="14773"/>
    <cellStyle name="Total 6 2 6 6" xfId="12233"/>
    <cellStyle name="Total 6 2 7" xfId="11553"/>
    <cellStyle name="Total 6 2 7 2" xfId="15859"/>
    <cellStyle name="Total 6 2 7 3" xfId="16938"/>
    <cellStyle name="Total 6 2 7 4" xfId="17963"/>
    <cellStyle name="Total 6 2 7 5" xfId="18933"/>
    <cellStyle name="Total 6 2 7 6" xfId="19839"/>
    <cellStyle name="Total 6 2 8" xfId="12228"/>
    <cellStyle name="Total 6 2 9" xfId="13930"/>
    <cellStyle name="Total 7" xfId="476"/>
    <cellStyle name="Total 7 2" xfId="1037"/>
    <cellStyle name="Total 7 2 10" xfId="15106"/>
    <cellStyle name="Total 7 2 11" xfId="12500"/>
    <cellStyle name="Total 7 2 12" xfId="12081"/>
    <cellStyle name="Total 7 2 2" xfId="1128"/>
    <cellStyle name="Total 7 2 2 2" xfId="2718"/>
    <cellStyle name="Total 7 2 2 2 10" xfId="12440"/>
    <cellStyle name="Total 7 2 2 2 11" xfId="17490"/>
    <cellStyle name="Total 7 2 2 2 2" xfId="6118"/>
    <cellStyle name="Total 7 2 2 2 2 2" xfId="11214"/>
    <cellStyle name="Total 7 2 2 2 2 2 2" xfId="15520"/>
    <cellStyle name="Total 7 2 2 2 2 2 3" xfId="16599"/>
    <cellStyle name="Total 7 2 2 2 2 2 4" xfId="17633"/>
    <cellStyle name="Total 7 2 2 2 2 2 5" xfId="18603"/>
    <cellStyle name="Total 7 2 2 2 2 2 6" xfId="19509"/>
    <cellStyle name="Total 7 2 2 2 2 3" xfId="11796"/>
    <cellStyle name="Total 7 2 2 2 2 3 2" xfId="16102"/>
    <cellStyle name="Total 7 2 2 2 2 3 3" xfId="17181"/>
    <cellStyle name="Total 7 2 2 2 2 3 4" xfId="18203"/>
    <cellStyle name="Total 7 2 2 2 2 3 5" xfId="19173"/>
    <cellStyle name="Total 7 2 2 2 2 3 6" xfId="20079"/>
    <cellStyle name="Total 7 2 2 2 2 4" xfId="11968"/>
    <cellStyle name="Total 7 2 2 2 2 4 2" xfId="16274"/>
    <cellStyle name="Total 7 2 2 2 2 4 3" xfId="17353"/>
    <cellStyle name="Total 7 2 2 2 2 4 4" xfId="18371"/>
    <cellStyle name="Total 7 2 2 2 2 4 5" xfId="19341"/>
    <cellStyle name="Total 7 2 2 2 2 4 6" xfId="20247"/>
    <cellStyle name="Total 7 2 2 2 2 5" xfId="13851"/>
    <cellStyle name="Total 7 2 2 2 2 6" xfId="12377"/>
    <cellStyle name="Total 7 2 2 2 2 7" xfId="12537"/>
    <cellStyle name="Total 7 2 2 2 2 8" xfId="16303"/>
    <cellStyle name="Total 7 2 2 2 2 9" xfId="13259"/>
    <cellStyle name="Total 7 2 2 2 3" xfId="5126"/>
    <cellStyle name="Total 7 2 2 2 3 2" xfId="10222"/>
    <cellStyle name="Total 7 2 2 2 3 2 2" xfId="15160"/>
    <cellStyle name="Total 7 2 2 2 3 2 3" xfId="14484"/>
    <cellStyle name="Total 7 2 2 2 3 2 4" xfId="12312"/>
    <cellStyle name="Total 7 2 2 2 3 2 5" xfId="13016"/>
    <cellStyle name="Total 7 2 2 2 3 2 6" xfId="15029"/>
    <cellStyle name="Total 7 2 2 2 3 3" xfId="11604"/>
    <cellStyle name="Total 7 2 2 2 3 3 2" xfId="15910"/>
    <cellStyle name="Total 7 2 2 2 3 3 3" xfId="16989"/>
    <cellStyle name="Total 7 2 2 2 3 3 4" xfId="18013"/>
    <cellStyle name="Total 7 2 2 2 3 3 5" xfId="18983"/>
    <cellStyle name="Total 7 2 2 2 3 3 6" xfId="19889"/>
    <cellStyle name="Total 7 2 2 2 3 4" xfId="11241"/>
    <cellStyle name="Total 7 2 2 2 3 4 2" xfId="15547"/>
    <cellStyle name="Total 7 2 2 2 3 4 3" xfId="16626"/>
    <cellStyle name="Total 7 2 2 2 3 4 4" xfId="17658"/>
    <cellStyle name="Total 7 2 2 2 3 4 5" xfId="18628"/>
    <cellStyle name="Total 7 2 2 2 3 4 6" xfId="19534"/>
    <cellStyle name="Total 7 2 2 2 3 5" xfId="13480"/>
    <cellStyle name="Total 7 2 2 2 3 6" xfId="12593"/>
    <cellStyle name="Total 7 2 2 2 3 7" xfId="12504"/>
    <cellStyle name="Total 7 2 2 2 3 8" xfId="14835"/>
    <cellStyle name="Total 7 2 2 2 3 9" xfId="12973"/>
    <cellStyle name="Total 7 2 2 2 4" xfId="7821"/>
    <cellStyle name="Total 7 2 2 2 4 2" xfId="14472"/>
    <cellStyle name="Total 7 2 2 2 4 3" xfId="13423"/>
    <cellStyle name="Total 7 2 2 2 4 4" xfId="14170"/>
    <cellStyle name="Total 7 2 2 2 4 5" xfId="12255"/>
    <cellStyle name="Total 7 2 2 2 4 6" xfId="14272"/>
    <cellStyle name="Total 7 2 2 2 5" xfId="11404"/>
    <cellStyle name="Total 7 2 2 2 5 2" xfId="15710"/>
    <cellStyle name="Total 7 2 2 2 5 3" xfId="16789"/>
    <cellStyle name="Total 7 2 2 2 5 4" xfId="17818"/>
    <cellStyle name="Total 7 2 2 2 5 5" xfId="18788"/>
    <cellStyle name="Total 7 2 2 2 5 6" xfId="19694"/>
    <cellStyle name="Total 7 2 2 2 6" xfId="11523"/>
    <cellStyle name="Total 7 2 2 2 6 2" xfId="15829"/>
    <cellStyle name="Total 7 2 2 2 6 3" xfId="16908"/>
    <cellStyle name="Total 7 2 2 2 6 4" xfId="17933"/>
    <cellStyle name="Total 7 2 2 2 6 5" xfId="18903"/>
    <cellStyle name="Total 7 2 2 2 6 6" xfId="19809"/>
    <cellStyle name="Total 7 2 2 2 7" xfId="12775"/>
    <cellStyle name="Total 7 2 2 2 8" xfId="13631"/>
    <cellStyle name="Total 7 2 2 2 9" xfId="15037"/>
    <cellStyle name="Total 7 2 2 3" xfId="3943"/>
    <cellStyle name="Total 7 2 2 3 2" xfId="9042"/>
    <cellStyle name="Total 7 2 2 3 2 2" xfId="14820"/>
    <cellStyle name="Total 7 2 2 3 2 3" xfId="13939"/>
    <cellStyle name="Total 7 2 2 3 2 4" xfId="14885"/>
    <cellStyle name="Total 7 2 2 3 2 5" xfId="13401"/>
    <cellStyle name="Total 7 2 2 3 2 6" xfId="13991"/>
    <cellStyle name="Total 7 2 2 3 3" xfId="11510"/>
    <cellStyle name="Total 7 2 2 3 3 2" xfId="15816"/>
    <cellStyle name="Total 7 2 2 3 3 3" xfId="16895"/>
    <cellStyle name="Total 7 2 2 3 3 4" xfId="17921"/>
    <cellStyle name="Total 7 2 2 3 3 5" xfId="18891"/>
    <cellStyle name="Total 7 2 2 3 3 6" xfId="19797"/>
    <cellStyle name="Total 7 2 2 3 4" xfId="6178"/>
    <cellStyle name="Total 7 2 2 3 4 2" xfId="13910"/>
    <cellStyle name="Total 7 2 2 3 4 3" xfId="15222"/>
    <cellStyle name="Total 7 2 2 3 4 4" xfId="16335"/>
    <cellStyle name="Total 7 2 2 3 4 5" xfId="15250"/>
    <cellStyle name="Total 7 2 2 3 4 6" xfId="18411"/>
    <cellStyle name="Total 7 2 2 3 5" xfId="13132"/>
    <cellStyle name="Total 7 2 2 3 6" xfId="15283"/>
    <cellStyle name="Total 7 2 2 3 7" xfId="16379"/>
    <cellStyle name="Total 7 2 2 3 8" xfId="12158"/>
    <cellStyle name="Total 7 2 2 3 9" xfId="18429"/>
    <cellStyle name="Total 7 2 3" xfId="2667"/>
    <cellStyle name="Total 7 2 3 10" xfId="12030"/>
    <cellStyle name="Total 7 2 3 2" xfId="6083"/>
    <cellStyle name="Total 7 2 3 2 2" xfId="11179"/>
    <cellStyle name="Total 7 2 3 2 2 2" xfId="15485"/>
    <cellStyle name="Total 7 2 3 2 2 3" xfId="16564"/>
    <cellStyle name="Total 7 2 3 2 2 4" xfId="17598"/>
    <cellStyle name="Total 7 2 3 2 2 5" xfId="18568"/>
    <cellStyle name="Total 7 2 3 2 2 6" xfId="19474"/>
    <cellStyle name="Total 7 2 3 2 3" xfId="11761"/>
    <cellStyle name="Total 7 2 3 2 3 2" xfId="16067"/>
    <cellStyle name="Total 7 2 3 2 3 3" xfId="17146"/>
    <cellStyle name="Total 7 2 3 2 3 4" xfId="18168"/>
    <cellStyle name="Total 7 2 3 2 3 5" xfId="19138"/>
    <cellStyle name="Total 7 2 3 2 3 6" xfId="20044"/>
    <cellStyle name="Total 7 2 3 2 4" xfId="11933"/>
    <cellStyle name="Total 7 2 3 2 4 2" xfId="16239"/>
    <cellStyle name="Total 7 2 3 2 4 3" xfId="17318"/>
    <cellStyle name="Total 7 2 3 2 4 4" xfId="18336"/>
    <cellStyle name="Total 7 2 3 2 4 5" xfId="19306"/>
    <cellStyle name="Total 7 2 3 2 4 6" xfId="20212"/>
    <cellStyle name="Total 7 2 3 2 5" xfId="13816"/>
    <cellStyle name="Total 7 2 3 2 6" xfId="14555"/>
    <cellStyle name="Total 7 2 3 2 7" xfId="12807"/>
    <cellStyle name="Total 7 2 3 2 8" xfId="12668"/>
    <cellStyle name="Total 7 2 3 2 9" xfId="13143"/>
    <cellStyle name="Total 7 2 3 3" xfId="7770"/>
    <cellStyle name="Total 7 2 3 3 2" xfId="14436"/>
    <cellStyle name="Total 7 2 3 3 3" xfId="13512"/>
    <cellStyle name="Total 7 2 3 3 4" xfId="14914"/>
    <cellStyle name="Total 7 2 3 3 5" xfId="13993"/>
    <cellStyle name="Total 7 2 3 3 6" xfId="15236"/>
    <cellStyle name="Total 7 2 3 4" xfId="11369"/>
    <cellStyle name="Total 7 2 3 4 2" xfId="15675"/>
    <cellStyle name="Total 7 2 3 4 3" xfId="16754"/>
    <cellStyle name="Total 7 2 3 4 4" xfId="17783"/>
    <cellStyle name="Total 7 2 3 4 5" xfId="18753"/>
    <cellStyle name="Total 7 2 3 4 6" xfId="19659"/>
    <cellStyle name="Total 7 2 3 5" xfId="11275"/>
    <cellStyle name="Total 7 2 3 5 2" xfId="15581"/>
    <cellStyle name="Total 7 2 3 5 3" xfId="16660"/>
    <cellStyle name="Total 7 2 3 5 4" xfId="17690"/>
    <cellStyle name="Total 7 2 3 5 5" xfId="18660"/>
    <cellStyle name="Total 7 2 3 5 6" xfId="19566"/>
    <cellStyle name="Total 7 2 3 6" xfId="12737"/>
    <cellStyle name="Total 7 2 3 7" xfId="12065"/>
    <cellStyle name="Total 7 2 3 8" xfId="12596"/>
    <cellStyle name="Total 7 2 3 9" xfId="15070"/>
    <cellStyle name="Total 7 2 4" xfId="6008"/>
    <cellStyle name="Total 7 2 4 2" xfId="11104"/>
    <cellStyle name="Total 7 2 4 2 2" xfId="15410"/>
    <cellStyle name="Total 7 2 4 2 3" xfId="16489"/>
    <cellStyle name="Total 7 2 4 2 4" xfId="17524"/>
    <cellStyle name="Total 7 2 4 2 5" xfId="18494"/>
    <cellStyle name="Total 7 2 4 2 6" xfId="19400"/>
    <cellStyle name="Total 7 2 4 3" xfId="11686"/>
    <cellStyle name="Total 7 2 4 3 2" xfId="15992"/>
    <cellStyle name="Total 7 2 4 3 3" xfId="17071"/>
    <cellStyle name="Total 7 2 4 3 4" xfId="18094"/>
    <cellStyle name="Total 7 2 4 3 5" xfId="19064"/>
    <cellStyle name="Total 7 2 4 3 6" xfId="19970"/>
    <cellStyle name="Total 7 2 4 4" xfId="11858"/>
    <cellStyle name="Total 7 2 4 4 2" xfId="16164"/>
    <cellStyle name="Total 7 2 4 4 3" xfId="17243"/>
    <cellStyle name="Total 7 2 4 4 4" xfId="18262"/>
    <cellStyle name="Total 7 2 4 4 5" xfId="19232"/>
    <cellStyle name="Total 7 2 4 4 6" xfId="20138"/>
    <cellStyle name="Total 7 2 4 5" xfId="13741"/>
    <cellStyle name="Total 7 2 4 6" xfId="14305"/>
    <cellStyle name="Total 7 2 4 7" xfId="13397"/>
    <cellStyle name="Total 7 2 4 8" xfId="14738"/>
    <cellStyle name="Total 7 2 4 9" xfId="14574"/>
    <cellStyle name="Total 7 2 5" xfId="6514"/>
    <cellStyle name="Total 7 2 5 2" xfId="14027"/>
    <cellStyle name="Total 7 2 5 3" xfId="13185"/>
    <cellStyle name="Total 7 2 5 4" xfId="12441"/>
    <cellStyle name="Total 7 2 5 5" xfId="16318"/>
    <cellStyle name="Total 7 2 5 6" xfId="1147"/>
    <cellStyle name="Total 7 2 6" xfId="6671"/>
    <cellStyle name="Total 7 2 6 2" xfId="14079"/>
    <cellStyle name="Total 7 2 6 3" xfId="12355"/>
    <cellStyle name="Total 7 2 6 4" xfId="14256"/>
    <cellStyle name="Total 7 2 6 5" xfId="14590"/>
    <cellStyle name="Total 7 2 6 6" xfId="15327"/>
    <cellStyle name="Total 7 2 7" xfId="11642"/>
    <cellStyle name="Total 7 2 7 2" xfId="15948"/>
    <cellStyle name="Total 7 2 7 3" xfId="17027"/>
    <cellStyle name="Total 7 2 7 4" xfId="18051"/>
    <cellStyle name="Total 7 2 7 5" xfId="19021"/>
    <cellStyle name="Total 7 2 7 6" xfId="19927"/>
    <cellStyle name="Total 7 2 8" xfId="12229"/>
    <cellStyle name="Total 7 2 9" xfId="14726"/>
    <cellStyle name="Total 8" xfId="477"/>
    <cellStyle name="Total 8 2" xfId="1038"/>
    <cellStyle name="Total 8 2 10" xfId="14198"/>
    <cellStyle name="Total 8 2 11" xfId="13625"/>
    <cellStyle name="Total 8 2 12" xfId="13945"/>
    <cellStyle name="Total 8 2 2" xfId="1129"/>
    <cellStyle name="Total 8 2 2 2" xfId="2719"/>
    <cellStyle name="Total 8 2 2 2 10" xfId="14881"/>
    <cellStyle name="Total 8 2 2 2 11" xfId="13028"/>
    <cellStyle name="Total 8 2 2 2 2" xfId="6119"/>
    <cellStyle name="Total 8 2 2 2 2 2" xfId="11215"/>
    <cellStyle name="Total 8 2 2 2 2 2 2" xfId="15521"/>
    <cellStyle name="Total 8 2 2 2 2 2 3" xfId="16600"/>
    <cellStyle name="Total 8 2 2 2 2 2 4" xfId="17634"/>
    <cellStyle name="Total 8 2 2 2 2 2 5" xfId="18604"/>
    <cellStyle name="Total 8 2 2 2 2 2 6" xfId="19510"/>
    <cellStyle name="Total 8 2 2 2 2 3" xfId="11797"/>
    <cellStyle name="Total 8 2 2 2 2 3 2" xfId="16103"/>
    <cellStyle name="Total 8 2 2 2 2 3 3" xfId="17182"/>
    <cellStyle name="Total 8 2 2 2 2 3 4" xfId="18204"/>
    <cellStyle name="Total 8 2 2 2 2 3 5" xfId="19174"/>
    <cellStyle name="Total 8 2 2 2 2 3 6" xfId="20080"/>
    <cellStyle name="Total 8 2 2 2 2 4" xfId="11969"/>
    <cellStyle name="Total 8 2 2 2 2 4 2" xfId="16275"/>
    <cellStyle name="Total 8 2 2 2 2 4 3" xfId="17354"/>
    <cellStyle name="Total 8 2 2 2 2 4 4" xfId="18372"/>
    <cellStyle name="Total 8 2 2 2 2 4 5" xfId="19342"/>
    <cellStyle name="Total 8 2 2 2 2 4 6" xfId="20248"/>
    <cellStyle name="Total 8 2 2 2 2 5" xfId="13852"/>
    <cellStyle name="Total 8 2 2 2 2 6" xfId="14143"/>
    <cellStyle name="Total 8 2 2 2 2 7" xfId="12344"/>
    <cellStyle name="Total 8 2 2 2 2 8" xfId="17413"/>
    <cellStyle name="Total 8 2 2 2 2 9" xfId="13618"/>
    <cellStyle name="Total 8 2 2 2 3" xfId="5127"/>
    <cellStyle name="Total 8 2 2 2 3 2" xfId="10223"/>
    <cellStyle name="Total 8 2 2 2 3 2 2" xfId="15161"/>
    <cellStyle name="Total 8 2 2 2 3 2 3" xfId="15168"/>
    <cellStyle name="Total 8 2 2 2 3 2 4" xfId="15072"/>
    <cellStyle name="Total 8 2 2 2 3 2 5" xfId="14597"/>
    <cellStyle name="Total 8 2 2 2 3 2 6" xfId="11994"/>
    <cellStyle name="Total 8 2 2 2 3 3" xfId="11605"/>
    <cellStyle name="Total 8 2 2 2 3 3 2" xfId="15911"/>
    <cellStyle name="Total 8 2 2 2 3 3 3" xfId="16990"/>
    <cellStyle name="Total 8 2 2 2 3 3 4" xfId="18014"/>
    <cellStyle name="Total 8 2 2 2 3 3 5" xfId="18984"/>
    <cellStyle name="Total 8 2 2 2 3 3 6" xfId="19890"/>
    <cellStyle name="Total 8 2 2 2 3 4" xfId="6744"/>
    <cellStyle name="Total 8 2 2 2 3 4 2" xfId="14115"/>
    <cellStyle name="Total 8 2 2 2 3 4 3" xfId="12348"/>
    <cellStyle name="Total 8 2 2 2 3 4 4" xfId="12683"/>
    <cellStyle name="Total 8 2 2 2 3 4 5" xfId="12237"/>
    <cellStyle name="Total 8 2 2 2 3 4 6" xfId="12416"/>
    <cellStyle name="Total 8 2 2 2 3 5" xfId="13481"/>
    <cellStyle name="Total 8 2 2 2 3 6" xfId="14292"/>
    <cellStyle name="Total 8 2 2 2 3 7" xfId="12319"/>
    <cellStyle name="Total 8 2 2 2 3 8" xfId="13569"/>
    <cellStyle name="Total 8 2 2 2 3 9" xfId="14200"/>
    <cellStyle name="Total 8 2 2 2 4" xfId="7822"/>
    <cellStyle name="Total 8 2 2 2 4 2" xfId="14473"/>
    <cellStyle name="Total 8 2 2 2 4 3" xfId="12684"/>
    <cellStyle name="Total 8 2 2 2 4 4" xfId="13634"/>
    <cellStyle name="Total 8 2 2 2 4 5" xfId="12523"/>
    <cellStyle name="Total 8 2 2 2 4 6" xfId="13089"/>
    <cellStyle name="Total 8 2 2 2 5" xfId="11405"/>
    <cellStyle name="Total 8 2 2 2 5 2" xfId="15711"/>
    <cellStyle name="Total 8 2 2 2 5 3" xfId="16790"/>
    <cellStyle name="Total 8 2 2 2 5 4" xfId="17819"/>
    <cellStyle name="Total 8 2 2 2 5 5" xfId="18789"/>
    <cellStyle name="Total 8 2 2 2 5 6" xfId="19695"/>
    <cellStyle name="Total 8 2 2 2 6" xfId="11615"/>
    <cellStyle name="Total 8 2 2 2 6 2" xfId="15921"/>
    <cellStyle name="Total 8 2 2 2 6 3" xfId="17000"/>
    <cellStyle name="Total 8 2 2 2 6 4" xfId="18024"/>
    <cellStyle name="Total 8 2 2 2 6 5" xfId="18994"/>
    <cellStyle name="Total 8 2 2 2 6 6" xfId="19900"/>
    <cellStyle name="Total 8 2 2 2 7" xfId="12776"/>
    <cellStyle name="Total 8 2 2 2 8" xfId="12924"/>
    <cellStyle name="Total 8 2 2 2 9" xfId="12093"/>
    <cellStyle name="Total 8 2 2 3" xfId="3944"/>
    <cellStyle name="Total 8 2 2 3 2" xfId="9043"/>
    <cellStyle name="Total 8 2 2 3 2 2" xfId="14821"/>
    <cellStyle name="Total 8 2 2 3 2 3" xfId="14739"/>
    <cellStyle name="Total 8 2 2 3 2 4" xfId="14070"/>
    <cellStyle name="Total 8 2 2 3 2 5" xfId="13551"/>
    <cellStyle name="Total 8 2 2 3 2 6" xfId="14047"/>
    <cellStyle name="Total 8 2 2 3 3" xfId="11511"/>
    <cellStyle name="Total 8 2 2 3 3 2" xfId="15817"/>
    <cellStyle name="Total 8 2 2 3 3 3" xfId="16896"/>
    <cellStyle name="Total 8 2 2 3 3 4" xfId="17922"/>
    <cellStyle name="Total 8 2 2 3 3 5" xfId="18892"/>
    <cellStyle name="Total 8 2 2 3 3 6" xfId="19798"/>
    <cellStyle name="Total 8 2 2 3 4" xfId="6147"/>
    <cellStyle name="Total 8 2 2 3 4 2" xfId="13879"/>
    <cellStyle name="Total 8 2 2 3 4 3" xfId="14543"/>
    <cellStyle name="Total 8 2 2 3 4 4" xfId="13508"/>
    <cellStyle name="Total 8 2 2 3 4 5" xfId="12665"/>
    <cellStyle name="Total 8 2 2 3 4 6" xfId="14729"/>
    <cellStyle name="Total 8 2 2 3 5" xfId="13133"/>
    <cellStyle name="Total 8 2 2 3 6" xfId="13603"/>
    <cellStyle name="Total 8 2 2 3 7" xfId="12142"/>
    <cellStyle name="Total 8 2 2 3 8" xfId="13335"/>
    <cellStyle name="Total 8 2 2 3 9" xfId="16410"/>
    <cellStyle name="Total 8 2 3" xfId="2668"/>
    <cellStyle name="Total 8 2 3 10" xfId="13405"/>
    <cellStyle name="Total 8 2 3 2" xfId="6084"/>
    <cellStyle name="Total 8 2 3 2 2" xfId="11180"/>
    <cellStyle name="Total 8 2 3 2 2 2" xfId="15486"/>
    <cellStyle name="Total 8 2 3 2 2 3" xfId="16565"/>
    <cellStyle name="Total 8 2 3 2 2 4" xfId="17599"/>
    <cellStyle name="Total 8 2 3 2 2 5" xfId="18569"/>
    <cellStyle name="Total 8 2 3 2 2 6" xfId="19475"/>
    <cellStyle name="Total 8 2 3 2 3" xfId="11762"/>
    <cellStyle name="Total 8 2 3 2 3 2" xfId="16068"/>
    <cellStyle name="Total 8 2 3 2 3 3" xfId="17147"/>
    <cellStyle name="Total 8 2 3 2 3 4" xfId="18169"/>
    <cellStyle name="Total 8 2 3 2 3 5" xfId="19139"/>
    <cellStyle name="Total 8 2 3 2 3 6" xfId="20045"/>
    <cellStyle name="Total 8 2 3 2 4" xfId="11934"/>
    <cellStyle name="Total 8 2 3 2 4 2" xfId="16240"/>
    <cellStyle name="Total 8 2 3 2 4 3" xfId="17319"/>
    <cellStyle name="Total 8 2 3 2 4 4" xfId="18337"/>
    <cellStyle name="Total 8 2 3 2 4 5" xfId="19307"/>
    <cellStyle name="Total 8 2 3 2 4 6" xfId="20213"/>
    <cellStyle name="Total 8 2 3 2 5" xfId="13817"/>
    <cellStyle name="Total 8 2 3 2 6" xfId="15232"/>
    <cellStyle name="Total 8 2 3 2 7" xfId="16344"/>
    <cellStyle name="Total 8 2 3 2 8" xfId="12550"/>
    <cellStyle name="Total 8 2 3 2 9" xfId="17446"/>
    <cellStyle name="Total 8 2 3 3" xfId="7771"/>
    <cellStyle name="Total 8 2 3 3 2" xfId="14437"/>
    <cellStyle name="Total 8 2 3 3 3" xfId="12815"/>
    <cellStyle name="Total 8 2 3 3 4" xfId="12189"/>
    <cellStyle name="Total 8 2 3 3 5" xfId="16385"/>
    <cellStyle name="Total 8 2 3 3 6" xfId="14715"/>
    <cellStyle name="Total 8 2 3 4" xfId="11370"/>
    <cellStyle name="Total 8 2 3 4 2" xfId="15676"/>
    <cellStyle name="Total 8 2 3 4 3" xfId="16755"/>
    <cellStyle name="Total 8 2 3 4 4" xfId="17784"/>
    <cellStyle name="Total 8 2 3 4 5" xfId="18754"/>
    <cellStyle name="Total 8 2 3 4 6" xfId="19660"/>
    <cellStyle name="Total 8 2 3 5" xfId="11536"/>
    <cellStyle name="Total 8 2 3 5 2" xfId="15842"/>
    <cellStyle name="Total 8 2 3 5 3" xfId="16921"/>
    <cellStyle name="Total 8 2 3 5 4" xfId="17946"/>
    <cellStyle name="Total 8 2 3 5 5" xfId="18916"/>
    <cellStyle name="Total 8 2 3 5 6" xfId="19822"/>
    <cellStyle name="Total 8 2 3 6" xfId="12738"/>
    <cellStyle name="Total 8 2 3 7" xfId="12620"/>
    <cellStyle name="Total 8 2 3 8" xfId="14222"/>
    <cellStyle name="Total 8 2 3 9" xfId="12791"/>
    <cellStyle name="Total 8 2 4" xfId="6009"/>
    <cellStyle name="Total 8 2 4 2" xfId="11105"/>
    <cellStyle name="Total 8 2 4 2 2" xfId="15411"/>
    <cellStyle name="Total 8 2 4 2 3" xfId="16490"/>
    <cellStyle name="Total 8 2 4 2 4" xfId="17525"/>
    <cellStyle name="Total 8 2 4 2 5" xfId="18495"/>
    <cellStyle name="Total 8 2 4 2 6" xfId="19401"/>
    <cellStyle name="Total 8 2 4 3" xfId="11687"/>
    <cellStyle name="Total 8 2 4 3 2" xfId="15993"/>
    <cellStyle name="Total 8 2 4 3 3" xfId="17072"/>
    <cellStyle name="Total 8 2 4 3 4" xfId="18095"/>
    <cellStyle name="Total 8 2 4 3 5" xfId="19065"/>
    <cellStyle name="Total 8 2 4 3 6" xfId="19971"/>
    <cellStyle name="Total 8 2 4 4" xfId="11859"/>
    <cellStyle name="Total 8 2 4 4 2" xfId="16165"/>
    <cellStyle name="Total 8 2 4 4 3" xfId="17244"/>
    <cellStyle name="Total 8 2 4 4 4" xfId="18263"/>
    <cellStyle name="Total 8 2 4 4 5" xfId="19233"/>
    <cellStyle name="Total 8 2 4 4 6" xfId="20139"/>
    <cellStyle name="Total 8 2 4 5" xfId="13742"/>
    <cellStyle name="Total 8 2 4 6" xfId="15032"/>
    <cellStyle name="Total 8 2 4 7" xfId="15080"/>
    <cellStyle name="Total 8 2 4 8" xfId="14565"/>
    <cellStyle name="Total 8 2 4 9" xfId="13029"/>
    <cellStyle name="Total 8 2 5" xfId="6515"/>
    <cellStyle name="Total 8 2 5 2" xfId="14028"/>
    <cellStyle name="Total 8 2 5 3" xfId="14532"/>
    <cellStyle name="Total 8 2 5 4" xfId="14734"/>
    <cellStyle name="Total 8 2 5 5" xfId="15123"/>
    <cellStyle name="Total 8 2 5 6" xfId="12909"/>
    <cellStyle name="Total 8 2 6" xfId="6151"/>
    <cellStyle name="Total 8 2 6 2" xfId="13883"/>
    <cellStyle name="Total 8 2 6 3" xfId="14139"/>
    <cellStyle name="Total 8 2 6 4" xfId="13521"/>
    <cellStyle name="Total 8 2 6 5" xfId="13366"/>
    <cellStyle name="Total 8 2 6 6" xfId="17437"/>
    <cellStyle name="Total 8 2 7" xfId="11452"/>
    <cellStyle name="Total 8 2 7 2" xfId="15758"/>
    <cellStyle name="Total 8 2 7 3" xfId="16837"/>
    <cellStyle name="Total 8 2 7 4" xfId="17865"/>
    <cellStyle name="Total 8 2 7 5" xfId="18835"/>
    <cellStyle name="Total 8 2 7 6" xfId="19741"/>
    <cellStyle name="Total 8 2 8" xfId="12230"/>
    <cellStyle name="Total 8 2 9" xfId="13040"/>
    <cellStyle name="Total 9" xfId="720"/>
    <cellStyle name="Total 9 2" xfId="962"/>
    <cellStyle name="Transition" xfId="2207"/>
    <cellStyle name="Undefined" xfId="2208"/>
    <cellStyle name="Unprot" xfId="2209"/>
    <cellStyle name="Unprot$" xfId="2210"/>
    <cellStyle name="Unprotect" xfId="2211"/>
    <cellStyle name="Variable Inputs" xfId="2212"/>
    <cellStyle name="Variable Inputs 10" xfId="13145"/>
    <cellStyle name="Variable Inputs 11" xfId="17455"/>
    <cellStyle name="Variable Inputs 12" xfId="13172"/>
    <cellStyle name="Variable Inputs 2" xfId="2222"/>
    <cellStyle name="Variable Inputs 2 10" xfId="12566"/>
    <cellStyle name="Variable Inputs 2 11" xfId="12466"/>
    <cellStyle name="Variable Inputs 2 2" xfId="3429"/>
    <cellStyle name="Variable Inputs 2 2 10" xfId="17435"/>
    <cellStyle name="Variable Inputs 2 2 2" xfId="6132"/>
    <cellStyle name="Variable Inputs 2 2 2 2" xfId="11228"/>
    <cellStyle name="Variable Inputs 2 2 2 2 2" xfId="15534"/>
    <cellStyle name="Variable Inputs 2 2 2 2 3" xfId="16613"/>
    <cellStyle name="Variable Inputs 2 2 2 2 4" xfId="17646"/>
    <cellStyle name="Variable Inputs 2 2 2 2 5" xfId="18616"/>
    <cellStyle name="Variable Inputs 2 2 2 2 6" xfId="19522"/>
    <cellStyle name="Variable Inputs 2 2 2 3" xfId="11810"/>
    <cellStyle name="Variable Inputs 2 2 2 3 2" xfId="16116"/>
    <cellStyle name="Variable Inputs 2 2 2 3 3" xfId="17195"/>
    <cellStyle name="Variable Inputs 2 2 2 3 4" xfId="18216"/>
    <cellStyle name="Variable Inputs 2 2 2 3 5" xfId="19186"/>
    <cellStyle name="Variable Inputs 2 2 2 3 6" xfId="20092"/>
    <cellStyle name="Variable Inputs 2 2 2 4" xfId="11982"/>
    <cellStyle name="Variable Inputs 2 2 2 4 2" xfId="16288"/>
    <cellStyle name="Variable Inputs 2 2 2 4 3" xfId="17367"/>
    <cellStyle name="Variable Inputs 2 2 2 4 4" xfId="18384"/>
    <cellStyle name="Variable Inputs 2 2 2 4 5" xfId="19354"/>
    <cellStyle name="Variable Inputs 2 2 2 4 6" xfId="20260"/>
    <cellStyle name="Variable Inputs 2 2 2 5" xfId="13865"/>
    <cellStyle name="Variable Inputs 2 2 2 6" xfId="13543"/>
    <cellStyle name="Variable Inputs 2 2 2 7" xfId="14167"/>
    <cellStyle name="Variable Inputs 2 2 2 8" xfId="14261"/>
    <cellStyle name="Variable Inputs 2 2 2 9" xfId="17457"/>
    <cellStyle name="Variable Inputs 2 2 3" xfId="8532"/>
    <cellStyle name="Variable Inputs 2 2 3 2" xfId="14650"/>
    <cellStyle name="Variable Inputs 2 2 3 3" xfId="12639"/>
    <cellStyle name="Variable Inputs 2 2 3 4" xfId="12501"/>
    <cellStyle name="Variable Inputs 2 2 3 5" xfId="13226"/>
    <cellStyle name="Variable Inputs 2 2 3 6" xfId="12534"/>
    <cellStyle name="Variable Inputs 2 2 4" xfId="11458"/>
    <cellStyle name="Variable Inputs 2 2 4 2" xfId="15764"/>
    <cellStyle name="Variable Inputs 2 2 4 3" xfId="16843"/>
    <cellStyle name="Variable Inputs 2 2 4 4" xfId="17871"/>
    <cellStyle name="Variable Inputs 2 2 4 5" xfId="18841"/>
    <cellStyle name="Variable Inputs 2 2 4 6" xfId="19747"/>
    <cellStyle name="Variable Inputs 2 2 5" xfId="11254"/>
    <cellStyle name="Variable Inputs 2 2 5 2" xfId="15560"/>
    <cellStyle name="Variable Inputs 2 2 5 3" xfId="16639"/>
    <cellStyle name="Variable Inputs 2 2 5 4" xfId="17671"/>
    <cellStyle name="Variable Inputs 2 2 5 5" xfId="18641"/>
    <cellStyle name="Variable Inputs 2 2 5 6" xfId="19547"/>
    <cellStyle name="Variable Inputs 2 2 6" xfId="12970"/>
    <cellStyle name="Variable Inputs 2 2 7" xfId="13273"/>
    <cellStyle name="Variable Inputs 2 2 8" xfId="14928"/>
    <cellStyle name="Variable Inputs 2 2 9" xfId="15162"/>
    <cellStyle name="Variable Inputs 2 3" xfId="6029"/>
    <cellStyle name="Variable Inputs 2 3 2" xfId="11125"/>
    <cellStyle name="Variable Inputs 2 3 2 2" xfId="15431"/>
    <cellStyle name="Variable Inputs 2 3 2 3" xfId="16510"/>
    <cellStyle name="Variable Inputs 2 3 2 4" xfId="17544"/>
    <cellStyle name="Variable Inputs 2 3 2 5" xfId="18514"/>
    <cellStyle name="Variable Inputs 2 3 2 6" xfId="19420"/>
    <cellStyle name="Variable Inputs 2 3 3" xfId="11707"/>
    <cellStyle name="Variable Inputs 2 3 3 2" xfId="16013"/>
    <cellStyle name="Variable Inputs 2 3 3 3" xfId="17092"/>
    <cellStyle name="Variable Inputs 2 3 3 4" xfId="18114"/>
    <cellStyle name="Variable Inputs 2 3 3 5" xfId="19084"/>
    <cellStyle name="Variable Inputs 2 3 3 6" xfId="19990"/>
    <cellStyle name="Variable Inputs 2 3 4" xfId="11879"/>
    <cellStyle name="Variable Inputs 2 3 4 2" xfId="16185"/>
    <cellStyle name="Variable Inputs 2 3 4 3" xfId="17264"/>
    <cellStyle name="Variable Inputs 2 3 4 4" xfId="18282"/>
    <cellStyle name="Variable Inputs 2 3 4 5" xfId="19252"/>
    <cellStyle name="Variable Inputs 2 3 4 6" xfId="20158"/>
    <cellStyle name="Variable Inputs 2 3 5" xfId="13762"/>
    <cellStyle name="Variable Inputs 2 3 6" xfId="13690"/>
    <cellStyle name="Variable Inputs 2 3 7" xfId="13214"/>
    <cellStyle name="Variable Inputs 2 3 8" xfId="16363"/>
    <cellStyle name="Variable Inputs 2 3 9" xfId="13697"/>
    <cellStyle name="Variable Inputs 2 4" xfId="7336"/>
    <cellStyle name="Variable Inputs 2 4 2" xfId="14277"/>
    <cellStyle name="Variable Inputs 2 4 3" xfId="13017"/>
    <cellStyle name="Variable Inputs 2 4 4" xfId="12073"/>
    <cellStyle name="Variable Inputs 2 4 5" xfId="13248"/>
    <cellStyle name="Variable Inputs 2 4 6" xfId="12606"/>
    <cellStyle name="Variable Inputs 2 5" xfId="11310"/>
    <cellStyle name="Variable Inputs 2 5 2" xfId="15616"/>
    <cellStyle name="Variable Inputs 2 5 3" xfId="16695"/>
    <cellStyle name="Variable Inputs 2 5 4" xfId="17724"/>
    <cellStyle name="Variable Inputs 2 5 5" xfId="18694"/>
    <cellStyle name="Variable Inputs 2 5 6" xfId="19600"/>
    <cellStyle name="Variable Inputs 2 6" xfId="11639"/>
    <cellStyle name="Variable Inputs 2 6 2" xfId="15945"/>
    <cellStyle name="Variable Inputs 2 6 3" xfId="17024"/>
    <cellStyle name="Variable Inputs 2 6 4" xfId="18048"/>
    <cellStyle name="Variable Inputs 2 6 5" xfId="19018"/>
    <cellStyle name="Variable Inputs 2 6 6" xfId="19924"/>
    <cellStyle name="Variable Inputs 2 7" xfId="12571"/>
    <cellStyle name="Variable Inputs 2 8" xfId="12043"/>
    <cellStyle name="Variable Inputs 2 9" xfId="13671"/>
    <cellStyle name="Variable Inputs 3" xfId="3582"/>
    <cellStyle name="Variable Inputs 3 10" xfId="16392"/>
    <cellStyle name="Variable Inputs 3 2" xfId="6140"/>
    <cellStyle name="Variable Inputs 3 2 2" xfId="11236"/>
    <cellStyle name="Variable Inputs 3 2 2 2" xfId="15542"/>
    <cellStyle name="Variable Inputs 3 2 2 3" xfId="16621"/>
    <cellStyle name="Variable Inputs 3 2 2 4" xfId="17653"/>
    <cellStyle name="Variable Inputs 3 2 2 5" xfId="18623"/>
    <cellStyle name="Variable Inputs 3 2 2 6" xfId="19529"/>
    <cellStyle name="Variable Inputs 3 2 3" xfId="11818"/>
    <cellStyle name="Variable Inputs 3 2 3 2" xfId="16124"/>
    <cellStyle name="Variable Inputs 3 2 3 3" xfId="17203"/>
    <cellStyle name="Variable Inputs 3 2 3 4" xfId="18223"/>
    <cellStyle name="Variable Inputs 3 2 3 5" xfId="19193"/>
    <cellStyle name="Variable Inputs 3 2 3 6" xfId="20099"/>
    <cellStyle name="Variable Inputs 3 2 4" xfId="11990"/>
    <cellStyle name="Variable Inputs 3 2 4 2" xfId="16296"/>
    <cellStyle name="Variable Inputs 3 2 4 3" xfId="17375"/>
    <cellStyle name="Variable Inputs 3 2 4 4" xfId="18391"/>
    <cellStyle name="Variable Inputs 3 2 4 5" xfId="19361"/>
    <cellStyle name="Variable Inputs 3 2 4 6" xfId="20267"/>
    <cellStyle name="Variable Inputs 3 2 5" xfId="13873"/>
    <cellStyle name="Variable Inputs 3 2 6" xfId="12851"/>
    <cellStyle name="Variable Inputs 3 2 7" xfId="12248"/>
    <cellStyle name="Variable Inputs 3 2 8" xfId="12434"/>
    <cellStyle name="Variable Inputs 3 2 9" xfId="14724"/>
    <cellStyle name="Variable Inputs 3 3" xfId="8685"/>
    <cellStyle name="Variable Inputs 3 3 2" xfId="14696"/>
    <cellStyle name="Variable Inputs 3 3 3" xfId="14699"/>
    <cellStyle name="Variable Inputs 3 3 4" xfId="12269"/>
    <cellStyle name="Variable Inputs 3 3 5" xfId="12675"/>
    <cellStyle name="Variable Inputs 3 3 6" xfId="14117"/>
    <cellStyle name="Variable Inputs 3 4" xfId="11467"/>
    <cellStyle name="Variable Inputs 3 4 2" xfId="15773"/>
    <cellStyle name="Variable Inputs 3 4 3" xfId="16852"/>
    <cellStyle name="Variable Inputs 3 4 4" xfId="17879"/>
    <cellStyle name="Variable Inputs 3 4 5" xfId="18849"/>
    <cellStyle name="Variable Inputs 3 4 6" xfId="19755"/>
    <cellStyle name="Variable Inputs 3 5" xfId="11612"/>
    <cellStyle name="Variable Inputs 3 5 2" xfId="15918"/>
    <cellStyle name="Variable Inputs 3 5 3" xfId="16997"/>
    <cellStyle name="Variable Inputs 3 5 4" xfId="18021"/>
    <cellStyle name="Variable Inputs 3 5 5" xfId="18991"/>
    <cellStyle name="Variable Inputs 3 5 6" xfId="19897"/>
    <cellStyle name="Variable Inputs 3 6" xfId="13012"/>
    <cellStyle name="Variable Inputs 3 7" xfId="1151"/>
    <cellStyle name="Variable Inputs 3 8" xfId="14659"/>
    <cellStyle name="Variable Inputs 3 9" xfId="14983"/>
    <cellStyle name="Variable Inputs 4" xfId="6028"/>
    <cellStyle name="Variable Inputs 4 2" xfId="11124"/>
    <cellStyle name="Variable Inputs 4 2 2" xfId="15430"/>
    <cellStyle name="Variable Inputs 4 2 3" xfId="16509"/>
    <cellStyle name="Variable Inputs 4 2 4" xfId="17543"/>
    <cellStyle name="Variable Inputs 4 2 5" xfId="18513"/>
    <cellStyle name="Variable Inputs 4 2 6" xfId="19419"/>
    <cellStyle name="Variable Inputs 4 3" xfId="11706"/>
    <cellStyle name="Variable Inputs 4 3 2" xfId="16012"/>
    <cellStyle name="Variable Inputs 4 3 3" xfId="17091"/>
    <cellStyle name="Variable Inputs 4 3 4" xfId="18113"/>
    <cellStyle name="Variable Inputs 4 3 5" xfId="19083"/>
    <cellStyle name="Variable Inputs 4 3 6" xfId="19989"/>
    <cellStyle name="Variable Inputs 4 4" xfId="11878"/>
    <cellStyle name="Variable Inputs 4 4 2" xfId="16184"/>
    <cellStyle name="Variable Inputs 4 4 3" xfId="17263"/>
    <cellStyle name="Variable Inputs 4 4 4" xfId="18281"/>
    <cellStyle name="Variable Inputs 4 4 5" xfId="19251"/>
    <cellStyle name="Variable Inputs 4 4 6" xfId="20157"/>
    <cellStyle name="Variable Inputs 4 5" xfId="13761"/>
    <cellStyle name="Variable Inputs 4 6" xfId="15359"/>
    <cellStyle name="Variable Inputs 4 7" xfId="16440"/>
    <cellStyle name="Variable Inputs 4 8" xfId="14740"/>
    <cellStyle name="Variable Inputs 4 9" xfId="14994"/>
    <cellStyle name="Variable Inputs 5" xfId="7332"/>
    <cellStyle name="Variable Inputs 5 2" xfId="14275"/>
    <cellStyle name="Variable Inputs 5 3" xfId="12136"/>
    <cellStyle name="Variable Inputs 5 4" xfId="15081"/>
    <cellStyle name="Variable Inputs 5 5" xfId="14635"/>
    <cellStyle name="Variable Inputs 5 6" xfId="14595"/>
    <cellStyle name="Variable Inputs 6" xfId="11309"/>
    <cellStyle name="Variable Inputs 6 2" xfId="15615"/>
    <cellStyle name="Variable Inputs 6 3" xfId="16694"/>
    <cellStyle name="Variable Inputs 6 4" xfId="17723"/>
    <cellStyle name="Variable Inputs 6 5" xfId="18693"/>
    <cellStyle name="Variable Inputs 6 6" xfId="19599"/>
    <cellStyle name="Variable Inputs 7" xfId="11547"/>
    <cellStyle name="Variable Inputs 7 2" xfId="15853"/>
    <cellStyle name="Variable Inputs 7 3" xfId="16932"/>
    <cellStyle name="Variable Inputs 7 4" xfId="17957"/>
    <cellStyle name="Variable Inputs 7 5" xfId="18927"/>
    <cellStyle name="Variable Inputs 7 6" xfId="19833"/>
    <cellStyle name="Variable Inputs 8" xfId="12569"/>
    <cellStyle name="Variable Inputs 9" xfId="14982"/>
    <cellStyle name="Währung [0]_fee projec" xfId="2213"/>
    <cellStyle name="Währung_fee projec" xfId="2214"/>
    <cellStyle name="Warning Text" xfId="121" builtinId="11" customBuiltin="1"/>
    <cellStyle name="Warning Text 2" xfId="61"/>
    <cellStyle name="Warning Text 2 2" xfId="864"/>
    <cellStyle name="Warning Text 2 3" xfId="2215"/>
    <cellStyle name="Warning Text 3" xfId="478"/>
    <cellStyle name="Warning Text 3 2" xfId="865"/>
    <cellStyle name="Warning Text 4" xfId="479"/>
    <cellStyle name="Warning Text 5" xfId="480"/>
    <cellStyle name="Warning Text 6" xfId="481"/>
    <cellStyle name="Warning Text 7" xfId="482"/>
    <cellStyle name="Warning Text 8" xfId="483"/>
    <cellStyle name="Warning Text 9" xfId="721"/>
    <cellStyle name="콤마 [0]_VERA" xfId="2216"/>
    <cellStyle name="콤마_VERA" xfId="2217"/>
    <cellStyle name="하이퍼링크_VERA" xfId="2218"/>
  </cellStyles>
  <dxfs count="6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9" defaultPivotStyle="PivotStyleLight16"/>
  <colors>
    <mruColors>
      <color rgb="FF0000FF"/>
      <color rgb="FFFFFF99"/>
      <color rgb="FFFF6600"/>
      <color rgb="FF00FF00"/>
      <color rgb="FF000066"/>
      <color rgb="FFFF3300"/>
      <color rgb="FF6600CC"/>
      <color rgb="FFFF0066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X Variable 1  Residual Plot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'WP FR-16(7)(v)-Mains (Plastic)'!$A$47:$A$55</c:f>
              <c:numCache>
                <c:formatCode>0.00</c:formatCode>
                <c:ptCount val="9"/>
                <c:pt idx="0">
                  <c:v>0.75</c:v>
                </c:pt>
                <c:pt idx="1">
                  <c:v>1</c:v>
                </c:pt>
                <c:pt idx="2">
                  <c:v>1.25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6</c:v>
                </c:pt>
                <c:pt idx="7">
                  <c:v>8</c:v>
                </c:pt>
                <c:pt idx="8">
                  <c:v>12</c:v>
                </c:pt>
              </c:numCache>
            </c:numRef>
          </c:xVal>
          <c:yVal>
            <c:numRef>
              <c:f>'WP FR-16(7)(v)-Mains (Plastic)'!$E$113:$E$121</c:f>
              <c:numCache>
                <c:formatCode>General</c:formatCode>
                <c:ptCount val="9"/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657664"/>
        <c:axId val="60659200"/>
      </c:scatterChart>
      <c:valAx>
        <c:axId val="60657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X Variable 1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659200"/>
        <c:crosses val="autoZero"/>
        <c:crossBetween val="midCat"/>
      </c:valAx>
      <c:valAx>
        <c:axId val="6065920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Residuals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65766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44" r="0.75000000000000644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X Variable 1 Line Fit  Plot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Y</c:v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'WP FR-16(7)(v)-Mains (Plastic)'!$A$47:$A$55</c:f>
              <c:numCache>
                <c:formatCode>0.00</c:formatCode>
                <c:ptCount val="9"/>
                <c:pt idx="0">
                  <c:v>0.75</c:v>
                </c:pt>
                <c:pt idx="1">
                  <c:v>1</c:v>
                </c:pt>
                <c:pt idx="2">
                  <c:v>1.25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6</c:v>
                </c:pt>
                <c:pt idx="7">
                  <c:v>8</c:v>
                </c:pt>
                <c:pt idx="8">
                  <c:v>12</c:v>
                </c:pt>
              </c:numCache>
            </c:numRef>
          </c:xVal>
          <c:yVal>
            <c:numRef>
              <c:f>'WP FR-16(7)(v)-Mains (Plastic)'!$C$47:$C$55</c:f>
              <c:numCache>
                <c:formatCode>General</c:formatCode>
                <c:ptCount val="9"/>
                <c:pt idx="0">
                  <c:v>-12.05</c:v>
                </c:pt>
                <c:pt idx="1">
                  <c:v>-8.36</c:v>
                </c:pt>
                <c:pt idx="2">
                  <c:v>-4.67</c:v>
                </c:pt>
                <c:pt idx="3">
                  <c:v>6.41</c:v>
                </c:pt>
                <c:pt idx="4">
                  <c:v>21.17</c:v>
                </c:pt>
                <c:pt idx="5">
                  <c:v>35.94</c:v>
                </c:pt>
                <c:pt idx="6">
                  <c:v>65.47</c:v>
                </c:pt>
                <c:pt idx="7">
                  <c:v>95</c:v>
                </c:pt>
                <c:pt idx="8">
                  <c:v>154.06</c:v>
                </c:pt>
              </c:numCache>
            </c:numRef>
          </c:yVal>
          <c:smooth val="0"/>
        </c:ser>
        <c:ser>
          <c:idx val="1"/>
          <c:order val="1"/>
          <c:tx>
            <c:v>Predicted Y</c:v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'WP FR-16(7)(v)-Mains (Plastic)'!$A$47:$A$55</c:f>
              <c:numCache>
                <c:formatCode>0.00</c:formatCode>
                <c:ptCount val="9"/>
                <c:pt idx="0">
                  <c:v>0.75</c:v>
                </c:pt>
                <c:pt idx="1">
                  <c:v>1</c:v>
                </c:pt>
                <c:pt idx="2">
                  <c:v>1.25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6</c:v>
                </c:pt>
                <c:pt idx="7">
                  <c:v>8</c:v>
                </c:pt>
                <c:pt idx="8">
                  <c:v>12</c:v>
                </c:pt>
              </c:numCache>
            </c:numRef>
          </c:xVal>
          <c:yVal>
            <c:numRef>
              <c:f>'WP FR-16(7)(v)-Mains (Plastic)'!$D$113:$D$121</c:f>
              <c:numCache>
                <c:formatCode>General</c:formatCode>
                <c:ptCount val="9"/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6356096"/>
        <c:axId val="146358656"/>
      </c:scatterChart>
      <c:valAx>
        <c:axId val="146356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X Variable 1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58656"/>
        <c:crosses val="autoZero"/>
        <c:crossBetween val="midCat"/>
      </c:valAx>
      <c:valAx>
        <c:axId val="14635865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5609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44" r="0.75000000000000644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X Variable 1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Y</c:v>
          </c:tx>
          <c:spPr>
            <a:ln w="28575">
              <a:noFill/>
            </a:ln>
          </c:spPr>
          <c:xVal>
            <c:numRef>
              <c:f>'WP FR-16(7)(v)-Mains (Plastic)'!$A$47:$A$55</c:f>
              <c:numCache>
                <c:formatCode>0.00</c:formatCode>
                <c:ptCount val="9"/>
                <c:pt idx="0">
                  <c:v>0.75</c:v>
                </c:pt>
                <c:pt idx="1">
                  <c:v>1</c:v>
                </c:pt>
                <c:pt idx="2">
                  <c:v>1.25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6</c:v>
                </c:pt>
                <c:pt idx="7">
                  <c:v>8</c:v>
                </c:pt>
                <c:pt idx="8">
                  <c:v>12</c:v>
                </c:pt>
              </c:numCache>
            </c:numRef>
          </c:xVal>
          <c:yVal>
            <c:numRef>
              <c:f>'WP FR-16(7)(v)-Mains (Plastic)'!$B$47:$B$55</c:f>
              <c:numCache>
                <c:formatCode>#,##0.00_);\(#,##0.00\)</c:formatCode>
                <c:ptCount val="9"/>
                <c:pt idx="0">
                  <c:v>0</c:v>
                </c:pt>
                <c:pt idx="1">
                  <c:v>3.34</c:v>
                </c:pt>
                <c:pt idx="2">
                  <c:v>9.24</c:v>
                </c:pt>
                <c:pt idx="3">
                  <c:v>11.22</c:v>
                </c:pt>
                <c:pt idx="4">
                  <c:v>7.08</c:v>
                </c:pt>
                <c:pt idx="5">
                  <c:v>26.27</c:v>
                </c:pt>
                <c:pt idx="6">
                  <c:v>36.79</c:v>
                </c:pt>
                <c:pt idx="7">
                  <c:v>73.61</c:v>
                </c:pt>
                <c:pt idx="8">
                  <c:v>185.43</c:v>
                </c:pt>
              </c:numCache>
            </c:numRef>
          </c:yVal>
          <c:smooth val="0"/>
        </c:ser>
        <c:ser>
          <c:idx val="1"/>
          <c:order val="1"/>
          <c:tx>
            <c:v>Predicted Y</c:v>
          </c:tx>
          <c:spPr>
            <a:ln w="28575">
              <a:noFill/>
            </a:ln>
          </c:spPr>
          <c:trendline>
            <c:trendlineType val="linear"/>
            <c:dispRSqr val="0"/>
            <c:dispEq val="0"/>
          </c:trendline>
          <c:xVal>
            <c:numRef>
              <c:f>'WP FR-16(7)(v)-Mains (Plastic)'!$A$47:$A$55</c:f>
              <c:numCache>
                <c:formatCode>0.00</c:formatCode>
                <c:ptCount val="9"/>
                <c:pt idx="0">
                  <c:v>0.75</c:v>
                </c:pt>
                <c:pt idx="1">
                  <c:v>1</c:v>
                </c:pt>
                <c:pt idx="2">
                  <c:v>1.25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6</c:v>
                </c:pt>
                <c:pt idx="7">
                  <c:v>8</c:v>
                </c:pt>
                <c:pt idx="8">
                  <c:v>12</c:v>
                </c:pt>
              </c:numCache>
            </c:numRef>
          </c:xVal>
          <c:yVal>
            <c:numRef>
              <c:f>'WP FR-16(7)(v)-Mains (Plastic)'!$V$104:$V$112</c:f>
              <c:numCache>
                <c:formatCode>General</c:formatCode>
                <c:ptCount val="9"/>
                <c:pt idx="0">
                  <c:v>-1.1949417697202644</c:v>
                </c:pt>
                <c:pt idx="1">
                  <c:v>1.7485340376995939</c:v>
                </c:pt>
                <c:pt idx="2">
                  <c:v>4.6920098451194523</c:v>
                </c:pt>
                <c:pt idx="3">
                  <c:v>13.522437267379029</c:v>
                </c:pt>
                <c:pt idx="4">
                  <c:v>25.296340497058466</c:v>
                </c:pt>
                <c:pt idx="5">
                  <c:v>37.0702437267379</c:v>
                </c:pt>
                <c:pt idx="6">
                  <c:v>60.618050186096774</c:v>
                </c:pt>
                <c:pt idx="7">
                  <c:v>84.165856645455648</c:v>
                </c:pt>
                <c:pt idx="8">
                  <c:v>131.26146956417338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6393344"/>
        <c:axId val="146403712"/>
      </c:scatterChart>
      <c:valAx>
        <c:axId val="146393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X Variable 1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46403712"/>
        <c:crosses val="autoZero"/>
        <c:crossBetween val="midCat"/>
      </c:valAx>
      <c:valAx>
        <c:axId val="1464037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</a:t>
                </a:r>
              </a:p>
            </c:rich>
          </c:tx>
          <c:overlay val="0"/>
        </c:title>
        <c:numFmt formatCode="#,##0.00_);\(#,##0.00\)" sourceLinked="1"/>
        <c:majorTickMark val="out"/>
        <c:minorTickMark val="none"/>
        <c:tickLblPos val="nextTo"/>
        <c:crossAx val="14639334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22" l="0.70000000000000062" r="0.70000000000000062" t="0.75000000000000422" header="0.30000000000000032" footer="0.30000000000000032"/>
    <c:pageSetup/>
  </c:printSettings>
</c:chartSpace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00.xml><?xml version="1.0" encoding="utf-8"?>
<formControlPr xmlns="http://schemas.microsoft.com/office/spreadsheetml/2009/9/main" objectType="Button" lockText="1"/>
</file>

<file path=xl/ctrlProps/ctrlProp101.xml><?xml version="1.0" encoding="utf-8"?>
<formControlPr xmlns="http://schemas.microsoft.com/office/spreadsheetml/2009/9/main" objectType="Button" lockText="1"/>
</file>

<file path=xl/ctrlProps/ctrlProp102.xml><?xml version="1.0" encoding="utf-8"?>
<formControlPr xmlns="http://schemas.microsoft.com/office/spreadsheetml/2009/9/main" objectType="Button" lockText="1"/>
</file>

<file path=xl/ctrlProps/ctrlProp103.xml><?xml version="1.0" encoding="utf-8"?>
<formControlPr xmlns="http://schemas.microsoft.com/office/spreadsheetml/2009/9/main" objectType="Button" lockText="1"/>
</file>

<file path=xl/ctrlProps/ctrlProp104.xml><?xml version="1.0" encoding="utf-8"?>
<formControlPr xmlns="http://schemas.microsoft.com/office/spreadsheetml/2009/9/main" objectType="Button" lockText="1"/>
</file>

<file path=xl/ctrlProps/ctrlProp105.xml><?xml version="1.0" encoding="utf-8"?>
<formControlPr xmlns="http://schemas.microsoft.com/office/spreadsheetml/2009/9/main" objectType="Button" lockText="1"/>
</file>

<file path=xl/ctrlProps/ctrlProp106.xml><?xml version="1.0" encoding="utf-8"?>
<formControlPr xmlns="http://schemas.microsoft.com/office/spreadsheetml/2009/9/main" objectType="Button" lockText="1"/>
</file>

<file path=xl/ctrlProps/ctrlProp107.xml><?xml version="1.0" encoding="utf-8"?>
<formControlPr xmlns="http://schemas.microsoft.com/office/spreadsheetml/2009/9/main" objectType="Button" lockText="1"/>
</file>

<file path=xl/ctrlProps/ctrlProp108.xml><?xml version="1.0" encoding="utf-8"?>
<formControlPr xmlns="http://schemas.microsoft.com/office/spreadsheetml/2009/9/main" objectType="Button" lockText="1"/>
</file>

<file path=xl/ctrlProps/ctrlProp109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10.xml><?xml version="1.0" encoding="utf-8"?>
<formControlPr xmlns="http://schemas.microsoft.com/office/spreadsheetml/2009/9/main" objectType="Button" lockText="1"/>
</file>

<file path=xl/ctrlProps/ctrlProp111.xml><?xml version="1.0" encoding="utf-8"?>
<formControlPr xmlns="http://schemas.microsoft.com/office/spreadsheetml/2009/9/main" objectType="Button" lockText="1"/>
</file>

<file path=xl/ctrlProps/ctrlProp112.xml><?xml version="1.0" encoding="utf-8"?>
<formControlPr xmlns="http://schemas.microsoft.com/office/spreadsheetml/2009/9/main" objectType="Button" lockText="1"/>
</file>

<file path=xl/ctrlProps/ctrlProp113.xml><?xml version="1.0" encoding="utf-8"?>
<formControlPr xmlns="http://schemas.microsoft.com/office/spreadsheetml/2009/9/main" objectType="Button" lockText="1"/>
</file>

<file path=xl/ctrlProps/ctrlProp114.xml><?xml version="1.0" encoding="utf-8"?>
<formControlPr xmlns="http://schemas.microsoft.com/office/spreadsheetml/2009/9/main" objectType="Button" lockText="1"/>
</file>

<file path=xl/ctrlProps/ctrlProp115.xml><?xml version="1.0" encoding="utf-8"?>
<formControlPr xmlns="http://schemas.microsoft.com/office/spreadsheetml/2009/9/main" objectType="Button" lockText="1"/>
</file>

<file path=xl/ctrlProps/ctrlProp116.xml><?xml version="1.0" encoding="utf-8"?>
<formControlPr xmlns="http://schemas.microsoft.com/office/spreadsheetml/2009/9/main" objectType="Button" lockText="1"/>
</file>

<file path=xl/ctrlProps/ctrlProp117.xml><?xml version="1.0" encoding="utf-8"?>
<formControlPr xmlns="http://schemas.microsoft.com/office/spreadsheetml/2009/9/main" objectType="Button" lockText="1"/>
</file>

<file path=xl/ctrlProps/ctrlProp118.xml><?xml version="1.0" encoding="utf-8"?>
<formControlPr xmlns="http://schemas.microsoft.com/office/spreadsheetml/2009/9/main" objectType="Button" lockText="1"/>
</file>

<file path=xl/ctrlProps/ctrlProp119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20.xml><?xml version="1.0" encoding="utf-8"?>
<formControlPr xmlns="http://schemas.microsoft.com/office/spreadsheetml/2009/9/main" objectType="Button" lockText="1"/>
</file>

<file path=xl/ctrlProps/ctrlProp121.xml><?xml version="1.0" encoding="utf-8"?>
<formControlPr xmlns="http://schemas.microsoft.com/office/spreadsheetml/2009/9/main" objectType="Button" lockText="1"/>
</file>

<file path=xl/ctrlProps/ctrlProp122.xml><?xml version="1.0" encoding="utf-8"?>
<formControlPr xmlns="http://schemas.microsoft.com/office/spreadsheetml/2009/9/main" objectType="Button" lockText="1"/>
</file>

<file path=xl/ctrlProps/ctrlProp123.xml><?xml version="1.0" encoding="utf-8"?>
<formControlPr xmlns="http://schemas.microsoft.com/office/spreadsheetml/2009/9/main" objectType="Button" lockText="1"/>
</file>

<file path=xl/ctrlProps/ctrlProp124.xml><?xml version="1.0" encoding="utf-8"?>
<formControlPr xmlns="http://schemas.microsoft.com/office/spreadsheetml/2009/9/main" objectType="Button" lockText="1"/>
</file>

<file path=xl/ctrlProps/ctrlProp125.xml><?xml version="1.0" encoding="utf-8"?>
<formControlPr xmlns="http://schemas.microsoft.com/office/spreadsheetml/2009/9/main" objectType="Button" lockText="1"/>
</file>

<file path=xl/ctrlProps/ctrlProp126.xml><?xml version="1.0" encoding="utf-8"?>
<formControlPr xmlns="http://schemas.microsoft.com/office/spreadsheetml/2009/9/main" objectType="Button" lockText="1"/>
</file>

<file path=xl/ctrlProps/ctrlProp127.xml><?xml version="1.0" encoding="utf-8"?>
<formControlPr xmlns="http://schemas.microsoft.com/office/spreadsheetml/2009/9/main" objectType="Button" lockText="1"/>
</file>

<file path=xl/ctrlProps/ctrlProp128.xml><?xml version="1.0" encoding="utf-8"?>
<formControlPr xmlns="http://schemas.microsoft.com/office/spreadsheetml/2009/9/main" objectType="Button" lockText="1"/>
</file>

<file path=xl/ctrlProps/ctrlProp129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30.xml><?xml version="1.0" encoding="utf-8"?>
<formControlPr xmlns="http://schemas.microsoft.com/office/spreadsheetml/2009/9/main" objectType="Button" lockText="1"/>
</file>

<file path=xl/ctrlProps/ctrlProp131.xml><?xml version="1.0" encoding="utf-8"?>
<formControlPr xmlns="http://schemas.microsoft.com/office/spreadsheetml/2009/9/main" objectType="Button" lockText="1"/>
</file>

<file path=xl/ctrlProps/ctrlProp132.xml><?xml version="1.0" encoding="utf-8"?>
<formControlPr xmlns="http://schemas.microsoft.com/office/spreadsheetml/2009/9/main" objectType="Button" lockText="1"/>
</file>

<file path=xl/ctrlProps/ctrlProp133.xml><?xml version="1.0" encoding="utf-8"?>
<formControlPr xmlns="http://schemas.microsoft.com/office/spreadsheetml/2009/9/main" objectType="Button" lockText="1"/>
</file>

<file path=xl/ctrlProps/ctrlProp134.xml><?xml version="1.0" encoding="utf-8"?>
<formControlPr xmlns="http://schemas.microsoft.com/office/spreadsheetml/2009/9/main" objectType="Button" lockText="1"/>
</file>

<file path=xl/ctrlProps/ctrlProp135.xml><?xml version="1.0" encoding="utf-8"?>
<formControlPr xmlns="http://schemas.microsoft.com/office/spreadsheetml/2009/9/main" objectType="Button" lockText="1"/>
</file>

<file path=xl/ctrlProps/ctrlProp136.xml><?xml version="1.0" encoding="utf-8"?>
<formControlPr xmlns="http://schemas.microsoft.com/office/spreadsheetml/2009/9/main" objectType="Button" lockText="1"/>
</file>

<file path=xl/ctrlProps/ctrlProp137.xml><?xml version="1.0" encoding="utf-8"?>
<formControlPr xmlns="http://schemas.microsoft.com/office/spreadsheetml/2009/9/main" objectType="Button" lockText="1"/>
</file>

<file path=xl/ctrlProps/ctrlProp138.xml><?xml version="1.0" encoding="utf-8"?>
<formControlPr xmlns="http://schemas.microsoft.com/office/spreadsheetml/2009/9/main" objectType="Button" lockText="1"/>
</file>

<file path=xl/ctrlProps/ctrlProp139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40.xml><?xml version="1.0" encoding="utf-8"?>
<formControlPr xmlns="http://schemas.microsoft.com/office/spreadsheetml/2009/9/main" objectType="Button" lockText="1"/>
</file>

<file path=xl/ctrlProps/ctrlProp141.xml><?xml version="1.0" encoding="utf-8"?>
<formControlPr xmlns="http://schemas.microsoft.com/office/spreadsheetml/2009/9/main" objectType="Button" lockText="1"/>
</file>

<file path=xl/ctrlProps/ctrlProp142.xml><?xml version="1.0" encoding="utf-8"?>
<formControlPr xmlns="http://schemas.microsoft.com/office/spreadsheetml/2009/9/main" objectType="Button" lockText="1"/>
</file>

<file path=xl/ctrlProps/ctrlProp143.xml><?xml version="1.0" encoding="utf-8"?>
<formControlPr xmlns="http://schemas.microsoft.com/office/spreadsheetml/2009/9/main" objectType="Button" lockText="1"/>
</file>

<file path=xl/ctrlProps/ctrlProp144.xml><?xml version="1.0" encoding="utf-8"?>
<formControlPr xmlns="http://schemas.microsoft.com/office/spreadsheetml/2009/9/main" objectType="Button" lockText="1"/>
</file>

<file path=xl/ctrlProps/ctrlProp145.xml><?xml version="1.0" encoding="utf-8"?>
<formControlPr xmlns="http://schemas.microsoft.com/office/spreadsheetml/2009/9/main" objectType="Button" lockText="1"/>
</file>

<file path=xl/ctrlProps/ctrlProp146.xml><?xml version="1.0" encoding="utf-8"?>
<formControlPr xmlns="http://schemas.microsoft.com/office/spreadsheetml/2009/9/main" objectType="Button" lockText="1"/>
</file>

<file path=xl/ctrlProps/ctrlProp147.xml><?xml version="1.0" encoding="utf-8"?>
<formControlPr xmlns="http://schemas.microsoft.com/office/spreadsheetml/2009/9/main" objectType="Button" lockText="1"/>
</file>

<file path=xl/ctrlProps/ctrlProp148.xml><?xml version="1.0" encoding="utf-8"?>
<formControlPr xmlns="http://schemas.microsoft.com/office/spreadsheetml/2009/9/main" objectType="Button" lockText="1"/>
</file>

<file path=xl/ctrlProps/ctrlProp149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50.xml><?xml version="1.0" encoding="utf-8"?>
<formControlPr xmlns="http://schemas.microsoft.com/office/spreadsheetml/2009/9/main" objectType="Button" lockText="1"/>
</file>

<file path=xl/ctrlProps/ctrlProp151.xml><?xml version="1.0" encoding="utf-8"?>
<formControlPr xmlns="http://schemas.microsoft.com/office/spreadsheetml/2009/9/main" objectType="Button" lockText="1"/>
</file>

<file path=xl/ctrlProps/ctrlProp152.xml><?xml version="1.0" encoding="utf-8"?>
<formControlPr xmlns="http://schemas.microsoft.com/office/spreadsheetml/2009/9/main" objectType="Button" lockText="1"/>
</file>

<file path=xl/ctrlProps/ctrlProp153.xml><?xml version="1.0" encoding="utf-8"?>
<formControlPr xmlns="http://schemas.microsoft.com/office/spreadsheetml/2009/9/main" objectType="Button" lockText="1"/>
</file>

<file path=xl/ctrlProps/ctrlProp154.xml><?xml version="1.0" encoding="utf-8"?>
<formControlPr xmlns="http://schemas.microsoft.com/office/spreadsheetml/2009/9/main" objectType="Button" lockText="1"/>
</file>

<file path=xl/ctrlProps/ctrlProp155.xml><?xml version="1.0" encoding="utf-8"?>
<formControlPr xmlns="http://schemas.microsoft.com/office/spreadsheetml/2009/9/main" objectType="Button" lockText="1"/>
</file>

<file path=xl/ctrlProps/ctrlProp156.xml><?xml version="1.0" encoding="utf-8"?>
<formControlPr xmlns="http://schemas.microsoft.com/office/spreadsheetml/2009/9/main" objectType="Button" lockText="1"/>
</file>

<file path=xl/ctrlProps/ctrlProp157.xml><?xml version="1.0" encoding="utf-8"?>
<formControlPr xmlns="http://schemas.microsoft.com/office/spreadsheetml/2009/9/main" objectType="Button" lockText="1"/>
</file>

<file path=xl/ctrlProps/ctrlProp158.xml><?xml version="1.0" encoding="utf-8"?>
<formControlPr xmlns="http://schemas.microsoft.com/office/spreadsheetml/2009/9/main" objectType="Button" lockText="1"/>
</file>

<file path=xl/ctrlProps/ctrlProp159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60.xml><?xml version="1.0" encoding="utf-8"?>
<formControlPr xmlns="http://schemas.microsoft.com/office/spreadsheetml/2009/9/main" objectType="Button" lockText="1"/>
</file>

<file path=xl/ctrlProps/ctrlProp161.xml><?xml version="1.0" encoding="utf-8"?>
<formControlPr xmlns="http://schemas.microsoft.com/office/spreadsheetml/2009/9/main" objectType="Button" lockText="1"/>
</file>

<file path=xl/ctrlProps/ctrlProp162.xml><?xml version="1.0" encoding="utf-8"?>
<formControlPr xmlns="http://schemas.microsoft.com/office/spreadsheetml/2009/9/main" objectType="Button" lockText="1"/>
</file>

<file path=xl/ctrlProps/ctrlProp163.xml><?xml version="1.0" encoding="utf-8"?>
<formControlPr xmlns="http://schemas.microsoft.com/office/spreadsheetml/2009/9/main" objectType="Button" lockText="1"/>
</file>

<file path=xl/ctrlProps/ctrlProp164.xml><?xml version="1.0" encoding="utf-8"?>
<formControlPr xmlns="http://schemas.microsoft.com/office/spreadsheetml/2009/9/main" objectType="Button" lockText="1"/>
</file>

<file path=xl/ctrlProps/ctrlProp165.xml><?xml version="1.0" encoding="utf-8"?>
<formControlPr xmlns="http://schemas.microsoft.com/office/spreadsheetml/2009/9/main" objectType="Button" lockText="1"/>
</file>

<file path=xl/ctrlProps/ctrlProp166.xml><?xml version="1.0" encoding="utf-8"?>
<formControlPr xmlns="http://schemas.microsoft.com/office/spreadsheetml/2009/9/main" objectType="Button" lockText="1"/>
</file>

<file path=xl/ctrlProps/ctrlProp167.xml><?xml version="1.0" encoding="utf-8"?>
<formControlPr xmlns="http://schemas.microsoft.com/office/spreadsheetml/2009/9/main" objectType="Button" lockText="1"/>
</file>

<file path=xl/ctrlProps/ctrlProp168.xml><?xml version="1.0" encoding="utf-8"?>
<formControlPr xmlns="http://schemas.microsoft.com/office/spreadsheetml/2009/9/main" objectType="Button" lockText="1"/>
</file>

<file path=xl/ctrlProps/ctrlProp169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70.xml><?xml version="1.0" encoding="utf-8"?>
<formControlPr xmlns="http://schemas.microsoft.com/office/spreadsheetml/2009/9/main" objectType="Button" lockText="1"/>
</file>

<file path=xl/ctrlProps/ctrlProp171.xml><?xml version="1.0" encoding="utf-8"?>
<formControlPr xmlns="http://schemas.microsoft.com/office/spreadsheetml/2009/9/main" objectType="Button" lockText="1"/>
</file>

<file path=xl/ctrlProps/ctrlProp172.xml><?xml version="1.0" encoding="utf-8"?>
<formControlPr xmlns="http://schemas.microsoft.com/office/spreadsheetml/2009/9/main" objectType="Button" lockText="1"/>
</file>

<file path=xl/ctrlProps/ctrlProp173.xml><?xml version="1.0" encoding="utf-8"?>
<formControlPr xmlns="http://schemas.microsoft.com/office/spreadsheetml/2009/9/main" objectType="Button" lockText="1"/>
</file>

<file path=xl/ctrlProps/ctrlProp174.xml><?xml version="1.0" encoding="utf-8"?>
<formControlPr xmlns="http://schemas.microsoft.com/office/spreadsheetml/2009/9/main" objectType="Button" lockText="1"/>
</file>

<file path=xl/ctrlProps/ctrlProp175.xml><?xml version="1.0" encoding="utf-8"?>
<formControlPr xmlns="http://schemas.microsoft.com/office/spreadsheetml/2009/9/main" objectType="Button" lockText="1"/>
</file>

<file path=xl/ctrlProps/ctrlProp176.xml><?xml version="1.0" encoding="utf-8"?>
<formControlPr xmlns="http://schemas.microsoft.com/office/spreadsheetml/2009/9/main" objectType="Button" lockText="1"/>
</file>

<file path=xl/ctrlProps/ctrlProp177.xml><?xml version="1.0" encoding="utf-8"?>
<formControlPr xmlns="http://schemas.microsoft.com/office/spreadsheetml/2009/9/main" objectType="Button" lockText="1"/>
</file>

<file path=xl/ctrlProps/ctrlProp178.xml><?xml version="1.0" encoding="utf-8"?>
<formControlPr xmlns="http://schemas.microsoft.com/office/spreadsheetml/2009/9/main" objectType="Button" lockText="1"/>
</file>

<file path=xl/ctrlProps/ctrlProp179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80.xml><?xml version="1.0" encoding="utf-8"?>
<formControlPr xmlns="http://schemas.microsoft.com/office/spreadsheetml/2009/9/main" objectType="Button" lockText="1"/>
</file>

<file path=xl/ctrlProps/ctrlProp181.xml><?xml version="1.0" encoding="utf-8"?>
<formControlPr xmlns="http://schemas.microsoft.com/office/spreadsheetml/2009/9/main" objectType="Button" lockText="1"/>
</file>

<file path=xl/ctrlProps/ctrlProp182.xml><?xml version="1.0" encoding="utf-8"?>
<formControlPr xmlns="http://schemas.microsoft.com/office/spreadsheetml/2009/9/main" objectType="Button" lockText="1"/>
</file>

<file path=xl/ctrlProps/ctrlProp183.xml><?xml version="1.0" encoding="utf-8"?>
<formControlPr xmlns="http://schemas.microsoft.com/office/spreadsheetml/2009/9/main" objectType="Button" lockText="1"/>
</file>

<file path=xl/ctrlProps/ctrlProp184.xml><?xml version="1.0" encoding="utf-8"?>
<formControlPr xmlns="http://schemas.microsoft.com/office/spreadsheetml/2009/9/main" objectType="Button" lockText="1"/>
</file>

<file path=xl/ctrlProps/ctrlProp185.xml><?xml version="1.0" encoding="utf-8"?>
<formControlPr xmlns="http://schemas.microsoft.com/office/spreadsheetml/2009/9/main" objectType="Button" lockText="1"/>
</file>

<file path=xl/ctrlProps/ctrlProp186.xml><?xml version="1.0" encoding="utf-8"?>
<formControlPr xmlns="http://schemas.microsoft.com/office/spreadsheetml/2009/9/main" objectType="Button" lockText="1"/>
</file>

<file path=xl/ctrlProps/ctrlProp187.xml><?xml version="1.0" encoding="utf-8"?>
<formControlPr xmlns="http://schemas.microsoft.com/office/spreadsheetml/2009/9/main" objectType="Button" lockText="1"/>
</file>

<file path=xl/ctrlProps/ctrlProp188.xml><?xml version="1.0" encoding="utf-8"?>
<formControlPr xmlns="http://schemas.microsoft.com/office/spreadsheetml/2009/9/main" objectType="Button" lockText="1"/>
</file>

<file path=xl/ctrlProps/ctrlProp189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 lockText="1"/>
</file>

<file path=xl/ctrlProps/ctrlProp54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71.xml><?xml version="1.0" encoding="utf-8"?>
<formControlPr xmlns="http://schemas.microsoft.com/office/spreadsheetml/2009/9/main" objectType="Button" lockText="1"/>
</file>

<file path=xl/ctrlProps/ctrlProp72.xml><?xml version="1.0" encoding="utf-8"?>
<formControlPr xmlns="http://schemas.microsoft.com/office/spreadsheetml/2009/9/main" objectType="Button" lockText="1"/>
</file>

<file path=xl/ctrlProps/ctrlProp73.xml><?xml version="1.0" encoding="utf-8"?>
<formControlPr xmlns="http://schemas.microsoft.com/office/spreadsheetml/2009/9/main" objectType="Button" lockText="1"/>
</file>

<file path=xl/ctrlProps/ctrlProp74.xml><?xml version="1.0" encoding="utf-8"?>
<formControlPr xmlns="http://schemas.microsoft.com/office/spreadsheetml/2009/9/main" objectType="Button" lockText="1"/>
</file>

<file path=xl/ctrlProps/ctrlProp75.xml><?xml version="1.0" encoding="utf-8"?>
<formControlPr xmlns="http://schemas.microsoft.com/office/spreadsheetml/2009/9/main" objectType="Button" lockText="1"/>
</file>

<file path=xl/ctrlProps/ctrlProp76.xml><?xml version="1.0" encoding="utf-8"?>
<formControlPr xmlns="http://schemas.microsoft.com/office/spreadsheetml/2009/9/main" objectType="Button" lockText="1"/>
</file>

<file path=xl/ctrlProps/ctrlProp77.xml><?xml version="1.0" encoding="utf-8"?>
<formControlPr xmlns="http://schemas.microsoft.com/office/spreadsheetml/2009/9/main" objectType="Button" lockText="1"/>
</file>

<file path=xl/ctrlProps/ctrlProp78.xml><?xml version="1.0" encoding="utf-8"?>
<formControlPr xmlns="http://schemas.microsoft.com/office/spreadsheetml/2009/9/main" objectType="Button" lockText="1"/>
</file>

<file path=xl/ctrlProps/ctrlProp79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80.xml><?xml version="1.0" encoding="utf-8"?>
<formControlPr xmlns="http://schemas.microsoft.com/office/spreadsheetml/2009/9/main" objectType="Button" lockText="1"/>
</file>

<file path=xl/ctrlProps/ctrlProp81.xml><?xml version="1.0" encoding="utf-8"?>
<formControlPr xmlns="http://schemas.microsoft.com/office/spreadsheetml/2009/9/main" objectType="Button" lockText="1"/>
</file>

<file path=xl/ctrlProps/ctrlProp82.xml><?xml version="1.0" encoding="utf-8"?>
<formControlPr xmlns="http://schemas.microsoft.com/office/spreadsheetml/2009/9/main" objectType="Button" lockText="1"/>
</file>

<file path=xl/ctrlProps/ctrlProp83.xml><?xml version="1.0" encoding="utf-8"?>
<formControlPr xmlns="http://schemas.microsoft.com/office/spreadsheetml/2009/9/main" objectType="Button" lockText="1"/>
</file>

<file path=xl/ctrlProps/ctrlProp84.xml><?xml version="1.0" encoding="utf-8"?>
<formControlPr xmlns="http://schemas.microsoft.com/office/spreadsheetml/2009/9/main" objectType="Button" lockText="1"/>
</file>

<file path=xl/ctrlProps/ctrlProp85.xml><?xml version="1.0" encoding="utf-8"?>
<formControlPr xmlns="http://schemas.microsoft.com/office/spreadsheetml/2009/9/main" objectType="Button" lockText="1"/>
</file>

<file path=xl/ctrlProps/ctrlProp86.xml><?xml version="1.0" encoding="utf-8"?>
<formControlPr xmlns="http://schemas.microsoft.com/office/spreadsheetml/2009/9/main" objectType="Button" lockText="1"/>
</file>

<file path=xl/ctrlProps/ctrlProp87.xml><?xml version="1.0" encoding="utf-8"?>
<formControlPr xmlns="http://schemas.microsoft.com/office/spreadsheetml/2009/9/main" objectType="Button" lockText="1"/>
</file>

<file path=xl/ctrlProps/ctrlProp88.xml><?xml version="1.0" encoding="utf-8"?>
<formControlPr xmlns="http://schemas.microsoft.com/office/spreadsheetml/2009/9/main" objectType="Button" lockText="1"/>
</file>

<file path=xl/ctrlProps/ctrlProp89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ctrlProps/ctrlProp90.xml><?xml version="1.0" encoding="utf-8"?>
<formControlPr xmlns="http://schemas.microsoft.com/office/spreadsheetml/2009/9/main" objectType="Button" lockText="1"/>
</file>

<file path=xl/ctrlProps/ctrlProp91.xml><?xml version="1.0" encoding="utf-8"?>
<formControlPr xmlns="http://schemas.microsoft.com/office/spreadsheetml/2009/9/main" objectType="Button" lockText="1"/>
</file>

<file path=xl/ctrlProps/ctrlProp92.xml><?xml version="1.0" encoding="utf-8"?>
<formControlPr xmlns="http://schemas.microsoft.com/office/spreadsheetml/2009/9/main" objectType="Button" lockText="1"/>
</file>

<file path=xl/ctrlProps/ctrlProp93.xml><?xml version="1.0" encoding="utf-8"?>
<formControlPr xmlns="http://schemas.microsoft.com/office/spreadsheetml/2009/9/main" objectType="Button" lockText="1"/>
</file>

<file path=xl/ctrlProps/ctrlProp94.xml><?xml version="1.0" encoding="utf-8"?>
<formControlPr xmlns="http://schemas.microsoft.com/office/spreadsheetml/2009/9/main" objectType="Button" lockText="1"/>
</file>

<file path=xl/ctrlProps/ctrlProp95.xml><?xml version="1.0" encoding="utf-8"?>
<formControlPr xmlns="http://schemas.microsoft.com/office/spreadsheetml/2009/9/main" objectType="Button" lockText="1"/>
</file>

<file path=xl/ctrlProps/ctrlProp96.xml><?xml version="1.0" encoding="utf-8"?>
<formControlPr xmlns="http://schemas.microsoft.com/office/spreadsheetml/2009/9/main" objectType="Button" lockText="1"/>
</file>

<file path=xl/ctrlProps/ctrlProp97.xml><?xml version="1.0" encoding="utf-8"?>
<formControlPr xmlns="http://schemas.microsoft.com/office/spreadsheetml/2009/9/main" objectType="Button" lockText="1"/>
</file>

<file path=xl/ctrlProps/ctrlProp98.xml><?xml version="1.0" encoding="utf-8"?>
<formControlPr xmlns="http://schemas.microsoft.com/office/spreadsheetml/2009/9/main" objectType="Button" lockText="1"/>
</file>

<file path=xl/ctrlProps/ctrlProp99.xml><?xml version="1.0" encoding="utf-8"?>
<formControlPr xmlns="http://schemas.microsoft.com/office/spreadsheetml/2009/9/main" objectType="Button" lockText="1"/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34</xdr:row>
          <xdr:rowOff>209550</xdr:rowOff>
        </xdr:from>
        <xdr:to>
          <xdr:col>2</xdr:col>
          <xdr:colOff>1047750</xdr:colOff>
          <xdr:row>36</xdr:row>
          <xdr:rowOff>171450</xdr:rowOff>
        </xdr:to>
        <xdr:sp macro="" textlink="">
          <xdr:nvSpPr>
            <xdr:cNvPr id="3081" name="Button 9" hidden="1">
              <a:extLst>
                <a:ext uri="{63B3BB69-23CF-44E3-9099-C40C66FF867C}">
                  <a14:compatExt spid="_x0000_s3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Entire COSS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18</xdr:row>
          <xdr:rowOff>19050</xdr:rowOff>
        </xdr:from>
        <xdr:to>
          <xdr:col>2</xdr:col>
          <xdr:colOff>1019175</xdr:colOff>
          <xdr:row>18</xdr:row>
          <xdr:rowOff>219075</xdr:rowOff>
        </xdr:to>
        <xdr:sp macro="" textlink="">
          <xdr:nvSpPr>
            <xdr:cNvPr id="3139" name="Button 67" hidden="1">
              <a:extLst>
                <a:ext uri="{63B3BB69-23CF-44E3-9099-C40C66FF867C}">
                  <a14:compatExt spid="_x0000_s31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19</xdr:row>
          <xdr:rowOff>19050</xdr:rowOff>
        </xdr:from>
        <xdr:to>
          <xdr:col>2</xdr:col>
          <xdr:colOff>1019175</xdr:colOff>
          <xdr:row>19</xdr:row>
          <xdr:rowOff>219075</xdr:rowOff>
        </xdr:to>
        <xdr:sp macro="" textlink="">
          <xdr:nvSpPr>
            <xdr:cNvPr id="3151" name="Button 79" hidden="1">
              <a:extLst>
                <a:ext uri="{63B3BB69-23CF-44E3-9099-C40C66FF867C}">
                  <a14:compatExt spid="_x0000_s31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2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20</xdr:row>
          <xdr:rowOff>19050</xdr:rowOff>
        </xdr:from>
        <xdr:to>
          <xdr:col>2</xdr:col>
          <xdr:colOff>1019175</xdr:colOff>
          <xdr:row>20</xdr:row>
          <xdr:rowOff>209550</xdr:rowOff>
        </xdr:to>
        <xdr:sp macro="" textlink="">
          <xdr:nvSpPr>
            <xdr:cNvPr id="3152" name="Button 80" hidden="1">
              <a:extLst>
                <a:ext uri="{63B3BB69-23CF-44E3-9099-C40C66FF867C}">
                  <a14:compatExt spid="_x0000_s3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3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21</xdr:row>
          <xdr:rowOff>19050</xdr:rowOff>
        </xdr:from>
        <xdr:to>
          <xdr:col>2</xdr:col>
          <xdr:colOff>1019175</xdr:colOff>
          <xdr:row>21</xdr:row>
          <xdr:rowOff>209550</xdr:rowOff>
        </xdr:to>
        <xdr:sp macro="" textlink="">
          <xdr:nvSpPr>
            <xdr:cNvPr id="3153" name="Button 81" hidden="1">
              <a:extLst>
                <a:ext uri="{63B3BB69-23CF-44E3-9099-C40C66FF867C}">
                  <a14:compatExt spid="_x0000_s31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4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22</xdr:row>
          <xdr:rowOff>19050</xdr:rowOff>
        </xdr:from>
        <xdr:to>
          <xdr:col>2</xdr:col>
          <xdr:colOff>1019175</xdr:colOff>
          <xdr:row>22</xdr:row>
          <xdr:rowOff>209550</xdr:rowOff>
        </xdr:to>
        <xdr:sp macro="" textlink="">
          <xdr:nvSpPr>
            <xdr:cNvPr id="3154" name="Button 82" hidden="1">
              <a:extLst>
                <a:ext uri="{63B3BB69-23CF-44E3-9099-C40C66FF867C}">
                  <a14:compatExt spid="_x0000_s3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23</xdr:row>
          <xdr:rowOff>9525</xdr:rowOff>
        </xdr:from>
        <xdr:to>
          <xdr:col>2</xdr:col>
          <xdr:colOff>1019175</xdr:colOff>
          <xdr:row>23</xdr:row>
          <xdr:rowOff>219075</xdr:rowOff>
        </xdr:to>
        <xdr:sp macro="" textlink="">
          <xdr:nvSpPr>
            <xdr:cNvPr id="3155" name="Button 83" hidden="1">
              <a:extLst>
                <a:ext uri="{63B3BB69-23CF-44E3-9099-C40C66FF867C}">
                  <a14:compatExt spid="_x0000_s31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24</xdr:row>
          <xdr:rowOff>9525</xdr:rowOff>
        </xdr:from>
        <xdr:to>
          <xdr:col>2</xdr:col>
          <xdr:colOff>1019175</xdr:colOff>
          <xdr:row>24</xdr:row>
          <xdr:rowOff>219075</xdr:rowOff>
        </xdr:to>
        <xdr:sp macro="" textlink="">
          <xdr:nvSpPr>
            <xdr:cNvPr id="3156" name="Button 84" hidden="1">
              <a:extLst>
                <a:ext uri="{63B3BB69-23CF-44E3-9099-C40C66FF867C}">
                  <a14:compatExt spid="_x0000_s31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25</xdr:row>
          <xdr:rowOff>9525</xdr:rowOff>
        </xdr:from>
        <xdr:to>
          <xdr:col>2</xdr:col>
          <xdr:colOff>1019175</xdr:colOff>
          <xdr:row>25</xdr:row>
          <xdr:rowOff>219075</xdr:rowOff>
        </xdr:to>
        <xdr:sp macro="" textlink="">
          <xdr:nvSpPr>
            <xdr:cNvPr id="3157" name="Button 85" hidden="1">
              <a:extLst>
                <a:ext uri="{63B3BB69-23CF-44E3-9099-C40C66FF867C}">
                  <a14:compatExt spid="_x0000_s31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26</xdr:row>
          <xdr:rowOff>9525</xdr:rowOff>
        </xdr:from>
        <xdr:to>
          <xdr:col>2</xdr:col>
          <xdr:colOff>1019175</xdr:colOff>
          <xdr:row>26</xdr:row>
          <xdr:rowOff>219075</xdr:rowOff>
        </xdr:to>
        <xdr:sp macro="" textlink="">
          <xdr:nvSpPr>
            <xdr:cNvPr id="3158" name="Button 86" hidden="1">
              <a:extLst>
                <a:ext uri="{63B3BB69-23CF-44E3-9099-C40C66FF867C}">
                  <a14:compatExt spid="_x0000_s31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27</xdr:row>
          <xdr:rowOff>0</xdr:rowOff>
        </xdr:from>
        <xdr:to>
          <xdr:col>2</xdr:col>
          <xdr:colOff>1019175</xdr:colOff>
          <xdr:row>27</xdr:row>
          <xdr:rowOff>209550</xdr:rowOff>
        </xdr:to>
        <xdr:sp macro="" textlink="">
          <xdr:nvSpPr>
            <xdr:cNvPr id="3159" name="Button 87" hidden="1">
              <a:extLst>
                <a:ext uri="{63B3BB69-23CF-44E3-9099-C40C66FF867C}">
                  <a14:compatExt spid="_x0000_s31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28</xdr:row>
          <xdr:rowOff>0</xdr:rowOff>
        </xdr:from>
        <xdr:to>
          <xdr:col>2</xdr:col>
          <xdr:colOff>1019175</xdr:colOff>
          <xdr:row>28</xdr:row>
          <xdr:rowOff>209550</xdr:rowOff>
        </xdr:to>
        <xdr:sp macro="" textlink="">
          <xdr:nvSpPr>
            <xdr:cNvPr id="3160" name="Button 88" hidden="1">
              <a:extLst>
                <a:ext uri="{63B3BB69-23CF-44E3-9099-C40C66FF867C}">
                  <a14:compatExt spid="_x0000_s31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29</xdr:row>
          <xdr:rowOff>0</xdr:rowOff>
        </xdr:from>
        <xdr:to>
          <xdr:col>2</xdr:col>
          <xdr:colOff>1019175</xdr:colOff>
          <xdr:row>29</xdr:row>
          <xdr:rowOff>209550</xdr:rowOff>
        </xdr:to>
        <xdr:sp macro="" textlink="">
          <xdr:nvSpPr>
            <xdr:cNvPr id="3161" name="Button 89" hidden="1">
              <a:extLst>
                <a:ext uri="{63B3BB69-23CF-44E3-9099-C40C66FF867C}">
                  <a14:compatExt spid="_x0000_s31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9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29</xdr:row>
          <xdr:rowOff>304800</xdr:rowOff>
        </xdr:from>
        <xdr:to>
          <xdr:col>2</xdr:col>
          <xdr:colOff>1019175</xdr:colOff>
          <xdr:row>30</xdr:row>
          <xdr:rowOff>209550</xdr:rowOff>
        </xdr:to>
        <xdr:sp macro="" textlink="">
          <xdr:nvSpPr>
            <xdr:cNvPr id="3162" name="Button 90" hidden="1">
              <a:extLst>
                <a:ext uri="{63B3BB69-23CF-44E3-9099-C40C66FF867C}">
                  <a14:compatExt spid="_x0000_s31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10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30</xdr:row>
          <xdr:rowOff>304800</xdr:rowOff>
        </xdr:from>
        <xdr:to>
          <xdr:col>2</xdr:col>
          <xdr:colOff>1019175</xdr:colOff>
          <xdr:row>31</xdr:row>
          <xdr:rowOff>209550</xdr:rowOff>
        </xdr:to>
        <xdr:sp macro="" textlink="">
          <xdr:nvSpPr>
            <xdr:cNvPr id="3163" name="Button 91" hidden="1">
              <a:extLst>
                <a:ext uri="{63B3BB69-23CF-44E3-9099-C40C66FF867C}">
                  <a14:compatExt spid="_x0000_s31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31</xdr:row>
          <xdr:rowOff>304800</xdr:rowOff>
        </xdr:from>
        <xdr:to>
          <xdr:col>2</xdr:col>
          <xdr:colOff>1019175</xdr:colOff>
          <xdr:row>32</xdr:row>
          <xdr:rowOff>209550</xdr:rowOff>
        </xdr:to>
        <xdr:sp macro="" textlink="">
          <xdr:nvSpPr>
            <xdr:cNvPr id="3165" name="Button 93" hidden="1">
              <a:extLst>
                <a:ext uri="{63B3BB69-23CF-44E3-9099-C40C66FF867C}">
                  <a14:compatExt spid="_x0000_s31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18</xdr:row>
          <xdr:rowOff>19050</xdr:rowOff>
        </xdr:from>
        <xdr:to>
          <xdr:col>3</xdr:col>
          <xdr:colOff>1047750</xdr:colOff>
          <xdr:row>18</xdr:row>
          <xdr:rowOff>247650</xdr:rowOff>
        </xdr:to>
        <xdr:sp macro="" textlink="">
          <xdr:nvSpPr>
            <xdr:cNvPr id="3166" name="Button 94" hidden="1">
              <a:extLst>
                <a:ext uri="{63B3BB69-23CF-44E3-9099-C40C66FF867C}">
                  <a14:compatExt spid="_x0000_s31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19</xdr:row>
          <xdr:rowOff>19050</xdr:rowOff>
        </xdr:from>
        <xdr:to>
          <xdr:col>3</xdr:col>
          <xdr:colOff>1047750</xdr:colOff>
          <xdr:row>19</xdr:row>
          <xdr:rowOff>219075</xdr:rowOff>
        </xdr:to>
        <xdr:sp macro="" textlink="">
          <xdr:nvSpPr>
            <xdr:cNvPr id="3167" name="Button 95" hidden="1">
              <a:extLst>
                <a:ext uri="{63B3BB69-23CF-44E3-9099-C40C66FF867C}">
                  <a14:compatExt spid="_x0000_s31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2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20</xdr:row>
          <xdr:rowOff>19050</xdr:rowOff>
        </xdr:from>
        <xdr:to>
          <xdr:col>3</xdr:col>
          <xdr:colOff>1028700</xdr:colOff>
          <xdr:row>20</xdr:row>
          <xdr:rowOff>209550</xdr:rowOff>
        </xdr:to>
        <xdr:sp macro="" textlink="">
          <xdr:nvSpPr>
            <xdr:cNvPr id="3168" name="Button 96" hidden="1">
              <a:extLst>
                <a:ext uri="{63B3BB69-23CF-44E3-9099-C40C66FF867C}">
                  <a14:compatExt spid="_x0000_s31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3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21</xdr:row>
          <xdr:rowOff>19050</xdr:rowOff>
        </xdr:from>
        <xdr:to>
          <xdr:col>3</xdr:col>
          <xdr:colOff>1009650</xdr:colOff>
          <xdr:row>21</xdr:row>
          <xdr:rowOff>228600</xdr:rowOff>
        </xdr:to>
        <xdr:sp macro="" textlink="">
          <xdr:nvSpPr>
            <xdr:cNvPr id="3169" name="Button 97" hidden="1">
              <a:extLst>
                <a:ext uri="{63B3BB69-23CF-44E3-9099-C40C66FF867C}">
                  <a14:compatExt spid="_x0000_s3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4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22</xdr:row>
          <xdr:rowOff>19050</xdr:rowOff>
        </xdr:from>
        <xdr:to>
          <xdr:col>3</xdr:col>
          <xdr:colOff>1028700</xdr:colOff>
          <xdr:row>22</xdr:row>
          <xdr:rowOff>209550</xdr:rowOff>
        </xdr:to>
        <xdr:sp macro="" textlink="">
          <xdr:nvSpPr>
            <xdr:cNvPr id="3170" name="Button 98" hidden="1">
              <a:extLst>
                <a:ext uri="{63B3BB69-23CF-44E3-9099-C40C66FF867C}">
                  <a14:compatExt spid="_x0000_s3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23</xdr:row>
          <xdr:rowOff>9525</xdr:rowOff>
        </xdr:from>
        <xdr:to>
          <xdr:col>3</xdr:col>
          <xdr:colOff>1028700</xdr:colOff>
          <xdr:row>23</xdr:row>
          <xdr:rowOff>200025</xdr:rowOff>
        </xdr:to>
        <xdr:sp macro="" textlink="">
          <xdr:nvSpPr>
            <xdr:cNvPr id="3171" name="Button 99" hidden="1">
              <a:extLst>
                <a:ext uri="{63B3BB69-23CF-44E3-9099-C40C66FF867C}">
                  <a14:compatExt spid="_x0000_s31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24</xdr:row>
          <xdr:rowOff>9525</xdr:rowOff>
        </xdr:from>
        <xdr:to>
          <xdr:col>3</xdr:col>
          <xdr:colOff>1009650</xdr:colOff>
          <xdr:row>24</xdr:row>
          <xdr:rowOff>228600</xdr:rowOff>
        </xdr:to>
        <xdr:sp macro="" textlink="">
          <xdr:nvSpPr>
            <xdr:cNvPr id="3172" name="Button 100" hidden="1">
              <a:extLst>
                <a:ext uri="{63B3BB69-23CF-44E3-9099-C40C66FF867C}">
                  <a14:compatExt spid="_x0000_s3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25</xdr:row>
          <xdr:rowOff>9525</xdr:rowOff>
        </xdr:from>
        <xdr:to>
          <xdr:col>3</xdr:col>
          <xdr:colOff>1009650</xdr:colOff>
          <xdr:row>25</xdr:row>
          <xdr:rowOff>228600</xdr:rowOff>
        </xdr:to>
        <xdr:sp macro="" textlink="">
          <xdr:nvSpPr>
            <xdr:cNvPr id="3173" name="Button 101" hidden="1">
              <a:extLst>
                <a:ext uri="{63B3BB69-23CF-44E3-9099-C40C66FF867C}">
                  <a14:compatExt spid="_x0000_s31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142875</xdr:colOff>
          <xdr:row>26</xdr:row>
          <xdr:rowOff>9525</xdr:rowOff>
        </xdr:from>
        <xdr:to>
          <xdr:col>3</xdr:col>
          <xdr:colOff>1009650</xdr:colOff>
          <xdr:row>26</xdr:row>
          <xdr:rowOff>228600</xdr:rowOff>
        </xdr:to>
        <xdr:sp macro="" textlink="">
          <xdr:nvSpPr>
            <xdr:cNvPr id="3174" name="Button 102" hidden="1">
              <a:extLst>
                <a:ext uri="{63B3BB69-23CF-44E3-9099-C40C66FF867C}">
                  <a14:compatExt spid="_x0000_s3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142875</xdr:colOff>
          <xdr:row>27</xdr:row>
          <xdr:rowOff>0</xdr:rowOff>
        </xdr:from>
        <xdr:to>
          <xdr:col>3</xdr:col>
          <xdr:colOff>1009650</xdr:colOff>
          <xdr:row>27</xdr:row>
          <xdr:rowOff>219075</xdr:rowOff>
        </xdr:to>
        <xdr:sp macro="" textlink="">
          <xdr:nvSpPr>
            <xdr:cNvPr id="3175" name="Button 103" hidden="1">
              <a:extLst>
                <a:ext uri="{63B3BB69-23CF-44E3-9099-C40C66FF867C}">
                  <a14:compatExt spid="_x0000_s31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142875</xdr:colOff>
          <xdr:row>28</xdr:row>
          <xdr:rowOff>0</xdr:rowOff>
        </xdr:from>
        <xdr:to>
          <xdr:col>3</xdr:col>
          <xdr:colOff>1009650</xdr:colOff>
          <xdr:row>28</xdr:row>
          <xdr:rowOff>209550</xdr:rowOff>
        </xdr:to>
        <xdr:sp macro="" textlink="">
          <xdr:nvSpPr>
            <xdr:cNvPr id="3176" name="Button 104" hidden="1">
              <a:extLst>
                <a:ext uri="{63B3BB69-23CF-44E3-9099-C40C66FF867C}">
                  <a14:compatExt spid="_x0000_s31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29</xdr:row>
          <xdr:rowOff>0</xdr:rowOff>
        </xdr:from>
        <xdr:to>
          <xdr:col>3</xdr:col>
          <xdr:colOff>1047750</xdr:colOff>
          <xdr:row>29</xdr:row>
          <xdr:rowOff>209550</xdr:rowOff>
        </xdr:to>
        <xdr:sp macro="" textlink="">
          <xdr:nvSpPr>
            <xdr:cNvPr id="3177" name="Button 105" hidden="1">
              <a:extLst>
                <a:ext uri="{63B3BB69-23CF-44E3-9099-C40C66FF867C}">
                  <a14:compatExt spid="_x0000_s31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9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30</xdr:row>
          <xdr:rowOff>19050</xdr:rowOff>
        </xdr:from>
        <xdr:to>
          <xdr:col>3</xdr:col>
          <xdr:colOff>1009650</xdr:colOff>
          <xdr:row>30</xdr:row>
          <xdr:rowOff>219075</xdr:rowOff>
        </xdr:to>
        <xdr:sp macro="" textlink="">
          <xdr:nvSpPr>
            <xdr:cNvPr id="3178" name="Button 106" hidden="1">
              <a:extLst>
                <a:ext uri="{63B3BB69-23CF-44E3-9099-C40C66FF867C}">
                  <a14:compatExt spid="_x0000_s31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10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31</xdr:row>
          <xdr:rowOff>9525</xdr:rowOff>
        </xdr:from>
        <xdr:to>
          <xdr:col>3</xdr:col>
          <xdr:colOff>1009650</xdr:colOff>
          <xdr:row>31</xdr:row>
          <xdr:rowOff>247650</xdr:rowOff>
        </xdr:to>
        <xdr:sp macro="" textlink="">
          <xdr:nvSpPr>
            <xdr:cNvPr id="3179" name="Button 107" hidden="1">
              <a:extLst>
                <a:ext uri="{63B3BB69-23CF-44E3-9099-C40C66FF867C}">
                  <a14:compatExt spid="_x0000_s31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31</xdr:row>
          <xdr:rowOff>304800</xdr:rowOff>
        </xdr:from>
        <xdr:to>
          <xdr:col>3</xdr:col>
          <xdr:colOff>990600</xdr:colOff>
          <xdr:row>32</xdr:row>
          <xdr:rowOff>209550</xdr:rowOff>
        </xdr:to>
        <xdr:sp macro="" textlink="">
          <xdr:nvSpPr>
            <xdr:cNvPr id="3180" name="Button 108" hidden="1">
              <a:extLst>
                <a:ext uri="{63B3BB69-23CF-44E3-9099-C40C66FF867C}">
                  <a14:compatExt spid="_x0000_s31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34</xdr:row>
          <xdr:rowOff>209550</xdr:rowOff>
        </xdr:from>
        <xdr:to>
          <xdr:col>3</xdr:col>
          <xdr:colOff>1047750</xdr:colOff>
          <xdr:row>36</xdr:row>
          <xdr:rowOff>171450</xdr:rowOff>
        </xdr:to>
        <xdr:sp macro="" textlink="">
          <xdr:nvSpPr>
            <xdr:cNvPr id="3200" name="Button 128" hidden="1">
              <a:extLst>
                <a:ext uri="{63B3BB69-23CF-44E3-9099-C40C66FF867C}">
                  <a14:compatExt spid="_x0000_s32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Entire COSS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142875</xdr:colOff>
          <xdr:row>18</xdr:row>
          <xdr:rowOff>19050</xdr:rowOff>
        </xdr:from>
        <xdr:to>
          <xdr:col>4</xdr:col>
          <xdr:colOff>1019175</xdr:colOff>
          <xdr:row>18</xdr:row>
          <xdr:rowOff>219075</xdr:rowOff>
        </xdr:to>
        <xdr:sp macro="" textlink="">
          <xdr:nvSpPr>
            <xdr:cNvPr id="3201" name="Button 129" hidden="1">
              <a:extLst>
                <a:ext uri="{63B3BB69-23CF-44E3-9099-C40C66FF867C}">
                  <a14:compatExt spid="_x0000_s3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142875</xdr:colOff>
          <xdr:row>19</xdr:row>
          <xdr:rowOff>19050</xdr:rowOff>
        </xdr:from>
        <xdr:to>
          <xdr:col>4</xdr:col>
          <xdr:colOff>1019175</xdr:colOff>
          <xdr:row>19</xdr:row>
          <xdr:rowOff>219075</xdr:rowOff>
        </xdr:to>
        <xdr:sp macro="" textlink="">
          <xdr:nvSpPr>
            <xdr:cNvPr id="3202" name="Button 130" hidden="1">
              <a:extLst>
                <a:ext uri="{63B3BB69-23CF-44E3-9099-C40C66FF867C}">
                  <a14:compatExt spid="_x0000_s32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2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142875</xdr:colOff>
          <xdr:row>20</xdr:row>
          <xdr:rowOff>19050</xdr:rowOff>
        </xdr:from>
        <xdr:to>
          <xdr:col>4</xdr:col>
          <xdr:colOff>1019175</xdr:colOff>
          <xdr:row>20</xdr:row>
          <xdr:rowOff>209550</xdr:rowOff>
        </xdr:to>
        <xdr:sp macro="" textlink="">
          <xdr:nvSpPr>
            <xdr:cNvPr id="3203" name="Button 131" hidden="1">
              <a:extLst>
                <a:ext uri="{63B3BB69-23CF-44E3-9099-C40C66FF867C}">
                  <a14:compatExt spid="_x0000_s32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3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142875</xdr:colOff>
          <xdr:row>21</xdr:row>
          <xdr:rowOff>19050</xdr:rowOff>
        </xdr:from>
        <xdr:to>
          <xdr:col>4</xdr:col>
          <xdr:colOff>1019175</xdr:colOff>
          <xdr:row>21</xdr:row>
          <xdr:rowOff>209550</xdr:rowOff>
        </xdr:to>
        <xdr:sp macro="" textlink="">
          <xdr:nvSpPr>
            <xdr:cNvPr id="3204" name="Button 132" hidden="1">
              <a:extLst>
                <a:ext uri="{63B3BB69-23CF-44E3-9099-C40C66FF867C}">
                  <a14:compatExt spid="_x0000_s32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4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142875</xdr:colOff>
          <xdr:row>22</xdr:row>
          <xdr:rowOff>19050</xdr:rowOff>
        </xdr:from>
        <xdr:to>
          <xdr:col>4</xdr:col>
          <xdr:colOff>1019175</xdr:colOff>
          <xdr:row>22</xdr:row>
          <xdr:rowOff>209550</xdr:rowOff>
        </xdr:to>
        <xdr:sp macro="" textlink="">
          <xdr:nvSpPr>
            <xdr:cNvPr id="3205" name="Button 133" hidden="1">
              <a:extLst>
                <a:ext uri="{63B3BB69-23CF-44E3-9099-C40C66FF867C}">
                  <a14:compatExt spid="_x0000_s32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142875</xdr:colOff>
          <xdr:row>23</xdr:row>
          <xdr:rowOff>9525</xdr:rowOff>
        </xdr:from>
        <xdr:to>
          <xdr:col>4</xdr:col>
          <xdr:colOff>1019175</xdr:colOff>
          <xdr:row>23</xdr:row>
          <xdr:rowOff>219075</xdr:rowOff>
        </xdr:to>
        <xdr:sp macro="" textlink="">
          <xdr:nvSpPr>
            <xdr:cNvPr id="3206" name="Button 134" hidden="1">
              <a:extLst>
                <a:ext uri="{63B3BB69-23CF-44E3-9099-C40C66FF867C}">
                  <a14:compatExt spid="_x0000_s32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142875</xdr:colOff>
          <xdr:row>24</xdr:row>
          <xdr:rowOff>9525</xdr:rowOff>
        </xdr:from>
        <xdr:to>
          <xdr:col>4</xdr:col>
          <xdr:colOff>1019175</xdr:colOff>
          <xdr:row>24</xdr:row>
          <xdr:rowOff>219075</xdr:rowOff>
        </xdr:to>
        <xdr:sp macro="" textlink="">
          <xdr:nvSpPr>
            <xdr:cNvPr id="3207" name="Button 135" hidden="1">
              <a:extLst>
                <a:ext uri="{63B3BB69-23CF-44E3-9099-C40C66FF867C}">
                  <a14:compatExt spid="_x0000_s32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142875</xdr:colOff>
          <xdr:row>25</xdr:row>
          <xdr:rowOff>9525</xdr:rowOff>
        </xdr:from>
        <xdr:to>
          <xdr:col>4</xdr:col>
          <xdr:colOff>1019175</xdr:colOff>
          <xdr:row>25</xdr:row>
          <xdr:rowOff>219075</xdr:rowOff>
        </xdr:to>
        <xdr:sp macro="" textlink="">
          <xdr:nvSpPr>
            <xdr:cNvPr id="3208" name="Button 136" hidden="1">
              <a:extLst>
                <a:ext uri="{63B3BB69-23CF-44E3-9099-C40C66FF867C}">
                  <a14:compatExt spid="_x0000_s32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142875</xdr:colOff>
          <xdr:row>26</xdr:row>
          <xdr:rowOff>9525</xdr:rowOff>
        </xdr:from>
        <xdr:to>
          <xdr:col>4</xdr:col>
          <xdr:colOff>1019175</xdr:colOff>
          <xdr:row>26</xdr:row>
          <xdr:rowOff>219075</xdr:rowOff>
        </xdr:to>
        <xdr:sp macro="" textlink="">
          <xdr:nvSpPr>
            <xdr:cNvPr id="3209" name="Button 137" hidden="1">
              <a:extLst>
                <a:ext uri="{63B3BB69-23CF-44E3-9099-C40C66FF867C}">
                  <a14:compatExt spid="_x0000_s32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142875</xdr:colOff>
          <xdr:row>27</xdr:row>
          <xdr:rowOff>0</xdr:rowOff>
        </xdr:from>
        <xdr:to>
          <xdr:col>4</xdr:col>
          <xdr:colOff>1019175</xdr:colOff>
          <xdr:row>27</xdr:row>
          <xdr:rowOff>209550</xdr:rowOff>
        </xdr:to>
        <xdr:sp macro="" textlink="">
          <xdr:nvSpPr>
            <xdr:cNvPr id="3210" name="Button 138" hidden="1">
              <a:extLst>
                <a:ext uri="{63B3BB69-23CF-44E3-9099-C40C66FF867C}">
                  <a14:compatExt spid="_x0000_s32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142875</xdr:colOff>
          <xdr:row>28</xdr:row>
          <xdr:rowOff>0</xdr:rowOff>
        </xdr:from>
        <xdr:to>
          <xdr:col>4</xdr:col>
          <xdr:colOff>1019175</xdr:colOff>
          <xdr:row>28</xdr:row>
          <xdr:rowOff>209550</xdr:rowOff>
        </xdr:to>
        <xdr:sp macro="" textlink="">
          <xdr:nvSpPr>
            <xdr:cNvPr id="3211" name="Button 139" hidden="1">
              <a:extLst>
                <a:ext uri="{63B3BB69-23CF-44E3-9099-C40C66FF867C}">
                  <a14:compatExt spid="_x0000_s32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142875</xdr:colOff>
          <xdr:row>29</xdr:row>
          <xdr:rowOff>0</xdr:rowOff>
        </xdr:from>
        <xdr:to>
          <xdr:col>4</xdr:col>
          <xdr:colOff>1019175</xdr:colOff>
          <xdr:row>29</xdr:row>
          <xdr:rowOff>209550</xdr:rowOff>
        </xdr:to>
        <xdr:sp macro="" textlink="">
          <xdr:nvSpPr>
            <xdr:cNvPr id="3212" name="Button 140" hidden="1">
              <a:extLst>
                <a:ext uri="{63B3BB69-23CF-44E3-9099-C40C66FF867C}">
                  <a14:compatExt spid="_x0000_s32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9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142875</xdr:colOff>
          <xdr:row>29</xdr:row>
          <xdr:rowOff>304800</xdr:rowOff>
        </xdr:from>
        <xdr:to>
          <xdr:col>4</xdr:col>
          <xdr:colOff>1019175</xdr:colOff>
          <xdr:row>30</xdr:row>
          <xdr:rowOff>209550</xdr:rowOff>
        </xdr:to>
        <xdr:sp macro="" textlink="">
          <xdr:nvSpPr>
            <xdr:cNvPr id="3213" name="Button 141" hidden="1">
              <a:extLst>
                <a:ext uri="{63B3BB69-23CF-44E3-9099-C40C66FF867C}">
                  <a14:compatExt spid="_x0000_s32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10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142875</xdr:colOff>
          <xdr:row>30</xdr:row>
          <xdr:rowOff>304800</xdr:rowOff>
        </xdr:from>
        <xdr:to>
          <xdr:col>4</xdr:col>
          <xdr:colOff>1019175</xdr:colOff>
          <xdr:row>31</xdr:row>
          <xdr:rowOff>209550</xdr:rowOff>
        </xdr:to>
        <xdr:sp macro="" textlink="">
          <xdr:nvSpPr>
            <xdr:cNvPr id="3214" name="Button 142" hidden="1">
              <a:extLst>
                <a:ext uri="{63B3BB69-23CF-44E3-9099-C40C66FF867C}">
                  <a14:compatExt spid="_x0000_s32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142875</xdr:colOff>
          <xdr:row>31</xdr:row>
          <xdr:rowOff>304800</xdr:rowOff>
        </xdr:from>
        <xdr:to>
          <xdr:col>4</xdr:col>
          <xdr:colOff>1019175</xdr:colOff>
          <xdr:row>32</xdr:row>
          <xdr:rowOff>209550</xdr:rowOff>
        </xdr:to>
        <xdr:sp macro="" textlink="">
          <xdr:nvSpPr>
            <xdr:cNvPr id="3215" name="Button 143" hidden="1">
              <a:extLst>
                <a:ext uri="{63B3BB69-23CF-44E3-9099-C40C66FF867C}">
                  <a14:compatExt spid="_x0000_s32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133350</xdr:colOff>
          <xdr:row>18</xdr:row>
          <xdr:rowOff>19050</xdr:rowOff>
        </xdr:from>
        <xdr:to>
          <xdr:col>5</xdr:col>
          <xdr:colOff>1009650</xdr:colOff>
          <xdr:row>18</xdr:row>
          <xdr:rowOff>219075</xdr:rowOff>
        </xdr:to>
        <xdr:sp macro="" textlink="">
          <xdr:nvSpPr>
            <xdr:cNvPr id="3217" name="Button 145" hidden="1">
              <a:extLst>
                <a:ext uri="{63B3BB69-23CF-44E3-9099-C40C66FF867C}">
                  <a14:compatExt spid="_x0000_s3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133350</xdr:colOff>
          <xdr:row>19</xdr:row>
          <xdr:rowOff>19050</xdr:rowOff>
        </xdr:from>
        <xdr:to>
          <xdr:col>5</xdr:col>
          <xdr:colOff>1009650</xdr:colOff>
          <xdr:row>19</xdr:row>
          <xdr:rowOff>219075</xdr:rowOff>
        </xdr:to>
        <xdr:sp macro="" textlink="">
          <xdr:nvSpPr>
            <xdr:cNvPr id="3218" name="Button 146" hidden="1">
              <a:extLst>
                <a:ext uri="{63B3BB69-23CF-44E3-9099-C40C66FF867C}">
                  <a14:compatExt spid="_x0000_s3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2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133350</xdr:colOff>
          <xdr:row>20</xdr:row>
          <xdr:rowOff>19050</xdr:rowOff>
        </xdr:from>
        <xdr:to>
          <xdr:col>5</xdr:col>
          <xdr:colOff>1009650</xdr:colOff>
          <xdr:row>20</xdr:row>
          <xdr:rowOff>209550</xdr:rowOff>
        </xdr:to>
        <xdr:sp macro="" textlink="">
          <xdr:nvSpPr>
            <xdr:cNvPr id="3219" name="Button 147" hidden="1">
              <a:extLst>
                <a:ext uri="{63B3BB69-23CF-44E3-9099-C40C66FF867C}">
                  <a14:compatExt spid="_x0000_s3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3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133350</xdr:colOff>
          <xdr:row>21</xdr:row>
          <xdr:rowOff>19050</xdr:rowOff>
        </xdr:from>
        <xdr:to>
          <xdr:col>5</xdr:col>
          <xdr:colOff>1009650</xdr:colOff>
          <xdr:row>21</xdr:row>
          <xdr:rowOff>209550</xdr:rowOff>
        </xdr:to>
        <xdr:sp macro="" textlink="">
          <xdr:nvSpPr>
            <xdr:cNvPr id="3220" name="Button 148" hidden="1">
              <a:extLst>
                <a:ext uri="{63B3BB69-23CF-44E3-9099-C40C66FF867C}">
                  <a14:compatExt spid="_x0000_s32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4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133350</xdr:colOff>
          <xdr:row>22</xdr:row>
          <xdr:rowOff>19050</xdr:rowOff>
        </xdr:from>
        <xdr:to>
          <xdr:col>5</xdr:col>
          <xdr:colOff>1009650</xdr:colOff>
          <xdr:row>22</xdr:row>
          <xdr:rowOff>209550</xdr:rowOff>
        </xdr:to>
        <xdr:sp macro="" textlink="">
          <xdr:nvSpPr>
            <xdr:cNvPr id="3221" name="Button 149" hidden="1">
              <a:extLst>
                <a:ext uri="{63B3BB69-23CF-44E3-9099-C40C66FF867C}">
                  <a14:compatExt spid="_x0000_s32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133350</xdr:colOff>
          <xdr:row>23</xdr:row>
          <xdr:rowOff>9525</xdr:rowOff>
        </xdr:from>
        <xdr:to>
          <xdr:col>5</xdr:col>
          <xdr:colOff>1009650</xdr:colOff>
          <xdr:row>23</xdr:row>
          <xdr:rowOff>219075</xdr:rowOff>
        </xdr:to>
        <xdr:sp macro="" textlink="">
          <xdr:nvSpPr>
            <xdr:cNvPr id="3222" name="Button 150" hidden="1">
              <a:extLst>
                <a:ext uri="{63B3BB69-23CF-44E3-9099-C40C66FF867C}">
                  <a14:compatExt spid="_x0000_s32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133350</xdr:colOff>
          <xdr:row>24</xdr:row>
          <xdr:rowOff>9525</xdr:rowOff>
        </xdr:from>
        <xdr:to>
          <xdr:col>5</xdr:col>
          <xdr:colOff>1009650</xdr:colOff>
          <xdr:row>24</xdr:row>
          <xdr:rowOff>219075</xdr:rowOff>
        </xdr:to>
        <xdr:sp macro="" textlink="">
          <xdr:nvSpPr>
            <xdr:cNvPr id="3223" name="Button 151" hidden="1">
              <a:extLst>
                <a:ext uri="{63B3BB69-23CF-44E3-9099-C40C66FF867C}">
                  <a14:compatExt spid="_x0000_s32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133350</xdr:colOff>
          <xdr:row>25</xdr:row>
          <xdr:rowOff>9525</xdr:rowOff>
        </xdr:from>
        <xdr:to>
          <xdr:col>5</xdr:col>
          <xdr:colOff>1009650</xdr:colOff>
          <xdr:row>25</xdr:row>
          <xdr:rowOff>219075</xdr:rowOff>
        </xdr:to>
        <xdr:sp macro="" textlink="">
          <xdr:nvSpPr>
            <xdr:cNvPr id="3224" name="Button 152" hidden="1">
              <a:extLst>
                <a:ext uri="{63B3BB69-23CF-44E3-9099-C40C66FF867C}">
                  <a14:compatExt spid="_x0000_s32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133350</xdr:colOff>
          <xdr:row>26</xdr:row>
          <xdr:rowOff>9525</xdr:rowOff>
        </xdr:from>
        <xdr:to>
          <xdr:col>5</xdr:col>
          <xdr:colOff>1009650</xdr:colOff>
          <xdr:row>26</xdr:row>
          <xdr:rowOff>219075</xdr:rowOff>
        </xdr:to>
        <xdr:sp macro="" textlink="">
          <xdr:nvSpPr>
            <xdr:cNvPr id="3225" name="Button 153" hidden="1">
              <a:extLst>
                <a:ext uri="{63B3BB69-23CF-44E3-9099-C40C66FF867C}">
                  <a14:compatExt spid="_x0000_s3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133350</xdr:colOff>
          <xdr:row>27</xdr:row>
          <xdr:rowOff>0</xdr:rowOff>
        </xdr:from>
        <xdr:to>
          <xdr:col>5</xdr:col>
          <xdr:colOff>1009650</xdr:colOff>
          <xdr:row>27</xdr:row>
          <xdr:rowOff>209550</xdr:rowOff>
        </xdr:to>
        <xdr:sp macro="" textlink="">
          <xdr:nvSpPr>
            <xdr:cNvPr id="3226" name="Button 154" hidden="1">
              <a:extLst>
                <a:ext uri="{63B3BB69-23CF-44E3-9099-C40C66FF867C}">
                  <a14:compatExt spid="_x0000_s32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133350</xdr:colOff>
          <xdr:row>28</xdr:row>
          <xdr:rowOff>0</xdr:rowOff>
        </xdr:from>
        <xdr:to>
          <xdr:col>5</xdr:col>
          <xdr:colOff>1009650</xdr:colOff>
          <xdr:row>28</xdr:row>
          <xdr:rowOff>209550</xdr:rowOff>
        </xdr:to>
        <xdr:sp macro="" textlink="">
          <xdr:nvSpPr>
            <xdr:cNvPr id="3227" name="Button 155" hidden="1">
              <a:extLst>
                <a:ext uri="{63B3BB69-23CF-44E3-9099-C40C66FF867C}">
                  <a14:compatExt spid="_x0000_s32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133350</xdr:colOff>
          <xdr:row>29</xdr:row>
          <xdr:rowOff>0</xdr:rowOff>
        </xdr:from>
        <xdr:to>
          <xdr:col>5</xdr:col>
          <xdr:colOff>1009650</xdr:colOff>
          <xdr:row>29</xdr:row>
          <xdr:rowOff>209550</xdr:rowOff>
        </xdr:to>
        <xdr:sp macro="" textlink="">
          <xdr:nvSpPr>
            <xdr:cNvPr id="3228" name="Button 156" hidden="1">
              <a:extLst>
                <a:ext uri="{63B3BB69-23CF-44E3-9099-C40C66FF867C}">
                  <a14:compatExt spid="_x0000_s32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9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133350</xdr:colOff>
          <xdr:row>29</xdr:row>
          <xdr:rowOff>304800</xdr:rowOff>
        </xdr:from>
        <xdr:to>
          <xdr:col>5</xdr:col>
          <xdr:colOff>1009650</xdr:colOff>
          <xdr:row>30</xdr:row>
          <xdr:rowOff>209550</xdr:rowOff>
        </xdr:to>
        <xdr:sp macro="" textlink="">
          <xdr:nvSpPr>
            <xdr:cNvPr id="3229" name="Button 157" hidden="1">
              <a:extLst>
                <a:ext uri="{63B3BB69-23CF-44E3-9099-C40C66FF867C}">
                  <a14:compatExt spid="_x0000_s32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10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133350</xdr:colOff>
          <xdr:row>30</xdr:row>
          <xdr:rowOff>304800</xdr:rowOff>
        </xdr:from>
        <xdr:to>
          <xdr:col>5</xdr:col>
          <xdr:colOff>1009650</xdr:colOff>
          <xdr:row>31</xdr:row>
          <xdr:rowOff>209550</xdr:rowOff>
        </xdr:to>
        <xdr:sp macro="" textlink="">
          <xdr:nvSpPr>
            <xdr:cNvPr id="3230" name="Button 158" hidden="1">
              <a:extLst>
                <a:ext uri="{63B3BB69-23CF-44E3-9099-C40C66FF867C}">
                  <a14:compatExt spid="_x0000_s32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133350</xdr:colOff>
          <xdr:row>31</xdr:row>
          <xdr:rowOff>304800</xdr:rowOff>
        </xdr:from>
        <xdr:to>
          <xdr:col>5</xdr:col>
          <xdr:colOff>1009650</xdr:colOff>
          <xdr:row>32</xdr:row>
          <xdr:rowOff>209550</xdr:rowOff>
        </xdr:to>
        <xdr:sp macro="" textlink="">
          <xdr:nvSpPr>
            <xdr:cNvPr id="3231" name="Button 159" hidden="1">
              <a:extLst>
                <a:ext uri="{63B3BB69-23CF-44E3-9099-C40C66FF867C}">
                  <a14:compatExt spid="_x0000_s32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18</xdr:row>
          <xdr:rowOff>19050</xdr:rowOff>
        </xdr:from>
        <xdr:to>
          <xdr:col>6</xdr:col>
          <xdr:colOff>1009650</xdr:colOff>
          <xdr:row>18</xdr:row>
          <xdr:rowOff>219075</xdr:rowOff>
        </xdr:to>
        <xdr:sp macro="" textlink="">
          <xdr:nvSpPr>
            <xdr:cNvPr id="3233" name="Button 161" hidden="1">
              <a:extLst>
                <a:ext uri="{63B3BB69-23CF-44E3-9099-C40C66FF867C}">
                  <a14:compatExt spid="_x0000_s32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19</xdr:row>
          <xdr:rowOff>19050</xdr:rowOff>
        </xdr:from>
        <xdr:to>
          <xdr:col>6</xdr:col>
          <xdr:colOff>1009650</xdr:colOff>
          <xdr:row>19</xdr:row>
          <xdr:rowOff>219075</xdr:rowOff>
        </xdr:to>
        <xdr:sp macro="" textlink="">
          <xdr:nvSpPr>
            <xdr:cNvPr id="3234" name="Button 162" hidden="1">
              <a:extLst>
                <a:ext uri="{63B3BB69-23CF-44E3-9099-C40C66FF867C}">
                  <a14:compatExt spid="_x0000_s32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2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20</xdr:row>
          <xdr:rowOff>19050</xdr:rowOff>
        </xdr:from>
        <xdr:to>
          <xdr:col>6</xdr:col>
          <xdr:colOff>1009650</xdr:colOff>
          <xdr:row>20</xdr:row>
          <xdr:rowOff>209550</xdr:rowOff>
        </xdr:to>
        <xdr:sp macro="" textlink="">
          <xdr:nvSpPr>
            <xdr:cNvPr id="3235" name="Button 163" hidden="1">
              <a:extLst>
                <a:ext uri="{63B3BB69-23CF-44E3-9099-C40C66FF867C}">
                  <a14:compatExt spid="_x0000_s32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3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21</xdr:row>
          <xdr:rowOff>19050</xdr:rowOff>
        </xdr:from>
        <xdr:to>
          <xdr:col>6</xdr:col>
          <xdr:colOff>1009650</xdr:colOff>
          <xdr:row>21</xdr:row>
          <xdr:rowOff>209550</xdr:rowOff>
        </xdr:to>
        <xdr:sp macro="" textlink="">
          <xdr:nvSpPr>
            <xdr:cNvPr id="3236" name="Button 164" hidden="1">
              <a:extLst>
                <a:ext uri="{63B3BB69-23CF-44E3-9099-C40C66FF867C}">
                  <a14:compatExt spid="_x0000_s32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4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22</xdr:row>
          <xdr:rowOff>19050</xdr:rowOff>
        </xdr:from>
        <xdr:to>
          <xdr:col>6</xdr:col>
          <xdr:colOff>1009650</xdr:colOff>
          <xdr:row>22</xdr:row>
          <xdr:rowOff>209550</xdr:rowOff>
        </xdr:to>
        <xdr:sp macro="" textlink="">
          <xdr:nvSpPr>
            <xdr:cNvPr id="3237" name="Button 165" hidden="1">
              <a:extLst>
                <a:ext uri="{63B3BB69-23CF-44E3-9099-C40C66FF867C}">
                  <a14:compatExt spid="_x0000_s32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23</xdr:row>
          <xdr:rowOff>9525</xdr:rowOff>
        </xdr:from>
        <xdr:to>
          <xdr:col>6</xdr:col>
          <xdr:colOff>1009650</xdr:colOff>
          <xdr:row>23</xdr:row>
          <xdr:rowOff>219075</xdr:rowOff>
        </xdr:to>
        <xdr:sp macro="" textlink="">
          <xdr:nvSpPr>
            <xdr:cNvPr id="3238" name="Button 166" hidden="1">
              <a:extLst>
                <a:ext uri="{63B3BB69-23CF-44E3-9099-C40C66FF867C}">
                  <a14:compatExt spid="_x0000_s32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24</xdr:row>
          <xdr:rowOff>9525</xdr:rowOff>
        </xdr:from>
        <xdr:to>
          <xdr:col>6</xdr:col>
          <xdr:colOff>1009650</xdr:colOff>
          <xdr:row>24</xdr:row>
          <xdr:rowOff>219075</xdr:rowOff>
        </xdr:to>
        <xdr:sp macro="" textlink="">
          <xdr:nvSpPr>
            <xdr:cNvPr id="3239" name="Button 167" hidden="1">
              <a:extLst>
                <a:ext uri="{63B3BB69-23CF-44E3-9099-C40C66FF867C}">
                  <a14:compatExt spid="_x0000_s32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25</xdr:row>
          <xdr:rowOff>9525</xdr:rowOff>
        </xdr:from>
        <xdr:to>
          <xdr:col>6</xdr:col>
          <xdr:colOff>1009650</xdr:colOff>
          <xdr:row>25</xdr:row>
          <xdr:rowOff>219075</xdr:rowOff>
        </xdr:to>
        <xdr:sp macro="" textlink="">
          <xdr:nvSpPr>
            <xdr:cNvPr id="3240" name="Button 168" hidden="1">
              <a:extLst>
                <a:ext uri="{63B3BB69-23CF-44E3-9099-C40C66FF867C}">
                  <a14:compatExt spid="_x0000_s32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26</xdr:row>
          <xdr:rowOff>9525</xdr:rowOff>
        </xdr:from>
        <xdr:to>
          <xdr:col>6</xdr:col>
          <xdr:colOff>1009650</xdr:colOff>
          <xdr:row>26</xdr:row>
          <xdr:rowOff>219075</xdr:rowOff>
        </xdr:to>
        <xdr:sp macro="" textlink="">
          <xdr:nvSpPr>
            <xdr:cNvPr id="3241" name="Button 169" hidden="1">
              <a:extLst>
                <a:ext uri="{63B3BB69-23CF-44E3-9099-C40C66FF867C}">
                  <a14:compatExt spid="_x0000_s3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27</xdr:row>
          <xdr:rowOff>0</xdr:rowOff>
        </xdr:from>
        <xdr:to>
          <xdr:col>6</xdr:col>
          <xdr:colOff>1009650</xdr:colOff>
          <xdr:row>27</xdr:row>
          <xdr:rowOff>209550</xdr:rowOff>
        </xdr:to>
        <xdr:sp macro="" textlink="">
          <xdr:nvSpPr>
            <xdr:cNvPr id="3242" name="Button 170" hidden="1">
              <a:extLst>
                <a:ext uri="{63B3BB69-23CF-44E3-9099-C40C66FF867C}">
                  <a14:compatExt spid="_x0000_s3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28</xdr:row>
          <xdr:rowOff>0</xdr:rowOff>
        </xdr:from>
        <xdr:to>
          <xdr:col>6</xdr:col>
          <xdr:colOff>1009650</xdr:colOff>
          <xdr:row>28</xdr:row>
          <xdr:rowOff>209550</xdr:rowOff>
        </xdr:to>
        <xdr:sp macro="" textlink="">
          <xdr:nvSpPr>
            <xdr:cNvPr id="3243" name="Button 171" hidden="1">
              <a:extLst>
                <a:ext uri="{63B3BB69-23CF-44E3-9099-C40C66FF867C}">
                  <a14:compatExt spid="_x0000_s3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29</xdr:row>
          <xdr:rowOff>0</xdr:rowOff>
        </xdr:from>
        <xdr:to>
          <xdr:col>6</xdr:col>
          <xdr:colOff>1009650</xdr:colOff>
          <xdr:row>29</xdr:row>
          <xdr:rowOff>209550</xdr:rowOff>
        </xdr:to>
        <xdr:sp macro="" textlink="">
          <xdr:nvSpPr>
            <xdr:cNvPr id="3244" name="Button 172" hidden="1">
              <a:extLst>
                <a:ext uri="{63B3BB69-23CF-44E3-9099-C40C66FF867C}">
                  <a14:compatExt spid="_x0000_s32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9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29</xdr:row>
          <xdr:rowOff>304800</xdr:rowOff>
        </xdr:from>
        <xdr:to>
          <xdr:col>6</xdr:col>
          <xdr:colOff>1009650</xdr:colOff>
          <xdr:row>30</xdr:row>
          <xdr:rowOff>209550</xdr:rowOff>
        </xdr:to>
        <xdr:sp macro="" textlink="">
          <xdr:nvSpPr>
            <xdr:cNvPr id="3245" name="Button 173" hidden="1">
              <a:extLst>
                <a:ext uri="{63B3BB69-23CF-44E3-9099-C40C66FF867C}">
                  <a14:compatExt spid="_x0000_s3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10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30</xdr:row>
          <xdr:rowOff>304800</xdr:rowOff>
        </xdr:from>
        <xdr:to>
          <xdr:col>6</xdr:col>
          <xdr:colOff>1009650</xdr:colOff>
          <xdr:row>31</xdr:row>
          <xdr:rowOff>209550</xdr:rowOff>
        </xdr:to>
        <xdr:sp macro="" textlink="">
          <xdr:nvSpPr>
            <xdr:cNvPr id="3246" name="Button 174" hidden="1">
              <a:extLst>
                <a:ext uri="{63B3BB69-23CF-44E3-9099-C40C66FF867C}">
                  <a14:compatExt spid="_x0000_s32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31</xdr:row>
          <xdr:rowOff>304800</xdr:rowOff>
        </xdr:from>
        <xdr:to>
          <xdr:col>6</xdr:col>
          <xdr:colOff>1009650</xdr:colOff>
          <xdr:row>32</xdr:row>
          <xdr:rowOff>209550</xdr:rowOff>
        </xdr:to>
        <xdr:sp macro="" textlink="">
          <xdr:nvSpPr>
            <xdr:cNvPr id="3247" name="Button 175" hidden="1">
              <a:extLst>
                <a:ext uri="{63B3BB69-23CF-44E3-9099-C40C66FF867C}">
                  <a14:compatExt spid="_x0000_s3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18</xdr:row>
          <xdr:rowOff>19050</xdr:rowOff>
        </xdr:from>
        <xdr:to>
          <xdr:col>7</xdr:col>
          <xdr:colOff>1009650</xdr:colOff>
          <xdr:row>18</xdr:row>
          <xdr:rowOff>219075</xdr:rowOff>
        </xdr:to>
        <xdr:sp macro="" textlink="">
          <xdr:nvSpPr>
            <xdr:cNvPr id="3249" name="Button 177" hidden="1">
              <a:extLst>
                <a:ext uri="{63B3BB69-23CF-44E3-9099-C40C66FF867C}">
                  <a14:compatExt spid="_x0000_s3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19</xdr:row>
          <xdr:rowOff>19050</xdr:rowOff>
        </xdr:from>
        <xdr:to>
          <xdr:col>7</xdr:col>
          <xdr:colOff>1009650</xdr:colOff>
          <xdr:row>19</xdr:row>
          <xdr:rowOff>219075</xdr:rowOff>
        </xdr:to>
        <xdr:sp macro="" textlink="">
          <xdr:nvSpPr>
            <xdr:cNvPr id="3250" name="Button 178" hidden="1">
              <a:extLst>
                <a:ext uri="{63B3BB69-23CF-44E3-9099-C40C66FF867C}">
                  <a14:compatExt spid="_x0000_s32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2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20</xdr:row>
          <xdr:rowOff>19050</xdr:rowOff>
        </xdr:from>
        <xdr:to>
          <xdr:col>7</xdr:col>
          <xdr:colOff>1009650</xdr:colOff>
          <xdr:row>20</xdr:row>
          <xdr:rowOff>209550</xdr:rowOff>
        </xdr:to>
        <xdr:sp macro="" textlink="">
          <xdr:nvSpPr>
            <xdr:cNvPr id="3251" name="Button 179" hidden="1">
              <a:extLst>
                <a:ext uri="{63B3BB69-23CF-44E3-9099-C40C66FF867C}">
                  <a14:compatExt spid="_x0000_s3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3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21</xdr:row>
          <xdr:rowOff>19050</xdr:rowOff>
        </xdr:from>
        <xdr:to>
          <xdr:col>7</xdr:col>
          <xdr:colOff>1009650</xdr:colOff>
          <xdr:row>21</xdr:row>
          <xdr:rowOff>209550</xdr:rowOff>
        </xdr:to>
        <xdr:sp macro="" textlink="">
          <xdr:nvSpPr>
            <xdr:cNvPr id="3252" name="Button 180" hidden="1">
              <a:extLst>
                <a:ext uri="{63B3BB69-23CF-44E3-9099-C40C66FF867C}">
                  <a14:compatExt spid="_x0000_s32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4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22</xdr:row>
          <xdr:rowOff>19050</xdr:rowOff>
        </xdr:from>
        <xdr:to>
          <xdr:col>7</xdr:col>
          <xdr:colOff>1009650</xdr:colOff>
          <xdr:row>22</xdr:row>
          <xdr:rowOff>209550</xdr:rowOff>
        </xdr:to>
        <xdr:sp macro="" textlink="">
          <xdr:nvSpPr>
            <xdr:cNvPr id="3253" name="Button 181" hidden="1">
              <a:extLst>
                <a:ext uri="{63B3BB69-23CF-44E3-9099-C40C66FF867C}">
                  <a14:compatExt spid="_x0000_s32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23</xdr:row>
          <xdr:rowOff>9525</xdr:rowOff>
        </xdr:from>
        <xdr:to>
          <xdr:col>7</xdr:col>
          <xdr:colOff>1009650</xdr:colOff>
          <xdr:row>23</xdr:row>
          <xdr:rowOff>219075</xdr:rowOff>
        </xdr:to>
        <xdr:sp macro="" textlink="">
          <xdr:nvSpPr>
            <xdr:cNvPr id="3254" name="Button 182" hidden="1">
              <a:extLst>
                <a:ext uri="{63B3BB69-23CF-44E3-9099-C40C66FF867C}">
                  <a14:compatExt spid="_x0000_s3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24</xdr:row>
          <xdr:rowOff>9525</xdr:rowOff>
        </xdr:from>
        <xdr:to>
          <xdr:col>7</xdr:col>
          <xdr:colOff>1009650</xdr:colOff>
          <xdr:row>24</xdr:row>
          <xdr:rowOff>219075</xdr:rowOff>
        </xdr:to>
        <xdr:sp macro="" textlink="">
          <xdr:nvSpPr>
            <xdr:cNvPr id="3255" name="Button 183" hidden="1">
              <a:extLst>
                <a:ext uri="{63B3BB69-23CF-44E3-9099-C40C66FF867C}">
                  <a14:compatExt spid="_x0000_s32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25</xdr:row>
          <xdr:rowOff>9525</xdr:rowOff>
        </xdr:from>
        <xdr:to>
          <xdr:col>7</xdr:col>
          <xdr:colOff>1009650</xdr:colOff>
          <xdr:row>25</xdr:row>
          <xdr:rowOff>219075</xdr:rowOff>
        </xdr:to>
        <xdr:sp macro="" textlink="">
          <xdr:nvSpPr>
            <xdr:cNvPr id="3256" name="Button 184" hidden="1">
              <a:extLst>
                <a:ext uri="{63B3BB69-23CF-44E3-9099-C40C66FF867C}">
                  <a14:compatExt spid="_x0000_s32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26</xdr:row>
          <xdr:rowOff>9525</xdr:rowOff>
        </xdr:from>
        <xdr:to>
          <xdr:col>7</xdr:col>
          <xdr:colOff>1009650</xdr:colOff>
          <xdr:row>26</xdr:row>
          <xdr:rowOff>219075</xdr:rowOff>
        </xdr:to>
        <xdr:sp macro="" textlink="">
          <xdr:nvSpPr>
            <xdr:cNvPr id="3257" name="Button 185" hidden="1">
              <a:extLst>
                <a:ext uri="{63B3BB69-23CF-44E3-9099-C40C66FF867C}">
                  <a14:compatExt spid="_x0000_s32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27</xdr:row>
          <xdr:rowOff>0</xdr:rowOff>
        </xdr:from>
        <xdr:to>
          <xdr:col>7</xdr:col>
          <xdr:colOff>1009650</xdr:colOff>
          <xdr:row>27</xdr:row>
          <xdr:rowOff>209550</xdr:rowOff>
        </xdr:to>
        <xdr:sp macro="" textlink="">
          <xdr:nvSpPr>
            <xdr:cNvPr id="3258" name="Button 186" hidden="1">
              <a:extLst>
                <a:ext uri="{63B3BB69-23CF-44E3-9099-C40C66FF867C}">
                  <a14:compatExt spid="_x0000_s32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28</xdr:row>
          <xdr:rowOff>0</xdr:rowOff>
        </xdr:from>
        <xdr:to>
          <xdr:col>7</xdr:col>
          <xdr:colOff>1009650</xdr:colOff>
          <xdr:row>28</xdr:row>
          <xdr:rowOff>209550</xdr:rowOff>
        </xdr:to>
        <xdr:sp macro="" textlink="">
          <xdr:nvSpPr>
            <xdr:cNvPr id="3259" name="Button 187" hidden="1">
              <a:extLst>
                <a:ext uri="{63B3BB69-23CF-44E3-9099-C40C66FF867C}">
                  <a14:compatExt spid="_x0000_s3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29</xdr:row>
          <xdr:rowOff>0</xdr:rowOff>
        </xdr:from>
        <xdr:to>
          <xdr:col>7</xdr:col>
          <xdr:colOff>1009650</xdr:colOff>
          <xdr:row>29</xdr:row>
          <xdr:rowOff>209550</xdr:rowOff>
        </xdr:to>
        <xdr:sp macro="" textlink="">
          <xdr:nvSpPr>
            <xdr:cNvPr id="3260" name="Button 188" hidden="1">
              <a:extLst>
                <a:ext uri="{63B3BB69-23CF-44E3-9099-C40C66FF867C}">
                  <a14:compatExt spid="_x0000_s32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9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29</xdr:row>
          <xdr:rowOff>304800</xdr:rowOff>
        </xdr:from>
        <xdr:to>
          <xdr:col>7</xdr:col>
          <xdr:colOff>1009650</xdr:colOff>
          <xdr:row>30</xdr:row>
          <xdr:rowOff>209550</xdr:rowOff>
        </xdr:to>
        <xdr:sp macro="" textlink="">
          <xdr:nvSpPr>
            <xdr:cNvPr id="3261" name="Button 189" hidden="1">
              <a:extLst>
                <a:ext uri="{63B3BB69-23CF-44E3-9099-C40C66FF867C}">
                  <a14:compatExt spid="_x0000_s3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10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30</xdr:row>
          <xdr:rowOff>304800</xdr:rowOff>
        </xdr:from>
        <xdr:to>
          <xdr:col>7</xdr:col>
          <xdr:colOff>1009650</xdr:colOff>
          <xdr:row>31</xdr:row>
          <xdr:rowOff>209550</xdr:rowOff>
        </xdr:to>
        <xdr:sp macro="" textlink="">
          <xdr:nvSpPr>
            <xdr:cNvPr id="3262" name="Button 190" hidden="1">
              <a:extLst>
                <a:ext uri="{63B3BB69-23CF-44E3-9099-C40C66FF867C}">
                  <a14:compatExt spid="_x0000_s32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31</xdr:row>
          <xdr:rowOff>304800</xdr:rowOff>
        </xdr:from>
        <xdr:to>
          <xdr:col>7</xdr:col>
          <xdr:colOff>1009650</xdr:colOff>
          <xdr:row>32</xdr:row>
          <xdr:rowOff>209550</xdr:rowOff>
        </xdr:to>
        <xdr:sp macro="" textlink="">
          <xdr:nvSpPr>
            <xdr:cNvPr id="3263" name="Button 191" hidden="1">
              <a:extLst>
                <a:ext uri="{63B3BB69-23CF-44E3-9099-C40C66FF867C}">
                  <a14:compatExt spid="_x0000_s3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32</xdr:row>
          <xdr:rowOff>304800</xdr:rowOff>
        </xdr:from>
        <xdr:to>
          <xdr:col>3</xdr:col>
          <xdr:colOff>1047750</xdr:colOff>
          <xdr:row>33</xdr:row>
          <xdr:rowOff>219075</xdr:rowOff>
        </xdr:to>
        <xdr:sp macro="" textlink="">
          <xdr:nvSpPr>
            <xdr:cNvPr id="3272" name="Button 200" hidden="1">
              <a:extLst>
                <a:ext uri="{63B3BB69-23CF-44E3-9099-C40C66FF867C}">
                  <a14:compatExt spid="_x0000_s32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32</xdr:row>
          <xdr:rowOff>304800</xdr:rowOff>
        </xdr:from>
        <xdr:to>
          <xdr:col>2</xdr:col>
          <xdr:colOff>1047750</xdr:colOff>
          <xdr:row>33</xdr:row>
          <xdr:rowOff>219075</xdr:rowOff>
        </xdr:to>
        <xdr:sp macro="" textlink="">
          <xdr:nvSpPr>
            <xdr:cNvPr id="3273" name="Button 201" hidden="1">
              <a:extLst>
                <a:ext uri="{63B3BB69-23CF-44E3-9099-C40C66FF867C}">
                  <a14:compatExt spid="_x0000_s3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133350</xdr:colOff>
          <xdr:row>32</xdr:row>
          <xdr:rowOff>304800</xdr:rowOff>
        </xdr:from>
        <xdr:to>
          <xdr:col>4</xdr:col>
          <xdr:colOff>1047750</xdr:colOff>
          <xdr:row>33</xdr:row>
          <xdr:rowOff>219075</xdr:rowOff>
        </xdr:to>
        <xdr:sp macro="" textlink="">
          <xdr:nvSpPr>
            <xdr:cNvPr id="3274" name="Button 202" hidden="1">
              <a:extLst>
                <a:ext uri="{63B3BB69-23CF-44E3-9099-C40C66FF867C}">
                  <a14:compatExt spid="_x0000_s32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133350</xdr:colOff>
          <xdr:row>32</xdr:row>
          <xdr:rowOff>304800</xdr:rowOff>
        </xdr:from>
        <xdr:to>
          <xdr:col>5</xdr:col>
          <xdr:colOff>1047750</xdr:colOff>
          <xdr:row>33</xdr:row>
          <xdr:rowOff>219075</xdr:rowOff>
        </xdr:to>
        <xdr:sp macro="" textlink="">
          <xdr:nvSpPr>
            <xdr:cNvPr id="3275" name="Button 203" hidden="1">
              <a:extLst>
                <a:ext uri="{63B3BB69-23CF-44E3-9099-C40C66FF867C}">
                  <a14:compatExt spid="_x0000_s3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32</xdr:row>
          <xdr:rowOff>304800</xdr:rowOff>
        </xdr:from>
        <xdr:to>
          <xdr:col>6</xdr:col>
          <xdr:colOff>1047750</xdr:colOff>
          <xdr:row>33</xdr:row>
          <xdr:rowOff>219075</xdr:rowOff>
        </xdr:to>
        <xdr:sp macro="" textlink="">
          <xdr:nvSpPr>
            <xdr:cNvPr id="3276" name="Button 204" hidden="1">
              <a:extLst>
                <a:ext uri="{63B3BB69-23CF-44E3-9099-C40C66FF867C}">
                  <a14:compatExt spid="_x0000_s32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32</xdr:row>
          <xdr:rowOff>304800</xdr:rowOff>
        </xdr:from>
        <xdr:to>
          <xdr:col>7</xdr:col>
          <xdr:colOff>1047750</xdr:colOff>
          <xdr:row>33</xdr:row>
          <xdr:rowOff>219075</xdr:rowOff>
        </xdr:to>
        <xdr:sp macro="" textlink="">
          <xdr:nvSpPr>
            <xdr:cNvPr id="3277" name="Button 205" hidden="1">
              <a:extLst>
                <a:ext uri="{63B3BB69-23CF-44E3-9099-C40C66FF867C}">
                  <a14:compatExt spid="_x0000_s32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171450</xdr:colOff>
          <xdr:row>34</xdr:row>
          <xdr:rowOff>209550</xdr:rowOff>
        </xdr:from>
        <xdr:to>
          <xdr:col>4</xdr:col>
          <xdr:colOff>1047750</xdr:colOff>
          <xdr:row>36</xdr:row>
          <xdr:rowOff>171450</xdr:rowOff>
        </xdr:to>
        <xdr:sp macro="" textlink="">
          <xdr:nvSpPr>
            <xdr:cNvPr id="3278" name="Button 206" hidden="1">
              <a:extLst>
                <a:ext uri="{63B3BB69-23CF-44E3-9099-C40C66FF867C}">
                  <a14:compatExt spid="_x0000_s32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Entire COSS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161925</xdr:colOff>
          <xdr:row>34</xdr:row>
          <xdr:rowOff>209550</xdr:rowOff>
        </xdr:from>
        <xdr:to>
          <xdr:col>5</xdr:col>
          <xdr:colOff>1047750</xdr:colOff>
          <xdr:row>36</xdr:row>
          <xdr:rowOff>171450</xdr:rowOff>
        </xdr:to>
        <xdr:sp macro="" textlink="">
          <xdr:nvSpPr>
            <xdr:cNvPr id="3279" name="Button 207" hidden="1">
              <a:extLst>
                <a:ext uri="{63B3BB69-23CF-44E3-9099-C40C66FF867C}">
                  <a14:compatExt spid="_x0000_s32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Entire COSS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161925</xdr:colOff>
          <xdr:row>34</xdr:row>
          <xdr:rowOff>209550</xdr:rowOff>
        </xdr:from>
        <xdr:to>
          <xdr:col>6</xdr:col>
          <xdr:colOff>1047750</xdr:colOff>
          <xdr:row>36</xdr:row>
          <xdr:rowOff>171450</xdr:rowOff>
        </xdr:to>
        <xdr:sp macro="" textlink="">
          <xdr:nvSpPr>
            <xdr:cNvPr id="3280" name="Button 208" hidden="1">
              <a:extLst>
                <a:ext uri="{63B3BB69-23CF-44E3-9099-C40C66FF867C}">
                  <a14:compatExt spid="_x0000_s32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Entire COSS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161925</xdr:colOff>
          <xdr:row>34</xdr:row>
          <xdr:rowOff>209550</xdr:rowOff>
        </xdr:from>
        <xdr:to>
          <xdr:col>7</xdr:col>
          <xdr:colOff>1047750</xdr:colOff>
          <xdr:row>36</xdr:row>
          <xdr:rowOff>171450</xdr:rowOff>
        </xdr:to>
        <xdr:sp macro="" textlink="">
          <xdr:nvSpPr>
            <xdr:cNvPr id="3281" name="Button 209" hidden="1">
              <a:extLst>
                <a:ext uri="{63B3BB69-23CF-44E3-9099-C40C66FF867C}">
                  <a14:compatExt spid="_x0000_s32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Entire COSS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161925</xdr:colOff>
          <xdr:row>34</xdr:row>
          <xdr:rowOff>209550</xdr:rowOff>
        </xdr:from>
        <xdr:to>
          <xdr:col>9</xdr:col>
          <xdr:colOff>0</xdr:colOff>
          <xdr:row>36</xdr:row>
          <xdr:rowOff>171450</xdr:rowOff>
        </xdr:to>
        <xdr:sp macro="" textlink="">
          <xdr:nvSpPr>
            <xdr:cNvPr id="3282" name="Button 210" hidden="1">
              <a:extLst>
                <a:ext uri="{63B3BB69-23CF-44E3-9099-C40C66FF867C}">
                  <a14:compatExt spid="_x0000_s32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Entire COSS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161925</xdr:colOff>
          <xdr:row>34</xdr:row>
          <xdr:rowOff>209550</xdr:rowOff>
        </xdr:from>
        <xdr:to>
          <xdr:col>9</xdr:col>
          <xdr:colOff>1047750</xdr:colOff>
          <xdr:row>36</xdr:row>
          <xdr:rowOff>171450</xdr:rowOff>
        </xdr:to>
        <xdr:sp macro="" textlink="">
          <xdr:nvSpPr>
            <xdr:cNvPr id="3283" name="Button 211" hidden="1">
              <a:extLst>
                <a:ext uri="{63B3BB69-23CF-44E3-9099-C40C66FF867C}">
                  <a14:compatExt spid="_x0000_s32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Entire COSS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34</xdr:row>
          <xdr:rowOff>209550</xdr:rowOff>
        </xdr:from>
        <xdr:to>
          <xdr:col>10</xdr:col>
          <xdr:colOff>1047750</xdr:colOff>
          <xdr:row>36</xdr:row>
          <xdr:rowOff>171450</xdr:rowOff>
        </xdr:to>
        <xdr:sp macro="" textlink="">
          <xdr:nvSpPr>
            <xdr:cNvPr id="3284" name="Button 212" hidden="1">
              <a:extLst>
                <a:ext uri="{63B3BB69-23CF-44E3-9099-C40C66FF867C}">
                  <a14:compatExt spid="_x0000_s32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Entire COSS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161925</xdr:colOff>
          <xdr:row>34</xdr:row>
          <xdr:rowOff>209550</xdr:rowOff>
        </xdr:from>
        <xdr:to>
          <xdr:col>11</xdr:col>
          <xdr:colOff>1047750</xdr:colOff>
          <xdr:row>36</xdr:row>
          <xdr:rowOff>171450</xdr:rowOff>
        </xdr:to>
        <xdr:sp macro="" textlink="">
          <xdr:nvSpPr>
            <xdr:cNvPr id="3285" name="Button 213" hidden="1">
              <a:extLst>
                <a:ext uri="{63B3BB69-23CF-44E3-9099-C40C66FF867C}">
                  <a14:compatExt spid="_x0000_s32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Entire COSS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152400</xdr:colOff>
          <xdr:row>34</xdr:row>
          <xdr:rowOff>209550</xdr:rowOff>
        </xdr:from>
        <xdr:to>
          <xdr:col>12</xdr:col>
          <xdr:colOff>1047750</xdr:colOff>
          <xdr:row>36</xdr:row>
          <xdr:rowOff>171450</xdr:rowOff>
        </xdr:to>
        <xdr:sp macro="" textlink="">
          <xdr:nvSpPr>
            <xdr:cNvPr id="3286" name="Button 214" hidden="1">
              <a:extLst>
                <a:ext uri="{63B3BB69-23CF-44E3-9099-C40C66FF867C}">
                  <a14:compatExt spid="_x0000_s32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Entire COSS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18</xdr:row>
          <xdr:rowOff>19050</xdr:rowOff>
        </xdr:from>
        <xdr:to>
          <xdr:col>8</xdr:col>
          <xdr:colOff>1009650</xdr:colOff>
          <xdr:row>18</xdr:row>
          <xdr:rowOff>219075</xdr:rowOff>
        </xdr:to>
        <xdr:sp macro="" textlink="">
          <xdr:nvSpPr>
            <xdr:cNvPr id="3287" name="Button 215" hidden="1">
              <a:extLst>
                <a:ext uri="{63B3BB69-23CF-44E3-9099-C40C66FF867C}">
                  <a14:compatExt spid="_x0000_s32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19</xdr:row>
          <xdr:rowOff>19050</xdr:rowOff>
        </xdr:from>
        <xdr:to>
          <xdr:col>8</xdr:col>
          <xdr:colOff>1009650</xdr:colOff>
          <xdr:row>19</xdr:row>
          <xdr:rowOff>219075</xdr:rowOff>
        </xdr:to>
        <xdr:sp macro="" textlink="">
          <xdr:nvSpPr>
            <xdr:cNvPr id="3288" name="Button 216" hidden="1">
              <a:extLst>
                <a:ext uri="{63B3BB69-23CF-44E3-9099-C40C66FF867C}">
                  <a14:compatExt spid="_x0000_s32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2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20</xdr:row>
          <xdr:rowOff>19050</xdr:rowOff>
        </xdr:from>
        <xdr:to>
          <xdr:col>8</xdr:col>
          <xdr:colOff>1009650</xdr:colOff>
          <xdr:row>20</xdr:row>
          <xdr:rowOff>209550</xdr:rowOff>
        </xdr:to>
        <xdr:sp macro="" textlink="">
          <xdr:nvSpPr>
            <xdr:cNvPr id="3289" name="Button 217" hidden="1">
              <a:extLst>
                <a:ext uri="{63B3BB69-23CF-44E3-9099-C40C66FF867C}">
                  <a14:compatExt spid="_x0000_s3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3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21</xdr:row>
          <xdr:rowOff>19050</xdr:rowOff>
        </xdr:from>
        <xdr:to>
          <xdr:col>8</xdr:col>
          <xdr:colOff>1009650</xdr:colOff>
          <xdr:row>21</xdr:row>
          <xdr:rowOff>209550</xdr:rowOff>
        </xdr:to>
        <xdr:sp macro="" textlink="">
          <xdr:nvSpPr>
            <xdr:cNvPr id="3290" name="Button 218" hidden="1">
              <a:extLst>
                <a:ext uri="{63B3BB69-23CF-44E3-9099-C40C66FF867C}">
                  <a14:compatExt spid="_x0000_s3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4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22</xdr:row>
          <xdr:rowOff>19050</xdr:rowOff>
        </xdr:from>
        <xdr:to>
          <xdr:col>8</xdr:col>
          <xdr:colOff>1009650</xdr:colOff>
          <xdr:row>22</xdr:row>
          <xdr:rowOff>209550</xdr:rowOff>
        </xdr:to>
        <xdr:sp macro="" textlink="">
          <xdr:nvSpPr>
            <xdr:cNvPr id="3291" name="Button 219" hidden="1">
              <a:extLst>
                <a:ext uri="{63B3BB69-23CF-44E3-9099-C40C66FF867C}">
                  <a14:compatExt spid="_x0000_s3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23</xdr:row>
          <xdr:rowOff>9525</xdr:rowOff>
        </xdr:from>
        <xdr:to>
          <xdr:col>8</xdr:col>
          <xdr:colOff>1009650</xdr:colOff>
          <xdr:row>23</xdr:row>
          <xdr:rowOff>228600</xdr:rowOff>
        </xdr:to>
        <xdr:sp macro="" textlink="">
          <xdr:nvSpPr>
            <xdr:cNvPr id="3292" name="Button 220" hidden="1">
              <a:extLst>
                <a:ext uri="{63B3BB69-23CF-44E3-9099-C40C66FF867C}">
                  <a14:compatExt spid="_x0000_s3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24</xdr:row>
          <xdr:rowOff>9525</xdr:rowOff>
        </xdr:from>
        <xdr:to>
          <xdr:col>8</xdr:col>
          <xdr:colOff>1009650</xdr:colOff>
          <xdr:row>24</xdr:row>
          <xdr:rowOff>228600</xdr:rowOff>
        </xdr:to>
        <xdr:sp macro="" textlink="">
          <xdr:nvSpPr>
            <xdr:cNvPr id="3293" name="Button 221" hidden="1">
              <a:extLst>
                <a:ext uri="{63B3BB69-23CF-44E3-9099-C40C66FF867C}">
                  <a14:compatExt spid="_x0000_s3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25</xdr:row>
          <xdr:rowOff>9525</xdr:rowOff>
        </xdr:from>
        <xdr:to>
          <xdr:col>8</xdr:col>
          <xdr:colOff>1009650</xdr:colOff>
          <xdr:row>25</xdr:row>
          <xdr:rowOff>228600</xdr:rowOff>
        </xdr:to>
        <xdr:sp macro="" textlink="">
          <xdr:nvSpPr>
            <xdr:cNvPr id="3294" name="Button 222" hidden="1">
              <a:extLst>
                <a:ext uri="{63B3BB69-23CF-44E3-9099-C40C66FF867C}">
                  <a14:compatExt spid="_x0000_s3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26</xdr:row>
          <xdr:rowOff>9525</xdr:rowOff>
        </xdr:from>
        <xdr:to>
          <xdr:col>8</xdr:col>
          <xdr:colOff>1009650</xdr:colOff>
          <xdr:row>26</xdr:row>
          <xdr:rowOff>228600</xdr:rowOff>
        </xdr:to>
        <xdr:sp macro="" textlink="">
          <xdr:nvSpPr>
            <xdr:cNvPr id="3295" name="Button 223" hidden="1">
              <a:extLst>
                <a:ext uri="{63B3BB69-23CF-44E3-9099-C40C66FF867C}">
                  <a14:compatExt spid="_x0000_s3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27</xdr:row>
          <xdr:rowOff>0</xdr:rowOff>
        </xdr:from>
        <xdr:to>
          <xdr:col>8</xdr:col>
          <xdr:colOff>1009650</xdr:colOff>
          <xdr:row>27</xdr:row>
          <xdr:rowOff>219075</xdr:rowOff>
        </xdr:to>
        <xdr:sp macro="" textlink="">
          <xdr:nvSpPr>
            <xdr:cNvPr id="3296" name="Button 224" hidden="1">
              <a:extLst>
                <a:ext uri="{63B3BB69-23CF-44E3-9099-C40C66FF867C}">
                  <a14:compatExt spid="_x0000_s3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28</xdr:row>
          <xdr:rowOff>0</xdr:rowOff>
        </xdr:from>
        <xdr:to>
          <xdr:col>8</xdr:col>
          <xdr:colOff>1009650</xdr:colOff>
          <xdr:row>28</xdr:row>
          <xdr:rowOff>209550</xdr:rowOff>
        </xdr:to>
        <xdr:sp macro="" textlink="">
          <xdr:nvSpPr>
            <xdr:cNvPr id="3297" name="Button 225" hidden="1">
              <a:extLst>
                <a:ext uri="{63B3BB69-23CF-44E3-9099-C40C66FF867C}">
                  <a14:compatExt spid="_x0000_s3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29</xdr:row>
          <xdr:rowOff>0</xdr:rowOff>
        </xdr:from>
        <xdr:to>
          <xdr:col>8</xdr:col>
          <xdr:colOff>1009650</xdr:colOff>
          <xdr:row>29</xdr:row>
          <xdr:rowOff>209550</xdr:rowOff>
        </xdr:to>
        <xdr:sp macro="" textlink="">
          <xdr:nvSpPr>
            <xdr:cNvPr id="3298" name="Button 226" hidden="1">
              <a:extLst>
                <a:ext uri="{63B3BB69-23CF-44E3-9099-C40C66FF867C}">
                  <a14:compatExt spid="_x0000_s3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9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29</xdr:row>
          <xdr:rowOff>304800</xdr:rowOff>
        </xdr:from>
        <xdr:to>
          <xdr:col>8</xdr:col>
          <xdr:colOff>1009650</xdr:colOff>
          <xdr:row>30</xdr:row>
          <xdr:rowOff>209550</xdr:rowOff>
        </xdr:to>
        <xdr:sp macro="" textlink="">
          <xdr:nvSpPr>
            <xdr:cNvPr id="3299" name="Button 227" hidden="1">
              <a:extLst>
                <a:ext uri="{63B3BB69-23CF-44E3-9099-C40C66FF867C}">
                  <a14:compatExt spid="_x0000_s3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10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30</xdr:row>
          <xdr:rowOff>304800</xdr:rowOff>
        </xdr:from>
        <xdr:to>
          <xdr:col>8</xdr:col>
          <xdr:colOff>1009650</xdr:colOff>
          <xdr:row>31</xdr:row>
          <xdr:rowOff>209550</xdr:rowOff>
        </xdr:to>
        <xdr:sp macro="" textlink="">
          <xdr:nvSpPr>
            <xdr:cNvPr id="3300" name="Button 228" hidden="1">
              <a:extLst>
                <a:ext uri="{63B3BB69-23CF-44E3-9099-C40C66FF867C}">
                  <a14:compatExt spid="_x0000_s3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31</xdr:row>
          <xdr:rowOff>304800</xdr:rowOff>
        </xdr:from>
        <xdr:to>
          <xdr:col>8</xdr:col>
          <xdr:colOff>1009650</xdr:colOff>
          <xdr:row>32</xdr:row>
          <xdr:rowOff>209550</xdr:rowOff>
        </xdr:to>
        <xdr:sp macro="" textlink="">
          <xdr:nvSpPr>
            <xdr:cNvPr id="3301" name="Button 229" hidden="1">
              <a:extLst>
                <a:ext uri="{63B3BB69-23CF-44E3-9099-C40C66FF867C}">
                  <a14:compatExt spid="_x0000_s3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32</xdr:row>
          <xdr:rowOff>304800</xdr:rowOff>
        </xdr:from>
        <xdr:to>
          <xdr:col>8</xdr:col>
          <xdr:colOff>1038225</xdr:colOff>
          <xdr:row>33</xdr:row>
          <xdr:rowOff>219075</xdr:rowOff>
        </xdr:to>
        <xdr:sp macro="" textlink="">
          <xdr:nvSpPr>
            <xdr:cNvPr id="3302" name="Button 230" hidden="1">
              <a:extLst>
                <a:ext uri="{63B3BB69-23CF-44E3-9099-C40C66FF867C}">
                  <a14:compatExt spid="_x0000_s33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133350</xdr:colOff>
          <xdr:row>18</xdr:row>
          <xdr:rowOff>19050</xdr:rowOff>
        </xdr:from>
        <xdr:to>
          <xdr:col>9</xdr:col>
          <xdr:colOff>1009650</xdr:colOff>
          <xdr:row>18</xdr:row>
          <xdr:rowOff>219075</xdr:rowOff>
        </xdr:to>
        <xdr:sp macro="" textlink="">
          <xdr:nvSpPr>
            <xdr:cNvPr id="3303" name="Button 231" hidden="1">
              <a:extLst>
                <a:ext uri="{63B3BB69-23CF-44E3-9099-C40C66FF867C}">
                  <a14:compatExt spid="_x0000_s3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133350</xdr:colOff>
          <xdr:row>19</xdr:row>
          <xdr:rowOff>19050</xdr:rowOff>
        </xdr:from>
        <xdr:to>
          <xdr:col>9</xdr:col>
          <xdr:colOff>1009650</xdr:colOff>
          <xdr:row>19</xdr:row>
          <xdr:rowOff>219075</xdr:rowOff>
        </xdr:to>
        <xdr:sp macro="" textlink="">
          <xdr:nvSpPr>
            <xdr:cNvPr id="3304" name="Button 232" hidden="1">
              <a:extLst>
                <a:ext uri="{63B3BB69-23CF-44E3-9099-C40C66FF867C}">
                  <a14:compatExt spid="_x0000_s33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2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133350</xdr:colOff>
          <xdr:row>20</xdr:row>
          <xdr:rowOff>19050</xdr:rowOff>
        </xdr:from>
        <xdr:to>
          <xdr:col>9</xdr:col>
          <xdr:colOff>1009650</xdr:colOff>
          <xdr:row>20</xdr:row>
          <xdr:rowOff>209550</xdr:rowOff>
        </xdr:to>
        <xdr:sp macro="" textlink="">
          <xdr:nvSpPr>
            <xdr:cNvPr id="3305" name="Button 233" hidden="1">
              <a:extLst>
                <a:ext uri="{63B3BB69-23CF-44E3-9099-C40C66FF867C}">
                  <a14:compatExt spid="_x0000_s3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3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133350</xdr:colOff>
          <xdr:row>21</xdr:row>
          <xdr:rowOff>19050</xdr:rowOff>
        </xdr:from>
        <xdr:to>
          <xdr:col>9</xdr:col>
          <xdr:colOff>1009650</xdr:colOff>
          <xdr:row>21</xdr:row>
          <xdr:rowOff>209550</xdr:rowOff>
        </xdr:to>
        <xdr:sp macro="" textlink="">
          <xdr:nvSpPr>
            <xdr:cNvPr id="3306" name="Button 234" hidden="1">
              <a:extLst>
                <a:ext uri="{63B3BB69-23CF-44E3-9099-C40C66FF867C}">
                  <a14:compatExt spid="_x0000_s33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4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133350</xdr:colOff>
          <xdr:row>22</xdr:row>
          <xdr:rowOff>19050</xdr:rowOff>
        </xdr:from>
        <xdr:to>
          <xdr:col>9</xdr:col>
          <xdr:colOff>1009650</xdr:colOff>
          <xdr:row>22</xdr:row>
          <xdr:rowOff>209550</xdr:rowOff>
        </xdr:to>
        <xdr:sp macro="" textlink="">
          <xdr:nvSpPr>
            <xdr:cNvPr id="3307" name="Button 235" hidden="1">
              <a:extLst>
                <a:ext uri="{63B3BB69-23CF-44E3-9099-C40C66FF867C}">
                  <a14:compatExt spid="_x0000_s3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133350</xdr:colOff>
          <xdr:row>23</xdr:row>
          <xdr:rowOff>9525</xdr:rowOff>
        </xdr:from>
        <xdr:to>
          <xdr:col>9</xdr:col>
          <xdr:colOff>1009650</xdr:colOff>
          <xdr:row>23</xdr:row>
          <xdr:rowOff>228600</xdr:rowOff>
        </xdr:to>
        <xdr:sp macro="" textlink="">
          <xdr:nvSpPr>
            <xdr:cNvPr id="3308" name="Button 236" hidden="1">
              <a:extLst>
                <a:ext uri="{63B3BB69-23CF-44E3-9099-C40C66FF867C}">
                  <a14:compatExt spid="_x0000_s33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133350</xdr:colOff>
          <xdr:row>24</xdr:row>
          <xdr:rowOff>9525</xdr:rowOff>
        </xdr:from>
        <xdr:to>
          <xdr:col>9</xdr:col>
          <xdr:colOff>1009650</xdr:colOff>
          <xdr:row>24</xdr:row>
          <xdr:rowOff>228600</xdr:rowOff>
        </xdr:to>
        <xdr:sp macro="" textlink="">
          <xdr:nvSpPr>
            <xdr:cNvPr id="3309" name="Button 237" hidden="1">
              <a:extLst>
                <a:ext uri="{63B3BB69-23CF-44E3-9099-C40C66FF867C}">
                  <a14:compatExt spid="_x0000_s3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133350</xdr:colOff>
          <xdr:row>25</xdr:row>
          <xdr:rowOff>9525</xdr:rowOff>
        </xdr:from>
        <xdr:to>
          <xdr:col>9</xdr:col>
          <xdr:colOff>1009650</xdr:colOff>
          <xdr:row>25</xdr:row>
          <xdr:rowOff>228600</xdr:rowOff>
        </xdr:to>
        <xdr:sp macro="" textlink="">
          <xdr:nvSpPr>
            <xdr:cNvPr id="3310" name="Button 238" hidden="1">
              <a:extLst>
                <a:ext uri="{63B3BB69-23CF-44E3-9099-C40C66FF867C}">
                  <a14:compatExt spid="_x0000_s3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133350</xdr:colOff>
          <xdr:row>26</xdr:row>
          <xdr:rowOff>9525</xdr:rowOff>
        </xdr:from>
        <xdr:to>
          <xdr:col>9</xdr:col>
          <xdr:colOff>1009650</xdr:colOff>
          <xdr:row>26</xdr:row>
          <xdr:rowOff>228600</xdr:rowOff>
        </xdr:to>
        <xdr:sp macro="" textlink="">
          <xdr:nvSpPr>
            <xdr:cNvPr id="3311" name="Button 239" hidden="1">
              <a:extLst>
                <a:ext uri="{63B3BB69-23CF-44E3-9099-C40C66FF867C}">
                  <a14:compatExt spid="_x0000_s33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133350</xdr:colOff>
          <xdr:row>27</xdr:row>
          <xdr:rowOff>0</xdr:rowOff>
        </xdr:from>
        <xdr:to>
          <xdr:col>9</xdr:col>
          <xdr:colOff>1009650</xdr:colOff>
          <xdr:row>27</xdr:row>
          <xdr:rowOff>219075</xdr:rowOff>
        </xdr:to>
        <xdr:sp macro="" textlink="">
          <xdr:nvSpPr>
            <xdr:cNvPr id="3312" name="Button 240" hidden="1">
              <a:extLst>
                <a:ext uri="{63B3BB69-23CF-44E3-9099-C40C66FF867C}">
                  <a14:compatExt spid="_x0000_s3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133350</xdr:colOff>
          <xdr:row>28</xdr:row>
          <xdr:rowOff>0</xdr:rowOff>
        </xdr:from>
        <xdr:to>
          <xdr:col>9</xdr:col>
          <xdr:colOff>1009650</xdr:colOff>
          <xdr:row>28</xdr:row>
          <xdr:rowOff>209550</xdr:rowOff>
        </xdr:to>
        <xdr:sp macro="" textlink="">
          <xdr:nvSpPr>
            <xdr:cNvPr id="3313" name="Button 241" hidden="1">
              <a:extLst>
                <a:ext uri="{63B3BB69-23CF-44E3-9099-C40C66FF867C}">
                  <a14:compatExt spid="_x0000_s3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133350</xdr:colOff>
          <xdr:row>29</xdr:row>
          <xdr:rowOff>0</xdr:rowOff>
        </xdr:from>
        <xdr:to>
          <xdr:col>9</xdr:col>
          <xdr:colOff>1009650</xdr:colOff>
          <xdr:row>29</xdr:row>
          <xdr:rowOff>209550</xdr:rowOff>
        </xdr:to>
        <xdr:sp macro="" textlink="">
          <xdr:nvSpPr>
            <xdr:cNvPr id="3314" name="Button 242" hidden="1">
              <a:extLst>
                <a:ext uri="{63B3BB69-23CF-44E3-9099-C40C66FF867C}">
                  <a14:compatExt spid="_x0000_s3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9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133350</xdr:colOff>
          <xdr:row>29</xdr:row>
          <xdr:rowOff>304800</xdr:rowOff>
        </xdr:from>
        <xdr:to>
          <xdr:col>9</xdr:col>
          <xdr:colOff>1009650</xdr:colOff>
          <xdr:row>30</xdr:row>
          <xdr:rowOff>209550</xdr:rowOff>
        </xdr:to>
        <xdr:sp macro="" textlink="">
          <xdr:nvSpPr>
            <xdr:cNvPr id="3315" name="Button 243" hidden="1">
              <a:extLst>
                <a:ext uri="{63B3BB69-23CF-44E3-9099-C40C66FF867C}">
                  <a14:compatExt spid="_x0000_s3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10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133350</xdr:colOff>
          <xdr:row>30</xdr:row>
          <xdr:rowOff>304800</xdr:rowOff>
        </xdr:from>
        <xdr:to>
          <xdr:col>9</xdr:col>
          <xdr:colOff>1009650</xdr:colOff>
          <xdr:row>31</xdr:row>
          <xdr:rowOff>209550</xdr:rowOff>
        </xdr:to>
        <xdr:sp macro="" textlink="">
          <xdr:nvSpPr>
            <xdr:cNvPr id="3316" name="Button 244" hidden="1">
              <a:extLst>
                <a:ext uri="{63B3BB69-23CF-44E3-9099-C40C66FF867C}">
                  <a14:compatExt spid="_x0000_s3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133350</xdr:colOff>
          <xdr:row>31</xdr:row>
          <xdr:rowOff>304800</xdr:rowOff>
        </xdr:from>
        <xdr:to>
          <xdr:col>9</xdr:col>
          <xdr:colOff>1009650</xdr:colOff>
          <xdr:row>32</xdr:row>
          <xdr:rowOff>209550</xdr:rowOff>
        </xdr:to>
        <xdr:sp macro="" textlink="">
          <xdr:nvSpPr>
            <xdr:cNvPr id="3317" name="Button 245" hidden="1">
              <a:extLst>
                <a:ext uri="{63B3BB69-23CF-44E3-9099-C40C66FF867C}">
                  <a14:compatExt spid="_x0000_s3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133350</xdr:colOff>
          <xdr:row>32</xdr:row>
          <xdr:rowOff>304800</xdr:rowOff>
        </xdr:from>
        <xdr:to>
          <xdr:col>9</xdr:col>
          <xdr:colOff>1038225</xdr:colOff>
          <xdr:row>33</xdr:row>
          <xdr:rowOff>219075</xdr:rowOff>
        </xdr:to>
        <xdr:sp macro="" textlink="">
          <xdr:nvSpPr>
            <xdr:cNvPr id="3318" name="Button 246" hidden="1">
              <a:extLst>
                <a:ext uri="{63B3BB69-23CF-44E3-9099-C40C66FF867C}">
                  <a14:compatExt spid="_x0000_s3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133350</xdr:colOff>
          <xdr:row>18</xdr:row>
          <xdr:rowOff>19050</xdr:rowOff>
        </xdr:from>
        <xdr:to>
          <xdr:col>10</xdr:col>
          <xdr:colOff>1009650</xdr:colOff>
          <xdr:row>18</xdr:row>
          <xdr:rowOff>219075</xdr:rowOff>
        </xdr:to>
        <xdr:sp macro="" textlink="">
          <xdr:nvSpPr>
            <xdr:cNvPr id="3319" name="Button 247" hidden="1">
              <a:extLst>
                <a:ext uri="{63B3BB69-23CF-44E3-9099-C40C66FF867C}">
                  <a14:compatExt spid="_x0000_s33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133350</xdr:colOff>
          <xdr:row>19</xdr:row>
          <xdr:rowOff>19050</xdr:rowOff>
        </xdr:from>
        <xdr:to>
          <xdr:col>10</xdr:col>
          <xdr:colOff>1009650</xdr:colOff>
          <xdr:row>19</xdr:row>
          <xdr:rowOff>219075</xdr:rowOff>
        </xdr:to>
        <xdr:sp macro="" textlink="">
          <xdr:nvSpPr>
            <xdr:cNvPr id="3320" name="Button 248" hidden="1">
              <a:extLst>
                <a:ext uri="{63B3BB69-23CF-44E3-9099-C40C66FF867C}">
                  <a14:compatExt spid="_x0000_s33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2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133350</xdr:colOff>
          <xdr:row>20</xdr:row>
          <xdr:rowOff>19050</xdr:rowOff>
        </xdr:from>
        <xdr:to>
          <xdr:col>10</xdr:col>
          <xdr:colOff>1009650</xdr:colOff>
          <xdr:row>20</xdr:row>
          <xdr:rowOff>209550</xdr:rowOff>
        </xdr:to>
        <xdr:sp macro="" textlink="">
          <xdr:nvSpPr>
            <xdr:cNvPr id="3321" name="Button 249" hidden="1">
              <a:extLst>
                <a:ext uri="{63B3BB69-23CF-44E3-9099-C40C66FF867C}">
                  <a14:compatExt spid="_x0000_s3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3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133350</xdr:colOff>
          <xdr:row>21</xdr:row>
          <xdr:rowOff>19050</xdr:rowOff>
        </xdr:from>
        <xdr:to>
          <xdr:col>10</xdr:col>
          <xdr:colOff>1009650</xdr:colOff>
          <xdr:row>21</xdr:row>
          <xdr:rowOff>209550</xdr:rowOff>
        </xdr:to>
        <xdr:sp macro="" textlink="">
          <xdr:nvSpPr>
            <xdr:cNvPr id="3322" name="Button 250" hidden="1">
              <a:extLst>
                <a:ext uri="{63B3BB69-23CF-44E3-9099-C40C66FF867C}">
                  <a14:compatExt spid="_x0000_s3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4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133350</xdr:colOff>
          <xdr:row>22</xdr:row>
          <xdr:rowOff>19050</xdr:rowOff>
        </xdr:from>
        <xdr:to>
          <xdr:col>10</xdr:col>
          <xdr:colOff>1009650</xdr:colOff>
          <xdr:row>22</xdr:row>
          <xdr:rowOff>209550</xdr:rowOff>
        </xdr:to>
        <xdr:sp macro="" textlink="">
          <xdr:nvSpPr>
            <xdr:cNvPr id="3323" name="Button 251" hidden="1">
              <a:extLst>
                <a:ext uri="{63B3BB69-23CF-44E3-9099-C40C66FF867C}">
                  <a14:compatExt spid="_x0000_s33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133350</xdr:colOff>
          <xdr:row>23</xdr:row>
          <xdr:rowOff>9525</xdr:rowOff>
        </xdr:from>
        <xdr:to>
          <xdr:col>10</xdr:col>
          <xdr:colOff>1009650</xdr:colOff>
          <xdr:row>23</xdr:row>
          <xdr:rowOff>228600</xdr:rowOff>
        </xdr:to>
        <xdr:sp macro="" textlink="">
          <xdr:nvSpPr>
            <xdr:cNvPr id="3324" name="Button 252" hidden="1">
              <a:extLst>
                <a:ext uri="{63B3BB69-23CF-44E3-9099-C40C66FF867C}">
                  <a14:compatExt spid="_x0000_s3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133350</xdr:colOff>
          <xdr:row>24</xdr:row>
          <xdr:rowOff>9525</xdr:rowOff>
        </xdr:from>
        <xdr:to>
          <xdr:col>10</xdr:col>
          <xdr:colOff>1009650</xdr:colOff>
          <xdr:row>24</xdr:row>
          <xdr:rowOff>228600</xdr:rowOff>
        </xdr:to>
        <xdr:sp macro="" textlink="">
          <xdr:nvSpPr>
            <xdr:cNvPr id="3325" name="Button 253" hidden="1">
              <a:extLst>
                <a:ext uri="{63B3BB69-23CF-44E3-9099-C40C66FF867C}">
                  <a14:compatExt spid="_x0000_s3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133350</xdr:colOff>
          <xdr:row>25</xdr:row>
          <xdr:rowOff>9525</xdr:rowOff>
        </xdr:from>
        <xdr:to>
          <xdr:col>10</xdr:col>
          <xdr:colOff>1009650</xdr:colOff>
          <xdr:row>25</xdr:row>
          <xdr:rowOff>228600</xdr:rowOff>
        </xdr:to>
        <xdr:sp macro="" textlink="">
          <xdr:nvSpPr>
            <xdr:cNvPr id="3326" name="Button 254" hidden="1">
              <a:extLst>
                <a:ext uri="{63B3BB69-23CF-44E3-9099-C40C66FF867C}">
                  <a14:compatExt spid="_x0000_s3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133350</xdr:colOff>
          <xdr:row>26</xdr:row>
          <xdr:rowOff>9525</xdr:rowOff>
        </xdr:from>
        <xdr:to>
          <xdr:col>10</xdr:col>
          <xdr:colOff>1009650</xdr:colOff>
          <xdr:row>26</xdr:row>
          <xdr:rowOff>228600</xdr:rowOff>
        </xdr:to>
        <xdr:sp macro="" textlink="">
          <xdr:nvSpPr>
            <xdr:cNvPr id="3327" name="Button 255" hidden="1">
              <a:extLst>
                <a:ext uri="{63B3BB69-23CF-44E3-9099-C40C66FF867C}">
                  <a14:compatExt spid="_x0000_s33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133350</xdr:colOff>
          <xdr:row>27</xdr:row>
          <xdr:rowOff>0</xdr:rowOff>
        </xdr:from>
        <xdr:to>
          <xdr:col>10</xdr:col>
          <xdr:colOff>1009650</xdr:colOff>
          <xdr:row>27</xdr:row>
          <xdr:rowOff>219075</xdr:rowOff>
        </xdr:to>
        <xdr:sp macro="" textlink="">
          <xdr:nvSpPr>
            <xdr:cNvPr id="3328" name="Button 256" hidden="1">
              <a:extLst>
                <a:ext uri="{63B3BB69-23CF-44E3-9099-C40C66FF867C}">
                  <a14:compatExt spid="_x0000_s3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133350</xdr:colOff>
          <xdr:row>28</xdr:row>
          <xdr:rowOff>0</xdr:rowOff>
        </xdr:from>
        <xdr:to>
          <xdr:col>10</xdr:col>
          <xdr:colOff>1009650</xdr:colOff>
          <xdr:row>28</xdr:row>
          <xdr:rowOff>209550</xdr:rowOff>
        </xdr:to>
        <xdr:sp macro="" textlink="">
          <xdr:nvSpPr>
            <xdr:cNvPr id="3329" name="Button 257" hidden="1">
              <a:extLst>
                <a:ext uri="{63B3BB69-23CF-44E3-9099-C40C66FF867C}">
                  <a14:compatExt spid="_x0000_s3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133350</xdr:colOff>
          <xdr:row>29</xdr:row>
          <xdr:rowOff>0</xdr:rowOff>
        </xdr:from>
        <xdr:to>
          <xdr:col>10</xdr:col>
          <xdr:colOff>1009650</xdr:colOff>
          <xdr:row>29</xdr:row>
          <xdr:rowOff>209550</xdr:rowOff>
        </xdr:to>
        <xdr:sp macro="" textlink="">
          <xdr:nvSpPr>
            <xdr:cNvPr id="3330" name="Button 258" hidden="1">
              <a:extLst>
                <a:ext uri="{63B3BB69-23CF-44E3-9099-C40C66FF867C}">
                  <a14:compatExt spid="_x0000_s3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9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133350</xdr:colOff>
          <xdr:row>29</xdr:row>
          <xdr:rowOff>304800</xdr:rowOff>
        </xdr:from>
        <xdr:to>
          <xdr:col>10</xdr:col>
          <xdr:colOff>1009650</xdr:colOff>
          <xdr:row>30</xdr:row>
          <xdr:rowOff>209550</xdr:rowOff>
        </xdr:to>
        <xdr:sp macro="" textlink="">
          <xdr:nvSpPr>
            <xdr:cNvPr id="3331" name="Button 259" hidden="1">
              <a:extLst>
                <a:ext uri="{63B3BB69-23CF-44E3-9099-C40C66FF867C}">
                  <a14:compatExt spid="_x0000_s33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10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133350</xdr:colOff>
          <xdr:row>30</xdr:row>
          <xdr:rowOff>304800</xdr:rowOff>
        </xdr:from>
        <xdr:to>
          <xdr:col>10</xdr:col>
          <xdr:colOff>1009650</xdr:colOff>
          <xdr:row>31</xdr:row>
          <xdr:rowOff>209550</xdr:rowOff>
        </xdr:to>
        <xdr:sp macro="" textlink="">
          <xdr:nvSpPr>
            <xdr:cNvPr id="3332" name="Button 260" hidden="1">
              <a:extLst>
                <a:ext uri="{63B3BB69-23CF-44E3-9099-C40C66FF867C}">
                  <a14:compatExt spid="_x0000_s3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133350</xdr:colOff>
          <xdr:row>31</xdr:row>
          <xdr:rowOff>304800</xdr:rowOff>
        </xdr:from>
        <xdr:to>
          <xdr:col>10</xdr:col>
          <xdr:colOff>1009650</xdr:colOff>
          <xdr:row>32</xdr:row>
          <xdr:rowOff>209550</xdr:rowOff>
        </xdr:to>
        <xdr:sp macro="" textlink="">
          <xdr:nvSpPr>
            <xdr:cNvPr id="3333" name="Button 261" hidden="1">
              <a:extLst>
                <a:ext uri="{63B3BB69-23CF-44E3-9099-C40C66FF867C}">
                  <a14:compatExt spid="_x0000_s33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123825</xdr:colOff>
          <xdr:row>32</xdr:row>
          <xdr:rowOff>304800</xdr:rowOff>
        </xdr:from>
        <xdr:to>
          <xdr:col>10</xdr:col>
          <xdr:colOff>1028700</xdr:colOff>
          <xdr:row>33</xdr:row>
          <xdr:rowOff>219075</xdr:rowOff>
        </xdr:to>
        <xdr:sp macro="" textlink="">
          <xdr:nvSpPr>
            <xdr:cNvPr id="3334" name="Button 262" hidden="1">
              <a:extLst>
                <a:ext uri="{63B3BB69-23CF-44E3-9099-C40C66FF867C}">
                  <a14:compatExt spid="_x0000_s3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142875</xdr:colOff>
          <xdr:row>18</xdr:row>
          <xdr:rowOff>19050</xdr:rowOff>
        </xdr:from>
        <xdr:to>
          <xdr:col>11</xdr:col>
          <xdr:colOff>1019175</xdr:colOff>
          <xdr:row>18</xdr:row>
          <xdr:rowOff>219075</xdr:rowOff>
        </xdr:to>
        <xdr:sp macro="" textlink="">
          <xdr:nvSpPr>
            <xdr:cNvPr id="3335" name="Button 263" hidden="1">
              <a:extLst>
                <a:ext uri="{63B3BB69-23CF-44E3-9099-C40C66FF867C}">
                  <a14:compatExt spid="_x0000_s33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142875</xdr:colOff>
          <xdr:row>19</xdr:row>
          <xdr:rowOff>19050</xdr:rowOff>
        </xdr:from>
        <xdr:to>
          <xdr:col>11</xdr:col>
          <xdr:colOff>1019175</xdr:colOff>
          <xdr:row>19</xdr:row>
          <xdr:rowOff>219075</xdr:rowOff>
        </xdr:to>
        <xdr:sp macro="" textlink="">
          <xdr:nvSpPr>
            <xdr:cNvPr id="3336" name="Button 264" hidden="1">
              <a:extLst>
                <a:ext uri="{63B3BB69-23CF-44E3-9099-C40C66FF867C}">
                  <a14:compatExt spid="_x0000_s33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2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142875</xdr:colOff>
          <xdr:row>20</xdr:row>
          <xdr:rowOff>19050</xdr:rowOff>
        </xdr:from>
        <xdr:to>
          <xdr:col>11</xdr:col>
          <xdr:colOff>1019175</xdr:colOff>
          <xdr:row>20</xdr:row>
          <xdr:rowOff>209550</xdr:rowOff>
        </xdr:to>
        <xdr:sp macro="" textlink="">
          <xdr:nvSpPr>
            <xdr:cNvPr id="3337" name="Button 265" hidden="1">
              <a:extLst>
                <a:ext uri="{63B3BB69-23CF-44E3-9099-C40C66FF867C}">
                  <a14:compatExt spid="_x0000_s3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3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142875</xdr:colOff>
          <xdr:row>21</xdr:row>
          <xdr:rowOff>19050</xdr:rowOff>
        </xdr:from>
        <xdr:to>
          <xdr:col>11</xdr:col>
          <xdr:colOff>1019175</xdr:colOff>
          <xdr:row>21</xdr:row>
          <xdr:rowOff>209550</xdr:rowOff>
        </xdr:to>
        <xdr:sp macro="" textlink="">
          <xdr:nvSpPr>
            <xdr:cNvPr id="3338" name="Button 266" hidden="1">
              <a:extLst>
                <a:ext uri="{63B3BB69-23CF-44E3-9099-C40C66FF867C}">
                  <a14:compatExt spid="_x0000_s3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4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142875</xdr:colOff>
          <xdr:row>22</xdr:row>
          <xdr:rowOff>19050</xdr:rowOff>
        </xdr:from>
        <xdr:to>
          <xdr:col>11</xdr:col>
          <xdr:colOff>1019175</xdr:colOff>
          <xdr:row>22</xdr:row>
          <xdr:rowOff>209550</xdr:rowOff>
        </xdr:to>
        <xdr:sp macro="" textlink="">
          <xdr:nvSpPr>
            <xdr:cNvPr id="3339" name="Button 267" hidden="1">
              <a:extLst>
                <a:ext uri="{63B3BB69-23CF-44E3-9099-C40C66FF867C}">
                  <a14:compatExt spid="_x0000_s3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142875</xdr:colOff>
          <xdr:row>23</xdr:row>
          <xdr:rowOff>9525</xdr:rowOff>
        </xdr:from>
        <xdr:to>
          <xdr:col>11</xdr:col>
          <xdr:colOff>1019175</xdr:colOff>
          <xdr:row>23</xdr:row>
          <xdr:rowOff>228600</xdr:rowOff>
        </xdr:to>
        <xdr:sp macro="" textlink="">
          <xdr:nvSpPr>
            <xdr:cNvPr id="3340" name="Button 268" hidden="1">
              <a:extLst>
                <a:ext uri="{63B3BB69-23CF-44E3-9099-C40C66FF867C}">
                  <a14:compatExt spid="_x0000_s3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142875</xdr:colOff>
          <xdr:row>24</xdr:row>
          <xdr:rowOff>9525</xdr:rowOff>
        </xdr:from>
        <xdr:to>
          <xdr:col>11</xdr:col>
          <xdr:colOff>1019175</xdr:colOff>
          <xdr:row>24</xdr:row>
          <xdr:rowOff>228600</xdr:rowOff>
        </xdr:to>
        <xdr:sp macro="" textlink="">
          <xdr:nvSpPr>
            <xdr:cNvPr id="3341" name="Button 269" hidden="1">
              <a:extLst>
                <a:ext uri="{63B3BB69-23CF-44E3-9099-C40C66FF867C}">
                  <a14:compatExt spid="_x0000_s33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142875</xdr:colOff>
          <xdr:row>25</xdr:row>
          <xdr:rowOff>9525</xdr:rowOff>
        </xdr:from>
        <xdr:to>
          <xdr:col>11</xdr:col>
          <xdr:colOff>1019175</xdr:colOff>
          <xdr:row>25</xdr:row>
          <xdr:rowOff>228600</xdr:rowOff>
        </xdr:to>
        <xdr:sp macro="" textlink="">
          <xdr:nvSpPr>
            <xdr:cNvPr id="3342" name="Button 270" hidden="1">
              <a:extLst>
                <a:ext uri="{63B3BB69-23CF-44E3-9099-C40C66FF867C}">
                  <a14:compatExt spid="_x0000_s33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142875</xdr:colOff>
          <xdr:row>26</xdr:row>
          <xdr:rowOff>9525</xdr:rowOff>
        </xdr:from>
        <xdr:to>
          <xdr:col>11</xdr:col>
          <xdr:colOff>1019175</xdr:colOff>
          <xdr:row>26</xdr:row>
          <xdr:rowOff>228600</xdr:rowOff>
        </xdr:to>
        <xdr:sp macro="" textlink="">
          <xdr:nvSpPr>
            <xdr:cNvPr id="3343" name="Button 271" hidden="1">
              <a:extLst>
                <a:ext uri="{63B3BB69-23CF-44E3-9099-C40C66FF867C}">
                  <a14:compatExt spid="_x0000_s33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142875</xdr:colOff>
          <xdr:row>27</xdr:row>
          <xdr:rowOff>0</xdr:rowOff>
        </xdr:from>
        <xdr:to>
          <xdr:col>11</xdr:col>
          <xdr:colOff>1019175</xdr:colOff>
          <xdr:row>27</xdr:row>
          <xdr:rowOff>219075</xdr:rowOff>
        </xdr:to>
        <xdr:sp macro="" textlink="">
          <xdr:nvSpPr>
            <xdr:cNvPr id="3344" name="Button 272" hidden="1">
              <a:extLst>
                <a:ext uri="{63B3BB69-23CF-44E3-9099-C40C66FF867C}">
                  <a14:compatExt spid="_x0000_s33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142875</xdr:colOff>
          <xdr:row>28</xdr:row>
          <xdr:rowOff>0</xdr:rowOff>
        </xdr:from>
        <xdr:to>
          <xdr:col>11</xdr:col>
          <xdr:colOff>1019175</xdr:colOff>
          <xdr:row>28</xdr:row>
          <xdr:rowOff>209550</xdr:rowOff>
        </xdr:to>
        <xdr:sp macro="" textlink="">
          <xdr:nvSpPr>
            <xdr:cNvPr id="3345" name="Button 273" hidden="1">
              <a:extLst>
                <a:ext uri="{63B3BB69-23CF-44E3-9099-C40C66FF867C}">
                  <a14:compatExt spid="_x0000_s3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142875</xdr:colOff>
          <xdr:row>29</xdr:row>
          <xdr:rowOff>0</xdr:rowOff>
        </xdr:from>
        <xdr:to>
          <xdr:col>11</xdr:col>
          <xdr:colOff>1019175</xdr:colOff>
          <xdr:row>29</xdr:row>
          <xdr:rowOff>209550</xdr:rowOff>
        </xdr:to>
        <xdr:sp macro="" textlink="">
          <xdr:nvSpPr>
            <xdr:cNvPr id="3346" name="Button 274" hidden="1">
              <a:extLst>
                <a:ext uri="{63B3BB69-23CF-44E3-9099-C40C66FF867C}">
                  <a14:compatExt spid="_x0000_s3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9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142875</xdr:colOff>
          <xdr:row>29</xdr:row>
          <xdr:rowOff>304800</xdr:rowOff>
        </xdr:from>
        <xdr:to>
          <xdr:col>11</xdr:col>
          <xdr:colOff>1019175</xdr:colOff>
          <xdr:row>30</xdr:row>
          <xdr:rowOff>209550</xdr:rowOff>
        </xdr:to>
        <xdr:sp macro="" textlink="">
          <xdr:nvSpPr>
            <xdr:cNvPr id="3347" name="Button 275" hidden="1">
              <a:extLst>
                <a:ext uri="{63B3BB69-23CF-44E3-9099-C40C66FF867C}">
                  <a14:compatExt spid="_x0000_s33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10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142875</xdr:colOff>
          <xdr:row>30</xdr:row>
          <xdr:rowOff>304800</xdr:rowOff>
        </xdr:from>
        <xdr:to>
          <xdr:col>11</xdr:col>
          <xdr:colOff>1019175</xdr:colOff>
          <xdr:row>31</xdr:row>
          <xdr:rowOff>209550</xdr:rowOff>
        </xdr:to>
        <xdr:sp macro="" textlink="">
          <xdr:nvSpPr>
            <xdr:cNvPr id="3348" name="Button 276" hidden="1">
              <a:extLst>
                <a:ext uri="{63B3BB69-23CF-44E3-9099-C40C66FF867C}">
                  <a14:compatExt spid="_x0000_s33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142875</xdr:colOff>
          <xdr:row>31</xdr:row>
          <xdr:rowOff>304800</xdr:rowOff>
        </xdr:from>
        <xdr:to>
          <xdr:col>11</xdr:col>
          <xdr:colOff>1019175</xdr:colOff>
          <xdr:row>32</xdr:row>
          <xdr:rowOff>209550</xdr:rowOff>
        </xdr:to>
        <xdr:sp macro="" textlink="">
          <xdr:nvSpPr>
            <xdr:cNvPr id="3349" name="Button 277" hidden="1">
              <a:extLst>
                <a:ext uri="{63B3BB69-23CF-44E3-9099-C40C66FF867C}">
                  <a14:compatExt spid="_x0000_s33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133350</xdr:colOff>
          <xdr:row>32</xdr:row>
          <xdr:rowOff>304800</xdr:rowOff>
        </xdr:from>
        <xdr:to>
          <xdr:col>11</xdr:col>
          <xdr:colOff>1028700</xdr:colOff>
          <xdr:row>33</xdr:row>
          <xdr:rowOff>219075</xdr:rowOff>
        </xdr:to>
        <xdr:sp macro="" textlink="">
          <xdr:nvSpPr>
            <xdr:cNvPr id="3350" name="Button 278" hidden="1">
              <a:extLst>
                <a:ext uri="{63B3BB69-23CF-44E3-9099-C40C66FF867C}">
                  <a14:compatExt spid="_x0000_s33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133350</xdr:colOff>
          <xdr:row>18</xdr:row>
          <xdr:rowOff>19050</xdr:rowOff>
        </xdr:from>
        <xdr:to>
          <xdr:col>12</xdr:col>
          <xdr:colOff>1009650</xdr:colOff>
          <xdr:row>18</xdr:row>
          <xdr:rowOff>219075</xdr:rowOff>
        </xdr:to>
        <xdr:sp macro="" textlink="">
          <xdr:nvSpPr>
            <xdr:cNvPr id="3351" name="Button 279" hidden="1">
              <a:extLst>
                <a:ext uri="{63B3BB69-23CF-44E3-9099-C40C66FF867C}">
                  <a14:compatExt spid="_x0000_s33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133350</xdr:colOff>
          <xdr:row>19</xdr:row>
          <xdr:rowOff>19050</xdr:rowOff>
        </xdr:from>
        <xdr:to>
          <xdr:col>12</xdr:col>
          <xdr:colOff>1009650</xdr:colOff>
          <xdr:row>19</xdr:row>
          <xdr:rowOff>219075</xdr:rowOff>
        </xdr:to>
        <xdr:sp macro="" textlink="">
          <xdr:nvSpPr>
            <xdr:cNvPr id="3352" name="Button 280" hidden="1">
              <a:extLst>
                <a:ext uri="{63B3BB69-23CF-44E3-9099-C40C66FF867C}">
                  <a14:compatExt spid="_x0000_s33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2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133350</xdr:colOff>
          <xdr:row>20</xdr:row>
          <xdr:rowOff>19050</xdr:rowOff>
        </xdr:from>
        <xdr:to>
          <xdr:col>12</xdr:col>
          <xdr:colOff>1009650</xdr:colOff>
          <xdr:row>20</xdr:row>
          <xdr:rowOff>209550</xdr:rowOff>
        </xdr:to>
        <xdr:sp macro="" textlink="">
          <xdr:nvSpPr>
            <xdr:cNvPr id="3353" name="Button 281" hidden="1">
              <a:extLst>
                <a:ext uri="{63B3BB69-23CF-44E3-9099-C40C66FF867C}">
                  <a14:compatExt spid="_x0000_s33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3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133350</xdr:colOff>
          <xdr:row>21</xdr:row>
          <xdr:rowOff>19050</xdr:rowOff>
        </xdr:from>
        <xdr:to>
          <xdr:col>12</xdr:col>
          <xdr:colOff>1009650</xdr:colOff>
          <xdr:row>21</xdr:row>
          <xdr:rowOff>209550</xdr:rowOff>
        </xdr:to>
        <xdr:sp macro="" textlink="">
          <xdr:nvSpPr>
            <xdr:cNvPr id="3354" name="Button 282" hidden="1">
              <a:extLst>
                <a:ext uri="{63B3BB69-23CF-44E3-9099-C40C66FF867C}">
                  <a14:compatExt spid="_x0000_s33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4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133350</xdr:colOff>
          <xdr:row>22</xdr:row>
          <xdr:rowOff>19050</xdr:rowOff>
        </xdr:from>
        <xdr:to>
          <xdr:col>12</xdr:col>
          <xdr:colOff>1009650</xdr:colOff>
          <xdr:row>22</xdr:row>
          <xdr:rowOff>209550</xdr:rowOff>
        </xdr:to>
        <xdr:sp macro="" textlink="">
          <xdr:nvSpPr>
            <xdr:cNvPr id="3355" name="Button 283" hidden="1">
              <a:extLst>
                <a:ext uri="{63B3BB69-23CF-44E3-9099-C40C66FF867C}">
                  <a14:compatExt spid="_x0000_s33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133350</xdr:colOff>
          <xdr:row>23</xdr:row>
          <xdr:rowOff>9525</xdr:rowOff>
        </xdr:from>
        <xdr:to>
          <xdr:col>12</xdr:col>
          <xdr:colOff>1009650</xdr:colOff>
          <xdr:row>23</xdr:row>
          <xdr:rowOff>228600</xdr:rowOff>
        </xdr:to>
        <xdr:sp macro="" textlink="">
          <xdr:nvSpPr>
            <xdr:cNvPr id="3356" name="Button 284" hidden="1">
              <a:extLst>
                <a:ext uri="{63B3BB69-23CF-44E3-9099-C40C66FF867C}">
                  <a14:compatExt spid="_x0000_s33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133350</xdr:colOff>
          <xdr:row>24</xdr:row>
          <xdr:rowOff>9525</xdr:rowOff>
        </xdr:from>
        <xdr:to>
          <xdr:col>12</xdr:col>
          <xdr:colOff>1009650</xdr:colOff>
          <xdr:row>24</xdr:row>
          <xdr:rowOff>228600</xdr:rowOff>
        </xdr:to>
        <xdr:sp macro="" textlink="">
          <xdr:nvSpPr>
            <xdr:cNvPr id="3357" name="Button 285" hidden="1">
              <a:extLst>
                <a:ext uri="{63B3BB69-23CF-44E3-9099-C40C66FF867C}">
                  <a14:compatExt spid="_x0000_s33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133350</xdr:colOff>
          <xdr:row>25</xdr:row>
          <xdr:rowOff>9525</xdr:rowOff>
        </xdr:from>
        <xdr:to>
          <xdr:col>12</xdr:col>
          <xdr:colOff>1009650</xdr:colOff>
          <xdr:row>25</xdr:row>
          <xdr:rowOff>228600</xdr:rowOff>
        </xdr:to>
        <xdr:sp macro="" textlink="">
          <xdr:nvSpPr>
            <xdr:cNvPr id="3358" name="Button 286" hidden="1">
              <a:extLst>
                <a:ext uri="{63B3BB69-23CF-44E3-9099-C40C66FF867C}">
                  <a14:compatExt spid="_x0000_s33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133350</xdr:colOff>
          <xdr:row>26</xdr:row>
          <xdr:rowOff>9525</xdr:rowOff>
        </xdr:from>
        <xdr:to>
          <xdr:col>12</xdr:col>
          <xdr:colOff>1009650</xdr:colOff>
          <xdr:row>26</xdr:row>
          <xdr:rowOff>228600</xdr:rowOff>
        </xdr:to>
        <xdr:sp macro="" textlink="">
          <xdr:nvSpPr>
            <xdr:cNvPr id="3359" name="Button 287" hidden="1">
              <a:extLst>
                <a:ext uri="{63B3BB69-23CF-44E3-9099-C40C66FF867C}">
                  <a14:compatExt spid="_x0000_s33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133350</xdr:colOff>
          <xdr:row>27</xdr:row>
          <xdr:rowOff>0</xdr:rowOff>
        </xdr:from>
        <xdr:to>
          <xdr:col>12</xdr:col>
          <xdr:colOff>1009650</xdr:colOff>
          <xdr:row>27</xdr:row>
          <xdr:rowOff>219075</xdr:rowOff>
        </xdr:to>
        <xdr:sp macro="" textlink="">
          <xdr:nvSpPr>
            <xdr:cNvPr id="3360" name="Button 288" hidden="1">
              <a:extLst>
                <a:ext uri="{63B3BB69-23CF-44E3-9099-C40C66FF867C}">
                  <a14:compatExt spid="_x0000_s33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133350</xdr:colOff>
          <xdr:row>28</xdr:row>
          <xdr:rowOff>0</xdr:rowOff>
        </xdr:from>
        <xdr:to>
          <xdr:col>12</xdr:col>
          <xdr:colOff>1009650</xdr:colOff>
          <xdr:row>28</xdr:row>
          <xdr:rowOff>209550</xdr:rowOff>
        </xdr:to>
        <xdr:sp macro="" textlink="">
          <xdr:nvSpPr>
            <xdr:cNvPr id="3361" name="Button 289" hidden="1">
              <a:extLst>
                <a:ext uri="{63B3BB69-23CF-44E3-9099-C40C66FF867C}">
                  <a14:compatExt spid="_x0000_s3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133350</xdr:colOff>
          <xdr:row>29</xdr:row>
          <xdr:rowOff>0</xdr:rowOff>
        </xdr:from>
        <xdr:to>
          <xdr:col>12</xdr:col>
          <xdr:colOff>1009650</xdr:colOff>
          <xdr:row>29</xdr:row>
          <xdr:rowOff>209550</xdr:rowOff>
        </xdr:to>
        <xdr:sp macro="" textlink="">
          <xdr:nvSpPr>
            <xdr:cNvPr id="3362" name="Button 290" hidden="1">
              <a:extLst>
                <a:ext uri="{63B3BB69-23CF-44E3-9099-C40C66FF867C}">
                  <a14:compatExt spid="_x0000_s3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9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133350</xdr:colOff>
          <xdr:row>29</xdr:row>
          <xdr:rowOff>304800</xdr:rowOff>
        </xdr:from>
        <xdr:to>
          <xdr:col>12</xdr:col>
          <xdr:colOff>1009650</xdr:colOff>
          <xdr:row>30</xdr:row>
          <xdr:rowOff>209550</xdr:rowOff>
        </xdr:to>
        <xdr:sp macro="" textlink="">
          <xdr:nvSpPr>
            <xdr:cNvPr id="3363" name="Button 291" hidden="1">
              <a:extLst>
                <a:ext uri="{63B3BB69-23CF-44E3-9099-C40C66FF867C}">
                  <a14:compatExt spid="_x0000_s3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10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133350</xdr:colOff>
          <xdr:row>30</xdr:row>
          <xdr:rowOff>304800</xdr:rowOff>
        </xdr:from>
        <xdr:to>
          <xdr:col>12</xdr:col>
          <xdr:colOff>1009650</xdr:colOff>
          <xdr:row>31</xdr:row>
          <xdr:rowOff>209550</xdr:rowOff>
        </xdr:to>
        <xdr:sp macro="" textlink="">
          <xdr:nvSpPr>
            <xdr:cNvPr id="3364" name="Button 292" hidden="1">
              <a:extLst>
                <a:ext uri="{63B3BB69-23CF-44E3-9099-C40C66FF867C}">
                  <a14:compatExt spid="_x0000_s33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133350</xdr:colOff>
          <xdr:row>31</xdr:row>
          <xdr:rowOff>304800</xdr:rowOff>
        </xdr:from>
        <xdr:to>
          <xdr:col>12</xdr:col>
          <xdr:colOff>1009650</xdr:colOff>
          <xdr:row>32</xdr:row>
          <xdr:rowOff>209550</xdr:rowOff>
        </xdr:to>
        <xdr:sp macro="" textlink="">
          <xdr:nvSpPr>
            <xdr:cNvPr id="3365" name="Button 293" hidden="1">
              <a:extLst>
                <a:ext uri="{63B3BB69-23CF-44E3-9099-C40C66FF867C}">
                  <a14:compatExt spid="_x0000_s33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123825</xdr:colOff>
          <xdr:row>32</xdr:row>
          <xdr:rowOff>304800</xdr:rowOff>
        </xdr:from>
        <xdr:to>
          <xdr:col>12</xdr:col>
          <xdr:colOff>1019175</xdr:colOff>
          <xdr:row>33</xdr:row>
          <xdr:rowOff>219075</xdr:rowOff>
        </xdr:to>
        <xdr:sp macro="" textlink="">
          <xdr:nvSpPr>
            <xdr:cNvPr id="3366" name="Button 294" hidden="1">
              <a:extLst>
                <a:ext uri="{63B3BB69-23CF-44E3-9099-C40C66FF867C}">
                  <a14:compatExt spid="_x0000_s33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2</xdr:row>
          <xdr:rowOff>57150</xdr:rowOff>
        </xdr:from>
        <xdr:to>
          <xdr:col>6</xdr:col>
          <xdr:colOff>1047750</xdr:colOff>
          <xdr:row>4</xdr:row>
          <xdr:rowOff>57150</xdr:rowOff>
        </xdr:to>
        <xdr:sp macro="" textlink="">
          <xdr:nvSpPr>
            <xdr:cNvPr id="3367" name="Button 295" hidden="1">
              <a:extLst>
                <a:ext uri="{63B3BB69-23CF-44E3-9099-C40C66FF867C}">
                  <a14:compatExt spid="_x0000_s33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E-3.1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4</xdr:row>
          <xdr:rowOff>57150</xdr:rowOff>
        </xdr:from>
        <xdr:to>
          <xdr:col>3</xdr:col>
          <xdr:colOff>266700</xdr:colOff>
          <xdr:row>9</xdr:row>
          <xdr:rowOff>95250</xdr:rowOff>
        </xdr:to>
        <xdr:sp macro="" textlink="">
          <xdr:nvSpPr>
            <xdr:cNvPr id="3368" name="Button 296" hidden="1">
              <a:extLst>
                <a:ext uri="{63B3BB69-23CF-44E3-9099-C40C66FF867C}">
                  <a14:compatExt spid="_x0000_s3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Print All COS Studies</a:t>
              </a:r>
            </a:p>
          </xdr:txBody>
        </xdr:sp>
        <xdr:clientData fPrintsWithSheet="0"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261257</xdr:colOff>
      <xdr:row>22</xdr:row>
      <xdr:rowOff>10885</xdr:rowOff>
    </xdr:from>
    <xdr:to>
      <xdr:col>12</xdr:col>
      <xdr:colOff>478972</xdr:colOff>
      <xdr:row>38</xdr:row>
      <xdr:rowOff>10886</xdr:rowOff>
    </xdr:to>
    <xdr:sp macro="" textlink="">
      <xdr:nvSpPr>
        <xdr:cNvPr id="2" name="Right Brace 1"/>
        <xdr:cNvSpPr/>
      </xdr:nvSpPr>
      <xdr:spPr bwMode="auto">
        <a:xfrm>
          <a:off x="12354197" y="3698965"/>
          <a:ext cx="956855" cy="2682241"/>
        </a:xfrm>
        <a:prstGeom prst="rightBrac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261257</xdr:colOff>
      <xdr:row>22</xdr:row>
      <xdr:rowOff>10885</xdr:rowOff>
    </xdr:from>
    <xdr:to>
      <xdr:col>12</xdr:col>
      <xdr:colOff>478972</xdr:colOff>
      <xdr:row>38</xdr:row>
      <xdr:rowOff>10886</xdr:rowOff>
    </xdr:to>
    <xdr:sp macro="" textlink="">
      <xdr:nvSpPr>
        <xdr:cNvPr id="2" name="Right Brace 1"/>
        <xdr:cNvSpPr/>
      </xdr:nvSpPr>
      <xdr:spPr bwMode="auto">
        <a:xfrm>
          <a:off x="12354197" y="3698965"/>
          <a:ext cx="956855" cy="2682241"/>
        </a:xfrm>
        <a:prstGeom prst="rightBrac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261257</xdr:colOff>
      <xdr:row>22</xdr:row>
      <xdr:rowOff>10885</xdr:rowOff>
    </xdr:from>
    <xdr:to>
      <xdr:col>12</xdr:col>
      <xdr:colOff>478972</xdr:colOff>
      <xdr:row>38</xdr:row>
      <xdr:rowOff>10886</xdr:rowOff>
    </xdr:to>
    <xdr:sp macro="" textlink="">
      <xdr:nvSpPr>
        <xdr:cNvPr id="2" name="Right Brace 1"/>
        <xdr:cNvSpPr/>
      </xdr:nvSpPr>
      <xdr:spPr bwMode="auto">
        <a:xfrm>
          <a:off x="12354197" y="3698965"/>
          <a:ext cx="956855" cy="2682241"/>
        </a:xfrm>
        <a:prstGeom prst="rightBrac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0</xdr:colOff>
      <xdr:row>88</xdr:row>
      <xdr:rowOff>0</xdr:rowOff>
    </xdr:from>
    <xdr:to>
      <xdr:col>19</xdr:col>
      <xdr:colOff>0</xdr:colOff>
      <xdr:row>98</xdr:row>
      <xdr:rowOff>0</xdr:rowOff>
    </xdr:to>
    <xdr:graphicFrame macro="">
      <xdr:nvGraphicFramePr>
        <xdr:cNvPr id="1126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90</xdr:row>
      <xdr:rowOff>0</xdr:rowOff>
    </xdr:from>
    <xdr:to>
      <xdr:col>19</xdr:col>
      <xdr:colOff>0</xdr:colOff>
      <xdr:row>100</xdr:row>
      <xdr:rowOff>0</xdr:rowOff>
    </xdr:to>
    <xdr:graphicFrame macro="">
      <xdr:nvGraphicFramePr>
        <xdr:cNvPr id="11270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162558</xdr:colOff>
      <xdr:row>61</xdr:row>
      <xdr:rowOff>50800</xdr:rowOff>
    </xdr:from>
    <xdr:to>
      <xdr:col>31</xdr:col>
      <xdr:colOff>622300</xdr:colOff>
      <xdr:row>77</xdr:row>
      <xdr:rowOff>88899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292100</xdr:colOff>
      <xdr:row>51</xdr:row>
      <xdr:rowOff>12700</xdr:rowOff>
    </xdr:from>
    <xdr:to>
      <xdr:col>7</xdr:col>
      <xdr:colOff>1193800</xdr:colOff>
      <xdr:row>57</xdr:row>
      <xdr:rowOff>50800</xdr:rowOff>
    </xdr:to>
    <xdr:sp macro="" textlink="">
      <xdr:nvSpPr>
        <xdr:cNvPr id="6" name="Line Callout 1 5"/>
        <xdr:cNvSpPr/>
      </xdr:nvSpPr>
      <xdr:spPr bwMode="auto">
        <a:xfrm>
          <a:off x="4559300" y="8534400"/>
          <a:ext cx="3073400" cy="1028700"/>
        </a:xfrm>
        <a:prstGeom prst="borderCallout1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/>
            <a:t>Used</a:t>
          </a:r>
          <a:r>
            <a:rPr lang="en-US" sz="1100" baseline="0"/>
            <a:t> minimum average cost </a:t>
          </a:r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261257</xdr:colOff>
      <xdr:row>28</xdr:row>
      <xdr:rowOff>10885</xdr:rowOff>
    </xdr:from>
    <xdr:to>
      <xdr:col>12</xdr:col>
      <xdr:colOff>478972</xdr:colOff>
      <xdr:row>44</xdr:row>
      <xdr:rowOff>10886</xdr:rowOff>
    </xdr:to>
    <xdr:sp macro="" textlink="">
      <xdr:nvSpPr>
        <xdr:cNvPr id="2" name="Right Brace 1"/>
        <xdr:cNvSpPr/>
      </xdr:nvSpPr>
      <xdr:spPr bwMode="auto">
        <a:xfrm>
          <a:off x="12050486" y="3603171"/>
          <a:ext cx="957943" cy="2612572"/>
        </a:xfrm>
        <a:prstGeom prst="rightBrac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249351</xdr:colOff>
      <xdr:row>28</xdr:row>
      <xdr:rowOff>10885</xdr:rowOff>
    </xdr:from>
    <xdr:to>
      <xdr:col>12</xdr:col>
      <xdr:colOff>467066</xdr:colOff>
      <xdr:row>44</xdr:row>
      <xdr:rowOff>10886</xdr:rowOff>
    </xdr:to>
    <xdr:sp macro="" textlink="">
      <xdr:nvSpPr>
        <xdr:cNvPr id="2" name="Right Brace 1"/>
        <xdr:cNvSpPr/>
      </xdr:nvSpPr>
      <xdr:spPr bwMode="auto">
        <a:xfrm>
          <a:off x="13072382" y="4678135"/>
          <a:ext cx="967809" cy="2667001"/>
        </a:xfrm>
        <a:prstGeom prst="rightBrac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273163</xdr:colOff>
      <xdr:row>27</xdr:row>
      <xdr:rowOff>165666</xdr:rowOff>
    </xdr:from>
    <xdr:to>
      <xdr:col>13</xdr:col>
      <xdr:colOff>490878</xdr:colOff>
      <xdr:row>43</xdr:row>
      <xdr:rowOff>165667</xdr:rowOff>
    </xdr:to>
    <xdr:sp macro="" textlink="">
      <xdr:nvSpPr>
        <xdr:cNvPr id="2" name="Right Brace 1"/>
        <xdr:cNvSpPr/>
      </xdr:nvSpPr>
      <xdr:spPr bwMode="auto">
        <a:xfrm>
          <a:off x="13060476" y="4666229"/>
          <a:ext cx="967808" cy="2667001"/>
        </a:xfrm>
        <a:prstGeom prst="rightBrac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237445</xdr:colOff>
      <xdr:row>27</xdr:row>
      <xdr:rowOff>165666</xdr:rowOff>
    </xdr:from>
    <xdr:to>
      <xdr:col>12</xdr:col>
      <xdr:colOff>455160</xdr:colOff>
      <xdr:row>43</xdr:row>
      <xdr:rowOff>165667</xdr:rowOff>
    </xdr:to>
    <xdr:sp macro="" textlink="">
      <xdr:nvSpPr>
        <xdr:cNvPr id="2" name="Right Brace 1"/>
        <xdr:cNvSpPr/>
      </xdr:nvSpPr>
      <xdr:spPr bwMode="auto">
        <a:xfrm>
          <a:off x="12608039" y="4666229"/>
          <a:ext cx="967809" cy="2667001"/>
        </a:xfrm>
        <a:prstGeom prst="rightBrac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249351</xdr:colOff>
      <xdr:row>28</xdr:row>
      <xdr:rowOff>10885</xdr:rowOff>
    </xdr:from>
    <xdr:to>
      <xdr:col>13</xdr:col>
      <xdr:colOff>467066</xdr:colOff>
      <xdr:row>44</xdr:row>
      <xdr:rowOff>10886</xdr:rowOff>
    </xdr:to>
    <xdr:sp macro="" textlink="">
      <xdr:nvSpPr>
        <xdr:cNvPr id="2" name="Right Brace 1"/>
        <xdr:cNvSpPr/>
      </xdr:nvSpPr>
      <xdr:spPr bwMode="auto">
        <a:xfrm>
          <a:off x="13131914" y="4678135"/>
          <a:ext cx="967808" cy="2667001"/>
        </a:xfrm>
        <a:prstGeom prst="rightBrac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213632</xdr:colOff>
      <xdr:row>27</xdr:row>
      <xdr:rowOff>165666</xdr:rowOff>
    </xdr:from>
    <xdr:to>
      <xdr:col>13</xdr:col>
      <xdr:colOff>431347</xdr:colOff>
      <xdr:row>43</xdr:row>
      <xdr:rowOff>165667</xdr:rowOff>
    </xdr:to>
    <xdr:sp macro="" textlink="">
      <xdr:nvSpPr>
        <xdr:cNvPr id="2" name="Right Brace 1"/>
        <xdr:cNvSpPr/>
      </xdr:nvSpPr>
      <xdr:spPr bwMode="auto">
        <a:xfrm>
          <a:off x="13096195" y="4666229"/>
          <a:ext cx="967808" cy="2667001"/>
        </a:xfrm>
        <a:prstGeom prst="rightBrac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237445</xdr:colOff>
      <xdr:row>27</xdr:row>
      <xdr:rowOff>141853</xdr:rowOff>
    </xdr:from>
    <xdr:to>
      <xdr:col>12</xdr:col>
      <xdr:colOff>455160</xdr:colOff>
      <xdr:row>43</xdr:row>
      <xdr:rowOff>141854</xdr:rowOff>
    </xdr:to>
    <xdr:sp macro="" textlink="">
      <xdr:nvSpPr>
        <xdr:cNvPr id="3" name="Right Brace 2"/>
        <xdr:cNvSpPr/>
      </xdr:nvSpPr>
      <xdr:spPr bwMode="auto">
        <a:xfrm>
          <a:off x="12036539" y="4642416"/>
          <a:ext cx="967809" cy="2667001"/>
        </a:xfrm>
        <a:prstGeom prst="rightBrac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261257</xdr:colOff>
      <xdr:row>22</xdr:row>
      <xdr:rowOff>10885</xdr:rowOff>
    </xdr:from>
    <xdr:to>
      <xdr:col>12</xdr:col>
      <xdr:colOff>478972</xdr:colOff>
      <xdr:row>38</xdr:row>
      <xdr:rowOff>10886</xdr:rowOff>
    </xdr:to>
    <xdr:sp macro="" textlink="">
      <xdr:nvSpPr>
        <xdr:cNvPr id="2" name="Right Brace 1"/>
        <xdr:cNvSpPr/>
      </xdr:nvSpPr>
      <xdr:spPr bwMode="auto">
        <a:xfrm>
          <a:off x="12354197" y="3698965"/>
          <a:ext cx="956855" cy="2682241"/>
        </a:xfrm>
        <a:prstGeom prst="rightBrac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Rate%20Case%20Filings/DEK%20Gas%20Case%202018-00261/SFR%20Model/KPSC%20GAS%20SFRs-2018%20-%20FP%20Working%20Copy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GO"/>
      <sheetName val="ALLOCTABLE"/>
      <sheetName val="GOTO"/>
      <sheetName val="PRINT"/>
      <sheetName val="BASE PERIOD"/>
      <sheetName val="O&amp;M Table"/>
      <sheetName val="BP Rev by Product"/>
      <sheetName val="BP Bdgt Data"/>
      <sheetName val="FP Bdgt Data"/>
      <sheetName val="BP Bdgt Rev"/>
      <sheetName val="BP Actual Rev"/>
      <sheetName val="STAFF-DR-01-030b"/>
      <sheetName val="FORECASTED PERIOD"/>
      <sheetName val="FP Rev by Product"/>
      <sheetName val="BP vs FP by Acct"/>
      <sheetName val="Rate Case Drivers"/>
      <sheetName val="SCH_A Cap"/>
      <sheetName val="SCH_A Rate Base"/>
      <sheetName val="Rate Base Ratios"/>
      <sheetName val="FP vs. BP RB Ratio Compare"/>
      <sheetName val="SCH_B1"/>
      <sheetName val="SCH B-2"/>
      <sheetName val="SCH B-2.1"/>
      <sheetName val="SCH B-2.2"/>
      <sheetName val="WPB-2.2a-f - Base"/>
      <sheetName val="WPB-2.2g"/>
      <sheetName val="WPB-2.2h"/>
      <sheetName val="WPB-2.2i Erlanger"/>
      <sheetName val="SCH B-2.3"/>
      <sheetName val="SCH B-2.4"/>
      <sheetName val="SCH B-2.5"/>
      <sheetName val="SCH B-2.6"/>
      <sheetName val="SCH B-2.7"/>
      <sheetName val="SCH B-3"/>
      <sheetName val="SCH B-3.1"/>
      <sheetName val="WPB-3.1a"/>
      <sheetName val="SCH B-3.2 - Proposed Rate"/>
      <sheetName val="SCH B-3.2 - Current Rate"/>
      <sheetName val="SCH B-4"/>
      <sheetName val="SCH_B5s"/>
      <sheetName val="WPB-5's"/>
      <sheetName val="SCH_B6"/>
      <sheetName val="WPB-6's"/>
      <sheetName val="SCH_B7s"/>
      <sheetName val="SCH_B8"/>
      <sheetName val="SCH_C1"/>
      <sheetName val="SCH_C2"/>
      <sheetName val="WPC_2"/>
      <sheetName val="WPC-2e - Adj Summary"/>
      <sheetName val="SCH_C2.1 - Base Period"/>
      <sheetName val="SCH_C2.1 - Forecasted Period"/>
      <sheetName val="SCH_D1"/>
      <sheetName val="SCH_D2.1"/>
      <sheetName val="SCH_D2.2"/>
      <sheetName val="SCH_D2.3"/>
      <sheetName val="SCH_D2.4"/>
      <sheetName val="SCH_D2.5"/>
      <sheetName val="SCH_D2.6"/>
      <sheetName val="SCH_D2.7"/>
      <sheetName val="SCH_D2.8"/>
      <sheetName val="SCH_D2.9"/>
      <sheetName val="SCH_D2.10"/>
      <sheetName val="SCH_D2.11"/>
      <sheetName val="SCH_D2.12"/>
      <sheetName val="SCH_D2.13"/>
      <sheetName val="SCH_D2.14"/>
      <sheetName val="SCH_D2.15"/>
      <sheetName val="SCH_D2.16"/>
      <sheetName val="SCH_D2.17"/>
      <sheetName val="SCH_D2.18"/>
      <sheetName val="SCH_D2.19"/>
      <sheetName val="SCH_D2.20"/>
      <sheetName val="SCH_D2.21"/>
      <sheetName val="SCH_D2.22"/>
      <sheetName val="SCH_D2.23"/>
      <sheetName val="SCH_D2.24"/>
      <sheetName val="SCH_D2.25"/>
      <sheetName val="SCH_D2.26"/>
      <sheetName val="SCH_D2.27"/>
      <sheetName val="SCH_D2.28"/>
      <sheetName val="SCH_D2.29"/>
      <sheetName val="SCH_D3"/>
      <sheetName val="SCH_D4"/>
      <sheetName val="SCH_D5"/>
      <sheetName val="SCH_E1"/>
      <sheetName val="SCH_E2"/>
      <sheetName val="SCH_F1"/>
      <sheetName val="SCH_F2.1"/>
      <sheetName val="SCH_F2.2"/>
      <sheetName val="SCH_F2.3"/>
      <sheetName val="SCH_F3"/>
      <sheetName val="SCH_F4"/>
      <sheetName val="SCH_F5"/>
      <sheetName val="SCH_F6"/>
      <sheetName val="SCH_F7"/>
      <sheetName val="SCH_G1"/>
      <sheetName val="SCH_G2"/>
      <sheetName val="SCH_G3"/>
      <sheetName val="SCH_H"/>
      <sheetName val="SCH_I1 - Total Co."/>
      <sheetName val="SCH_I1 - Gas Only"/>
      <sheetName val="Staff-DR-01-007"/>
      <sheetName val="Staff-DR-01-031"/>
      <sheetName val="SCH_I2.1"/>
      <sheetName val="Base Period Cust"/>
      <sheetName val="MCF Sales"/>
      <sheetName val="SCH_I3"/>
      <sheetName val="SCH_I4"/>
      <sheetName val="SCH_I5"/>
      <sheetName val="SCH_J1 - Base"/>
      <sheetName val="SCH_J1 - Forecast"/>
      <sheetName val="SCH_J2 - Base"/>
      <sheetName val="SCH_J2 - Forecast"/>
      <sheetName val="SCH_J3 - Base"/>
      <sheetName val="SCH_J3 - Forecast"/>
      <sheetName val="SCH_J4"/>
      <sheetName val="SCH K DEK"/>
      <sheetName val="RB vs Cap FP 16(6)(f)"/>
      <sheetName val="RB vs Cap BP Staff DR"/>
      <sheetName val="KPSC GAS SFRs-2018 - FP Working"/>
    </sheetNames>
    <definedNames>
      <definedName name="PLANT_IN_SERVICE" refersTo="='SCH_B1'!$I$18"/>
      <definedName name="SIT" refersTo="='LOGO'!$C$22"/>
    </definedNames>
    <sheetDataSet>
      <sheetData sheetId="0">
        <row r="22">
          <cell r="C22">
            <v>0.05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31">
          <cell r="I31">
            <v>10542220</v>
          </cell>
        </row>
      </sheetData>
      <sheetData sheetId="18"/>
      <sheetData sheetId="19"/>
      <sheetData sheetId="20">
        <row r="18">
          <cell r="I18">
            <v>588627191</v>
          </cell>
        </row>
        <row r="20">
          <cell r="I20">
            <v>-187541693</v>
          </cell>
        </row>
        <row r="26">
          <cell r="I26">
            <v>3021735</v>
          </cell>
        </row>
        <row r="28">
          <cell r="I28">
            <v>5423808</v>
          </cell>
        </row>
        <row r="32">
          <cell r="I32">
            <v>-1579329</v>
          </cell>
        </row>
        <row r="38">
          <cell r="I38">
            <v>-31320215</v>
          </cell>
        </row>
      </sheetData>
      <sheetData sheetId="21"/>
      <sheetData sheetId="22">
        <row r="195">
          <cell r="I195">
            <v>2799608</v>
          </cell>
        </row>
        <row r="220">
          <cell r="I220">
            <v>41032</v>
          </cell>
        </row>
        <row r="221">
          <cell r="I221">
            <v>866302</v>
          </cell>
        </row>
        <row r="222">
          <cell r="I222">
            <v>553059</v>
          </cell>
        </row>
        <row r="223">
          <cell r="I223">
            <v>982749</v>
          </cell>
        </row>
        <row r="224">
          <cell r="I224">
            <v>105363141</v>
          </cell>
        </row>
        <row r="225">
          <cell r="I225">
            <v>149762955</v>
          </cell>
        </row>
        <row r="226">
          <cell r="I226">
            <v>27337810</v>
          </cell>
        </row>
        <row r="227">
          <cell r="I227">
            <v>7162530</v>
          </cell>
        </row>
        <row r="228">
          <cell r="I228">
            <v>1032384</v>
          </cell>
        </row>
        <row r="229">
          <cell r="I229">
            <v>2419176</v>
          </cell>
        </row>
        <row r="230">
          <cell r="I230">
            <v>3116451</v>
          </cell>
        </row>
        <row r="231">
          <cell r="I231">
            <v>8817969</v>
          </cell>
        </row>
        <row r="232">
          <cell r="I232">
            <v>151094070</v>
          </cell>
        </row>
        <row r="233">
          <cell r="I233">
            <v>12832410</v>
          </cell>
        </row>
        <row r="234">
          <cell r="I234">
            <v>10424840</v>
          </cell>
        </row>
        <row r="235">
          <cell r="I235">
            <v>6557950</v>
          </cell>
        </row>
        <row r="236">
          <cell r="I236">
            <v>5939132</v>
          </cell>
        </row>
        <row r="237">
          <cell r="I237">
            <v>455084</v>
          </cell>
        </row>
        <row r="238">
          <cell r="I238">
            <v>64791</v>
          </cell>
        </row>
        <row r="239">
          <cell r="I239">
            <v>21447</v>
          </cell>
        </row>
        <row r="240">
          <cell r="I240">
            <v>28290</v>
          </cell>
        </row>
        <row r="241">
          <cell r="I241">
            <v>3583546</v>
          </cell>
        </row>
        <row r="242">
          <cell r="I242">
            <v>50026690</v>
          </cell>
        </row>
        <row r="284">
          <cell r="I284">
            <v>24465890</v>
          </cell>
        </row>
        <row r="327">
          <cell r="I327">
            <v>12877885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227">
          <cell r="K227">
            <v>1634598</v>
          </cell>
        </row>
        <row r="258">
          <cell r="K258">
            <v>4</v>
          </cell>
        </row>
        <row r="259">
          <cell r="K259">
            <v>539948</v>
          </cell>
        </row>
        <row r="260">
          <cell r="K260">
            <v>134405</v>
          </cell>
        </row>
        <row r="261">
          <cell r="K261">
            <v>-118273</v>
          </cell>
        </row>
        <row r="262">
          <cell r="K262">
            <v>41995112</v>
          </cell>
        </row>
        <row r="263">
          <cell r="K263">
            <v>53723261</v>
          </cell>
        </row>
        <row r="264">
          <cell r="K264">
            <v>12251097</v>
          </cell>
        </row>
        <row r="265">
          <cell r="K265">
            <v>2553533</v>
          </cell>
        </row>
        <row r="266">
          <cell r="K266">
            <v>404259</v>
          </cell>
        </row>
        <row r="267">
          <cell r="K267">
            <v>1110309</v>
          </cell>
        </row>
        <row r="268">
          <cell r="K268">
            <v>102528</v>
          </cell>
        </row>
        <row r="269">
          <cell r="K269">
            <v>2370014</v>
          </cell>
        </row>
        <row r="270">
          <cell r="K270">
            <v>51299275</v>
          </cell>
        </row>
        <row r="271">
          <cell r="K271">
            <v>-5811552</v>
          </cell>
        </row>
        <row r="272">
          <cell r="K272">
            <v>2892967</v>
          </cell>
        </row>
        <row r="273">
          <cell r="K273">
            <v>2345399</v>
          </cell>
        </row>
        <row r="274">
          <cell r="K274">
            <v>2787651</v>
          </cell>
        </row>
        <row r="275">
          <cell r="K275">
            <v>448439</v>
          </cell>
        </row>
        <row r="276">
          <cell r="K276">
            <v>49660</v>
          </cell>
        </row>
        <row r="277">
          <cell r="K277">
            <v>22692</v>
          </cell>
        </row>
        <row r="278">
          <cell r="K278">
            <v>22262</v>
          </cell>
        </row>
        <row r="279">
          <cell r="K279">
            <v>1213033</v>
          </cell>
        </row>
        <row r="280">
          <cell r="K280">
            <v>-4652670</v>
          </cell>
        </row>
        <row r="281">
          <cell r="K281">
            <v>1258152</v>
          </cell>
        </row>
        <row r="329">
          <cell r="K329">
            <v>9429708</v>
          </cell>
        </row>
        <row r="386">
          <cell r="K386">
            <v>10620322</v>
          </cell>
        </row>
      </sheetData>
      <sheetData sheetId="34"/>
      <sheetData sheetId="35"/>
      <sheetData sheetId="36"/>
      <sheetData sheetId="37"/>
      <sheetData sheetId="38"/>
      <sheetData sheetId="39">
        <row r="17">
          <cell r="O17">
            <v>3021735</v>
          </cell>
        </row>
        <row r="29">
          <cell r="O29">
            <v>1284114</v>
          </cell>
        </row>
        <row r="31">
          <cell r="O31">
            <v>2958880</v>
          </cell>
        </row>
        <row r="35">
          <cell r="O35">
            <v>1143072</v>
          </cell>
        </row>
        <row r="37">
          <cell r="O37">
            <v>37742</v>
          </cell>
        </row>
      </sheetData>
      <sheetData sheetId="40"/>
      <sheetData sheetId="41">
        <row r="78">
          <cell r="N78">
            <v>596887</v>
          </cell>
        </row>
        <row r="80">
          <cell r="P80">
            <v>-31320215</v>
          </cell>
        </row>
      </sheetData>
      <sheetData sheetId="42">
        <row r="111">
          <cell r="R111">
            <v>2316562</v>
          </cell>
        </row>
        <row r="113">
          <cell r="R113">
            <v>-9838297</v>
          </cell>
        </row>
        <row r="114">
          <cell r="R114">
            <v>-53412872</v>
          </cell>
        </row>
        <row r="115">
          <cell r="R115">
            <v>-2409639</v>
          </cell>
        </row>
        <row r="116">
          <cell r="R116">
            <v>-20028</v>
          </cell>
        </row>
        <row r="119">
          <cell r="R119">
            <v>-101783</v>
          </cell>
        </row>
        <row r="121">
          <cell r="R121">
            <v>-278.85753424657537</v>
          </cell>
        </row>
      </sheetData>
      <sheetData sheetId="43"/>
      <sheetData sheetId="44"/>
      <sheetData sheetId="45">
        <row r="22">
          <cell r="G22">
            <v>21084</v>
          </cell>
        </row>
      </sheetData>
      <sheetData sheetId="46">
        <row r="17">
          <cell r="N17">
            <v>58981546</v>
          </cell>
        </row>
        <row r="18">
          <cell r="N18">
            <v>36334092</v>
          </cell>
        </row>
        <row r="19">
          <cell r="N19">
            <v>66492</v>
          </cell>
        </row>
        <row r="25">
          <cell r="N25">
            <v>145617</v>
          </cell>
        </row>
        <row r="26">
          <cell r="N26">
            <v>827211</v>
          </cell>
        </row>
        <row r="27">
          <cell r="N27">
            <v>972828</v>
          </cell>
        </row>
        <row r="30">
          <cell r="N30">
            <v>36334092</v>
          </cell>
        </row>
        <row r="32">
          <cell r="N32">
            <v>36334092</v>
          </cell>
        </row>
        <row r="33">
          <cell r="N33">
            <v>0</v>
          </cell>
        </row>
        <row r="34">
          <cell r="N34">
            <v>12905095</v>
          </cell>
        </row>
        <row r="35">
          <cell r="N35">
            <v>2672913</v>
          </cell>
        </row>
        <row r="36">
          <cell r="N36">
            <v>406241</v>
          </cell>
        </row>
        <row r="37">
          <cell r="N37">
            <v>194128</v>
          </cell>
        </row>
        <row r="38">
          <cell r="N38">
            <v>6479628</v>
          </cell>
        </row>
        <row r="39">
          <cell r="N39">
            <v>543043</v>
          </cell>
        </row>
        <row r="42">
          <cell r="N42">
            <v>14615192</v>
          </cell>
        </row>
        <row r="47">
          <cell r="N47">
            <v>4097687</v>
          </cell>
        </row>
      </sheetData>
      <sheetData sheetId="47"/>
      <sheetData sheetId="48">
        <row r="15">
          <cell r="K15"/>
        </row>
      </sheetData>
      <sheetData sheetId="49"/>
      <sheetData sheetId="50">
        <row r="136">
          <cell r="J136">
            <v>185332</v>
          </cell>
        </row>
        <row r="137">
          <cell r="J137">
            <v>2548186</v>
          </cell>
        </row>
        <row r="138">
          <cell r="J138">
            <v>0</v>
          </cell>
        </row>
        <row r="140">
          <cell r="J140">
            <v>2305785</v>
          </cell>
        </row>
        <row r="141">
          <cell r="J141">
            <v>1353005</v>
          </cell>
        </row>
        <row r="142">
          <cell r="J142">
            <v>2398505</v>
          </cell>
        </row>
        <row r="147">
          <cell r="J147">
            <v>2158350</v>
          </cell>
        </row>
        <row r="148">
          <cell r="J148">
            <v>66190</v>
          </cell>
        </row>
        <row r="149">
          <cell r="J149">
            <v>596174</v>
          </cell>
        </row>
        <row r="150">
          <cell r="J150">
            <v>277999</v>
          </cell>
        </row>
        <row r="151">
          <cell r="J151">
            <v>52951</v>
          </cell>
        </row>
        <row r="173">
          <cell r="J173">
            <v>185894</v>
          </cell>
        </row>
        <row r="174">
          <cell r="J174">
            <v>15923</v>
          </cell>
        </row>
        <row r="175">
          <cell r="J175">
            <v>2595599</v>
          </cell>
        </row>
        <row r="176">
          <cell r="J176">
            <v>378591</v>
          </cell>
        </row>
        <row r="177">
          <cell r="J177">
            <v>105421</v>
          </cell>
        </row>
        <row r="275">
          <cell r="J275">
            <v>33045</v>
          </cell>
        </row>
        <row r="277">
          <cell r="J277">
            <v>3400416</v>
          </cell>
        </row>
        <row r="282">
          <cell r="J282">
            <v>708964</v>
          </cell>
        </row>
      </sheetData>
      <sheetData sheetId="51">
        <row r="231">
          <cell r="W231">
            <v>-588781</v>
          </cell>
        </row>
        <row r="234">
          <cell r="Y234">
            <v>115100</v>
          </cell>
        </row>
        <row r="242">
          <cell r="AE242">
            <v>-44738</v>
          </cell>
        </row>
        <row r="296">
          <cell r="Y296">
            <v>-19734</v>
          </cell>
        </row>
        <row r="299">
          <cell r="Y299">
            <v>-322075</v>
          </cell>
        </row>
        <row r="312">
          <cell r="AA312">
            <v>53880</v>
          </cell>
          <cell r="AC312">
            <v>4002</v>
          </cell>
        </row>
        <row r="317">
          <cell r="AA317">
            <v>216418</v>
          </cell>
          <cell r="AC317">
            <v>16075</v>
          </cell>
        </row>
        <row r="364">
          <cell r="U364">
            <v>-277270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>
        <row r="27">
          <cell r="J27">
            <v>-1084440</v>
          </cell>
        </row>
        <row r="50">
          <cell r="U50">
            <v>152793</v>
          </cell>
          <cell r="V50">
            <v>13546446</v>
          </cell>
          <cell r="W50">
            <v>2000393</v>
          </cell>
        </row>
        <row r="53">
          <cell r="U53">
            <v>65088</v>
          </cell>
          <cell r="V53">
            <v>-1471570</v>
          </cell>
          <cell r="W53">
            <v>194615</v>
          </cell>
          <cell r="X53">
            <v>127427.06759999999</v>
          </cell>
        </row>
      </sheetData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>
        <row r="22">
          <cell r="Q22">
            <v>-6761503</v>
          </cell>
        </row>
        <row r="24">
          <cell r="Q24">
            <v>99651</v>
          </cell>
        </row>
        <row r="28">
          <cell r="Q28">
            <v>-6466130</v>
          </cell>
        </row>
        <row r="32">
          <cell r="Q32">
            <v>-234549</v>
          </cell>
        </row>
        <row r="64">
          <cell r="Q64">
            <v>-5681089</v>
          </cell>
        </row>
        <row r="96">
          <cell r="Q96">
            <v>379533</v>
          </cell>
        </row>
        <row r="102">
          <cell r="Q102">
            <v>450960</v>
          </cell>
        </row>
        <row r="115">
          <cell r="Q115">
            <v>2717472</v>
          </cell>
        </row>
        <row r="117">
          <cell r="Q117">
            <v>1277969</v>
          </cell>
        </row>
        <row r="118">
          <cell r="Q118">
            <v>-16534</v>
          </cell>
        </row>
        <row r="119">
          <cell r="Q119">
            <v>-585952</v>
          </cell>
        </row>
        <row r="121">
          <cell r="Q121">
            <v>675483</v>
          </cell>
        </row>
        <row r="123">
          <cell r="Q123">
            <v>-66055</v>
          </cell>
        </row>
        <row r="250">
          <cell r="AJ250">
            <v>0.99370000000000003</v>
          </cell>
        </row>
      </sheetData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>
        <row r="17">
          <cell r="G17">
            <v>621113054</v>
          </cell>
          <cell r="K17">
            <v>9.9000000000000005E-2</v>
          </cell>
        </row>
        <row r="18">
          <cell r="G18">
            <v>518128763</v>
          </cell>
          <cell r="K18">
            <v>4.3979999999999998E-2</v>
          </cell>
        </row>
        <row r="19">
          <cell r="G19">
            <v>84508435</v>
          </cell>
          <cell r="K19">
            <v>4.2500000000000003E-2</v>
          </cell>
        </row>
      </sheetData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3.xml"/><Relationship Id="rId117" Type="http://schemas.openxmlformats.org/officeDocument/2006/relationships/ctrlProp" Target="../ctrlProps/ctrlProp114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63" Type="http://schemas.openxmlformats.org/officeDocument/2006/relationships/ctrlProp" Target="../ctrlProps/ctrlProp60.xml"/><Relationship Id="rId68" Type="http://schemas.openxmlformats.org/officeDocument/2006/relationships/ctrlProp" Target="../ctrlProps/ctrlProp65.xml"/><Relationship Id="rId84" Type="http://schemas.openxmlformats.org/officeDocument/2006/relationships/ctrlProp" Target="../ctrlProps/ctrlProp81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33" Type="http://schemas.openxmlformats.org/officeDocument/2006/relationships/ctrlProp" Target="../ctrlProps/ctrlProp130.xml"/><Relationship Id="rId138" Type="http://schemas.openxmlformats.org/officeDocument/2006/relationships/ctrlProp" Target="../ctrlProps/ctrlProp135.xml"/><Relationship Id="rId154" Type="http://schemas.openxmlformats.org/officeDocument/2006/relationships/ctrlProp" Target="../ctrlProps/ctrlProp151.xml"/><Relationship Id="rId159" Type="http://schemas.openxmlformats.org/officeDocument/2006/relationships/ctrlProp" Target="../ctrlProps/ctrlProp156.xml"/><Relationship Id="rId175" Type="http://schemas.openxmlformats.org/officeDocument/2006/relationships/ctrlProp" Target="../ctrlProps/ctrlProp172.xml"/><Relationship Id="rId170" Type="http://schemas.openxmlformats.org/officeDocument/2006/relationships/ctrlProp" Target="../ctrlProps/ctrlProp167.xml"/><Relationship Id="rId191" Type="http://schemas.openxmlformats.org/officeDocument/2006/relationships/ctrlProp" Target="../ctrlProps/ctrlProp188.xml"/><Relationship Id="rId16" Type="http://schemas.openxmlformats.org/officeDocument/2006/relationships/ctrlProp" Target="../ctrlProps/ctrlProp13.xml"/><Relationship Id="rId107" Type="http://schemas.openxmlformats.org/officeDocument/2006/relationships/ctrlProp" Target="../ctrlProps/ctrlProp104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74" Type="http://schemas.openxmlformats.org/officeDocument/2006/relationships/ctrlProp" Target="../ctrlProps/ctrlProp71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23" Type="http://schemas.openxmlformats.org/officeDocument/2006/relationships/ctrlProp" Target="../ctrlProps/ctrlProp120.xml"/><Relationship Id="rId128" Type="http://schemas.openxmlformats.org/officeDocument/2006/relationships/ctrlProp" Target="../ctrlProps/ctrlProp125.xml"/><Relationship Id="rId144" Type="http://schemas.openxmlformats.org/officeDocument/2006/relationships/ctrlProp" Target="../ctrlProps/ctrlProp141.xml"/><Relationship Id="rId149" Type="http://schemas.openxmlformats.org/officeDocument/2006/relationships/ctrlProp" Target="../ctrlProps/ctrlProp146.xml"/><Relationship Id="rId5" Type="http://schemas.openxmlformats.org/officeDocument/2006/relationships/ctrlProp" Target="../ctrlProps/ctrlProp2.xml"/><Relationship Id="rId90" Type="http://schemas.openxmlformats.org/officeDocument/2006/relationships/ctrlProp" Target="../ctrlProps/ctrlProp87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165" Type="http://schemas.openxmlformats.org/officeDocument/2006/relationships/ctrlProp" Target="../ctrlProps/ctrlProp162.xml"/><Relationship Id="rId181" Type="http://schemas.openxmlformats.org/officeDocument/2006/relationships/ctrlProp" Target="../ctrlProps/ctrlProp178.xml"/><Relationship Id="rId186" Type="http://schemas.openxmlformats.org/officeDocument/2006/relationships/ctrlProp" Target="../ctrlProps/ctrlProp183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113" Type="http://schemas.openxmlformats.org/officeDocument/2006/relationships/ctrlProp" Target="../ctrlProps/ctrlProp110.xml"/><Relationship Id="rId118" Type="http://schemas.openxmlformats.org/officeDocument/2006/relationships/ctrlProp" Target="../ctrlProps/ctrlProp115.xml"/><Relationship Id="rId134" Type="http://schemas.openxmlformats.org/officeDocument/2006/relationships/ctrlProp" Target="../ctrlProps/ctrlProp131.xml"/><Relationship Id="rId139" Type="http://schemas.openxmlformats.org/officeDocument/2006/relationships/ctrlProp" Target="../ctrlProps/ctrlProp136.xml"/><Relationship Id="rId80" Type="http://schemas.openxmlformats.org/officeDocument/2006/relationships/ctrlProp" Target="../ctrlProps/ctrlProp77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155" Type="http://schemas.openxmlformats.org/officeDocument/2006/relationships/ctrlProp" Target="../ctrlProps/ctrlProp152.xml"/><Relationship Id="rId171" Type="http://schemas.openxmlformats.org/officeDocument/2006/relationships/ctrlProp" Target="../ctrlProps/ctrlProp168.xml"/><Relationship Id="rId176" Type="http://schemas.openxmlformats.org/officeDocument/2006/relationships/ctrlProp" Target="../ctrlProps/ctrlProp173.xml"/><Relationship Id="rId192" Type="http://schemas.openxmlformats.org/officeDocument/2006/relationships/ctrlProp" Target="../ctrlProps/ctrlProp189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59" Type="http://schemas.openxmlformats.org/officeDocument/2006/relationships/ctrlProp" Target="../ctrlProps/ctrlProp56.xml"/><Relationship Id="rId103" Type="http://schemas.openxmlformats.org/officeDocument/2006/relationships/ctrlProp" Target="../ctrlProps/ctrlProp100.xml"/><Relationship Id="rId108" Type="http://schemas.openxmlformats.org/officeDocument/2006/relationships/ctrlProp" Target="../ctrlProps/ctrlProp105.xml"/><Relationship Id="rId124" Type="http://schemas.openxmlformats.org/officeDocument/2006/relationships/ctrlProp" Target="../ctrlProps/ctrlProp121.xml"/><Relationship Id="rId129" Type="http://schemas.openxmlformats.org/officeDocument/2006/relationships/ctrlProp" Target="../ctrlProps/ctrlProp126.xml"/><Relationship Id="rId54" Type="http://schemas.openxmlformats.org/officeDocument/2006/relationships/ctrlProp" Target="../ctrlProps/ctrlProp51.xml"/><Relationship Id="rId70" Type="http://schemas.openxmlformats.org/officeDocument/2006/relationships/ctrlProp" Target="../ctrlProps/ctrlProp67.xml"/><Relationship Id="rId75" Type="http://schemas.openxmlformats.org/officeDocument/2006/relationships/ctrlProp" Target="../ctrlProps/ctrlProp72.xml"/><Relationship Id="rId91" Type="http://schemas.openxmlformats.org/officeDocument/2006/relationships/ctrlProp" Target="../ctrlProps/ctrlProp88.xml"/><Relationship Id="rId96" Type="http://schemas.openxmlformats.org/officeDocument/2006/relationships/ctrlProp" Target="../ctrlProps/ctrlProp93.xml"/><Relationship Id="rId140" Type="http://schemas.openxmlformats.org/officeDocument/2006/relationships/ctrlProp" Target="../ctrlProps/ctrlProp137.xml"/><Relationship Id="rId145" Type="http://schemas.openxmlformats.org/officeDocument/2006/relationships/ctrlProp" Target="../ctrlProps/ctrlProp142.xml"/><Relationship Id="rId161" Type="http://schemas.openxmlformats.org/officeDocument/2006/relationships/ctrlProp" Target="../ctrlProps/ctrlProp158.xml"/><Relationship Id="rId166" Type="http://schemas.openxmlformats.org/officeDocument/2006/relationships/ctrlProp" Target="../ctrlProps/ctrlProp163.xml"/><Relationship Id="rId182" Type="http://schemas.openxmlformats.org/officeDocument/2006/relationships/ctrlProp" Target="../ctrlProps/ctrlProp179.xml"/><Relationship Id="rId187" Type="http://schemas.openxmlformats.org/officeDocument/2006/relationships/ctrlProp" Target="../ctrlProps/ctrlProp184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119" Type="http://schemas.openxmlformats.org/officeDocument/2006/relationships/ctrlProp" Target="../ctrlProps/ctrlProp116.xml"/><Relationship Id="rId44" Type="http://schemas.openxmlformats.org/officeDocument/2006/relationships/ctrlProp" Target="../ctrlProps/ctrlProp41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81" Type="http://schemas.openxmlformats.org/officeDocument/2006/relationships/ctrlProp" Target="../ctrlProps/ctrlProp78.xml"/><Relationship Id="rId86" Type="http://schemas.openxmlformats.org/officeDocument/2006/relationships/ctrlProp" Target="../ctrlProps/ctrlProp83.xml"/><Relationship Id="rId130" Type="http://schemas.openxmlformats.org/officeDocument/2006/relationships/ctrlProp" Target="../ctrlProps/ctrlProp127.xml"/><Relationship Id="rId135" Type="http://schemas.openxmlformats.org/officeDocument/2006/relationships/ctrlProp" Target="../ctrlProps/ctrlProp132.xml"/><Relationship Id="rId151" Type="http://schemas.openxmlformats.org/officeDocument/2006/relationships/ctrlProp" Target="../ctrlProps/ctrlProp148.xml"/><Relationship Id="rId156" Type="http://schemas.openxmlformats.org/officeDocument/2006/relationships/ctrlProp" Target="../ctrlProps/ctrlProp153.xml"/><Relationship Id="rId177" Type="http://schemas.openxmlformats.org/officeDocument/2006/relationships/ctrlProp" Target="../ctrlProps/ctrlProp174.xml"/><Relationship Id="rId172" Type="http://schemas.openxmlformats.org/officeDocument/2006/relationships/ctrlProp" Target="../ctrlProps/ctrlProp169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109" Type="http://schemas.openxmlformats.org/officeDocument/2006/relationships/ctrlProp" Target="../ctrlProps/ctrlProp106.xml"/><Relationship Id="rId34" Type="http://schemas.openxmlformats.org/officeDocument/2006/relationships/ctrlProp" Target="../ctrlProps/ctrlProp31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104" Type="http://schemas.openxmlformats.org/officeDocument/2006/relationships/ctrlProp" Target="../ctrlProps/ctrlProp101.xml"/><Relationship Id="rId120" Type="http://schemas.openxmlformats.org/officeDocument/2006/relationships/ctrlProp" Target="../ctrlProps/ctrlProp117.xml"/><Relationship Id="rId125" Type="http://schemas.openxmlformats.org/officeDocument/2006/relationships/ctrlProp" Target="../ctrlProps/ctrlProp122.xml"/><Relationship Id="rId141" Type="http://schemas.openxmlformats.org/officeDocument/2006/relationships/ctrlProp" Target="../ctrlProps/ctrlProp138.xml"/><Relationship Id="rId146" Type="http://schemas.openxmlformats.org/officeDocument/2006/relationships/ctrlProp" Target="../ctrlProps/ctrlProp143.xml"/><Relationship Id="rId167" Type="http://schemas.openxmlformats.org/officeDocument/2006/relationships/ctrlProp" Target="../ctrlProps/ctrlProp164.xml"/><Relationship Id="rId188" Type="http://schemas.openxmlformats.org/officeDocument/2006/relationships/ctrlProp" Target="../ctrlProps/ctrlProp185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162" Type="http://schemas.openxmlformats.org/officeDocument/2006/relationships/ctrlProp" Target="../ctrlProps/ctrlProp159.xml"/><Relationship Id="rId183" Type="http://schemas.openxmlformats.org/officeDocument/2006/relationships/ctrlProp" Target="../ctrlProps/ctrlProp180.xml"/><Relationship Id="rId2" Type="http://schemas.openxmlformats.org/officeDocument/2006/relationships/drawing" Target="../drawings/drawing1.xml"/><Relationship Id="rId29" Type="http://schemas.openxmlformats.org/officeDocument/2006/relationships/ctrlProp" Target="../ctrlProps/ctrlProp26.xml"/><Relationship Id="rId24" Type="http://schemas.openxmlformats.org/officeDocument/2006/relationships/ctrlProp" Target="../ctrlProps/ctrlProp21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110" Type="http://schemas.openxmlformats.org/officeDocument/2006/relationships/ctrlProp" Target="../ctrlProps/ctrlProp107.xml"/><Relationship Id="rId115" Type="http://schemas.openxmlformats.org/officeDocument/2006/relationships/ctrlProp" Target="../ctrlProps/ctrlProp112.xml"/><Relationship Id="rId131" Type="http://schemas.openxmlformats.org/officeDocument/2006/relationships/ctrlProp" Target="../ctrlProps/ctrlProp128.xml"/><Relationship Id="rId136" Type="http://schemas.openxmlformats.org/officeDocument/2006/relationships/ctrlProp" Target="../ctrlProps/ctrlProp133.xml"/><Relationship Id="rId157" Type="http://schemas.openxmlformats.org/officeDocument/2006/relationships/ctrlProp" Target="../ctrlProps/ctrlProp154.xml"/><Relationship Id="rId178" Type="http://schemas.openxmlformats.org/officeDocument/2006/relationships/ctrlProp" Target="../ctrlProps/ctrlProp175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52" Type="http://schemas.openxmlformats.org/officeDocument/2006/relationships/ctrlProp" Target="../ctrlProps/ctrlProp149.xml"/><Relationship Id="rId173" Type="http://schemas.openxmlformats.org/officeDocument/2006/relationships/ctrlProp" Target="../ctrlProps/ctrlProp170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56" Type="http://schemas.openxmlformats.org/officeDocument/2006/relationships/ctrlProp" Target="../ctrlProps/ctrlProp53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105" Type="http://schemas.openxmlformats.org/officeDocument/2006/relationships/ctrlProp" Target="../ctrlProps/ctrlProp102.xml"/><Relationship Id="rId126" Type="http://schemas.openxmlformats.org/officeDocument/2006/relationships/ctrlProp" Target="../ctrlProps/ctrlProp123.xml"/><Relationship Id="rId147" Type="http://schemas.openxmlformats.org/officeDocument/2006/relationships/ctrlProp" Target="../ctrlProps/ctrlProp144.xml"/><Relationship Id="rId168" Type="http://schemas.openxmlformats.org/officeDocument/2006/relationships/ctrlProp" Target="../ctrlProps/ctrlProp165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93" Type="http://schemas.openxmlformats.org/officeDocument/2006/relationships/ctrlProp" Target="../ctrlProps/ctrlProp90.xml"/><Relationship Id="rId98" Type="http://schemas.openxmlformats.org/officeDocument/2006/relationships/ctrlProp" Target="../ctrlProps/ctrlProp95.xml"/><Relationship Id="rId121" Type="http://schemas.openxmlformats.org/officeDocument/2006/relationships/ctrlProp" Target="../ctrlProps/ctrlProp118.xml"/><Relationship Id="rId142" Type="http://schemas.openxmlformats.org/officeDocument/2006/relationships/ctrlProp" Target="../ctrlProps/ctrlProp139.xml"/><Relationship Id="rId163" Type="http://schemas.openxmlformats.org/officeDocument/2006/relationships/ctrlProp" Target="../ctrlProps/ctrlProp160.xml"/><Relationship Id="rId184" Type="http://schemas.openxmlformats.org/officeDocument/2006/relationships/ctrlProp" Target="../ctrlProps/ctrlProp181.xml"/><Relationship Id="rId189" Type="http://schemas.openxmlformats.org/officeDocument/2006/relationships/ctrlProp" Target="../ctrlProps/ctrlProp186.xml"/><Relationship Id="rId3" Type="http://schemas.openxmlformats.org/officeDocument/2006/relationships/vmlDrawing" Target="../drawings/vmlDrawing1.vml"/><Relationship Id="rId25" Type="http://schemas.openxmlformats.org/officeDocument/2006/relationships/ctrlProp" Target="../ctrlProps/ctrlProp22.xml"/><Relationship Id="rId46" Type="http://schemas.openxmlformats.org/officeDocument/2006/relationships/ctrlProp" Target="../ctrlProps/ctrlProp43.xml"/><Relationship Id="rId67" Type="http://schemas.openxmlformats.org/officeDocument/2006/relationships/ctrlProp" Target="../ctrlProps/ctrlProp64.xml"/><Relationship Id="rId116" Type="http://schemas.openxmlformats.org/officeDocument/2006/relationships/ctrlProp" Target="../ctrlProps/ctrlProp113.xml"/><Relationship Id="rId137" Type="http://schemas.openxmlformats.org/officeDocument/2006/relationships/ctrlProp" Target="../ctrlProps/ctrlProp134.xml"/><Relationship Id="rId158" Type="http://schemas.openxmlformats.org/officeDocument/2006/relationships/ctrlProp" Target="../ctrlProps/ctrlProp155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62" Type="http://schemas.openxmlformats.org/officeDocument/2006/relationships/ctrlProp" Target="../ctrlProps/ctrlProp59.xml"/><Relationship Id="rId83" Type="http://schemas.openxmlformats.org/officeDocument/2006/relationships/ctrlProp" Target="../ctrlProps/ctrlProp80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32" Type="http://schemas.openxmlformats.org/officeDocument/2006/relationships/ctrlProp" Target="../ctrlProps/ctrlProp129.xml"/><Relationship Id="rId153" Type="http://schemas.openxmlformats.org/officeDocument/2006/relationships/ctrlProp" Target="../ctrlProps/ctrlProp150.xml"/><Relationship Id="rId174" Type="http://schemas.openxmlformats.org/officeDocument/2006/relationships/ctrlProp" Target="../ctrlProps/ctrlProp171.xml"/><Relationship Id="rId179" Type="http://schemas.openxmlformats.org/officeDocument/2006/relationships/ctrlProp" Target="../ctrlProps/ctrlProp176.xml"/><Relationship Id="rId190" Type="http://schemas.openxmlformats.org/officeDocument/2006/relationships/ctrlProp" Target="../ctrlProps/ctrlProp187.xml"/><Relationship Id="rId15" Type="http://schemas.openxmlformats.org/officeDocument/2006/relationships/ctrlProp" Target="../ctrlProps/ctrlProp12.xml"/><Relationship Id="rId36" Type="http://schemas.openxmlformats.org/officeDocument/2006/relationships/ctrlProp" Target="../ctrlProps/ctrlProp33.xml"/><Relationship Id="rId57" Type="http://schemas.openxmlformats.org/officeDocument/2006/relationships/ctrlProp" Target="../ctrlProps/ctrlProp54.xml"/><Relationship Id="rId106" Type="http://schemas.openxmlformats.org/officeDocument/2006/relationships/ctrlProp" Target="../ctrlProps/ctrlProp103.xml"/><Relationship Id="rId127" Type="http://schemas.openxmlformats.org/officeDocument/2006/relationships/ctrlProp" Target="../ctrlProps/ctrlProp12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52" Type="http://schemas.openxmlformats.org/officeDocument/2006/relationships/ctrlProp" Target="../ctrlProps/ctrlProp49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94" Type="http://schemas.openxmlformats.org/officeDocument/2006/relationships/ctrlProp" Target="../ctrlProps/ctrlProp91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122" Type="http://schemas.openxmlformats.org/officeDocument/2006/relationships/ctrlProp" Target="../ctrlProps/ctrlProp119.xml"/><Relationship Id="rId143" Type="http://schemas.openxmlformats.org/officeDocument/2006/relationships/ctrlProp" Target="../ctrlProps/ctrlProp140.xml"/><Relationship Id="rId148" Type="http://schemas.openxmlformats.org/officeDocument/2006/relationships/ctrlProp" Target="../ctrlProps/ctrlProp145.xml"/><Relationship Id="rId164" Type="http://schemas.openxmlformats.org/officeDocument/2006/relationships/ctrlProp" Target="../ctrlProps/ctrlProp161.xml"/><Relationship Id="rId169" Type="http://schemas.openxmlformats.org/officeDocument/2006/relationships/ctrlProp" Target="../ctrlProps/ctrlProp166.xml"/><Relationship Id="rId185" Type="http://schemas.openxmlformats.org/officeDocument/2006/relationships/ctrlProp" Target="../ctrlProps/ctrlProp182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80" Type="http://schemas.openxmlformats.org/officeDocument/2006/relationships/ctrlProp" Target="../ctrlProps/ctrlProp177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M29"/>
  <sheetViews>
    <sheetView topLeftCell="D1" zoomScale="70" zoomScaleNormal="70" workbookViewId="0">
      <selection activeCell="I25" sqref="I25"/>
    </sheetView>
  </sheetViews>
  <sheetFormatPr defaultColWidth="8.88671875" defaultRowHeight="15.75"/>
  <cols>
    <col min="1" max="1" width="10.6640625" style="1295" customWidth="1"/>
    <col min="2" max="2" width="17.88671875" style="1295" bestFit="1" customWidth="1"/>
    <col min="3" max="3" width="66.109375" style="1295" bestFit="1" customWidth="1"/>
    <col min="4" max="4" width="3.77734375" style="1295" customWidth="1"/>
    <col min="5" max="5" width="31.33203125" style="1295" bestFit="1" customWidth="1"/>
    <col min="6" max="6" width="3.77734375" style="1295" customWidth="1"/>
    <col min="7" max="7" width="63.21875" style="1295" bestFit="1" customWidth="1"/>
    <col min="8" max="8" width="3.77734375" style="1295" customWidth="1"/>
    <col min="9" max="9" width="66.77734375" style="1295" bestFit="1" customWidth="1"/>
    <col min="10" max="10" width="3.77734375" style="1295" customWidth="1"/>
    <col min="11" max="11" width="28.5546875" style="1295" bestFit="1" customWidth="1"/>
    <col min="12" max="12" width="8.88671875" style="1295"/>
    <col min="13" max="13" width="22.5546875" style="1295" bestFit="1" customWidth="1"/>
    <col min="14" max="16384" width="8.88671875" style="1295"/>
  </cols>
  <sheetData>
    <row r="1" spans="1:13">
      <c r="B1" s="1296"/>
      <c r="C1" s="1297"/>
      <c r="D1" s="1297"/>
      <c r="E1" s="1297"/>
      <c r="F1" s="1297"/>
      <c r="G1" s="1297"/>
      <c r="H1" s="1297"/>
      <c r="I1" s="1297"/>
      <c r="J1" s="1297"/>
      <c r="K1" s="1297"/>
      <c r="L1" s="1296"/>
      <c r="M1" s="1296"/>
    </row>
    <row r="2" spans="1:13">
      <c r="B2" s="1296"/>
      <c r="C2" s="1297"/>
      <c r="D2" s="1297"/>
      <c r="E2" s="1297"/>
      <c r="F2" s="1297"/>
      <c r="G2" s="1297"/>
      <c r="H2" s="1297"/>
      <c r="I2" s="1297"/>
      <c r="J2" s="1297"/>
      <c r="K2" s="1297"/>
      <c r="L2" s="1296"/>
      <c r="M2" s="1296"/>
    </row>
    <row r="3" spans="1:13">
      <c r="A3" s="1298" t="s">
        <v>1268</v>
      </c>
      <c r="B3" s="1299"/>
      <c r="C3" s="1300"/>
      <c r="D3" s="1297"/>
      <c r="E3" s="1301" t="s">
        <v>810</v>
      </c>
      <c r="F3" s="1297"/>
      <c r="G3" s="1297"/>
      <c r="H3" s="1297"/>
      <c r="I3" s="1297"/>
      <c r="J3" s="1297"/>
      <c r="K3" s="1297"/>
      <c r="L3" s="1296"/>
      <c r="M3" s="1296"/>
    </row>
    <row r="4" spans="1:13">
      <c r="A4" s="1302" t="s">
        <v>1269</v>
      </c>
      <c r="B4" s="1302" t="s">
        <v>1270</v>
      </c>
      <c r="C4" s="1303" t="s">
        <v>811</v>
      </c>
      <c r="D4" s="1301"/>
      <c r="E4" s="1301" t="s">
        <v>812</v>
      </c>
      <c r="F4" s="1301"/>
      <c r="G4" s="1301" t="s">
        <v>813</v>
      </c>
      <c r="H4" s="1301"/>
      <c r="I4" s="1301" t="s">
        <v>814</v>
      </c>
      <c r="J4" s="1301"/>
      <c r="K4" s="1304" t="s">
        <v>815</v>
      </c>
      <c r="L4" s="1301"/>
      <c r="M4" s="1301" t="s">
        <v>816</v>
      </c>
    </row>
    <row r="5" spans="1:13" ht="47.25">
      <c r="A5" s="1295" t="s">
        <v>868</v>
      </c>
      <c r="B5" s="1296" t="s">
        <v>875</v>
      </c>
      <c r="C5" s="1305" t="s">
        <v>563</v>
      </c>
      <c r="D5" s="1297"/>
      <c r="E5" s="1306" t="s">
        <v>1254</v>
      </c>
      <c r="F5" s="1297"/>
      <c r="G5" s="1297" t="s">
        <v>867</v>
      </c>
      <c r="H5" s="1297"/>
      <c r="I5" s="1297" t="s">
        <v>817</v>
      </c>
      <c r="J5" s="1297"/>
      <c r="K5" s="1297" t="s">
        <v>818</v>
      </c>
      <c r="L5" s="1296"/>
      <c r="M5" s="1296"/>
    </row>
    <row r="6" spans="1:13">
      <c r="A6" s="1295" t="s">
        <v>871</v>
      </c>
      <c r="B6" s="1296" t="s">
        <v>874</v>
      </c>
      <c r="C6" s="1307" t="s">
        <v>870</v>
      </c>
      <c r="D6" s="1297"/>
      <c r="E6" s="1306" t="s">
        <v>819</v>
      </c>
      <c r="F6" s="1297"/>
      <c r="G6" s="1297" t="s">
        <v>869</v>
      </c>
      <c r="H6" s="1297"/>
      <c r="I6" s="1297" t="s">
        <v>817</v>
      </c>
      <c r="J6" s="1297"/>
      <c r="K6" s="1297" t="s">
        <v>818</v>
      </c>
      <c r="L6" s="1296"/>
      <c r="M6" s="1296"/>
    </row>
    <row r="7" spans="1:13">
      <c r="A7" s="1295" t="s">
        <v>872</v>
      </c>
      <c r="B7" s="1296" t="s">
        <v>1255</v>
      </c>
      <c r="C7" s="1307" t="s">
        <v>833</v>
      </c>
      <c r="D7" s="1297"/>
      <c r="E7" s="1306"/>
      <c r="F7" s="1297"/>
      <c r="G7" s="1297" t="s">
        <v>873</v>
      </c>
      <c r="H7" s="1297"/>
      <c r="I7" s="1297" t="s">
        <v>817</v>
      </c>
      <c r="J7" s="1297"/>
      <c r="K7" s="1297" t="s">
        <v>818</v>
      </c>
      <c r="L7" s="1296"/>
      <c r="M7" s="1296"/>
    </row>
    <row r="8" spans="1:13">
      <c r="A8" s="1295" t="s">
        <v>872</v>
      </c>
      <c r="B8" s="1296" t="s">
        <v>1256</v>
      </c>
      <c r="C8" s="1306" t="s">
        <v>876</v>
      </c>
      <c r="D8" s="1297"/>
      <c r="E8" s="1306"/>
      <c r="F8" s="1297"/>
      <c r="G8" s="1297" t="s">
        <v>829</v>
      </c>
      <c r="H8" s="1297"/>
      <c r="I8" s="1297" t="s">
        <v>821</v>
      </c>
      <c r="J8" s="1297"/>
      <c r="K8" s="1297" t="s">
        <v>877</v>
      </c>
      <c r="L8" s="1296"/>
      <c r="M8" s="1296"/>
    </row>
    <row r="9" spans="1:13" ht="31.5">
      <c r="A9" s="1295" t="s">
        <v>878</v>
      </c>
      <c r="B9" s="1296" t="s">
        <v>874</v>
      </c>
      <c r="C9" s="1305" t="s">
        <v>835</v>
      </c>
      <c r="E9" s="1308" t="s">
        <v>296</v>
      </c>
      <c r="G9" s="1309" t="s">
        <v>879</v>
      </c>
      <c r="I9" s="1309" t="s">
        <v>1271</v>
      </c>
      <c r="K9" s="1309" t="s">
        <v>1272</v>
      </c>
      <c r="L9" s="1296"/>
      <c r="M9" s="1296"/>
    </row>
    <row r="10" spans="1:13">
      <c r="A10" s="1295" t="s">
        <v>880</v>
      </c>
      <c r="B10" s="1296" t="s">
        <v>1257</v>
      </c>
      <c r="C10" s="1305" t="s">
        <v>837</v>
      </c>
      <c r="E10" s="1306" t="s">
        <v>820</v>
      </c>
      <c r="G10" s="1309" t="s">
        <v>881</v>
      </c>
      <c r="I10" s="1297" t="s">
        <v>1273</v>
      </c>
      <c r="K10" s="1297" t="s">
        <v>818</v>
      </c>
      <c r="L10" s="1296"/>
      <c r="M10" s="1296"/>
    </row>
    <row r="11" spans="1:13">
      <c r="A11" s="1295" t="s">
        <v>880</v>
      </c>
      <c r="B11" s="1296" t="s">
        <v>1258</v>
      </c>
      <c r="C11" s="1305" t="s">
        <v>836</v>
      </c>
      <c r="D11" s="1297"/>
      <c r="E11" s="1306" t="s">
        <v>820</v>
      </c>
      <c r="F11" s="1297"/>
      <c r="G11" s="1309" t="s">
        <v>882</v>
      </c>
      <c r="H11" s="1297"/>
      <c r="I11" s="1297" t="s">
        <v>1273</v>
      </c>
      <c r="J11" s="1297"/>
      <c r="K11" s="1297" t="s">
        <v>818</v>
      </c>
      <c r="L11" s="1296"/>
      <c r="M11" s="1296"/>
    </row>
    <row r="12" spans="1:13">
      <c r="A12" s="1295" t="s">
        <v>880</v>
      </c>
      <c r="B12" s="1296" t="s">
        <v>1259</v>
      </c>
      <c r="C12" s="1305" t="s">
        <v>838</v>
      </c>
      <c r="D12" s="1297"/>
      <c r="E12" s="1306" t="s">
        <v>820</v>
      </c>
      <c r="F12" s="1297"/>
      <c r="G12" s="1309" t="s">
        <v>883</v>
      </c>
      <c r="H12" s="1309"/>
      <c r="I12" s="1321" t="s">
        <v>898</v>
      </c>
      <c r="J12" s="1309"/>
      <c r="K12" s="1309" t="s">
        <v>1274</v>
      </c>
      <c r="L12" s="1296" t="s">
        <v>1291</v>
      </c>
      <c r="M12" s="1296"/>
    </row>
    <row r="13" spans="1:13">
      <c r="A13" s="1295" t="s">
        <v>885</v>
      </c>
      <c r="B13" s="1296" t="s">
        <v>887</v>
      </c>
      <c r="C13" s="1307" t="s">
        <v>839</v>
      </c>
      <c r="D13" s="1297"/>
      <c r="E13" s="1306" t="s">
        <v>820</v>
      </c>
      <c r="F13" s="1297"/>
      <c r="G13" s="1309" t="s">
        <v>884</v>
      </c>
      <c r="H13" s="1309"/>
      <c r="I13" s="1321" t="s">
        <v>899</v>
      </c>
      <c r="J13" s="1309"/>
      <c r="K13" s="1309" t="s">
        <v>1274</v>
      </c>
      <c r="L13" s="1296" t="s">
        <v>1291</v>
      </c>
      <c r="M13" s="1296"/>
    </row>
    <row r="14" spans="1:13">
      <c r="A14" s="1295" t="s">
        <v>886</v>
      </c>
      <c r="B14" s="1296" t="s">
        <v>888</v>
      </c>
      <c r="C14" s="1307" t="s">
        <v>840</v>
      </c>
      <c r="D14" s="1297"/>
      <c r="E14" s="1306" t="s">
        <v>820</v>
      </c>
      <c r="F14" s="1297"/>
      <c r="G14" s="1309" t="s">
        <v>889</v>
      </c>
      <c r="H14" s="1309"/>
      <c r="I14" s="1321" t="s">
        <v>900</v>
      </c>
      <c r="J14" s="1309"/>
      <c r="K14" s="1309" t="s">
        <v>1274</v>
      </c>
      <c r="L14" s="1296" t="s">
        <v>1291</v>
      </c>
      <c r="M14" s="1296"/>
    </row>
    <row r="15" spans="1:13">
      <c r="A15" s="1295" t="s">
        <v>890</v>
      </c>
      <c r="B15" s="1296" t="s">
        <v>874</v>
      </c>
      <c r="C15" s="1307" t="s">
        <v>841</v>
      </c>
      <c r="D15" s="1297"/>
      <c r="E15" s="1306" t="s">
        <v>820</v>
      </c>
      <c r="F15" s="1297"/>
      <c r="G15" s="1297" t="s">
        <v>892</v>
      </c>
      <c r="H15" s="1297"/>
      <c r="I15" s="1309" t="s">
        <v>891</v>
      </c>
      <c r="J15" s="1309"/>
      <c r="K15" s="1309" t="s">
        <v>822</v>
      </c>
      <c r="L15" s="1296"/>
      <c r="M15" s="1296"/>
    </row>
    <row r="16" spans="1:13">
      <c r="A16" s="1295" t="s">
        <v>893</v>
      </c>
      <c r="B16" s="1296" t="s">
        <v>874</v>
      </c>
      <c r="C16" s="1307" t="s">
        <v>842</v>
      </c>
      <c r="D16" s="1297"/>
      <c r="E16" s="1306" t="s">
        <v>820</v>
      </c>
      <c r="F16" s="1297"/>
      <c r="G16" s="1297" t="s">
        <v>894</v>
      </c>
      <c r="H16" s="1297"/>
      <c r="I16" s="1297" t="s">
        <v>1275</v>
      </c>
      <c r="J16" s="1297"/>
      <c r="K16" s="1297" t="s">
        <v>1276</v>
      </c>
      <c r="L16" s="1296"/>
      <c r="M16" s="1296"/>
    </row>
    <row r="17" spans="1:13">
      <c r="A17" s="1295" t="s">
        <v>1260</v>
      </c>
      <c r="B17" s="1296" t="s">
        <v>895</v>
      </c>
      <c r="C17" s="1307" t="s">
        <v>843</v>
      </c>
      <c r="D17" s="1297"/>
      <c r="E17" s="1306" t="s">
        <v>820</v>
      </c>
      <c r="F17" s="1297"/>
      <c r="G17" s="1297" t="s">
        <v>896</v>
      </c>
      <c r="H17" s="1297"/>
      <c r="I17" s="1297" t="s">
        <v>897</v>
      </c>
      <c r="J17" s="1297"/>
      <c r="K17" s="1297" t="s">
        <v>901</v>
      </c>
      <c r="L17" s="1296"/>
      <c r="M17" s="1296"/>
    </row>
    <row r="18" spans="1:13">
      <c r="A18" s="1295" t="s">
        <v>1261</v>
      </c>
      <c r="B18" s="1310" t="s">
        <v>604</v>
      </c>
      <c r="C18" s="1311" t="s">
        <v>1263</v>
      </c>
      <c r="D18" s="1312"/>
      <c r="E18" s="1310" t="s">
        <v>820</v>
      </c>
      <c r="F18" s="1318"/>
      <c r="G18" s="1311" t="str">
        <f>C18</f>
        <v>Computation Of The Rate Increase Amount By Rate Class</v>
      </c>
      <c r="H18" s="1319"/>
      <c r="I18" s="1311" t="s">
        <v>1264</v>
      </c>
      <c r="J18" s="1318"/>
      <c r="K18" s="1311" t="s">
        <v>1265</v>
      </c>
      <c r="L18" s="1319"/>
      <c r="M18" s="1320"/>
    </row>
    <row r="19" spans="1:13">
      <c r="A19" s="1295" t="s">
        <v>1262</v>
      </c>
      <c r="B19" s="1310" t="s">
        <v>604</v>
      </c>
      <c r="C19" s="1313" t="s">
        <v>1266</v>
      </c>
      <c r="D19" s="1312"/>
      <c r="E19" s="1310" t="s">
        <v>820</v>
      </c>
      <c r="F19" s="1310"/>
      <c r="G19" s="1311" t="str">
        <f>C19</f>
        <v>Cost of Service Study - Computation of Present Total Return Earned (Present NOI)</v>
      </c>
      <c r="H19" s="1312"/>
      <c r="I19" s="1311" t="s">
        <v>1267</v>
      </c>
      <c r="J19" s="1310"/>
      <c r="K19" s="1311" t="s">
        <v>818</v>
      </c>
      <c r="L19" s="1314"/>
      <c r="M19" s="1315"/>
    </row>
    <row r="20" spans="1:13">
      <c r="B20" s="1296"/>
      <c r="C20" s="1297"/>
      <c r="D20" s="1297"/>
      <c r="E20" s="1297"/>
      <c r="F20" s="1297"/>
      <c r="G20" s="1297"/>
      <c r="H20" s="1297"/>
      <c r="I20" s="1316"/>
      <c r="J20" s="1297"/>
      <c r="K20" s="1297"/>
      <c r="L20" s="1296"/>
      <c r="M20" s="1296"/>
    </row>
    <row r="21" spans="1:13">
      <c r="B21" s="1296"/>
      <c r="C21" s="1297"/>
      <c r="D21" s="1297"/>
      <c r="E21" s="1297"/>
      <c r="F21" s="1297"/>
      <c r="G21" s="1297"/>
      <c r="H21" s="1297"/>
      <c r="I21" s="1297"/>
      <c r="J21" s="1297"/>
      <c r="K21" s="1297"/>
      <c r="L21" s="1296"/>
      <c r="M21" s="1296"/>
    </row>
    <row r="22" spans="1:13">
      <c r="B22" s="1296"/>
      <c r="C22" s="1297"/>
      <c r="D22" s="1297"/>
      <c r="E22" s="1297"/>
      <c r="F22" s="1297"/>
      <c r="G22" s="1297"/>
      <c r="H22" s="1297"/>
      <c r="I22" s="1316"/>
      <c r="J22" s="1297"/>
      <c r="K22" s="1297"/>
      <c r="L22" s="1296"/>
      <c r="M22" s="1296"/>
    </row>
    <row r="23" spans="1:13">
      <c r="B23" s="1296"/>
      <c r="C23" s="1297"/>
      <c r="D23" s="1297"/>
      <c r="E23" s="1297"/>
      <c r="F23" s="1297"/>
      <c r="G23" s="1297"/>
      <c r="H23" s="1297"/>
      <c r="I23" s="1316"/>
      <c r="J23" s="1297"/>
      <c r="K23" s="1297"/>
      <c r="L23" s="1296"/>
      <c r="M23" s="1296"/>
    </row>
    <row r="24" spans="1:13">
      <c r="B24" s="1296"/>
      <c r="C24" s="1297"/>
      <c r="D24" s="1297"/>
      <c r="E24" s="1297"/>
      <c r="F24" s="1297"/>
      <c r="G24" s="1297"/>
      <c r="H24" s="1297"/>
      <c r="I24" s="1297"/>
      <c r="J24" s="1297"/>
      <c r="K24" s="1297"/>
      <c r="L24" s="1296"/>
      <c r="M24" s="1296"/>
    </row>
    <row r="25" spans="1:13">
      <c r="B25" s="1296"/>
      <c r="C25" s="1297"/>
      <c r="D25" s="1297"/>
      <c r="E25" s="1297"/>
      <c r="F25" s="1297"/>
      <c r="G25" s="1297"/>
      <c r="H25" s="1297"/>
      <c r="I25" s="1316"/>
      <c r="J25" s="1297"/>
      <c r="K25" s="1297"/>
      <c r="L25" s="1296"/>
      <c r="M25" s="1296"/>
    </row>
    <row r="26" spans="1:13">
      <c r="B26" s="1296"/>
      <c r="C26" s="1297"/>
      <c r="D26" s="1297"/>
      <c r="E26" s="1297"/>
      <c r="F26" s="1297"/>
      <c r="G26" s="1297"/>
      <c r="H26" s="1297"/>
      <c r="I26" s="1316"/>
      <c r="J26" s="1297"/>
      <c r="K26" s="1297"/>
      <c r="L26" s="1296"/>
      <c r="M26" s="1296"/>
    </row>
    <row r="27" spans="1:13">
      <c r="B27" s="1296"/>
      <c r="C27" s="1297"/>
      <c r="D27" s="1297"/>
      <c r="E27" s="1297"/>
      <c r="F27" s="1297"/>
      <c r="G27" s="1297"/>
      <c r="H27" s="1297"/>
      <c r="I27" s="1316"/>
      <c r="J27" s="1297"/>
      <c r="K27" s="1297"/>
      <c r="L27" s="1296"/>
      <c r="M27" s="1296"/>
    </row>
    <row r="28" spans="1:13">
      <c r="B28" s="1296"/>
      <c r="C28" s="1297"/>
      <c r="D28" s="1297"/>
      <c r="E28" s="1297"/>
      <c r="F28" s="1297"/>
      <c r="G28" s="1297"/>
      <c r="H28" s="1297"/>
      <c r="I28" s="1316"/>
      <c r="J28" s="1297"/>
      <c r="K28" s="1297"/>
      <c r="L28" s="1296"/>
      <c r="M28" s="1296"/>
    </row>
    <row r="29" spans="1:13">
      <c r="B29" s="1296"/>
      <c r="C29" s="1317"/>
      <c r="D29" s="1297"/>
      <c r="E29" s="1297"/>
      <c r="F29" s="1297"/>
      <c r="G29" s="1297"/>
      <c r="H29" s="1297"/>
      <c r="I29" s="1316"/>
      <c r="J29" s="1297"/>
      <c r="K29" s="1297"/>
      <c r="L29" s="1296"/>
      <c r="M29" s="129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tabColor rgb="FF7030A0"/>
    <pageSetUpPr fitToPage="1"/>
  </sheetPr>
  <dimension ref="A1:Q900"/>
  <sheetViews>
    <sheetView topLeftCell="A850" zoomScale="80" zoomScaleNormal="80" zoomScaleSheetLayoutView="80" workbookViewId="0">
      <selection activeCell="K751" sqref="K751"/>
    </sheetView>
  </sheetViews>
  <sheetFormatPr defaultColWidth="8.77734375" defaultRowHeight="12.75"/>
  <cols>
    <col min="1" max="1" width="6.44140625" style="332" customWidth="1"/>
    <col min="2" max="2" width="3.5546875" style="332" customWidth="1"/>
    <col min="3" max="3" width="39.21875" style="332" customWidth="1"/>
    <col min="4" max="4" width="7.5546875" style="333" customWidth="1"/>
    <col min="5" max="5" width="7.6640625" style="332" customWidth="1"/>
    <col min="6" max="6" width="13.6640625" style="332" customWidth="1"/>
    <col min="7" max="7" width="11.77734375" style="332" customWidth="1"/>
    <col min="8" max="8" width="11.88671875" style="332" customWidth="1"/>
    <col min="9" max="9" width="11.88671875" style="353" customWidth="1"/>
    <col min="10" max="11" width="11.88671875" style="332" customWidth="1"/>
    <col min="12" max="12" width="12.77734375" style="332" customWidth="1"/>
    <col min="13" max="16384" width="8.77734375" style="332"/>
  </cols>
  <sheetData>
    <row r="1" spans="1:12">
      <c r="A1" s="343" t="str">
        <f>co_name</f>
        <v>DUKE ENERGY KENTUCKY, INC.</v>
      </c>
      <c r="C1" s="196"/>
      <c r="D1" s="344"/>
      <c r="E1" s="196"/>
      <c r="G1" s="196"/>
      <c r="H1" s="196"/>
      <c r="I1" s="342"/>
      <c r="K1" s="1195" t="s">
        <v>1543</v>
      </c>
      <c r="L1" s="196"/>
    </row>
    <row r="2" spans="1:12">
      <c r="A2" s="583" t="s">
        <v>1224</v>
      </c>
      <c r="C2" s="196"/>
      <c r="D2" s="344"/>
      <c r="E2" s="196"/>
      <c r="F2" s="344"/>
      <c r="G2" s="196"/>
      <c r="H2" s="196"/>
      <c r="I2" s="342"/>
      <c r="K2" s="1195" t="s">
        <v>437</v>
      </c>
      <c r="L2" s="196"/>
    </row>
    <row r="3" spans="1:12">
      <c r="A3" s="343" t="str">
        <f>case_name</f>
        <v>CASE NO: 2018-00261</v>
      </c>
      <c r="C3" s="196"/>
      <c r="D3" s="344"/>
      <c r="E3" s="196"/>
      <c r="F3" s="344"/>
      <c r="G3" s="196"/>
      <c r="H3" s="196"/>
      <c r="I3" s="342"/>
      <c r="K3" s="361" t="str">
        <f>Witness</f>
        <v>JAMES E. ZIOLKOWSKI</v>
      </c>
      <c r="L3" s="196"/>
    </row>
    <row r="4" spans="1:12">
      <c r="A4" s="343" t="str">
        <f>data_filing</f>
        <v>DATA: 12 MONTH FORECASTED PERIOD</v>
      </c>
      <c r="C4" s="196"/>
      <c r="D4" s="344"/>
      <c r="E4" s="196"/>
      <c r="F4" s="344"/>
      <c r="G4" s="196"/>
      <c r="H4" s="196"/>
      <c r="I4" s="342"/>
      <c r="K4" s="361" t="str">
        <f>"PAGE "&amp;Pages-17&amp;" OF "&amp;Pages</f>
        <v>PAGE 1 OF 18</v>
      </c>
      <c r="L4" s="196"/>
    </row>
    <row r="5" spans="1:12">
      <c r="A5" s="343" t="str">
        <f>type</f>
        <v xml:space="preserve">TYPE OF FILING: "X" ORIGINAL   UPDATED    REVISED  </v>
      </c>
      <c r="C5" s="196"/>
      <c r="D5" s="344"/>
      <c r="E5" s="196"/>
      <c r="F5" s="344"/>
      <c r="G5" s="196"/>
      <c r="H5" s="196"/>
      <c r="I5" s="342"/>
      <c r="J5" s="344"/>
      <c r="K5" s="196"/>
      <c r="L5" s="196"/>
    </row>
    <row r="6" spans="1:12">
      <c r="A6" s="343"/>
      <c r="C6" s="196"/>
      <c r="D6" s="344"/>
      <c r="E6" s="196"/>
      <c r="F6" s="344"/>
      <c r="G6" s="196"/>
      <c r="H6" s="196"/>
      <c r="I6" s="342"/>
      <c r="J6" s="344"/>
      <c r="K6" s="196"/>
      <c r="L6" s="196"/>
    </row>
    <row r="7" spans="1:12">
      <c r="A7" s="343"/>
      <c r="C7" s="196"/>
      <c r="D7" s="344"/>
      <c r="E7" s="196"/>
      <c r="F7" s="344" t="s">
        <v>229</v>
      </c>
      <c r="G7" s="196"/>
      <c r="H7" s="196"/>
      <c r="I7" s="342"/>
      <c r="J7" s="344"/>
      <c r="K7" s="196"/>
      <c r="L7" s="196"/>
    </row>
    <row r="8" spans="1:12">
      <c r="A8" s="344" t="s">
        <v>914</v>
      </c>
      <c r="B8" s="196"/>
      <c r="C8" s="196"/>
      <c r="D8" s="344"/>
      <c r="E8" s="196"/>
      <c r="F8" s="828" t="s">
        <v>846</v>
      </c>
      <c r="G8" s="354" t="s">
        <v>773</v>
      </c>
      <c r="H8" s="354" t="s">
        <v>1282</v>
      </c>
      <c r="I8" s="354" t="s">
        <v>984</v>
      </c>
      <c r="J8" s="354" t="s">
        <v>549</v>
      </c>
      <c r="K8" s="354" t="s">
        <v>229</v>
      </c>
      <c r="L8" s="344" t="s">
        <v>342</v>
      </c>
    </row>
    <row r="9" spans="1:12">
      <c r="A9" s="346" t="s">
        <v>915</v>
      </c>
      <c r="B9" s="345" t="s">
        <v>102</v>
      </c>
      <c r="C9" s="345"/>
      <c r="D9" s="346" t="s">
        <v>337</v>
      </c>
      <c r="E9" s="345"/>
      <c r="F9" s="829" t="s">
        <v>849</v>
      </c>
      <c r="G9" s="355" t="s">
        <v>338</v>
      </c>
      <c r="H9" s="355" t="s">
        <v>405</v>
      </c>
      <c r="I9" s="355" t="s">
        <v>1283</v>
      </c>
      <c r="J9" s="355" t="s">
        <v>550</v>
      </c>
      <c r="K9" s="355" t="s">
        <v>341</v>
      </c>
      <c r="L9" s="346" t="s">
        <v>340</v>
      </c>
    </row>
    <row r="10" spans="1:12">
      <c r="C10" s="578" t="s">
        <v>354</v>
      </c>
      <c r="D10" s="344"/>
      <c r="E10" s="196"/>
      <c r="G10" s="786">
        <v>3</v>
      </c>
      <c r="H10" s="786">
        <v>4</v>
      </c>
      <c r="I10" s="786">
        <v>5</v>
      </c>
      <c r="J10" s="786">
        <v>6</v>
      </c>
      <c r="K10" s="353"/>
    </row>
    <row r="11" spans="1:12">
      <c r="A11" s="333">
        <v>1</v>
      </c>
      <c r="B11" s="332" t="s">
        <v>100</v>
      </c>
      <c r="D11" s="344"/>
      <c r="E11" s="196"/>
      <c r="G11" s="353"/>
      <c r="H11" s="353"/>
      <c r="J11" s="353"/>
      <c r="K11" s="353"/>
    </row>
    <row r="12" spans="1:12">
      <c r="A12" s="333">
        <v>2</v>
      </c>
      <c r="C12" s="332" t="str">
        <f>'FR-16(7)(v)-1 Functional'!C12</f>
        <v>GROSS GAS PLANT IN SERVICE</v>
      </c>
      <c r="D12" s="344"/>
      <c r="E12" s="196"/>
      <c r="F12" s="347">
        <f t="shared" ref="F12:K12" si="0">F101</f>
        <v>264204135</v>
      </c>
      <c r="G12" s="349">
        <f t="shared" si="0"/>
        <v>228289943</v>
      </c>
      <c r="H12" s="349">
        <f t="shared" si="0"/>
        <v>33995073</v>
      </c>
      <c r="I12" s="349">
        <f t="shared" si="0"/>
        <v>944092</v>
      </c>
      <c r="J12" s="349">
        <f t="shared" si="0"/>
        <v>975027</v>
      </c>
      <c r="K12" s="349">
        <f t="shared" si="0"/>
        <v>264204135</v>
      </c>
      <c r="L12" s="349">
        <f>F12-K12</f>
        <v>0</v>
      </c>
    </row>
    <row r="13" spans="1:12">
      <c r="A13" s="333">
        <v>3</v>
      </c>
      <c r="C13" s="332" t="str">
        <f>'FR-16(7)(v)-1 Functional'!C13</f>
        <v>TOTAL DEPRECIATION RESERVE</v>
      </c>
      <c r="D13" s="344"/>
      <c r="E13" s="196"/>
      <c r="F13" s="347">
        <f t="shared" ref="F13:K13" si="1">-F151</f>
        <v>-83844548</v>
      </c>
      <c r="G13" s="349">
        <f t="shared" si="1"/>
        <v>-73113898</v>
      </c>
      <c r="H13" s="349">
        <f t="shared" si="1"/>
        <v>-10152552</v>
      </c>
      <c r="I13" s="349">
        <f t="shared" si="1"/>
        <v>-279925</v>
      </c>
      <c r="J13" s="349">
        <f t="shared" si="1"/>
        <v>-298173</v>
      </c>
      <c r="K13" s="349">
        <f t="shared" si="1"/>
        <v>-83844548</v>
      </c>
      <c r="L13" s="349">
        <f>F13-K13</f>
        <v>0</v>
      </c>
    </row>
    <row r="14" spans="1:12">
      <c r="A14" s="333">
        <v>4</v>
      </c>
      <c r="C14" s="359" t="str">
        <f>'FR-16(7)(v)-1 Functional'!C14</f>
        <v>TOTAL RATE BASE ADJUSTMENTS</v>
      </c>
      <c r="D14" s="344"/>
      <c r="E14" s="196"/>
      <c r="F14" s="347">
        <f t="shared" ref="F14:K14" si="2">F326</f>
        <v>-43528560</v>
      </c>
      <c r="G14" s="349">
        <f t="shared" si="2"/>
        <v>-37398314</v>
      </c>
      <c r="H14" s="349">
        <f t="shared" si="2"/>
        <v>-5784619</v>
      </c>
      <c r="I14" s="349">
        <f t="shared" si="2"/>
        <v>-185742</v>
      </c>
      <c r="J14" s="349">
        <f t="shared" si="2"/>
        <v>-159885</v>
      </c>
      <c r="K14" s="349">
        <f t="shared" si="2"/>
        <v>-43528560</v>
      </c>
      <c r="L14" s="349">
        <f>F14-K14</f>
        <v>0</v>
      </c>
    </row>
    <row r="15" spans="1:12">
      <c r="A15" s="333">
        <v>5</v>
      </c>
      <c r="C15" s="332" t="str">
        <f>'FR-16(7)(v)-1 Functional'!C15</f>
        <v xml:space="preserve">  TOTAL RATE BASE</v>
      </c>
      <c r="D15" s="344"/>
      <c r="E15" s="196"/>
      <c r="F15" s="348">
        <f t="shared" ref="F15:K15" si="3">SUM(F12:F14)</f>
        <v>136831027</v>
      </c>
      <c r="G15" s="348">
        <f t="shared" si="3"/>
        <v>117777731</v>
      </c>
      <c r="H15" s="348">
        <f t="shared" si="3"/>
        <v>18057902</v>
      </c>
      <c r="I15" s="348">
        <f t="shared" si="3"/>
        <v>478425</v>
      </c>
      <c r="J15" s="348">
        <f t="shared" si="3"/>
        <v>516969</v>
      </c>
      <c r="K15" s="348">
        <f t="shared" si="3"/>
        <v>136831027</v>
      </c>
      <c r="L15" s="348">
        <f>F15-K15</f>
        <v>0</v>
      </c>
    </row>
    <row r="16" spans="1:12">
      <c r="A16" s="333">
        <v>6</v>
      </c>
      <c r="D16" s="344"/>
      <c r="E16" s="196"/>
      <c r="G16" s="353"/>
      <c r="H16" s="353"/>
      <c r="J16" s="353"/>
      <c r="K16" s="353"/>
      <c r="L16" s="353"/>
    </row>
    <row r="17" spans="1:12">
      <c r="A17" s="333">
        <v>7</v>
      </c>
      <c r="B17" s="332" t="s">
        <v>98</v>
      </c>
      <c r="D17" s="344"/>
      <c r="E17" s="196"/>
      <c r="G17" s="353"/>
      <c r="H17" s="353"/>
      <c r="J17" s="353"/>
      <c r="K17" s="353"/>
      <c r="L17" s="353"/>
    </row>
    <row r="18" spans="1:12">
      <c r="A18" s="333">
        <v>8</v>
      </c>
      <c r="C18" s="332" t="str">
        <f>'FR-16(7)(v)-1 Functional'!C18</f>
        <v>TOTAL O&amp;M EXPENSE</v>
      </c>
      <c r="D18" s="344"/>
      <c r="E18" s="196"/>
      <c r="F18" s="347">
        <f t="shared" ref="F18:K18" si="4">F433</f>
        <v>12407094</v>
      </c>
      <c r="G18" s="349">
        <f t="shared" si="4"/>
        <v>10441650</v>
      </c>
      <c r="H18" s="349">
        <f t="shared" si="4"/>
        <v>1753357</v>
      </c>
      <c r="I18" s="349">
        <f t="shared" si="4"/>
        <v>155689</v>
      </c>
      <c r="J18" s="349">
        <f t="shared" si="4"/>
        <v>56398</v>
      </c>
      <c r="K18" s="349">
        <f t="shared" si="4"/>
        <v>12407094</v>
      </c>
      <c r="L18" s="349">
        <f t="shared" ref="L18:L24" si="5">F18-K18</f>
        <v>0</v>
      </c>
    </row>
    <row r="19" spans="1:12">
      <c r="A19" s="333">
        <v>9</v>
      </c>
      <c r="C19" s="332" t="str">
        <f>'FR-16(7)(v)-1 Functional'!C19</f>
        <v>TOTAL DEPRECIATION EXPENSE</v>
      </c>
      <c r="D19" s="344"/>
      <c r="E19" s="196"/>
      <c r="F19" s="347">
        <f t="shared" ref="F19:K19" si="6">F465</f>
        <v>6646591</v>
      </c>
      <c r="G19" s="349">
        <f t="shared" si="6"/>
        <v>5715185</v>
      </c>
      <c r="H19" s="349">
        <f t="shared" si="6"/>
        <v>875457</v>
      </c>
      <c r="I19" s="349">
        <f t="shared" si="6"/>
        <v>30987</v>
      </c>
      <c r="J19" s="349">
        <f t="shared" si="6"/>
        <v>24962</v>
      </c>
      <c r="K19" s="349">
        <f t="shared" si="6"/>
        <v>6646591</v>
      </c>
      <c r="L19" s="349">
        <f t="shared" si="5"/>
        <v>0</v>
      </c>
    </row>
    <row r="20" spans="1:12">
      <c r="A20" s="333">
        <v>10</v>
      </c>
      <c r="C20" s="359" t="str">
        <f>'FR-16(7)(v)-1 Functional'!C20</f>
        <v>TOTAL OTHER TAX &amp; MISC EXPENSE</v>
      </c>
      <c r="D20" s="344"/>
      <c r="E20" s="196"/>
      <c r="F20" s="347">
        <f>F495</f>
        <v>1916180</v>
      </c>
      <c r="G20" s="349">
        <f>$G$495</f>
        <v>1647265</v>
      </c>
      <c r="H20" s="349">
        <f>$H$495</f>
        <v>251986</v>
      </c>
      <c r="I20" s="349">
        <f>$I$495</f>
        <v>9732</v>
      </c>
      <c r="J20" s="349">
        <f>$J$495</f>
        <v>7197</v>
      </c>
      <c r="K20" s="349">
        <f>$K$495</f>
        <v>1916180</v>
      </c>
      <c r="L20" s="349">
        <f t="shared" si="5"/>
        <v>0</v>
      </c>
    </row>
    <row r="21" spans="1:12">
      <c r="A21" s="333">
        <v>11</v>
      </c>
      <c r="C21" s="332" t="str">
        <f>'FR-16(7)(v)-1 Functional'!C21</f>
        <v xml:space="preserve">  TOTAL OP EXP EXCLUDING INC &amp; REV TAX</v>
      </c>
      <c r="D21" s="344"/>
      <c r="E21" s="196"/>
      <c r="F21" s="348">
        <f t="shared" ref="F21:K21" si="7">SUM(F17:F20)</f>
        <v>20969865</v>
      </c>
      <c r="G21" s="348">
        <f t="shared" si="7"/>
        <v>17804100</v>
      </c>
      <c r="H21" s="348">
        <f t="shared" si="7"/>
        <v>2880800</v>
      </c>
      <c r="I21" s="348">
        <f t="shared" si="7"/>
        <v>196408</v>
      </c>
      <c r="J21" s="348">
        <f t="shared" si="7"/>
        <v>88557</v>
      </c>
      <c r="K21" s="348">
        <f t="shared" si="7"/>
        <v>20969865</v>
      </c>
      <c r="L21" s="348">
        <f t="shared" si="5"/>
        <v>0</v>
      </c>
    </row>
    <row r="22" spans="1:12">
      <c r="A22" s="333">
        <v>12</v>
      </c>
      <c r="C22" s="332" t="str">
        <f>'FR-16(7)(v)-1 Functional'!C22</f>
        <v>NET FED INCOME TAX EXP ALLOWABLE</v>
      </c>
      <c r="D22" s="344"/>
      <c r="E22" s="196"/>
      <c r="F22" s="347">
        <f>F557</f>
        <v>981475</v>
      </c>
      <c r="G22" s="349">
        <f>$G$557</f>
        <v>840659</v>
      </c>
      <c r="H22" s="349">
        <f>$H$557</f>
        <v>134043</v>
      </c>
      <c r="I22" s="349">
        <f>$I$557</f>
        <v>2797</v>
      </c>
      <c r="J22" s="349">
        <f>$J$557</f>
        <v>3977</v>
      </c>
      <c r="K22" s="349">
        <f>$K$557</f>
        <v>981476</v>
      </c>
      <c r="L22" s="349">
        <f t="shared" si="5"/>
        <v>-1</v>
      </c>
    </row>
    <row r="23" spans="1:12">
      <c r="A23" s="333">
        <v>13</v>
      </c>
      <c r="C23" s="359" t="str">
        <f>'FR-16(7)(v)-1 Functional'!C23</f>
        <v>NET STATE INCOME TAX EXP ALLOWABLE</v>
      </c>
      <c r="D23" s="344"/>
      <c r="E23" s="196"/>
      <c r="F23" s="347">
        <f>F605</f>
        <v>334133</v>
      </c>
      <c r="G23" s="347">
        <f t="shared" ref="G23:K23" si="8">G605</f>
        <v>287492</v>
      </c>
      <c r="H23" s="347">
        <f t="shared" si="8"/>
        <v>44381</v>
      </c>
      <c r="I23" s="347">
        <f t="shared" si="8"/>
        <v>983</v>
      </c>
      <c r="J23" s="347">
        <f t="shared" si="8"/>
        <v>1276</v>
      </c>
      <c r="K23" s="347">
        <f t="shared" si="8"/>
        <v>334133</v>
      </c>
      <c r="L23" s="349">
        <f t="shared" si="5"/>
        <v>0</v>
      </c>
    </row>
    <row r="24" spans="1:12">
      <c r="A24" s="333">
        <v>14</v>
      </c>
      <c r="C24" s="332" t="str">
        <f>'FR-16(7)(v)-1 Functional'!C24</f>
        <v xml:space="preserve">  TOTAL OPERATING EXPENSE</v>
      </c>
      <c r="D24" s="344"/>
      <c r="E24" s="196"/>
      <c r="F24" s="348">
        <f t="shared" ref="F24:K24" si="9">SUM(F21:F23)</f>
        <v>22285473</v>
      </c>
      <c r="G24" s="348">
        <f t="shared" si="9"/>
        <v>18932251</v>
      </c>
      <c r="H24" s="348">
        <f t="shared" si="9"/>
        <v>3059224</v>
      </c>
      <c r="I24" s="348">
        <f t="shared" si="9"/>
        <v>200188</v>
      </c>
      <c r="J24" s="348">
        <f t="shared" si="9"/>
        <v>93810</v>
      </c>
      <c r="K24" s="348">
        <f t="shared" si="9"/>
        <v>22285474</v>
      </c>
      <c r="L24" s="348">
        <f t="shared" si="5"/>
        <v>-1</v>
      </c>
    </row>
    <row r="25" spans="1:12">
      <c r="A25" s="333">
        <v>15</v>
      </c>
      <c r="D25" s="344"/>
      <c r="E25" s="196"/>
      <c r="G25" s="353"/>
      <c r="H25" s="353"/>
      <c r="J25" s="353"/>
      <c r="K25" s="353"/>
      <c r="L25" s="353"/>
    </row>
    <row r="26" spans="1:12">
      <c r="A26" s="333">
        <v>16</v>
      </c>
      <c r="B26" s="332" t="s">
        <v>43</v>
      </c>
      <c r="D26" s="344"/>
      <c r="E26" s="196"/>
      <c r="F26" s="347">
        <f t="shared" ref="F26:K26" si="10">F334</f>
        <v>9825836</v>
      </c>
      <c r="G26" s="349">
        <f t="shared" si="10"/>
        <v>8457618</v>
      </c>
      <c r="H26" s="349">
        <f t="shared" si="10"/>
        <v>1296738</v>
      </c>
      <c r="I26" s="349">
        <f t="shared" si="10"/>
        <v>34356</v>
      </c>
      <c r="J26" s="349">
        <f t="shared" si="10"/>
        <v>37124</v>
      </c>
      <c r="K26" s="349">
        <f t="shared" si="10"/>
        <v>9825836</v>
      </c>
      <c r="L26" s="349">
        <f t="shared" ref="L26:L31" si="11">F26-K26</f>
        <v>0</v>
      </c>
    </row>
    <row r="27" spans="1:12">
      <c r="A27" s="333">
        <v>17</v>
      </c>
      <c r="B27" s="359" t="s">
        <v>103</v>
      </c>
      <c r="C27" s="359"/>
      <c r="D27" s="344"/>
      <c r="E27" s="196"/>
      <c r="F27" s="347">
        <f>-F630</f>
        <v>-73399</v>
      </c>
      <c r="G27" s="349">
        <f>-$G$630</f>
        <v>-66630</v>
      </c>
      <c r="H27" s="349">
        <f>-$H$630</f>
        <v>-6449</v>
      </c>
      <c r="I27" s="349">
        <f>-$I$630</f>
        <v>-229</v>
      </c>
      <c r="J27" s="349">
        <f>-$J$630</f>
        <v>-91</v>
      </c>
      <c r="K27" s="349">
        <f>-$K$630</f>
        <v>-73399</v>
      </c>
      <c r="L27" s="349">
        <f t="shared" si="11"/>
        <v>0</v>
      </c>
    </row>
    <row r="28" spans="1:12">
      <c r="A28" s="333">
        <v>18</v>
      </c>
      <c r="C28" s="332" t="str">
        <f>'FR-16(7)(v)-1 Functional'!C28</f>
        <v>TOTAL GAS COST OF SERVICE</v>
      </c>
      <c r="D28" s="344"/>
      <c r="E28" s="196"/>
      <c r="F28" s="348">
        <f t="shared" ref="F28:K28" si="12">SUM(F24:F27)</f>
        <v>32037910</v>
      </c>
      <c r="G28" s="348">
        <f t="shared" si="12"/>
        <v>27323239</v>
      </c>
      <c r="H28" s="348">
        <f t="shared" si="12"/>
        <v>4349513</v>
      </c>
      <c r="I28" s="348">
        <f t="shared" si="12"/>
        <v>234315</v>
      </c>
      <c r="J28" s="348">
        <f t="shared" si="12"/>
        <v>130843</v>
      </c>
      <c r="K28" s="348">
        <f t="shared" si="12"/>
        <v>32037911</v>
      </c>
      <c r="L28" s="348">
        <f t="shared" si="11"/>
        <v>-1</v>
      </c>
    </row>
    <row r="29" spans="1:12">
      <c r="A29" s="1112">
        <v>19</v>
      </c>
      <c r="B29" s="1113" t="s">
        <v>1206</v>
      </c>
      <c r="C29" s="1114"/>
      <c r="D29" s="1115">
        <f>1-'WP FR-16(7)(v)Rate Incr (15.0%)'!I11</f>
        <v>0.85</v>
      </c>
      <c r="E29" s="1116"/>
      <c r="F29" s="1114"/>
      <c r="G29" s="1114"/>
      <c r="H29" s="1114"/>
      <c r="I29" s="1114"/>
      <c r="J29" s="1114"/>
      <c r="K29" s="1120"/>
      <c r="L29" s="1120">
        <f t="shared" si="11"/>
        <v>0</v>
      </c>
    </row>
    <row r="30" spans="1:12">
      <c r="A30" s="1112">
        <v>20</v>
      </c>
      <c r="B30" s="1121" t="s">
        <v>1207</v>
      </c>
      <c r="C30" s="1024"/>
      <c r="D30" s="1122"/>
      <c r="E30" s="1116"/>
      <c r="F30" s="1123">
        <f t="shared" ref="F30:K30" si="13">F28+F29</f>
        <v>32037910</v>
      </c>
      <c r="G30" s="1123">
        <f t="shared" si="13"/>
        <v>27323239</v>
      </c>
      <c r="H30" s="1123">
        <f t="shared" si="13"/>
        <v>4349513</v>
      </c>
      <c r="I30" s="1123">
        <f t="shared" si="13"/>
        <v>234315</v>
      </c>
      <c r="J30" s="1123">
        <f t="shared" si="13"/>
        <v>130843</v>
      </c>
      <c r="K30" s="1123">
        <f t="shared" si="13"/>
        <v>32037911</v>
      </c>
      <c r="L30" s="1127">
        <f t="shared" si="11"/>
        <v>-1</v>
      </c>
    </row>
    <row r="31" spans="1:12">
      <c r="A31" s="1112">
        <v>21</v>
      </c>
      <c r="B31" s="1128" t="s">
        <v>850</v>
      </c>
      <c r="C31" s="1114"/>
      <c r="D31" s="1122"/>
      <c r="E31" s="1116"/>
      <c r="F31" s="1127">
        <f t="shared" ref="F31:K31" si="14">F745</f>
        <v>28771426</v>
      </c>
      <c r="G31" s="1127">
        <f t="shared" si="14"/>
        <v>19784063</v>
      </c>
      <c r="H31" s="1127">
        <f t="shared" si="14"/>
        <v>7004529</v>
      </c>
      <c r="I31" s="1127">
        <f t="shared" si="14"/>
        <v>1522599</v>
      </c>
      <c r="J31" s="1127">
        <f t="shared" si="14"/>
        <v>460235</v>
      </c>
      <c r="K31" s="1127">
        <f t="shared" si="14"/>
        <v>28771426</v>
      </c>
      <c r="L31" s="1127">
        <f t="shared" si="11"/>
        <v>0</v>
      </c>
    </row>
    <row r="32" spans="1:12">
      <c r="A32" s="1112">
        <v>22</v>
      </c>
      <c r="B32" s="1129" t="s">
        <v>1208</v>
      </c>
      <c r="C32" s="1024"/>
      <c r="D32" s="1122"/>
      <c r="E32" s="1116"/>
      <c r="F32" s="1132">
        <f>F30-F31</f>
        <v>3266484</v>
      </c>
      <c r="G32" s="1132">
        <f t="shared" ref="G32:L32" si="15">G30-G31</f>
        <v>7539176</v>
      </c>
      <c r="H32" s="1132">
        <f t="shared" si="15"/>
        <v>-2655016</v>
      </c>
      <c r="I32" s="1132">
        <f t="shared" si="15"/>
        <v>-1288284</v>
      </c>
      <c r="J32" s="1132">
        <f t="shared" si="15"/>
        <v>-329392</v>
      </c>
      <c r="K32" s="1132">
        <f t="shared" si="15"/>
        <v>3266485</v>
      </c>
      <c r="L32" s="1132">
        <f t="shared" si="15"/>
        <v>-1</v>
      </c>
    </row>
    <row r="33" spans="1:15">
      <c r="A33" s="1112">
        <v>23</v>
      </c>
      <c r="B33" s="1024"/>
      <c r="C33" s="1024"/>
      <c r="D33" s="1122"/>
      <c r="E33" s="1116"/>
      <c r="F33" s="1024"/>
      <c r="G33" s="1024"/>
      <c r="H33" s="1024"/>
      <c r="I33" s="1024"/>
      <c r="J33" s="1024"/>
      <c r="K33" s="1024"/>
      <c r="L33" s="1024"/>
    </row>
    <row r="34" spans="1:15">
      <c r="A34" s="1112">
        <v>24</v>
      </c>
      <c r="B34" s="1024" t="s">
        <v>104</v>
      </c>
      <c r="C34" s="1024"/>
      <c r="D34" s="1122"/>
      <c r="E34" s="1116"/>
      <c r="F34" s="1127">
        <f t="shared" ref="F34:K34" si="16">F654+F26</f>
        <v>7624373</v>
      </c>
      <c r="G34" s="1127">
        <f t="shared" si="16"/>
        <v>3013416</v>
      </c>
      <c r="H34" s="1127">
        <f t="shared" si="16"/>
        <v>3323310</v>
      </c>
      <c r="I34" s="1127">
        <f t="shared" si="16"/>
        <v>1002272</v>
      </c>
      <c r="J34" s="1127">
        <f t="shared" si="16"/>
        <v>285373</v>
      </c>
      <c r="K34" s="1127">
        <f t="shared" si="16"/>
        <v>7624371</v>
      </c>
      <c r="L34" s="1127">
        <f>F34-K34</f>
        <v>2</v>
      </c>
    </row>
    <row r="35" spans="1:15">
      <c r="A35" s="1112">
        <v>25</v>
      </c>
      <c r="B35" s="1024" t="s">
        <v>105</v>
      </c>
      <c r="C35" s="1024"/>
      <c r="D35" s="1122"/>
      <c r="E35" s="1116"/>
      <c r="F35" s="1137">
        <f t="shared" ref="F35:L35" si="17">IF(F331=0,0,ROUND(F34/F331,5))</f>
        <v>5.5719999999999999E-2</v>
      </c>
      <c r="G35" s="1137">
        <f t="shared" si="17"/>
        <v>2.5590000000000002E-2</v>
      </c>
      <c r="H35" s="1137">
        <f t="shared" si="17"/>
        <v>0.18404000000000001</v>
      </c>
      <c r="I35" s="1137">
        <f t="shared" si="17"/>
        <v>2.0949399999999998</v>
      </c>
      <c r="J35" s="1137">
        <f t="shared" si="17"/>
        <v>0.55201</v>
      </c>
      <c r="K35" s="1137">
        <f t="shared" si="17"/>
        <v>5.5719999999999999E-2</v>
      </c>
      <c r="L35" s="1137">
        <f t="shared" si="17"/>
        <v>0</v>
      </c>
    </row>
    <row r="36" spans="1:15">
      <c r="A36" s="1112">
        <v>26</v>
      </c>
      <c r="B36" s="1024" t="s">
        <v>42</v>
      </c>
      <c r="C36" s="1024"/>
      <c r="D36" s="1122"/>
      <c r="E36" s="1116"/>
      <c r="F36" s="1137">
        <f t="shared" ref="F36:L36" si="18">$F$688</f>
        <v>7.1809999999999999E-2</v>
      </c>
      <c r="G36" s="1137">
        <f t="shared" si="18"/>
        <v>7.1809999999999999E-2</v>
      </c>
      <c r="H36" s="1137">
        <f t="shared" si="18"/>
        <v>7.1809999999999999E-2</v>
      </c>
      <c r="I36" s="1137">
        <f t="shared" si="18"/>
        <v>7.1809999999999999E-2</v>
      </c>
      <c r="J36" s="1137">
        <f t="shared" si="18"/>
        <v>7.1809999999999999E-2</v>
      </c>
      <c r="K36" s="1137">
        <f t="shared" si="18"/>
        <v>7.1809999999999999E-2</v>
      </c>
      <c r="L36" s="1137">
        <f t="shared" si="18"/>
        <v>7.1809999999999999E-2</v>
      </c>
      <c r="O36" s="659" t="s">
        <v>1210</v>
      </c>
    </row>
    <row r="37" spans="1:15">
      <c r="A37" s="1112">
        <v>27</v>
      </c>
      <c r="B37" s="1024" t="s">
        <v>106</v>
      </c>
      <c r="C37" s="1024"/>
      <c r="D37" s="1122"/>
      <c r="E37" s="1116"/>
      <c r="F37" s="1137">
        <f t="shared" ref="F37:K38" si="19">IF($F$670=0,0,(F35-$F$683-$F$684-$F$686)*$F$673/$F$670)</f>
        <v>6.7303864150180942E-2</v>
      </c>
      <c r="G37" s="1137">
        <f t="shared" si="19"/>
        <v>7.9401221465231053E-3</v>
      </c>
      <c r="H37" s="1137">
        <f t="shared" si="19"/>
        <v>0.32012681051292158</v>
      </c>
      <c r="I37" s="1137">
        <f t="shared" si="19"/>
        <v>4.0850844804362456</v>
      </c>
      <c r="J37" s="1137">
        <f t="shared" si="19"/>
        <v>1.0451210403531463</v>
      </c>
      <c r="K37" s="1137">
        <f t="shared" si="19"/>
        <v>6.7303864150180942E-2</v>
      </c>
      <c r="L37" s="1137">
        <f>IF(F670=0,0,(L35-F683-F684-F686)*F673/F670)</f>
        <v>-4.2478668357081424E-2</v>
      </c>
      <c r="O37" s="659" t="s">
        <v>1211</v>
      </c>
    </row>
    <row r="38" spans="1:15">
      <c r="A38" s="1112">
        <v>28</v>
      </c>
      <c r="B38" s="1024" t="s">
        <v>107</v>
      </c>
      <c r="C38" s="1024"/>
      <c r="D38" s="1122"/>
      <c r="E38" s="1116"/>
      <c r="F38" s="1137">
        <f t="shared" si="19"/>
        <v>9.9005245127242167E-2</v>
      </c>
      <c r="G38" s="1137">
        <f t="shared" si="19"/>
        <v>9.9005245127242167E-2</v>
      </c>
      <c r="H38" s="1137">
        <f t="shared" si="19"/>
        <v>9.9005245127242167E-2</v>
      </c>
      <c r="I38" s="1137">
        <f t="shared" si="19"/>
        <v>9.9005245127242167E-2</v>
      </c>
      <c r="J38" s="1137">
        <f t="shared" si="19"/>
        <v>9.9005245127242167E-2</v>
      </c>
      <c r="K38" s="1137">
        <f t="shared" si="19"/>
        <v>9.9005245127242167E-2</v>
      </c>
      <c r="L38" s="1137">
        <f>IF($F$670=0,0,(L36-$F$683-$F$684-$F$686)*$F$673/$F$670)</f>
        <v>9.9005245127242167E-2</v>
      </c>
    </row>
    <row r="39" spans="1:15">
      <c r="A39" s="1112">
        <v>29</v>
      </c>
      <c r="B39" s="1024"/>
      <c r="C39" s="1024"/>
      <c r="D39" s="1122"/>
      <c r="E39" s="1116"/>
      <c r="F39" s="1024" t="s">
        <v>343</v>
      </c>
      <c r="G39" s="1024"/>
      <c r="H39" s="1024"/>
      <c r="I39" s="1024"/>
      <c r="J39" s="1024"/>
      <c r="K39" s="1024"/>
      <c r="L39" s="1024"/>
    </row>
    <row r="40" spans="1:15">
      <c r="A40" s="1112">
        <v>30</v>
      </c>
      <c r="B40" s="1024" t="s">
        <v>108</v>
      </c>
      <c r="C40" s="1024"/>
      <c r="D40" s="1122"/>
      <c r="E40" s="1116"/>
      <c r="F40" s="1127">
        <f t="shared" ref="F40:K40" si="20">F744</f>
        <v>28771426</v>
      </c>
      <c r="G40" s="1127">
        <f t="shared" si="20"/>
        <v>19784063</v>
      </c>
      <c r="H40" s="1127">
        <f t="shared" si="20"/>
        <v>7004529</v>
      </c>
      <c r="I40" s="1127">
        <f t="shared" si="20"/>
        <v>1522599</v>
      </c>
      <c r="J40" s="1127">
        <f t="shared" si="20"/>
        <v>460235</v>
      </c>
      <c r="K40" s="1127">
        <f t="shared" si="20"/>
        <v>28771426</v>
      </c>
      <c r="L40" s="1127">
        <f>F40-K40</f>
        <v>0</v>
      </c>
    </row>
    <row r="41" spans="1:15">
      <c r="A41" s="1112">
        <v>31</v>
      </c>
      <c r="B41" s="1024" t="s">
        <v>109</v>
      </c>
      <c r="C41" s="1024"/>
      <c r="D41" s="1122"/>
      <c r="E41" s="1116"/>
      <c r="F41" s="1127">
        <f t="shared" ref="F41:L41" si="21">F28-F40</f>
        <v>3266484</v>
      </c>
      <c r="G41" s="1127">
        <f t="shared" si="21"/>
        <v>7539176</v>
      </c>
      <c r="H41" s="1127">
        <f t="shared" si="21"/>
        <v>-2655016</v>
      </c>
      <c r="I41" s="1127">
        <f t="shared" si="21"/>
        <v>-1288284</v>
      </c>
      <c r="J41" s="1127">
        <f t="shared" si="21"/>
        <v>-329392</v>
      </c>
      <c r="K41" s="1127">
        <f t="shared" si="21"/>
        <v>3266485</v>
      </c>
      <c r="L41" s="1127">
        <f t="shared" si="21"/>
        <v>-1</v>
      </c>
    </row>
    <row r="42" spans="1:15">
      <c r="A42" s="1112">
        <v>32</v>
      </c>
      <c r="B42" s="1024"/>
      <c r="C42" s="1024" t="s">
        <v>283</v>
      </c>
      <c r="D42" s="1122"/>
      <c r="E42" s="1116"/>
      <c r="F42" s="1141">
        <f t="shared" ref="F42:L42" si="22">IF(F40=0,0,ROUND(F41/F40,5))</f>
        <v>0.11353000000000001</v>
      </c>
      <c r="G42" s="1141">
        <f t="shared" si="22"/>
        <v>0.38107000000000002</v>
      </c>
      <c r="H42" s="1141">
        <f t="shared" si="22"/>
        <v>-0.37903999999999999</v>
      </c>
      <c r="I42" s="1141">
        <f t="shared" si="22"/>
        <v>-0.84611000000000003</v>
      </c>
      <c r="J42" s="1141">
        <f t="shared" si="22"/>
        <v>-0.7157</v>
      </c>
      <c r="K42" s="1141">
        <f t="shared" si="22"/>
        <v>0.11353000000000001</v>
      </c>
      <c r="L42" s="1141">
        <f t="shared" si="22"/>
        <v>0</v>
      </c>
    </row>
    <row r="43" spans="1:15">
      <c r="A43" s="1112">
        <v>33</v>
      </c>
      <c r="B43" s="1024" t="s">
        <v>110</v>
      </c>
      <c r="C43" s="1024"/>
      <c r="D43" s="1122"/>
      <c r="E43" s="1116"/>
      <c r="F43" s="1127">
        <f t="shared" ref="F43:L43" si="23">F31-F40</f>
        <v>0</v>
      </c>
      <c r="G43" s="1127">
        <f t="shared" si="23"/>
        <v>0</v>
      </c>
      <c r="H43" s="1127">
        <f t="shared" si="23"/>
        <v>0</v>
      </c>
      <c r="I43" s="1127">
        <f t="shared" si="23"/>
        <v>0</v>
      </c>
      <c r="J43" s="1127">
        <f t="shared" si="23"/>
        <v>0</v>
      </c>
      <c r="K43" s="1127">
        <f t="shared" si="23"/>
        <v>0</v>
      </c>
      <c r="L43" s="1127">
        <f t="shared" si="23"/>
        <v>0</v>
      </c>
    </row>
    <row r="44" spans="1:15">
      <c r="A44" s="1112">
        <v>34</v>
      </c>
      <c r="B44" s="1024"/>
      <c r="C44" s="1024" t="s">
        <v>283</v>
      </c>
      <c r="D44" s="1122"/>
      <c r="E44" s="1116"/>
      <c r="F44" s="1141">
        <f t="shared" ref="F44:L44" si="24">IF(F40=0,0,ROUND(F43/F40,5))</f>
        <v>0</v>
      </c>
      <c r="G44" s="1141">
        <f t="shared" si="24"/>
        <v>0</v>
      </c>
      <c r="H44" s="1141">
        <f t="shared" si="24"/>
        <v>0</v>
      </c>
      <c r="I44" s="1141">
        <f t="shared" si="24"/>
        <v>0</v>
      </c>
      <c r="J44" s="1141">
        <f t="shared" si="24"/>
        <v>0</v>
      </c>
      <c r="K44" s="1141">
        <f t="shared" si="24"/>
        <v>0</v>
      </c>
      <c r="L44" s="1141">
        <f t="shared" si="24"/>
        <v>0</v>
      </c>
    </row>
    <row r="45" spans="1:15">
      <c r="A45" s="343"/>
      <c r="C45" s="196"/>
      <c r="D45" s="344"/>
      <c r="E45" s="196"/>
      <c r="G45" s="342"/>
      <c r="H45" s="342"/>
      <c r="I45" s="196"/>
      <c r="J45" s="344"/>
      <c r="K45" s="196"/>
      <c r="L45" s="196"/>
    </row>
    <row r="46" spans="1:15">
      <c r="A46" s="343" t="str">
        <f>co_name</f>
        <v>DUKE ENERGY KENTUCKY, INC.</v>
      </c>
      <c r="C46" s="196"/>
      <c r="D46" s="344"/>
      <c r="E46" s="196"/>
      <c r="F46" s="344"/>
      <c r="G46" s="342"/>
      <c r="H46" s="342"/>
      <c r="I46" s="196"/>
      <c r="K46" s="361" t="str">
        <f>$K$1</f>
        <v>FR-16(7)(v)-6</v>
      </c>
      <c r="L46" s="196"/>
    </row>
    <row r="47" spans="1:15">
      <c r="A47" s="343" t="str">
        <f>$A$2</f>
        <v>DISTRIBUTION CUSTOMER ALLOCATED - GAS COST OF SERVICE</v>
      </c>
      <c r="C47" s="196"/>
      <c r="D47" s="344"/>
      <c r="E47" s="196"/>
      <c r="F47" s="344"/>
      <c r="G47" s="342"/>
      <c r="H47" s="342"/>
      <c r="I47" s="196"/>
      <c r="K47" s="361" t="str">
        <f>$K$2</f>
        <v>WITNESS RESPONSIBLE:</v>
      </c>
      <c r="L47" s="196"/>
    </row>
    <row r="48" spans="1:15">
      <c r="A48" s="343" t="str">
        <f>case_name</f>
        <v>CASE NO: 2018-00261</v>
      </c>
      <c r="C48" s="196"/>
      <c r="D48" s="344"/>
      <c r="E48" s="196"/>
      <c r="F48" s="344"/>
      <c r="G48" s="342"/>
      <c r="H48" s="342"/>
      <c r="I48" s="196"/>
      <c r="K48" s="361" t="str">
        <f>Witness</f>
        <v>JAMES E. ZIOLKOWSKI</v>
      </c>
      <c r="L48" s="196"/>
    </row>
    <row r="49" spans="1:12">
      <c r="A49" s="343" t="str">
        <f>data_filing</f>
        <v>DATA: 12 MONTH FORECASTED PERIOD</v>
      </c>
      <c r="C49" s="196"/>
      <c r="D49" s="344"/>
      <c r="E49" s="196"/>
      <c r="F49" s="344"/>
      <c r="G49" s="342"/>
      <c r="H49" s="342"/>
      <c r="I49" s="196"/>
      <c r="K49" s="361" t="str">
        <f>"PAGE "&amp;Pages-16&amp;" OF "&amp;Pages</f>
        <v>PAGE 2 OF 18</v>
      </c>
      <c r="L49" s="196"/>
    </row>
    <row r="50" spans="1:12">
      <c r="A50" s="343" t="str">
        <f>type</f>
        <v xml:space="preserve">TYPE OF FILING: "X" ORIGINAL   UPDATED    REVISED  </v>
      </c>
      <c r="C50" s="196"/>
      <c r="D50" s="344"/>
      <c r="E50" s="196"/>
      <c r="F50" s="344"/>
      <c r="G50" s="342"/>
      <c r="H50" s="342"/>
      <c r="I50" s="196"/>
      <c r="J50" s="344"/>
      <c r="K50" s="196"/>
      <c r="L50" s="196"/>
    </row>
    <row r="51" spans="1:12">
      <c r="A51" s="343"/>
      <c r="C51" s="196"/>
      <c r="D51" s="344"/>
      <c r="E51" s="196"/>
      <c r="F51" s="344"/>
      <c r="G51" s="342"/>
      <c r="H51" s="342"/>
      <c r="I51" s="196"/>
      <c r="J51" s="344"/>
      <c r="K51" s="196"/>
      <c r="L51" s="196"/>
    </row>
    <row r="52" spans="1:12">
      <c r="A52" s="343"/>
      <c r="C52" s="196"/>
      <c r="D52" s="344"/>
      <c r="E52" s="196"/>
      <c r="F52" s="344" t="str">
        <f>$F$7</f>
        <v>TOTAL</v>
      </c>
      <c r="G52" s="342"/>
      <c r="H52" s="342"/>
      <c r="I52" s="196"/>
      <c r="J52" s="344"/>
      <c r="K52" s="196"/>
      <c r="L52" s="196"/>
    </row>
    <row r="53" spans="1:12">
      <c r="A53" s="344" t="s">
        <v>914</v>
      </c>
      <c r="B53" s="196"/>
      <c r="C53" s="196"/>
      <c r="D53" s="344"/>
      <c r="E53" s="196"/>
      <c r="F53" s="344" t="str">
        <f>$F$8</f>
        <v>DISTRIBUTION</v>
      </c>
      <c r="G53" s="354" t="str">
        <f>$G$8</f>
        <v>RS</v>
      </c>
      <c r="H53" s="354" t="str">
        <f>$H$8</f>
        <v>GS</v>
      </c>
      <c r="I53" s="344" t="str">
        <f>$I$8</f>
        <v>FT-L</v>
      </c>
      <c r="J53" s="344" t="str">
        <f>$J$8</f>
        <v>INTERUPT</v>
      </c>
      <c r="K53" s="344" t="s">
        <v>229</v>
      </c>
      <c r="L53" s="344" t="s">
        <v>342</v>
      </c>
    </row>
    <row r="54" spans="1:12">
      <c r="A54" s="346" t="s">
        <v>915</v>
      </c>
      <c r="B54" s="345" t="s">
        <v>95</v>
      </c>
      <c r="C54" s="345"/>
      <c r="D54" s="346" t="s">
        <v>337</v>
      </c>
      <c r="E54" s="345"/>
      <c r="F54" s="344" t="str">
        <f>$F$9</f>
        <v>CUSTOMER</v>
      </c>
      <c r="G54" s="355" t="str">
        <f>$G$9</f>
        <v>RESIDENTIAL</v>
      </c>
      <c r="H54" s="355" t="str">
        <f>$H$9</f>
        <v>GEN SERV</v>
      </c>
      <c r="I54" s="346" t="str">
        <f>$I$9</f>
        <v>FIRM TRANS</v>
      </c>
      <c r="J54" s="346" t="str">
        <f>$J$9</f>
        <v>TRANS</v>
      </c>
      <c r="K54" s="346" t="s">
        <v>341</v>
      </c>
      <c r="L54" s="346" t="s">
        <v>340</v>
      </c>
    </row>
    <row r="55" spans="1:12">
      <c r="C55" s="578" t="s">
        <v>344</v>
      </c>
      <c r="D55" s="344"/>
      <c r="E55" s="196"/>
      <c r="F55" s="761"/>
      <c r="G55" s="633">
        <f>$G$10</f>
        <v>3</v>
      </c>
      <c r="H55" s="633">
        <f>$H$10</f>
        <v>4</v>
      </c>
      <c r="I55" s="633">
        <f>$I$10</f>
        <v>5</v>
      </c>
      <c r="J55" s="633">
        <f>$J$10</f>
        <v>6</v>
      </c>
      <c r="L55" s="332" t="s">
        <v>343</v>
      </c>
    </row>
    <row r="56" spans="1:12">
      <c r="A56" s="333">
        <v>1</v>
      </c>
      <c r="B56" s="332" t="s">
        <v>14</v>
      </c>
      <c r="E56" s="196"/>
      <c r="G56" s="353"/>
      <c r="H56" s="353"/>
      <c r="I56" s="332"/>
    </row>
    <row r="57" spans="1:12">
      <c r="A57" s="333">
        <v>2</v>
      </c>
      <c r="C57" s="365" t="str">
        <f>'FR-16(7)(v)-1 Functional'!C57</f>
        <v>PRODUCTION PLANT</v>
      </c>
      <c r="D57" s="344" t="str">
        <f>'FR-16(7)(v)-1 Functional'!D57</f>
        <v>K205</v>
      </c>
      <c r="E57" s="196"/>
      <c r="F57" s="479">
        <f>'FR-16(7)(v)-4 DISTR Classified'!I57</f>
        <v>0</v>
      </c>
      <c r="G57" s="349">
        <f>F57-SUM(H57:J57)</f>
        <v>0</v>
      </c>
      <c r="H57" s="349">
        <f>ROUND($F$57*VLOOKUP($D$57,ALLOCTABLE_DISTR_CUSTOMER,$H$10,FALSE),0)</f>
        <v>0</v>
      </c>
      <c r="I57" s="347">
        <f>ROUND(F57*VLOOKUP(D57,ALLOCTABLE_DISTR_CUSTOMER,$I$10,FALSE),0)</f>
        <v>0</v>
      </c>
      <c r="J57" s="347">
        <f>ROUND(F57*VLOOKUP(D57,ALLOCTABLE_DISTR_CUSTOMER,$J$10,FALSE),0)</f>
        <v>0</v>
      </c>
      <c r="K57" s="347">
        <f>SUM($G$57:$J$57)</f>
        <v>0</v>
      </c>
      <c r="L57" s="347">
        <f>F57-$K$57</f>
        <v>0</v>
      </c>
    </row>
    <row r="58" spans="1:12">
      <c r="A58" s="333">
        <v>3</v>
      </c>
      <c r="C58" s="359" t="str">
        <f>'FR-16(7)(v)-1 Functional'!C58</f>
        <v>GAS PRODUCTION -CPMPL NOT CLASS</v>
      </c>
      <c r="D58" s="344" t="str">
        <f>'FR-16(7)(v)-1 Functional'!D58</f>
        <v>K205</v>
      </c>
      <c r="E58" s="196"/>
      <c r="F58" s="479">
        <f>'FR-16(7)(v)-4 DISTR Classified'!I58</f>
        <v>0</v>
      </c>
      <c r="G58" s="349">
        <f>F58-SUM(H58:J58)</f>
        <v>0</v>
      </c>
      <c r="H58" s="349">
        <f>ROUND($F$58*VLOOKUP($D$58,ALLOCTABLE_DISTR_CUSTOMER,$H$10,FALSE),0)</f>
        <v>0</v>
      </c>
      <c r="I58" s="347">
        <f>ROUND(F58*VLOOKUP(D58,ALLOCTABLE_DISTR_CUSTOMER,$I$10,FALSE),0)</f>
        <v>0</v>
      </c>
      <c r="J58" s="347">
        <f>ROUND(F58*VLOOKUP(D58,ALLOCTABLE_DISTR_CUSTOMER,$J$10,FALSE),0)</f>
        <v>0</v>
      </c>
      <c r="K58" s="347">
        <f>SUM($G$58:$J$58)</f>
        <v>0</v>
      </c>
      <c r="L58" s="347">
        <f>F58-$K$58</f>
        <v>0</v>
      </c>
    </row>
    <row r="59" spans="1:12">
      <c r="A59" s="333">
        <v>4</v>
      </c>
      <c r="C59" s="332" t="str">
        <f>'FR-16(7)(v)-1 Functional'!C59</f>
        <v xml:space="preserve">  PRODUCTION PLANT IN SERVICE</v>
      </c>
      <c r="D59" s="344"/>
      <c r="E59" s="196"/>
      <c r="F59" s="348">
        <f>SUM(F57:F58)</f>
        <v>0</v>
      </c>
      <c r="G59" s="348">
        <f>SUM($G$57:$G$58)</f>
        <v>0</v>
      </c>
      <c r="H59" s="348">
        <f>SUM($H$57:$H$58)</f>
        <v>0</v>
      </c>
      <c r="I59" s="348">
        <f>SUM($I$57:$I$58)</f>
        <v>0</v>
      </c>
      <c r="J59" s="348">
        <f>SUM($J$57:$J$58)</f>
        <v>0</v>
      </c>
      <c r="K59" s="348">
        <f>SUM($K$57:$K$58)</f>
        <v>0</v>
      </c>
      <c r="L59" s="348">
        <f>SUM($L$57:$L$58)</f>
        <v>0</v>
      </c>
    </row>
    <row r="60" spans="1:12">
      <c r="A60" s="333">
        <v>5</v>
      </c>
      <c r="D60" s="344"/>
      <c r="E60" s="196"/>
      <c r="G60" s="353"/>
      <c r="H60" s="353"/>
      <c r="I60" s="332"/>
    </row>
    <row r="61" spans="1:12">
      <c r="A61" s="333">
        <v>6</v>
      </c>
      <c r="B61" s="332" t="s">
        <v>15</v>
      </c>
      <c r="D61" s="344"/>
      <c r="E61" s="196"/>
      <c r="G61" s="353"/>
      <c r="H61" s="353"/>
      <c r="I61" s="332"/>
    </row>
    <row r="62" spans="1:12">
      <c r="A62" s="333">
        <v>7</v>
      </c>
      <c r="C62" s="359" t="str">
        <f>'FR-16(7)(v)-1 Functional'!C62</f>
        <v>TRANSMISSION PLANT</v>
      </c>
      <c r="D62" s="344" t="s">
        <v>343</v>
      </c>
      <c r="E62" s="196"/>
      <c r="F62" s="477"/>
      <c r="G62" s="349"/>
      <c r="H62" s="349"/>
      <c r="I62" s="347"/>
      <c r="J62" s="347"/>
      <c r="K62" s="347"/>
      <c r="L62" s="347"/>
    </row>
    <row r="63" spans="1:12">
      <c r="A63" s="333">
        <v>8</v>
      </c>
      <c r="C63" s="332" t="str">
        <f>'FR-16(7)(v)-1 Functional'!C63</f>
        <v xml:space="preserve">  TRANSMISSION PLANT IN SERVICE</v>
      </c>
      <c r="D63" s="344"/>
      <c r="E63" s="196"/>
      <c r="F63" s="348">
        <f>SUM(F62)</f>
        <v>0</v>
      </c>
      <c r="G63" s="348">
        <f>SUM($G$62)</f>
        <v>0</v>
      </c>
      <c r="H63" s="348">
        <f>SUM($H$62)</f>
        <v>0</v>
      </c>
      <c r="I63" s="348">
        <f>SUM($I$62)</f>
        <v>0</v>
      </c>
      <c r="J63" s="348">
        <f>SUM($J$62)</f>
        <v>0</v>
      </c>
      <c r="K63" s="348">
        <f>SUM($K$62)</f>
        <v>0</v>
      </c>
      <c r="L63" s="348">
        <f>SUM($L$62)</f>
        <v>0</v>
      </c>
    </row>
    <row r="64" spans="1:12">
      <c r="A64" s="333">
        <v>9</v>
      </c>
      <c r="D64" s="344"/>
      <c r="E64" s="196"/>
      <c r="G64" s="353"/>
      <c r="H64" s="353"/>
      <c r="I64" s="332"/>
    </row>
    <row r="65" spans="1:12">
      <c r="A65" s="333">
        <v>10</v>
      </c>
      <c r="B65" s="332" t="s">
        <v>16</v>
      </c>
      <c r="D65" s="344"/>
      <c r="E65" s="196"/>
      <c r="F65" s="347">
        <f>F63+F59</f>
        <v>0</v>
      </c>
      <c r="G65" s="349">
        <f>$G$63+$G$59</f>
        <v>0</v>
      </c>
      <c r="H65" s="349">
        <f>$H$63+$H$59</f>
        <v>0</v>
      </c>
      <c r="I65" s="347">
        <f>$I$63+$I$59</f>
        <v>0</v>
      </c>
      <c r="J65" s="347">
        <f>$J$63+$J$59</f>
        <v>0</v>
      </c>
      <c r="K65" s="347">
        <f>$K$63+$K$59</f>
        <v>0</v>
      </c>
      <c r="L65" s="347">
        <f>$L$63+$L$59</f>
        <v>0</v>
      </c>
    </row>
    <row r="66" spans="1:12">
      <c r="A66" s="333">
        <v>11</v>
      </c>
      <c r="D66" s="344"/>
      <c r="E66" s="196"/>
      <c r="G66" s="353"/>
      <c r="H66" s="353"/>
      <c r="I66" s="332"/>
    </row>
    <row r="67" spans="1:12">
      <c r="A67" s="333">
        <v>12</v>
      </c>
      <c r="B67" s="332" t="s">
        <v>17</v>
      </c>
      <c r="D67" s="344"/>
      <c r="E67" s="196"/>
      <c r="G67" s="353"/>
      <c r="H67" s="353"/>
      <c r="I67" s="332"/>
    </row>
    <row r="68" spans="1:12">
      <c r="A68" s="333">
        <v>13</v>
      </c>
      <c r="C68" s="332" t="str">
        <f>'FR-16(7)(v)-1 Functional'!C68</f>
        <v>SYSTEM M&amp;R - (2780, 2781)</v>
      </c>
      <c r="D68" s="344" t="str">
        <f>'FR-16(7)(v)-1 Functional'!D68</f>
        <v>K203</v>
      </c>
      <c r="E68" s="196"/>
      <c r="F68" s="479">
        <f>'FR-16(7)(v)-4 DISTR Classified'!I68</f>
        <v>0</v>
      </c>
      <c r="G68" s="349">
        <f t="shared" ref="G68:G77" si="25">F68-SUM(H68:J68)</f>
        <v>0</v>
      </c>
      <c r="H68" s="349">
        <f>ROUND($F$68*VLOOKUP($D$68,ALLOCTABLE_DISTR_CUSTOMER,$H$10,FALSE),0)</f>
        <v>0</v>
      </c>
      <c r="I68" s="347">
        <f t="shared" ref="I68:I77" si="26">ROUND(F68*VLOOKUP(D68,ALLOCTABLE_DISTR_CUSTOMER,$I$10,FALSE),0)</f>
        <v>0</v>
      </c>
      <c r="J68" s="347">
        <f t="shared" ref="J68:J77" si="27">ROUND(F68*VLOOKUP(D68,ALLOCTABLE_DISTR_CUSTOMER,$J$10,FALSE),0)</f>
        <v>0</v>
      </c>
      <c r="K68" s="347">
        <f t="shared" ref="K68:K77" si="28">SUM(G68:J68)</f>
        <v>0</v>
      </c>
      <c r="L68" s="347">
        <f t="shared" ref="L68:L77" si="29">F68-K68</f>
        <v>0</v>
      </c>
    </row>
    <row r="69" spans="1:12">
      <c r="A69" s="333">
        <v>14</v>
      </c>
      <c r="C69" s="332" t="str">
        <f>'FR-16(7)(v)-1 Functional'!C69</f>
        <v xml:space="preserve">DIST REG EQUIP &amp; CITY GATE M&amp;R- (2782, 2790) </v>
      </c>
      <c r="D69" s="344" t="str">
        <f>'FR-16(7)(v)-1 Functional'!D69</f>
        <v>K203</v>
      </c>
      <c r="E69" s="196"/>
      <c r="F69" s="479">
        <f>'FR-16(7)(v)-4 DISTR Classified'!I69</f>
        <v>0</v>
      </c>
      <c r="G69" s="349">
        <f t="shared" si="25"/>
        <v>0</v>
      </c>
      <c r="H69" s="349">
        <f>ROUND($F$69*VLOOKUP($D$69,ALLOCTABLE_DISTR_CUSTOMER,$H$10,FALSE),0)</f>
        <v>0</v>
      </c>
      <c r="I69" s="347">
        <f t="shared" si="26"/>
        <v>0</v>
      </c>
      <c r="J69" s="347">
        <f t="shared" si="27"/>
        <v>0</v>
      </c>
      <c r="K69" s="347">
        <f t="shared" si="28"/>
        <v>0</v>
      </c>
      <c r="L69" s="347">
        <f t="shared" si="29"/>
        <v>0</v>
      </c>
    </row>
    <row r="70" spans="1:12">
      <c r="A70" s="333">
        <v>15</v>
      </c>
      <c r="C70" s="332" t="str">
        <f>'FR-16(7)(v)-1 Functional'!C70</f>
        <v>LARGE IND M&amp;R - (2850, 2851)</v>
      </c>
      <c r="D70" s="344" t="str">
        <f>'FR-16(7)(v)-1 Functional'!D70</f>
        <v>K595</v>
      </c>
      <c r="E70" s="196"/>
      <c r="F70" s="479">
        <f>'FR-16(7)(v)-4 DISTR Classified'!I70</f>
        <v>0</v>
      </c>
      <c r="G70" s="349">
        <f t="shared" si="25"/>
        <v>0</v>
      </c>
      <c r="H70" s="349">
        <f>ROUND($F$70*VLOOKUP($D$70,ALLOCTABLE_DISTR_CUSTOMER,$H$10,FALSE),0)</f>
        <v>0</v>
      </c>
      <c r="I70" s="347">
        <f t="shared" si="26"/>
        <v>0</v>
      </c>
      <c r="J70" s="347">
        <f t="shared" si="27"/>
        <v>0</v>
      </c>
      <c r="K70" s="347">
        <f t="shared" si="28"/>
        <v>0</v>
      </c>
      <c r="L70" s="347">
        <f t="shared" si="29"/>
        <v>0</v>
      </c>
    </row>
    <row r="71" spans="1:12">
      <c r="A71" s="333">
        <v>16</v>
      </c>
      <c r="C71" s="332" t="str">
        <f>'FR-16(7)(v)-1 Functional'!C71</f>
        <v>MAINS - (2761, 2762, 2763, 2765)</v>
      </c>
      <c r="D71" s="344" t="s">
        <v>291</v>
      </c>
      <c r="E71" s="196"/>
      <c r="F71" s="479">
        <f>'FR-16(7)(v)-4 DISTR Classified'!I71</f>
        <v>45351465</v>
      </c>
      <c r="G71" s="349">
        <f t="shared" si="25"/>
        <v>42098858</v>
      </c>
      <c r="H71" s="349">
        <f>ROUND($F$71*VLOOKUP($D$71,ALLOCTABLE_DISTR_CUSTOMER,$H$10,FALSE),0)</f>
        <v>3198639</v>
      </c>
      <c r="I71" s="347">
        <f t="shared" si="26"/>
        <v>43991</v>
      </c>
      <c r="J71" s="347">
        <f t="shared" si="27"/>
        <v>9977</v>
      </c>
      <c r="K71" s="347">
        <f t="shared" si="28"/>
        <v>45351465</v>
      </c>
      <c r="L71" s="347">
        <f t="shared" si="29"/>
        <v>0</v>
      </c>
    </row>
    <row r="72" spans="1:12">
      <c r="A72" s="333">
        <v>17</v>
      </c>
      <c r="C72" s="332" t="str">
        <f>'FR-16(7)(v)-1 Functional'!C72</f>
        <v>SERVICES - (2801, 2802, 2803)</v>
      </c>
      <c r="D72" s="344" t="str">
        <f>'FR-16(7)(v)-1 Functional'!D72</f>
        <v>K403</v>
      </c>
      <c r="E72" s="196"/>
      <c r="F72" s="479">
        <f>'FR-16(7)(v)-4 DISTR Classified'!I72</f>
        <v>163028490</v>
      </c>
      <c r="G72" s="349">
        <f t="shared" si="25"/>
        <v>142322242</v>
      </c>
      <c r="H72" s="349">
        <f>ROUND($F$72*VLOOKUP($D$72,ALLOCTABLE_DISTR_CUSTOMER,$H$10,FALSE),0)</f>
        <v>19532443</v>
      </c>
      <c r="I72" s="347">
        <f t="shared" si="26"/>
        <v>399420</v>
      </c>
      <c r="J72" s="347">
        <f t="shared" si="27"/>
        <v>774385</v>
      </c>
      <c r="K72" s="347">
        <f t="shared" si="28"/>
        <v>163028490</v>
      </c>
      <c r="L72" s="347">
        <f t="shared" si="29"/>
        <v>0</v>
      </c>
    </row>
    <row r="73" spans="1:12">
      <c r="A73" s="333">
        <v>18</v>
      </c>
      <c r="C73" s="332" t="str">
        <f>'FR-16(7)(v)-1 Functional'!C73</f>
        <v>MTRS &amp; MTR INST (2810, 2811, 2820, 2821)</v>
      </c>
      <c r="D73" s="344" t="str">
        <f>'FR-16(7)(v)-1 Functional'!D73</f>
        <v>K413</v>
      </c>
      <c r="E73" s="196"/>
      <c r="F73" s="479">
        <f>'FR-16(7)(v)-4 DISTR Classified'!I73</f>
        <v>23257250</v>
      </c>
      <c r="G73" s="349">
        <f t="shared" si="25"/>
        <v>18414161</v>
      </c>
      <c r="H73" s="349">
        <f>ROUND($F$73*VLOOKUP($D$73,ALLOCTABLE_DISTR_CUSTOMER,$H$10,FALSE),0)</f>
        <v>4564235</v>
      </c>
      <c r="I73" s="347">
        <f t="shared" si="26"/>
        <v>187686</v>
      </c>
      <c r="J73" s="347">
        <f t="shared" si="27"/>
        <v>91168</v>
      </c>
      <c r="K73" s="347">
        <f t="shared" si="28"/>
        <v>23257250</v>
      </c>
      <c r="L73" s="347">
        <f t="shared" si="29"/>
        <v>0</v>
      </c>
    </row>
    <row r="74" spans="1:12">
      <c r="A74" s="333">
        <v>19</v>
      </c>
      <c r="C74" s="332" t="str">
        <f>'FR-16(7)(v)-1 Functional'!C74</f>
        <v>LAND, R OF W, STRUCT &amp; IMPROV</v>
      </c>
      <c r="D74" s="344" t="str">
        <f>'FR-16(7)(v)-1 Functional'!D74</f>
        <v>K203</v>
      </c>
      <c r="E74" s="196"/>
      <c r="F74" s="479">
        <f>'FR-16(7)(v)-4 DISTR Classified'!I74</f>
        <v>0</v>
      </c>
      <c r="G74" s="349">
        <f t="shared" si="25"/>
        <v>0</v>
      </c>
      <c r="H74" s="349">
        <f>ROUND($F$74*VLOOKUP($D$74,ALLOCTABLE_DISTR_CUSTOMER,$H$10,FALSE),0)</f>
        <v>0</v>
      </c>
      <c r="I74" s="347">
        <f t="shared" si="26"/>
        <v>0</v>
      </c>
      <c r="J74" s="347">
        <f t="shared" si="27"/>
        <v>0</v>
      </c>
      <c r="K74" s="347">
        <f t="shared" si="28"/>
        <v>0</v>
      </c>
      <c r="L74" s="347">
        <f t="shared" si="29"/>
        <v>0</v>
      </c>
    </row>
    <row r="75" spans="1:12">
      <c r="A75" s="333">
        <v>20</v>
      </c>
      <c r="C75" s="332" t="str">
        <f>'FR-16(7)(v)-1 Functional'!C75</f>
        <v>HOUSE REG &amp; INSTALL (2830, 2840)</v>
      </c>
      <c r="D75" s="344" t="str">
        <f>'FR-16(7)(v)-1 Functional'!D75</f>
        <v>K417</v>
      </c>
      <c r="E75" s="196"/>
      <c r="F75" s="479">
        <f>'FR-16(7)(v)-4 DISTR Classified'!I75</f>
        <v>12497082</v>
      </c>
      <c r="G75" s="349">
        <f t="shared" si="25"/>
        <v>8257323</v>
      </c>
      <c r="H75" s="349">
        <f>ROUND($F$75*VLOOKUP($D$75,ALLOCTABLE_DISTR_CUSTOMER,$H$10,FALSE),0)</f>
        <v>4114039</v>
      </c>
      <c r="I75" s="347">
        <f t="shared" si="26"/>
        <v>102101</v>
      </c>
      <c r="J75" s="347">
        <f t="shared" si="27"/>
        <v>23619</v>
      </c>
      <c r="K75" s="347">
        <f t="shared" si="28"/>
        <v>12497082</v>
      </c>
      <c r="L75" s="347">
        <f t="shared" si="29"/>
        <v>0</v>
      </c>
    </row>
    <row r="76" spans="1:12">
      <c r="A76" s="333">
        <v>21</v>
      </c>
      <c r="C76" s="365" t="str">
        <f>'FR-16(7)(v)-1 Functional'!C76</f>
        <v>STREET LIGHTING EQUIPMENT &amp; OTH</v>
      </c>
      <c r="D76" s="344" t="str">
        <f>'FR-16(7)(v)-1 Functional'!D76</f>
        <v>K597</v>
      </c>
      <c r="E76" s="196"/>
      <c r="F76" s="479">
        <f>'FR-16(7)(v)-4 DISTR Classified'!I76</f>
        <v>0</v>
      </c>
      <c r="G76" s="349">
        <f t="shared" si="25"/>
        <v>0</v>
      </c>
      <c r="H76" s="349">
        <f>ROUND($F$76*VLOOKUP($D$76,ALLOCTABLE_DISTR_CUSTOMER,$H$10,FALSE),0)</f>
        <v>0</v>
      </c>
      <c r="I76" s="347">
        <f t="shared" si="26"/>
        <v>0</v>
      </c>
      <c r="J76" s="347">
        <f t="shared" si="27"/>
        <v>0</v>
      </c>
      <c r="K76" s="347">
        <f t="shared" si="28"/>
        <v>0</v>
      </c>
      <c r="L76" s="347">
        <f t="shared" si="29"/>
        <v>0</v>
      </c>
    </row>
    <row r="77" spans="1:12">
      <c r="A77" s="333">
        <v>22</v>
      </c>
      <c r="C77" s="332" t="str">
        <f>'FR-16(7)(v)-1 Functional'!C77</f>
        <v>ASSET RETIREMENT COST FOR DISTRIBUTION PLANT</v>
      </c>
      <c r="D77" s="344" t="str">
        <f>'FR-16(7)(v)-1 Functional'!D77</f>
        <v>K203</v>
      </c>
      <c r="E77" s="196"/>
      <c r="F77" s="479">
        <f>'FR-16(7)(v)-4 DISTR Classified'!I77</f>
        <v>0</v>
      </c>
      <c r="G77" s="349">
        <f t="shared" si="25"/>
        <v>0</v>
      </c>
      <c r="H77" s="349">
        <f>ROUND($F$77*VLOOKUP($D$77,ALLOCTABLE_DISTR_CUSTOMER,$H$10,FALSE),0)</f>
        <v>0</v>
      </c>
      <c r="I77" s="347">
        <f t="shared" si="26"/>
        <v>0</v>
      </c>
      <c r="J77" s="347">
        <f t="shared" si="27"/>
        <v>0</v>
      </c>
      <c r="K77" s="347">
        <f t="shared" si="28"/>
        <v>0</v>
      </c>
      <c r="L77" s="347">
        <f t="shared" si="29"/>
        <v>0</v>
      </c>
    </row>
    <row r="78" spans="1:12">
      <c r="A78" s="333">
        <v>23</v>
      </c>
      <c r="C78" s="339" t="str">
        <f>'FR-16(7)(v)-1 Functional'!C78</f>
        <v xml:space="preserve">  DISTRIBUTION PLANT IN SERVICE</v>
      </c>
      <c r="D78" s="344"/>
      <c r="E78" s="196"/>
      <c r="F78" s="348">
        <f t="shared" ref="F78:L78" si="30">SUM(F68:F77)</f>
        <v>244134287</v>
      </c>
      <c r="G78" s="348">
        <f>SUM(G68:G77)</f>
        <v>211092584</v>
      </c>
      <c r="H78" s="348">
        <f t="shared" si="30"/>
        <v>31409356</v>
      </c>
      <c r="I78" s="348">
        <f t="shared" si="30"/>
        <v>733198</v>
      </c>
      <c r="J78" s="348">
        <f t="shared" si="30"/>
        <v>899149</v>
      </c>
      <c r="K78" s="348">
        <f t="shared" si="30"/>
        <v>244134287</v>
      </c>
      <c r="L78" s="348">
        <f t="shared" si="30"/>
        <v>0</v>
      </c>
    </row>
    <row r="79" spans="1:12">
      <c r="A79" s="333">
        <v>24</v>
      </c>
      <c r="D79" s="344"/>
      <c r="E79" s="196"/>
      <c r="G79" s="353"/>
      <c r="H79" s="353"/>
      <c r="I79" s="332"/>
    </row>
    <row r="80" spans="1:12">
      <c r="A80" s="333">
        <v>25</v>
      </c>
      <c r="B80" s="332" t="s">
        <v>18</v>
      </c>
      <c r="D80" s="344"/>
      <c r="E80" s="196"/>
      <c r="F80" s="347">
        <f>F78+F63</f>
        <v>244134287</v>
      </c>
      <c r="G80" s="349">
        <f>G78+$G$63</f>
        <v>211092584</v>
      </c>
      <c r="H80" s="349">
        <f>H78+$H$63</f>
        <v>31409356</v>
      </c>
      <c r="I80" s="347">
        <f>I78+$I$63</f>
        <v>733198</v>
      </c>
      <c r="J80" s="347">
        <f>J78+$J$63</f>
        <v>899149</v>
      </c>
      <c r="K80" s="347">
        <f>K78+$K$63</f>
        <v>244134287</v>
      </c>
      <c r="L80" s="347">
        <f>L78+$L$63</f>
        <v>0</v>
      </c>
    </row>
    <row r="81" spans="1:12">
      <c r="A81" s="333">
        <v>26</v>
      </c>
      <c r="B81" s="332" t="s">
        <v>19</v>
      </c>
      <c r="D81" s="344"/>
      <c r="E81" s="196"/>
      <c r="F81" s="347">
        <f t="shared" ref="F81:L81" si="31">F78+F65</f>
        <v>244134287</v>
      </c>
      <c r="G81" s="349">
        <f>G78+G65</f>
        <v>211092584</v>
      </c>
      <c r="H81" s="349">
        <f t="shared" si="31"/>
        <v>31409356</v>
      </c>
      <c r="I81" s="347">
        <f t="shared" si="31"/>
        <v>733198</v>
      </c>
      <c r="J81" s="347">
        <f t="shared" si="31"/>
        <v>899149</v>
      </c>
      <c r="K81" s="347">
        <f t="shared" si="31"/>
        <v>244134287</v>
      </c>
      <c r="L81" s="347">
        <f t="shared" si="31"/>
        <v>0</v>
      </c>
    </row>
    <row r="82" spans="1:12">
      <c r="A82" s="333">
        <v>27</v>
      </c>
      <c r="D82" s="344"/>
      <c r="E82" s="196"/>
      <c r="G82" s="353"/>
      <c r="H82" s="353"/>
      <c r="I82" s="332"/>
    </row>
    <row r="83" spans="1:12">
      <c r="A83" s="333">
        <v>28</v>
      </c>
      <c r="B83" s="332" t="s">
        <v>20</v>
      </c>
      <c r="D83" s="344"/>
      <c r="E83" s="196"/>
      <c r="G83" s="353"/>
      <c r="H83" s="353"/>
      <c r="I83" s="332"/>
    </row>
    <row r="84" spans="1:12">
      <c r="A84" s="333">
        <v>29</v>
      </c>
      <c r="C84" s="332" t="str">
        <f>'FR-16(7)(v)-1 Functional'!C84</f>
        <v>PRODUCTION PLANT</v>
      </c>
      <c r="D84" s="344" t="str">
        <f>'FR-16(7)(v)-1 Functional'!D84</f>
        <v>K201</v>
      </c>
      <c r="E84" s="196"/>
      <c r="F84" s="479">
        <f>'FR-16(7)(v)-4 DISTR Classified'!I84</f>
        <v>0</v>
      </c>
      <c r="G84" s="349">
        <f t="shared" ref="G84:G89" si="32">F84-SUM(H84:J84)</f>
        <v>0</v>
      </c>
      <c r="H84" s="349">
        <f>ROUND($F$84*VLOOKUP($D$84,ALLOCTABLE_DISTR_CUSTOMER,$H$10,FALSE),0)</f>
        <v>0</v>
      </c>
      <c r="I84" s="347">
        <f t="shared" ref="I84:I89" si="33">ROUND(F84*VLOOKUP(D84,ALLOCTABLE_DISTR_CUSTOMER,$I$10,FALSE),0)</f>
        <v>0</v>
      </c>
      <c r="J84" s="347">
        <f t="shared" ref="J84:J89" si="34">ROUND(F84*VLOOKUP(D84,ALLOCTABLE_DISTR_CUSTOMER,$J$10,FALSE),0)</f>
        <v>0</v>
      </c>
      <c r="K84" s="347">
        <f t="shared" ref="K84:K89" si="35">SUM(G84:J84)</f>
        <v>0</v>
      </c>
      <c r="L84" s="347">
        <f t="shared" ref="L84:L89" si="36">F84-K84</f>
        <v>0</v>
      </c>
    </row>
    <row r="85" spans="1:12">
      <c r="A85" s="333">
        <v>30</v>
      </c>
      <c r="C85" s="332" t="str">
        <f>'FR-16(7)(v)-1 Functional'!C85</f>
        <v>PRODUCTION PLANT COMMODITY</v>
      </c>
      <c r="D85" s="344" t="str">
        <f>'FR-16(7)(v)-1 Functional'!D85</f>
        <v>P349</v>
      </c>
      <c r="E85" s="196"/>
      <c r="F85" s="479">
        <f>'FR-16(7)(v)-4 DISTR Classified'!I85</f>
        <v>0</v>
      </c>
      <c r="G85" s="349">
        <f t="shared" si="32"/>
        <v>0</v>
      </c>
      <c r="H85" s="349">
        <f>ROUND($F$85*VLOOKUP($D$85,ALLOCTABLE_DISTR_CUSTOMER,$H$10,FALSE),0)</f>
        <v>0</v>
      </c>
      <c r="I85" s="347">
        <f t="shared" si="33"/>
        <v>0</v>
      </c>
      <c r="J85" s="347">
        <f t="shared" si="34"/>
        <v>0</v>
      </c>
      <c r="K85" s="347">
        <f t="shared" si="35"/>
        <v>0</v>
      </c>
      <c r="L85" s="347">
        <f t="shared" si="36"/>
        <v>0</v>
      </c>
    </row>
    <row r="86" spans="1:12">
      <c r="A86" s="333">
        <v>31</v>
      </c>
      <c r="C86" s="332" t="str">
        <f>'FR-16(7)(v)-1 Functional'!C86</f>
        <v>DISTRIBUTION PLANT</v>
      </c>
      <c r="D86" s="344" t="str">
        <f>'FR-16(7)(v)-1 Functional'!D86</f>
        <v>D349</v>
      </c>
      <c r="E86" s="196"/>
      <c r="F86" s="479">
        <f>'FR-16(7)(v)-4 DISTR Classified'!I86</f>
        <v>6242610</v>
      </c>
      <c r="G86" s="349">
        <f t="shared" si="32"/>
        <v>4856002</v>
      </c>
      <c r="H86" s="349">
        <f>ROUND($F$86*VLOOKUP($D$86,ALLOCTABLE_DISTR_CUSTOMER,$H$10,FALSE),0)</f>
        <v>1206946</v>
      </c>
      <c r="I86" s="347">
        <f t="shared" si="33"/>
        <v>131469</v>
      </c>
      <c r="J86" s="347">
        <f t="shared" si="34"/>
        <v>48193</v>
      </c>
      <c r="K86" s="347">
        <f t="shared" si="35"/>
        <v>6242610</v>
      </c>
      <c r="L86" s="347">
        <f t="shared" si="36"/>
        <v>0</v>
      </c>
    </row>
    <row r="87" spans="1:12">
      <c r="A87" s="333">
        <v>32</v>
      </c>
      <c r="C87" s="332" t="str">
        <f>'FR-16(7)(v)-1 Functional'!C87</f>
        <v>CUSTOMER ACCOUNTING</v>
      </c>
      <c r="D87" s="344" t="str">
        <f>'FR-16(7)(v)-1 Functional'!D87</f>
        <v>CA19</v>
      </c>
      <c r="E87" s="196"/>
      <c r="F87" s="479">
        <f>'FR-16(7)(v)-4 DISTR Classified'!I87</f>
        <v>6350501</v>
      </c>
      <c r="G87" s="349">
        <f t="shared" si="32"/>
        <v>5895043</v>
      </c>
      <c r="H87" s="349">
        <f>ROUND($F$87*VLOOKUP($D$87,ALLOCTABLE_DISTR_CUSTOMER,$H$10,FALSE),0)</f>
        <v>447901</v>
      </c>
      <c r="I87" s="347">
        <f t="shared" si="33"/>
        <v>6160</v>
      </c>
      <c r="J87" s="347">
        <f t="shared" si="34"/>
        <v>1397</v>
      </c>
      <c r="K87" s="347">
        <f t="shared" si="35"/>
        <v>6350501</v>
      </c>
      <c r="L87" s="347">
        <f t="shared" si="36"/>
        <v>0</v>
      </c>
    </row>
    <row r="88" spans="1:12">
      <c r="A88" s="333">
        <v>33</v>
      </c>
      <c r="C88" s="332" t="str">
        <f>'FR-16(7)(v)-1 Functional'!C88</f>
        <v>CUSTOMER SERVICE &amp; INFORMATION</v>
      </c>
      <c r="D88" s="344" t="str">
        <f>'FR-16(7)(v)-1 Functional'!D88</f>
        <v>CS19</v>
      </c>
      <c r="E88" s="196"/>
      <c r="F88" s="479">
        <f>'FR-16(7)(v)-4 DISTR Classified'!I88</f>
        <v>555712</v>
      </c>
      <c r="G88" s="349">
        <f t="shared" si="32"/>
        <v>515857</v>
      </c>
      <c r="H88" s="349">
        <f>ROUND($F$88*VLOOKUP($D$88,ALLOCTABLE_DISTR_CUSTOMER,$H$10,FALSE),0)</f>
        <v>39194</v>
      </c>
      <c r="I88" s="347">
        <f t="shared" si="33"/>
        <v>539</v>
      </c>
      <c r="J88" s="347">
        <f t="shared" si="34"/>
        <v>122</v>
      </c>
      <c r="K88" s="347">
        <f t="shared" si="35"/>
        <v>555712</v>
      </c>
      <c r="L88" s="347">
        <f t="shared" si="36"/>
        <v>0</v>
      </c>
    </row>
    <row r="89" spans="1:12">
      <c r="A89" s="333">
        <v>34</v>
      </c>
      <c r="C89" s="332" t="str">
        <f>'FR-16(7)(v)-1 Functional'!C89</f>
        <v>SALES</v>
      </c>
      <c r="D89" s="344" t="str">
        <f>'FR-16(7)(v)-1 Functional'!D89</f>
        <v>SE19</v>
      </c>
      <c r="E89" s="196"/>
      <c r="F89" s="479">
        <f>'FR-16(7)(v)-4 DISTR Classified'!I89</f>
        <v>0</v>
      </c>
      <c r="G89" s="349">
        <f t="shared" si="32"/>
        <v>0</v>
      </c>
      <c r="H89" s="349">
        <f>ROUND($F$89*VLOOKUP($D$89,ALLOCTABLE_DISTR_CUSTOMER,$H$10,FALSE),0)</f>
        <v>0</v>
      </c>
      <c r="I89" s="347">
        <f t="shared" si="33"/>
        <v>0</v>
      </c>
      <c r="J89" s="347">
        <f t="shared" si="34"/>
        <v>0</v>
      </c>
      <c r="K89" s="347">
        <f t="shared" si="35"/>
        <v>0</v>
      </c>
      <c r="L89" s="347">
        <f t="shared" si="36"/>
        <v>0</v>
      </c>
    </row>
    <row r="90" spans="1:12">
      <c r="A90" s="333">
        <v>35</v>
      </c>
      <c r="C90" s="339" t="str">
        <f>'FR-16(7)(v)-1 Functional'!C90</f>
        <v xml:space="preserve">  GEN &amp; INTANG PLANT IN SERVICE</v>
      </c>
      <c r="D90" s="344"/>
      <c r="E90" s="196"/>
      <c r="F90" s="480">
        <f t="shared" ref="F90:L90" si="37">SUM(F84:F89)</f>
        <v>13148823</v>
      </c>
      <c r="G90" s="348">
        <f>SUM(G84:G89)</f>
        <v>11266902</v>
      </c>
      <c r="H90" s="348">
        <f t="shared" si="37"/>
        <v>1694041</v>
      </c>
      <c r="I90" s="348">
        <f t="shared" si="37"/>
        <v>138168</v>
      </c>
      <c r="J90" s="348">
        <f t="shared" si="37"/>
        <v>49712</v>
      </c>
      <c r="K90" s="348">
        <f t="shared" si="37"/>
        <v>13148823</v>
      </c>
      <c r="L90" s="348">
        <f t="shared" si="37"/>
        <v>0</v>
      </c>
    </row>
    <row r="91" spans="1:12">
      <c r="A91" s="333">
        <v>36</v>
      </c>
      <c r="D91" s="344"/>
      <c r="E91" s="196"/>
      <c r="G91" s="353"/>
      <c r="H91" s="353"/>
      <c r="I91" s="332"/>
    </row>
    <row r="92" spans="1:12">
      <c r="A92" s="333">
        <v>37</v>
      </c>
      <c r="B92" s="332" t="s">
        <v>21</v>
      </c>
      <c r="D92" s="344"/>
      <c r="E92" s="196"/>
      <c r="G92" s="353"/>
      <c r="H92" s="353"/>
      <c r="I92" s="332"/>
    </row>
    <row r="93" spans="1:12">
      <c r="A93" s="333">
        <v>38</v>
      </c>
      <c r="C93" s="332" t="str">
        <f>'FR-16(7)(v)-1 Functional'!C93</f>
        <v>PRODUCTION PLANT</v>
      </c>
      <c r="D93" s="344" t="str">
        <f>'FR-16(7)(v)-1 Functional'!D93</f>
        <v>K201</v>
      </c>
      <c r="E93" s="196"/>
      <c r="F93" s="479">
        <f>'FR-16(7)(v)-4 DISTR Classified'!I93</f>
        <v>0</v>
      </c>
      <c r="G93" s="349">
        <f t="shared" ref="G93:G98" si="38">F93-SUM(H93:J93)</f>
        <v>0</v>
      </c>
      <c r="H93" s="349">
        <f>ROUND($F$93*VLOOKUP($D$93,ALLOCTABLE_DISTR_CUSTOMER,$H$10,FALSE),0)</f>
        <v>0</v>
      </c>
      <c r="I93" s="347">
        <f t="shared" ref="I93:I98" si="39">ROUND(F93*VLOOKUP(D93,ALLOCTABLE_DISTR_CUSTOMER,$I$10,FALSE),0)</f>
        <v>0</v>
      </c>
      <c r="J93" s="347">
        <f t="shared" ref="J93:J98" si="40">ROUND(F93*VLOOKUP(D93,ALLOCTABLE_DISTR_CUSTOMER,$J$10,FALSE),0)</f>
        <v>0</v>
      </c>
      <c r="K93" s="347">
        <f t="shared" ref="K93:K98" si="41">SUM(G93:J93)</f>
        <v>0</v>
      </c>
      <c r="L93" s="347">
        <f t="shared" ref="L93:L98" si="42">F93-K93</f>
        <v>0</v>
      </c>
    </row>
    <row r="94" spans="1:12">
      <c r="A94" s="333">
        <v>39</v>
      </c>
      <c r="C94" s="332" t="str">
        <f>'FR-16(7)(v)-1 Functional'!C94</f>
        <v>PRODUCTION PLANT COMMODITY</v>
      </c>
      <c r="D94" s="344" t="str">
        <f>'FR-16(7)(v)-1 Functional'!D94</f>
        <v>P349</v>
      </c>
      <c r="E94" s="196"/>
      <c r="F94" s="479">
        <f>'FR-16(7)(v)-4 DISTR Classified'!I94</f>
        <v>0</v>
      </c>
      <c r="G94" s="349">
        <f t="shared" si="38"/>
        <v>0</v>
      </c>
      <c r="H94" s="349">
        <f>ROUND($F$94*VLOOKUP($D$94,ALLOCTABLE_DISTR_CUSTOMER,$H$10,FALSE),0)</f>
        <v>0</v>
      </c>
      <c r="I94" s="347">
        <f t="shared" si="39"/>
        <v>0</v>
      </c>
      <c r="J94" s="347">
        <f t="shared" si="40"/>
        <v>0</v>
      </c>
      <c r="K94" s="347">
        <f t="shared" si="41"/>
        <v>0</v>
      </c>
      <c r="L94" s="347">
        <f t="shared" si="42"/>
        <v>0</v>
      </c>
    </row>
    <row r="95" spans="1:12">
      <c r="A95" s="333">
        <v>40</v>
      </c>
      <c r="C95" s="332" t="str">
        <f>'FR-16(7)(v)-1 Functional'!C95</f>
        <v>DISTRIBUTION PLANT</v>
      </c>
      <c r="D95" s="344" t="str">
        <f>'FR-16(7)(v)-1 Functional'!D95</f>
        <v>D349</v>
      </c>
      <c r="E95" s="196"/>
      <c r="F95" s="479">
        <f>'FR-16(7)(v)-4 DISTR Classified'!I95</f>
        <v>3285865</v>
      </c>
      <c r="G95" s="349">
        <f t="shared" si="38"/>
        <v>2556009</v>
      </c>
      <c r="H95" s="349">
        <f>ROUND($F$95*VLOOKUP($D$95,ALLOCTABLE_DISTR_CUSTOMER,$H$10,FALSE),0)</f>
        <v>635289</v>
      </c>
      <c r="I95" s="347">
        <f t="shared" si="39"/>
        <v>69200</v>
      </c>
      <c r="J95" s="347">
        <f t="shared" si="40"/>
        <v>25367</v>
      </c>
      <c r="K95" s="347">
        <f t="shared" si="41"/>
        <v>3285865</v>
      </c>
      <c r="L95" s="347">
        <f t="shared" si="42"/>
        <v>0</v>
      </c>
    </row>
    <row r="96" spans="1:12">
      <c r="A96" s="333">
        <v>41</v>
      </c>
      <c r="C96" s="332" t="str">
        <f>'FR-16(7)(v)-1 Functional'!C96</f>
        <v>CUSTOMER ACCOUNTING</v>
      </c>
      <c r="D96" s="344" t="str">
        <f>'FR-16(7)(v)-1 Functional'!D96</f>
        <v>CA19</v>
      </c>
      <c r="E96" s="196"/>
      <c r="F96" s="479">
        <f>'FR-16(7)(v)-4 DISTR Classified'!I96</f>
        <v>3342655</v>
      </c>
      <c r="G96" s="349">
        <f t="shared" si="38"/>
        <v>3102921</v>
      </c>
      <c r="H96" s="349">
        <f>ROUND($F$96*VLOOKUP($D$96,ALLOCTABLE_DISTR_CUSTOMER,$H$10,FALSE),0)</f>
        <v>235757</v>
      </c>
      <c r="I96" s="347">
        <f t="shared" si="39"/>
        <v>3242</v>
      </c>
      <c r="J96" s="347">
        <f t="shared" si="40"/>
        <v>735</v>
      </c>
      <c r="K96" s="347">
        <f t="shared" si="41"/>
        <v>3342655</v>
      </c>
      <c r="L96" s="347">
        <f t="shared" si="42"/>
        <v>0</v>
      </c>
    </row>
    <row r="97" spans="1:12">
      <c r="A97" s="333">
        <v>42</v>
      </c>
      <c r="C97" s="332" t="str">
        <f>'FR-16(7)(v)-1 Functional'!C97</f>
        <v>CUSTOMER SERVICE &amp; INFORMATION</v>
      </c>
      <c r="D97" s="344" t="str">
        <f>'FR-16(7)(v)-1 Functional'!D97</f>
        <v>CS19</v>
      </c>
      <c r="E97" s="196"/>
      <c r="F97" s="479">
        <f>'FR-16(7)(v)-4 DISTR Classified'!I97</f>
        <v>292505</v>
      </c>
      <c r="G97" s="349">
        <f t="shared" si="38"/>
        <v>271527</v>
      </c>
      <c r="H97" s="349">
        <f>ROUND($F$97*VLOOKUP($D$97,ALLOCTABLE_DISTR_CUSTOMER,$H$10,FALSE),0)</f>
        <v>20630</v>
      </c>
      <c r="I97" s="347">
        <f t="shared" si="39"/>
        <v>284</v>
      </c>
      <c r="J97" s="347">
        <f t="shared" si="40"/>
        <v>64</v>
      </c>
      <c r="K97" s="347">
        <f t="shared" si="41"/>
        <v>292505</v>
      </c>
      <c r="L97" s="347">
        <f t="shared" si="42"/>
        <v>0</v>
      </c>
    </row>
    <row r="98" spans="1:12">
      <c r="A98" s="333">
        <v>43</v>
      </c>
      <c r="C98" s="365" t="str">
        <f>'FR-16(7)(v)-1 Functional'!C98</f>
        <v>SALES</v>
      </c>
      <c r="D98" s="344" t="str">
        <f>'FR-16(7)(v)-1 Functional'!D98</f>
        <v>SE19</v>
      </c>
      <c r="E98" s="196"/>
      <c r="F98" s="479">
        <f>'FR-16(7)(v)-4 DISTR Classified'!I98</f>
        <v>0</v>
      </c>
      <c r="G98" s="349">
        <f t="shared" si="38"/>
        <v>0</v>
      </c>
      <c r="H98" s="349">
        <f>ROUND($F$98*VLOOKUP($D$98,ALLOCTABLE_DISTR_CUSTOMER,$H$10,FALSE),0)</f>
        <v>0</v>
      </c>
      <c r="I98" s="347">
        <f t="shared" si="39"/>
        <v>0</v>
      </c>
      <c r="J98" s="347">
        <f t="shared" si="40"/>
        <v>0</v>
      </c>
      <c r="K98" s="347">
        <f t="shared" si="41"/>
        <v>0</v>
      </c>
      <c r="L98" s="347">
        <f t="shared" si="42"/>
        <v>0</v>
      </c>
    </row>
    <row r="99" spans="1:12">
      <c r="A99" s="333">
        <v>44</v>
      </c>
      <c r="C99" s="339" t="str">
        <f>'FR-16(7)(v)-1 Functional'!C99</f>
        <v xml:space="preserve">  COMMON &amp; OTHER PLANT IN SERVICE</v>
      </c>
      <c r="E99" s="196"/>
      <c r="F99" s="348">
        <f t="shared" ref="F99:L99" si="43">SUM(F93:F98)</f>
        <v>6921025</v>
      </c>
      <c r="G99" s="348">
        <f>SUM(G93:G98)</f>
        <v>5930457</v>
      </c>
      <c r="H99" s="348">
        <f t="shared" si="43"/>
        <v>891676</v>
      </c>
      <c r="I99" s="348">
        <f t="shared" si="43"/>
        <v>72726</v>
      </c>
      <c r="J99" s="348">
        <f t="shared" si="43"/>
        <v>26166</v>
      </c>
      <c r="K99" s="348">
        <f t="shared" si="43"/>
        <v>6921025</v>
      </c>
      <c r="L99" s="348">
        <f t="shared" si="43"/>
        <v>0</v>
      </c>
    </row>
    <row r="100" spans="1:12">
      <c r="A100" s="333">
        <v>45</v>
      </c>
      <c r="E100" s="196"/>
      <c r="G100" s="353"/>
      <c r="H100" s="353"/>
      <c r="I100" s="332"/>
    </row>
    <row r="101" spans="1:12">
      <c r="A101" s="333">
        <v>46</v>
      </c>
      <c r="B101" s="332" t="s">
        <v>95</v>
      </c>
      <c r="E101" s="196"/>
      <c r="F101" s="347">
        <f t="shared" ref="F101:L101" si="44">F81+F90+F99</f>
        <v>264204135</v>
      </c>
      <c r="G101" s="349">
        <f>G81+G90+G99</f>
        <v>228289943</v>
      </c>
      <c r="H101" s="349">
        <f t="shared" si="44"/>
        <v>33995073</v>
      </c>
      <c r="I101" s="347">
        <f t="shared" si="44"/>
        <v>944092</v>
      </c>
      <c r="J101" s="347">
        <f t="shared" si="44"/>
        <v>975027</v>
      </c>
      <c r="K101" s="347">
        <f t="shared" si="44"/>
        <v>264204135</v>
      </c>
      <c r="L101" s="347">
        <f t="shared" si="44"/>
        <v>0</v>
      </c>
    </row>
    <row r="102" spans="1:12">
      <c r="B102" s="343"/>
      <c r="C102" s="196"/>
      <c r="D102" s="344"/>
      <c r="E102" s="196"/>
      <c r="G102" s="342"/>
      <c r="H102" s="342"/>
      <c r="I102" s="196"/>
      <c r="J102" s="344"/>
      <c r="K102" s="196"/>
      <c r="L102" s="196"/>
    </row>
    <row r="103" spans="1:12">
      <c r="A103" s="343" t="str">
        <f>co_name</f>
        <v>DUKE ENERGY KENTUCKY, INC.</v>
      </c>
      <c r="C103" s="196"/>
      <c r="D103" s="344"/>
      <c r="E103" s="196"/>
      <c r="F103" s="344"/>
      <c r="G103" s="342"/>
      <c r="H103" s="342"/>
      <c r="I103" s="196"/>
      <c r="K103" s="361" t="str">
        <f>$K$1</f>
        <v>FR-16(7)(v)-6</v>
      </c>
      <c r="L103" s="196"/>
    </row>
    <row r="104" spans="1:12">
      <c r="A104" s="343" t="str">
        <f>$A$2</f>
        <v>DISTRIBUTION CUSTOMER ALLOCATED - GAS COST OF SERVICE</v>
      </c>
      <c r="C104" s="196"/>
      <c r="D104" s="344"/>
      <c r="E104" s="196"/>
      <c r="F104" s="344"/>
      <c r="G104" s="342"/>
      <c r="H104" s="342"/>
      <c r="I104" s="196"/>
      <c r="K104" s="361" t="str">
        <f>$K$2</f>
        <v>WITNESS RESPONSIBLE:</v>
      </c>
      <c r="L104" s="196"/>
    </row>
    <row r="105" spans="1:12">
      <c r="A105" s="343" t="str">
        <f>case_name</f>
        <v>CASE NO: 2018-00261</v>
      </c>
      <c r="C105" s="196"/>
      <c r="D105" s="344"/>
      <c r="E105" s="196"/>
      <c r="F105" s="344"/>
      <c r="G105" s="342"/>
      <c r="H105" s="342"/>
      <c r="I105" s="196"/>
      <c r="K105" s="361" t="str">
        <f>Witness</f>
        <v>JAMES E. ZIOLKOWSKI</v>
      </c>
      <c r="L105" s="196"/>
    </row>
    <row r="106" spans="1:12">
      <c r="A106" s="343" t="str">
        <f>data_filing</f>
        <v>DATA: 12 MONTH FORECASTED PERIOD</v>
      </c>
      <c r="C106" s="196"/>
      <c r="D106" s="344"/>
      <c r="E106" s="196"/>
      <c r="F106" s="344"/>
      <c r="G106" s="342"/>
      <c r="H106" s="342"/>
      <c r="I106" s="196"/>
      <c r="K106" s="361" t="str">
        <f>"PAGE "&amp;Pages-15&amp;" OF "&amp;Pages</f>
        <v>PAGE 3 OF 18</v>
      </c>
      <c r="L106" s="196"/>
    </row>
    <row r="107" spans="1:12">
      <c r="A107" s="343" t="str">
        <f>type</f>
        <v xml:space="preserve">TYPE OF FILING: "X" ORIGINAL   UPDATED    REVISED  </v>
      </c>
      <c r="C107" s="196"/>
      <c r="D107" s="344"/>
      <c r="E107" s="196"/>
      <c r="F107" s="344"/>
      <c r="G107" s="342"/>
      <c r="H107" s="342"/>
      <c r="I107" s="196"/>
      <c r="J107" s="344"/>
      <c r="K107" s="196"/>
      <c r="L107" s="196"/>
    </row>
    <row r="108" spans="1:12">
      <c r="A108" s="343"/>
      <c r="C108" s="196"/>
      <c r="D108" s="344"/>
      <c r="E108" s="196"/>
      <c r="F108" s="344"/>
      <c r="G108" s="342"/>
      <c r="H108" s="342"/>
      <c r="I108" s="196"/>
      <c r="J108" s="344"/>
      <c r="K108" s="196"/>
      <c r="L108" s="196"/>
    </row>
    <row r="109" spans="1:12">
      <c r="B109" s="343"/>
      <c r="C109" s="196"/>
      <c r="D109" s="344"/>
      <c r="E109" s="196"/>
      <c r="F109" s="344" t="str">
        <f>$F$7</f>
        <v>TOTAL</v>
      </c>
      <c r="G109" s="342"/>
      <c r="H109" s="342"/>
      <c r="I109" s="196"/>
      <c r="J109" s="344"/>
      <c r="K109" s="196"/>
      <c r="L109" s="196"/>
    </row>
    <row r="110" spans="1:12">
      <c r="A110" s="344" t="s">
        <v>914</v>
      </c>
      <c r="B110" s="196"/>
      <c r="C110" s="196"/>
      <c r="D110" s="344"/>
      <c r="E110" s="196"/>
      <c r="F110" s="344" t="str">
        <f>$F$8</f>
        <v>DISTRIBUTION</v>
      </c>
      <c r="G110" s="354" t="str">
        <f>$G$8</f>
        <v>RS</v>
      </c>
      <c r="H110" s="354" t="str">
        <f>$H$8</f>
        <v>GS</v>
      </c>
      <c r="I110" s="344" t="str">
        <f>$I$8</f>
        <v>FT-L</v>
      </c>
      <c r="J110" s="344" t="str">
        <f>$J$8</f>
        <v>INTERUPT</v>
      </c>
      <c r="K110" s="344" t="s">
        <v>229</v>
      </c>
      <c r="L110" s="344" t="s">
        <v>342</v>
      </c>
    </row>
    <row r="111" spans="1:12">
      <c r="A111" s="346" t="s">
        <v>915</v>
      </c>
      <c r="B111" s="345" t="s">
        <v>22</v>
      </c>
      <c r="C111" s="345"/>
      <c r="D111" s="346" t="s">
        <v>337</v>
      </c>
      <c r="E111" s="345"/>
      <c r="F111" s="344" t="str">
        <f>$F$9</f>
        <v>CUSTOMER</v>
      </c>
      <c r="G111" s="355" t="str">
        <f>$G$9</f>
        <v>RESIDENTIAL</v>
      </c>
      <c r="H111" s="355" t="str">
        <f>$H$9</f>
        <v>GEN SERV</v>
      </c>
      <c r="I111" s="346" t="str">
        <f>$I$9</f>
        <v>FIRM TRANS</v>
      </c>
      <c r="J111" s="346" t="str">
        <f>$J$9</f>
        <v>TRANS</v>
      </c>
      <c r="K111" s="346" t="s">
        <v>341</v>
      </c>
      <c r="L111" s="346" t="s">
        <v>340</v>
      </c>
    </row>
    <row r="112" spans="1:12">
      <c r="C112" s="578" t="s">
        <v>345</v>
      </c>
      <c r="D112" s="344"/>
      <c r="E112" s="196"/>
      <c r="F112" s="761"/>
      <c r="G112" s="633">
        <f>$G$10</f>
        <v>3</v>
      </c>
      <c r="H112" s="633">
        <f>$H$10</f>
        <v>4</v>
      </c>
      <c r="I112" s="633">
        <f>$I$10</f>
        <v>5</v>
      </c>
      <c r="J112" s="633">
        <f>$J$10</f>
        <v>6</v>
      </c>
    </row>
    <row r="113" spans="1:12">
      <c r="A113" s="333">
        <v>1</v>
      </c>
      <c r="B113" s="332" t="s">
        <v>14</v>
      </c>
      <c r="D113" s="344"/>
      <c r="E113" s="196"/>
      <c r="I113" s="332"/>
    </row>
    <row r="114" spans="1:12">
      <c r="A114" s="333">
        <v>2</v>
      </c>
      <c r="C114" s="365" t="str">
        <f>'FR-16(7)(v)-1 Functional'!C114</f>
        <v>PRODUCTION PLANT</v>
      </c>
      <c r="D114" s="344" t="str">
        <f>'FR-16(7)(v)-1 Functional'!D114</f>
        <v>K205</v>
      </c>
      <c r="E114" s="196"/>
      <c r="F114" s="479">
        <f>'FR-16(7)(v)-4 DISTR Classified'!I114</f>
        <v>0</v>
      </c>
      <c r="G114" s="349">
        <f>F114-SUM(H114:J114)</f>
        <v>0</v>
      </c>
      <c r="H114" s="347">
        <f>ROUND($F$114*VLOOKUP($D$114,ALLOCTABLE_DISTR_CUSTOMER,$H$10,FALSE),0)</f>
        <v>0</v>
      </c>
      <c r="I114" s="347">
        <f>ROUND(F114*VLOOKUP(D114,ALLOCTABLE_DISTR_CUSTOMER,$I$10,FALSE),0)</f>
        <v>0</v>
      </c>
      <c r="J114" s="347">
        <f>ROUND(F114*VLOOKUP(D114,ALLOCTABLE_DISTR_CUSTOMER,$J$10,FALSE),0)</f>
        <v>0</v>
      </c>
      <c r="K114" s="347">
        <f>SUM(G114:J114)</f>
        <v>0</v>
      </c>
      <c r="L114" s="347">
        <f>F114-K114</f>
        <v>0</v>
      </c>
    </row>
    <row r="115" spans="1:12">
      <c r="A115" s="333">
        <v>3</v>
      </c>
      <c r="C115" s="339" t="str">
        <f>'FR-16(7)(v)-1 Functional'!C115</f>
        <v xml:space="preserve">  TOTAL PROD DEPREC RESERVE</v>
      </c>
      <c r="D115" s="344"/>
      <c r="E115" s="196"/>
      <c r="F115" s="348">
        <f t="shared" ref="F115:L115" si="45">SUM(F114:F114)</f>
        <v>0</v>
      </c>
      <c r="G115" s="348">
        <f>SUM(G114:G114)</f>
        <v>0</v>
      </c>
      <c r="H115" s="348">
        <f t="shared" si="45"/>
        <v>0</v>
      </c>
      <c r="I115" s="348">
        <f t="shared" si="45"/>
        <v>0</v>
      </c>
      <c r="J115" s="348">
        <f t="shared" si="45"/>
        <v>0</v>
      </c>
      <c r="K115" s="348">
        <f t="shared" si="45"/>
        <v>0</v>
      </c>
      <c r="L115" s="348">
        <f t="shared" si="45"/>
        <v>0</v>
      </c>
    </row>
    <row r="116" spans="1:12">
      <c r="A116" s="333">
        <v>4</v>
      </c>
      <c r="D116" s="344"/>
      <c r="E116" s="196"/>
      <c r="I116" s="332"/>
    </row>
    <row r="117" spans="1:12">
      <c r="A117" s="333">
        <v>5</v>
      </c>
      <c r="B117" s="332" t="s">
        <v>15</v>
      </c>
      <c r="D117" s="344"/>
      <c r="E117" s="196"/>
      <c r="I117" s="332"/>
    </row>
    <row r="118" spans="1:12">
      <c r="A118" s="333">
        <v>6</v>
      </c>
      <c r="C118" s="359" t="str">
        <f>'FR-16(7)(v)-1 Functional'!C118</f>
        <v>TRANSMISSION PLANT</v>
      </c>
      <c r="D118" s="344" t="s">
        <v>343</v>
      </c>
      <c r="E118" s="196"/>
      <c r="F118" s="477"/>
      <c r="G118" s="347"/>
      <c r="H118" s="347"/>
      <c r="I118" s="347"/>
      <c r="J118" s="347"/>
      <c r="K118" s="347"/>
      <c r="L118" s="347"/>
    </row>
    <row r="119" spans="1:12">
      <c r="A119" s="333">
        <v>7</v>
      </c>
      <c r="C119" s="332" t="str">
        <f>'FR-16(7)(v)-1 Functional'!C119</f>
        <v>TOTAL TRANS DEPREC RESERVE</v>
      </c>
      <c r="D119" s="344"/>
      <c r="E119" s="196"/>
      <c r="F119" s="348">
        <f t="shared" ref="F119:L119" si="46">SUM(F118:F118)</f>
        <v>0</v>
      </c>
      <c r="G119" s="348">
        <f>SUM(G118:G118)</f>
        <v>0</v>
      </c>
      <c r="H119" s="348">
        <f t="shared" si="46"/>
        <v>0</v>
      </c>
      <c r="I119" s="348">
        <f t="shared" si="46"/>
        <v>0</v>
      </c>
      <c r="J119" s="348">
        <f t="shared" si="46"/>
        <v>0</v>
      </c>
      <c r="K119" s="348">
        <f t="shared" si="46"/>
        <v>0</v>
      </c>
      <c r="L119" s="348">
        <f t="shared" si="46"/>
        <v>0</v>
      </c>
    </row>
    <row r="120" spans="1:12">
      <c r="A120" s="333">
        <v>8</v>
      </c>
      <c r="D120" s="344"/>
      <c r="E120" s="196"/>
      <c r="I120" s="332"/>
    </row>
    <row r="121" spans="1:12">
      <c r="A121" s="333">
        <v>9</v>
      </c>
      <c r="B121" s="332" t="s">
        <v>17</v>
      </c>
      <c r="D121" s="344"/>
      <c r="E121" s="196"/>
      <c r="I121" s="332"/>
    </row>
    <row r="122" spans="1:12">
      <c r="A122" s="333">
        <v>10</v>
      </c>
      <c r="C122" s="332" t="str">
        <f>'FR-16(7)(v)-1 Functional'!C122</f>
        <v>SYSTEM M&amp;R - (2780, 2781)</v>
      </c>
      <c r="D122" s="344" t="str">
        <f>'FR-16(7)(v)-1 Functional'!D122</f>
        <v>K203</v>
      </c>
      <c r="E122" s="196"/>
      <c r="F122" s="479">
        <f>'FR-16(7)(v)-4 DISTR Classified'!I122</f>
        <v>0</v>
      </c>
      <c r="G122" s="349">
        <f t="shared" ref="G122:G130" si="47">F122-SUM(H122:J122)</f>
        <v>0</v>
      </c>
      <c r="H122" s="347">
        <f>ROUND($F$122*VLOOKUP($D$122,ALLOCTABLE_DISTR_CUSTOMER,$H$10,FALSE),0)</f>
        <v>0</v>
      </c>
      <c r="I122" s="347">
        <f t="shared" ref="I122:I130" si="48">ROUND(F122*VLOOKUP(D122,ALLOCTABLE_DISTR_CUSTOMER,$I$10,FALSE),0)</f>
        <v>0</v>
      </c>
      <c r="J122" s="347">
        <f t="shared" ref="J122:J130" si="49">ROUND(F122*VLOOKUP(D122,ALLOCTABLE_DISTR_CUSTOMER,$J$10,FALSE),0)</f>
        <v>0</v>
      </c>
      <c r="K122" s="347">
        <f t="shared" ref="K122:K130" si="50">SUM(G122:J122)</f>
        <v>0</v>
      </c>
      <c r="L122" s="347">
        <f t="shared" ref="L122:L130" si="51">F122-K122</f>
        <v>0</v>
      </c>
    </row>
    <row r="123" spans="1:12">
      <c r="A123" s="333">
        <v>11</v>
      </c>
      <c r="C123" s="332" t="str">
        <f>'FR-16(7)(v)-1 Functional'!C123</f>
        <v xml:space="preserve">DIST REG EQUIP &amp; CITY GATE M&amp;R- (2782, 2790) </v>
      </c>
      <c r="D123" s="344" t="str">
        <f>'FR-16(7)(v)-1 Functional'!D123</f>
        <v>K203</v>
      </c>
      <c r="E123" s="196"/>
      <c r="F123" s="479">
        <f>'FR-16(7)(v)-4 DISTR Classified'!I123</f>
        <v>0</v>
      </c>
      <c r="G123" s="349">
        <f t="shared" si="47"/>
        <v>0</v>
      </c>
      <c r="H123" s="347">
        <f>ROUND($F$123*VLOOKUP($D$123,ALLOCTABLE_DISTR_CUSTOMER,$H$10,FALSE),0)</f>
        <v>0</v>
      </c>
      <c r="I123" s="347">
        <f t="shared" si="48"/>
        <v>0</v>
      </c>
      <c r="J123" s="347">
        <f t="shared" si="49"/>
        <v>0</v>
      </c>
      <c r="K123" s="347">
        <f t="shared" si="50"/>
        <v>0</v>
      </c>
      <c r="L123" s="347">
        <f t="shared" si="51"/>
        <v>0</v>
      </c>
    </row>
    <row r="124" spans="1:12">
      <c r="A124" s="333">
        <v>12</v>
      </c>
      <c r="C124" s="332" t="str">
        <f>'FR-16(7)(v)-1 Functional'!C124</f>
        <v>LARGE IND M&amp;R - (2850, 2851)</v>
      </c>
      <c r="D124" s="344" t="str">
        <f>'FR-16(7)(v)-1 Functional'!D124</f>
        <v>K595</v>
      </c>
      <c r="E124" s="196"/>
      <c r="F124" s="479">
        <f>'FR-16(7)(v)-4 DISTR Classified'!I124</f>
        <v>0</v>
      </c>
      <c r="G124" s="349">
        <f t="shared" si="47"/>
        <v>0</v>
      </c>
      <c r="H124" s="347">
        <f>ROUND($F$124*VLOOKUP($D$124,ALLOCTABLE_DISTR_CUSTOMER,$H$10,FALSE),0)</f>
        <v>0</v>
      </c>
      <c r="I124" s="347">
        <f t="shared" si="48"/>
        <v>0</v>
      </c>
      <c r="J124" s="347">
        <f t="shared" si="49"/>
        <v>0</v>
      </c>
      <c r="K124" s="347">
        <f t="shared" si="50"/>
        <v>0</v>
      </c>
      <c r="L124" s="347">
        <f t="shared" si="51"/>
        <v>0</v>
      </c>
    </row>
    <row r="125" spans="1:12">
      <c r="A125" s="333">
        <v>13</v>
      </c>
      <c r="C125" s="332" t="str">
        <f>'FR-16(7)(v)-1 Functional'!C125</f>
        <v>MAINS - (2761, 2762, 2763, 2765)</v>
      </c>
      <c r="D125" s="344" t="str">
        <f>D71</f>
        <v>K401</v>
      </c>
      <c r="E125" s="196"/>
      <c r="F125" s="479">
        <f>'FR-16(7)(v)-4 DISTR Classified'!I125</f>
        <v>17082681</v>
      </c>
      <c r="G125" s="349">
        <f t="shared" si="47"/>
        <v>15857512</v>
      </c>
      <c r="H125" s="347">
        <f>ROUND($F$125*VLOOKUP($D$125,ALLOCTABLE_DISTR_CUSTOMER,$H$10,FALSE),0)</f>
        <v>1204841</v>
      </c>
      <c r="I125" s="347">
        <f t="shared" si="48"/>
        <v>16570</v>
      </c>
      <c r="J125" s="347">
        <f t="shared" si="49"/>
        <v>3758</v>
      </c>
      <c r="K125" s="347">
        <f t="shared" si="50"/>
        <v>17082681</v>
      </c>
      <c r="L125" s="347">
        <f t="shared" si="51"/>
        <v>0</v>
      </c>
    </row>
    <row r="126" spans="1:12">
      <c r="A126" s="333">
        <v>14</v>
      </c>
      <c r="C126" s="332" t="str">
        <f>'FR-16(7)(v)-1 Functional'!C126</f>
        <v>SERVICES - (2801, 2802, 2803)</v>
      </c>
      <c r="D126" s="344" t="str">
        <f>'FR-16(7)(v)-1 Functional'!D126</f>
        <v>K403</v>
      </c>
      <c r="E126" s="196"/>
      <c r="F126" s="479">
        <f>'FR-16(7)(v)-4 DISTR Classified'!I126</f>
        <v>53771817</v>
      </c>
      <c r="G126" s="349">
        <f t="shared" si="47"/>
        <v>46942259</v>
      </c>
      <c r="H126" s="347">
        <f>ROUND($F$126*VLOOKUP($D$126,ALLOCTABLE_DISTR_CUSTOMER,$H$10,FALSE),0)</f>
        <v>6442401</v>
      </c>
      <c r="I126" s="347">
        <f t="shared" si="48"/>
        <v>131741</v>
      </c>
      <c r="J126" s="347">
        <f t="shared" si="49"/>
        <v>255416</v>
      </c>
      <c r="K126" s="347">
        <f t="shared" si="50"/>
        <v>53771817</v>
      </c>
      <c r="L126" s="347">
        <f t="shared" si="51"/>
        <v>0</v>
      </c>
    </row>
    <row r="127" spans="1:12">
      <c r="A127" s="333">
        <v>15</v>
      </c>
      <c r="C127" s="332" t="str">
        <f>'FR-16(7)(v)-1 Functional'!C127</f>
        <v>MTRS &amp; MTR INST (2810, 2811, 2820, 2821)</v>
      </c>
      <c r="D127" s="344" t="str">
        <f>'FR-16(7)(v)-1 Functional'!D127</f>
        <v>K413</v>
      </c>
      <c r="E127" s="196"/>
      <c r="F127" s="479">
        <f>'FR-16(7)(v)-4 DISTR Classified'!I127</f>
        <v>-2918585</v>
      </c>
      <c r="G127" s="349">
        <f t="shared" si="47"/>
        <v>-2310819</v>
      </c>
      <c r="H127" s="347">
        <f>ROUND($F$127*VLOOKUP($D$127,ALLOCTABLE_DISTR_CUSTOMER,$H$10,FALSE),0)</f>
        <v>-572772</v>
      </c>
      <c r="I127" s="347">
        <f t="shared" si="48"/>
        <v>-23553</v>
      </c>
      <c r="J127" s="347">
        <f t="shared" si="49"/>
        <v>-11441</v>
      </c>
      <c r="K127" s="347">
        <f t="shared" si="50"/>
        <v>-2918585</v>
      </c>
      <c r="L127" s="347">
        <f t="shared" si="51"/>
        <v>0</v>
      </c>
    </row>
    <row r="128" spans="1:12">
      <c r="A128" s="333">
        <v>16</v>
      </c>
      <c r="C128" s="332" t="str">
        <f>'FR-16(7)(v)-1 Functional'!C128</f>
        <v>LAND, R OF W, STRUCT &amp; IMPROV &amp; OTH</v>
      </c>
      <c r="D128" s="344" t="str">
        <f>'FR-16(7)(v)-1 Functional'!D128</f>
        <v>K203</v>
      </c>
      <c r="E128" s="196"/>
      <c r="F128" s="479">
        <f>'FR-16(7)(v)-4 DISTR Classified'!I128</f>
        <v>0</v>
      </c>
      <c r="G128" s="349">
        <f t="shared" si="47"/>
        <v>0</v>
      </c>
      <c r="H128" s="347">
        <f>ROUND($F$128*VLOOKUP($D$128,ALLOCTABLE_DISTR_CUSTOMER,$H$10,FALSE),0)</f>
        <v>0</v>
      </c>
      <c r="I128" s="347">
        <f t="shared" si="48"/>
        <v>0</v>
      </c>
      <c r="J128" s="347">
        <f t="shared" si="49"/>
        <v>0</v>
      </c>
      <c r="K128" s="347">
        <f t="shared" si="50"/>
        <v>0</v>
      </c>
      <c r="L128" s="347">
        <f t="shared" si="51"/>
        <v>0</v>
      </c>
    </row>
    <row r="129" spans="1:12">
      <c r="A129" s="333">
        <v>17</v>
      </c>
      <c r="C129" s="332" t="str">
        <f>'FR-16(7)(v)-1 Functional'!C129</f>
        <v>HOUSE REG &amp; INSTALL (2830, 2840)</v>
      </c>
      <c r="D129" s="344" t="str">
        <f>'FR-16(7)(v)-1 Functional'!D129</f>
        <v>K417</v>
      </c>
      <c r="E129" s="196"/>
      <c r="F129" s="479">
        <f>'FR-16(7)(v)-4 DISTR Classified'!I129</f>
        <v>5133050</v>
      </c>
      <c r="G129" s="349">
        <f t="shared" si="47"/>
        <v>3391612</v>
      </c>
      <c r="H129" s="347">
        <f>ROUND($F$129*VLOOKUP($D$129,ALLOCTABLE_DISTR_CUSTOMER,$H$10,FALSE),0)</f>
        <v>1689800</v>
      </c>
      <c r="I129" s="347">
        <f t="shared" si="48"/>
        <v>41937</v>
      </c>
      <c r="J129" s="347">
        <f t="shared" si="49"/>
        <v>9701</v>
      </c>
      <c r="K129" s="347">
        <f t="shared" si="50"/>
        <v>5133050</v>
      </c>
      <c r="L129" s="347">
        <f t="shared" si="51"/>
        <v>0</v>
      </c>
    </row>
    <row r="130" spans="1:12">
      <c r="A130" s="333">
        <v>18</v>
      </c>
      <c r="C130" s="359" t="str">
        <f>'FR-16(7)(v)-1 Functional'!C130</f>
        <v>STREET LIGHTING EQUIPMENT &amp; OTH</v>
      </c>
      <c r="D130" s="344" t="str">
        <f>'FR-16(7)(v)-1 Functional'!D130</f>
        <v>K597</v>
      </c>
      <c r="E130" s="196"/>
      <c r="F130" s="479">
        <f>'FR-16(7)(v)-4 DISTR Classified'!I130</f>
        <v>0</v>
      </c>
      <c r="G130" s="349">
        <f t="shared" si="47"/>
        <v>0</v>
      </c>
      <c r="H130" s="347">
        <f>ROUND($F$130*VLOOKUP($D$130,ALLOCTABLE_DISTR_CUSTOMER,$H$10,FALSE),0)</f>
        <v>0</v>
      </c>
      <c r="I130" s="347">
        <f t="shared" si="48"/>
        <v>0</v>
      </c>
      <c r="J130" s="347">
        <f t="shared" si="49"/>
        <v>0</v>
      </c>
      <c r="K130" s="347">
        <f t="shared" si="50"/>
        <v>0</v>
      </c>
      <c r="L130" s="347">
        <f t="shared" si="51"/>
        <v>0</v>
      </c>
    </row>
    <row r="131" spans="1:12">
      <c r="A131" s="333">
        <v>19</v>
      </c>
      <c r="C131" s="332" t="str">
        <f>'FR-16(7)(v)-1 Functional'!C131</f>
        <v xml:space="preserve">  TOTAL DIST DEPREC RESERVE</v>
      </c>
      <c r="D131" s="344"/>
      <c r="E131" s="196"/>
      <c r="F131" s="348">
        <f t="shared" ref="F131:L131" si="52">SUM(F121:F130)</f>
        <v>73068963</v>
      </c>
      <c r="G131" s="348">
        <f>SUM(G121:G130)</f>
        <v>63880564</v>
      </c>
      <c r="H131" s="348">
        <f t="shared" si="52"/>
        <v>8764270</v>
      </c>
      <c r="I131" s="348">
        <f t="shared" si="52"/>
        <v>166695</v>
      </c>
      <c r="J131" s="348">
        <f t="shared" si="52"/>
        <v>257434</v>
      </c>
      <c r="K131" s="348">
        <f t="shared" si="52"/>
        <v>73068963</v>
      </c>
      <c r="L131" s="348">
        <f t="shared" si="52"/>
        <v>0</v>
      </c>
    </row>
    <row r="132" spans="1:12">
      <c r="A132" s="333">
        <v>20</v>
      </c>
      <c r="D132" s="344"/>
      <c r="E132" s="196"/>
      <c r="I132" s="332"/>
    </row>
    <row r="133" spans="1:12">
      <c r="A133" s="333">
        <v>21</v>
      </c>
      <c r="B133" s="332" t="s">
        <v>20</v>
      </c>
      <c r="D133" s="344"/>
      <c r="E133" s="196"/>
      <c r="I133" s="332"/>
    </row>
    <row r="134" spans="1:12">
      <c r="A134" s="333">
        <v>22</v>
      </c>
      <c r="C134" s="332" t="str">
        <f>'FR-16(7)(v)-1 Functional'!C134</f>
        <v>PRODUCTION PLANT</v>
      </c>
      <c r="D134" s="344" t="str">
        <f>'FR-16(7)(v)-1 Functional'!D134</f>
        <v>K201</v>
      </c>
      <c r="E134" s="196"/>
      <c r="F134" s="479">
        <f>'FR-16(7)(v)-4 DISTR Classified'!I134</f>
        <v>0</v>
      </c>
      <c r="G134" s="349">
        <f t="shared" ref="G134:G139" si="53">F134-SUM(H134:J134)</f>
        <v>0</v>
      </c>
      <c r="H134" s="347">
        <f>ROUND($F$134*VLOOKUP($D$134,ALLOCTABLE_DISTR_CUSTOMER,$H$10,FALSE),0)</f>
        <v>0</v>
      </c>
      <c r="I134" s="347">
        <f t="shared" ref="I134:I139" si="54">ROUND(F134*VLOOKUP(D134,ALLOCTABLE_DISTR_CUSTOMER,$I$10,FALSE),0)</f>
        <v>0</v>
      </c>
      <c r="J134" s="347">
        <f t="shared" ref="J134:J139" si="55">ROUND(F134*VLOOKUP(D134,ALLOCTABLE_DISTR_CUSTOMER,$J$10,FALSE),0)</f>
        <v>0</v>
      </c>
      <c r="K134" s="347">
        <f t="shared" ref="K134:K139" si="56">SUM(G134:J134)</f>
        <v>0</v>
      </c>
      <c r="L134" s="347">
        <f t="shared" ref="L134:L139" si="57">F134-K134</f>
        <v>0</v>
      </c>
    </row>
    <row r="135" spans="1:12">
      <c r="A135" s="333">
        <v>23</v>
      </c>
      <c r="C135" s="332" t="str">
        <f>'FR-16(7)(v)-1 Functional'!C135</f>
        <v>PRODUCTION PLANT COMMODITY</v>
      </c>
      <c r="D135" s="344" t="str">
        <f>'FR-16(7)(v)-1 Functional'!D135</f>
        <v>P349</v>
      </c>
      <c r="E135" s="196"/>
      <c r="F135" s="479">
        <f>'FR-16(7)(v)-4 DISTR Classified'!I135</f>
        <v>0</v>
      </c>
      <c r="G135" s="349">
        <f t="shared" si="53"/>
        <v>0</v>
      </c>
      <c r="H135" s="347">
        <f>ROUND($F$135*VLOOKUP($D$135,ALLOCTABLE_DISTR_CUSTOMER,$H$10,FALSE),0)</f>
        <v>0</v>
      </c>
      <c r="I135" s="347">
        <f t="shared" si="54"/>
        <v>0</v>
      </c>
      <c r="J135" s="347">
        <f t="shared" si="55"/>
        <v>0</v>
      </c>
      <c r="K135" s="347">
        <f t="shared" si="56"/>
        <v>0</v>
      </c>
      <c r="L135" s="347">
        <f t="shared" si="57"/>
        <v>0</v>
      </c>
    </row>
    <row r="136" spans="1:12">
      <c r="A136" s="333">
        <v>24</v>
      </c>
      <c r="C136" s="332" t="str">
        <f>'FR-16(7)(v)-1 Functional'!C136</f>
        <v>DISTRIBUTION PLANT</v>
      </c>
      <c r="D136" s="344" t="str">
        <f>'FR-16(7)(v)-1 Functional'!D136</f>
        <v>D349</v>
      </c>
      <c r="E136" s="196"/>
      <c r="F136" s="479">
        <f>'FR-16(7)(v)-4 DISTR Classified'!I136</f>
        <v>2406043</v>
      </c>
      <c r="G136" s="349">
        <f t="shared" si="53"/>
        <v>1871613</v>
      </c>
      <c r="H136" s="347">
        <f>ROUND($F$136*VLOOKUP($D$136,ALLOCTABLE_DISTR_CUSTOMER,$H$10,FALSE),0)</f>
        <v>465184</v>
      </c>
      <c r="I136" s="347">
        <f t="shared" si="54"/>
        <v>50671</v>
      </c>
      <c r="J136" s="347">
        <f t="shared" si="55"/>
        <v>18575</v>
      </c>
      <c r="K136" s="347">
        <f t="shared" si="56"/>
        <v>2406043</v>
      </c>
      <c r="L136" s="347">
        <f t="shared" si="57"/>
        <v>0</v>
      </c>
    </row>
    <row r="137" spans="1:12">
      <c r="A137" s="333">
        <v>25</v>
      </c>
      <c r="C137" s="332" t="str">
        <f>'FR-16(7)(v)-1 Functional'!C137</f>
        <v>CUSTOMER ACCOUNTING</v>
      </c>
      <c r="D137" s="344" t="str">
        <f>'FR-16(7)(v)-1 Functional'!D137</f>
        <v>CA19</v>
      </c>
      <c r="E137" s="196"/>
      <c r="F137" s="479">
        <f>'FR-16(7)(v)-4 DISTR Classified'!I137</f>
        <v>2447627</v>
      </c>
      <c r="G137" s="349">
        <f t="shared" si="53"/>
        <v>2272084</v>
      </c>
      <c r="H137" s="347">
        <f>ROUND($F$137*VLOOKUP($D$137,ALLOCTABLE_DISTR_CUSTOMER,$H$10,FALSE),0)</f>
        <v>172631</v>
      </c>
      <c r="I137" s="347">
        <f t="shared" si="54"/>
        <v>2374</v>
      </c>
      <c r="J137" s="347">
        <f t="shared" si="55"/>
        <v>538</v>
      </c>
      <c r="K137" s="347">
        <f t="shared" si="56"/>
        <v>2447627</v>
      </c>
      <c r="L137" s="347">
        <f t="shared" si="57"/>
        <v>0</v>
      </c>
    </row>
    <row r="138" spans="1:12">
      <c r="A138" s="333">
        <v>26</v>
      </c>
      <c r="C138" s="332" t="str">
        <f>'FR-16(7)(v)-1 Functional'!C138</f>
        <v>CUSTOMER SERVICE &amp; INFORMATION</v>
      </c>
      <c r="D138" s="344" t="str">
        <f>'FR-16(7)(v)-1 Functional'!D138</f>
        <v>CS19</v>
      </c>
      <c r="E138" s="196"/>
      <c r="F138" s="479">
        <f>'FR-16(7)(v)-4 DISTR Classified'!I138</f>
        <v>214184</v>
      </c>
      <c r="G138" s="349">
        <f t="shared" si="53"/>
        <v>198823</v>
      </c>
      <c r="H138" s="347">
        <f>ROUND($F$138*VLOOKUP($D$138,ALLOCTABLE_DISTR_CUSTOMER,$H$10,FALSE),0)</f>
        <v>15106</v>
      </c>
      <c r="I138" s="347">
        <f t="shared" si="54"/>
        <v>208</v>
      </c>
      <c r="J138" s="347">
        <f t="shared" si="55"/>
        <v>47</v>
      </c>
      <c r="K138" s="347">
        <f t="shared" si="56"/>
        <v>214184</v>
      </c>
      <c r="L138" s="347">
        <f t="shared" si="57"/>
        <v>0</v>
      </c>
    </row>
    <row r="139" spans="1:12">
      <c r="A139" s="333">
        <v>27</v>
      </c>
      <c r="C139" s="365" t="str">
        <f>'FR-16(7)(v)-1 Functional'!C139</f>
        <v>SALES</v>
      </c>
      <c r="D139" s="344" t="str">
        <f>'FR-16(7)(v)-1 Functional'!D139</f>
        <v>SE19</v>
      </c>
      <c r="E139" s="196"/>
      <c r="F139" s="479">
        <f>'FR-16(7)(v)-4 DISTR Classified'!I139</f>
        <v>0</v>
      </c>
      <c r="G139" s="349">
        <f t="shared" si="53"/>
        <v>0</v>
      </c>
      <c r="H139" s="347">
        <f>ROUND($F$139*VLOOKUP($D$139,ALLOCTABLE_DISTR_CUSTOMER,$H$10,FALSE),0)</f>
        <v>0</v>
      </c>
      <c r="I139" s="347">
        <f t="shared" si="54"/>
        <v>0</v>
      </c>
      <c r="J139" s="347">
        <f t="shared" si="55"/>
        <v>0</v>
      </c>
      <c r="K139" s="347">
        <f t="shared" si="56"/>
        <v>0</v>
      </c>
      <c r="L139" s="347">
        <f t="shared" si="57"/>
        <v>0</v>
      </c>
    </row>
    <row r="140" spans="1:12">
      <c r="A140" s="333">
        <v>28</v>
      </c>
      <c r="C140" s="339" t="str">
        <f>'FR-16(7)(v)-1 Functional'!C140</f>
        <v xml:space="preserve">  TOTAL GEN DEPREC RESERVE</v>
      </c>
      <c r="D140" s="344"/>
      <c r="E140" s="196"/>
      <c r="F140" s="348">
        <f t="shared" ref="F140:L140" si="58">SUM(F133:F139)</f>
        <v>5067854</v>
      </c>
      <c r="G140" s="348">
        <f>SUM(G133:G139)</f>
        <v>4342520</v>
      </c>
      <c r="H140" s="348">
        <f t="shared" si="58"/>
        <v>652921</v>
      </c>
      <c r="I140" s="348">
        <f t="shared" si="58"/>
        <v>53253</v>
      </c>
      <c r="J140" s="348">
        <f t="shared" si="58"/>
        <v>19160</v>
      </c>
      <c r="K140" s="348">
        <f t="shared" si="58"/>
        <v>5067854</v>
      </c>
      <c r="L140" s="348">
        <f t="shared" si="58"/>
        <v>0</v>
      </c>
    </row>
    <row r="141" spans="1:12">
      <c r="A141" s="333">
        <v>29</v>
      </c>
      <c r="C141" s="365"/>
      <c r="D141" s="344"/>
      <c r="E141" s="196"/>
      <c r="I141" s="332"/>
    </row>
    <row r="142" spans="1:12">
      <c r="A142" s="333">
        <v>30</v>
      </c>
      <c r="B142" s="332" t="s">
        <v>21</v>
      </c>
      <c r="C142" s="365"/>
      <c r="D142" s="344"/>
      <c r="E142" s="196"/>
      <c r="I142" s="332"/>
    </row>
    <row r="143" spans="1:12">
      <c r="A143" s="333">
        <v>31</v>
      </c>
      <c r="C143" s="365" t="str">
        <f>'FR-16(7)(v)-1 Functional'!C143</f>
        <v>PRODUCTION PLANT</v>
      </c>
      <c r="D143" s="344" t="str">
        <f>'FR-16(7)(v)-1 Functional'!D143</f>
        <v>K201</v>
      </c>
      <c r="E143" s="196"/>
      <c r="F143" s="479">
        <f>'FR-16(7)(v)-4 DISTR Classified'!I143</f>
        <v>0</v>
      </c>
      <c r="G143" s="349">
        <f t="shared" ref="G143:G148" si="59">F143-SUM(H143:J143)</f>
        <v>0</v>
      </c>
      <c r="H143" s="347">
        <f>ROUND($F$143*VLOOKUP($D$143,ALLOCTABLE_DISTR_CUSTOMER,$H$10,FALSE),0)</f>
        <v>0</v>
      </c>
      <c r="I143" s="347">
        <f t="shared" ref="I143:I148" si="60">ROUND(F143*VLOOKUP(D143,ALLOCTABLE_DISTR_CUSTOMER,$I$10,FALSE),0)</f>
        <v>0</v>
      </c>
      <c r="J143" s="347">
        <f t="shared" ref="J143:J148" si="61">ROUND(F143*VLOOKUP(D143,ALLOCTABLE_DISTR_CUSTOMER,$J$10,FALSE),0)</f>
        <v>0</v>
      </c>
      <c r="K143" s="347">
        <f t="shared" ref="K143:K148" si="62">SUM(G143:J143)</f>
        <v>0</v>
      </c>
      <c r="L143" s="347">
        <f t="shared" ref="L143:L148" si="63">F143-K143</f>
        <v>0</v>
      </c>
    </row>
    <row r="144" spans="1:12">
      <c r="A144" s="333">
        <v>32</v>
      </c>
      <c r="C144" s="365" t="str">
        <f>'FR-16(7)(v)-1 Functional'!C144</f>
        <v>PRODUCTION PLANT COMMODITY</v>
      </c>
      <c r="D144" s="344" t="str">
        <f>'FR-16(7)(v)-1 Functional'!D144</f>
        <v>P349</v>
      </c>
      <c r="E144" s="196"/>
      <c r="F144" s="479">
        <f>'FR-16(7)(v)-4 DISTR Classified'!I144</f>
        <v>0</v>
      </c>
      <c r="G144" s="349">
        <f t="shared" si="59"/>
        <v>0</v>
      </c>
      <c r="H144" s="347">
        <f>ROUND($F$144*VLOOKUP($D$144,ALLOCTABLE_DISTR_CUSTOMER,$H$10,FALSE),0)</f>
        <v>0</v>
      </c>
      <c r="I144" s="347">
        <f t="shared" si="60"/>
        <v>0</v>
      </c>
      <c r="J144" s="347">
        <f t="shared" si="61"/>
        <v>0</v>
      </c>
      <c r="K144" s="347">
        <f t="shared" si="62"/>
        <v>0</v>
      </c>
      <c r="L144" s="347">
        <f t="shared" si="63"/>
        <v>0</v>
      </c>
    </row>
    <row r="145" spans="1:12">
      <c r="A145" s="333">
        <v>33</v>
      </c>
      <c r="C145" s="365" t="str">
        <f>'FR-16(7)(v)-1 Functional'!C145</f>
        <v>DISTRIBUTION PLANT</v>
      </c>
      <c r="D145" s="344" t="str">
        <f>'FR-16(7)(v)-1 Functional'!D145</f>
        <v>D349</v>
      </c>
      <c r="E145" s="196"/>
      <c r="F145" s="479">
        <f>'FR-16(7)(v)-4 DISTR Classified'!I145</f>
        <v>2709835</v>
      </c>
      <c r="G145" s="349">
        <f t="shared" si="59"/>
        <v>2107927</v>
      </c>
      <c r="H145" s="347">
        <f>ROUND($F$145*VLOOKUP($D$145,ALLOCTABLE_DISTR_CUSTOMER,$H$10,FALSE),0)</f>
        <v>523919</v>
      </c>
      <c r="I145" s="347">
        <f t="shared" si="60"/>
        <v>57069</v>
      </c>
      <c r="J145" s="347">
        <f t="shared" si="61"/>
        <v>20920</v>
      </c>
      <c r="K145" s="347">
        <f t="shared" si="62"/>
        <v>2709835</v>
      </c>
      <c r="L145" s="347">
        <f t="shared" si="63"/>
        <v>0</v>
      </c>
    </row>
    <row r="146" spans="1:12">
      <c r="A146" s="333">
        <v>34</v>
      </c>
      <c r="C146" s="365" t="str">
        <f>'FR-16(7)(v)-1 Functional'!C146</f>
        <v>CUSTOMER ACCOUNTING</v>
      </c>
      <c r="D146" s="344" t="str">
        <f>'FR-16(7)(v)-1 Functional'!D146</f>
        <v>CA19</v>
      </c>
      <c r="E146" s="196"/>
      <c r="F146" s="479">
        <f>'FR-16(7)(v)-4 DISTR Classified'!I146</f>
        <v>2756669</v>
      </c>
      <c r="G146" s="349">
        <f t="shared" si="59"/>
        <v>2558961</v>
      </c>
      <c r="H146" s="347">
        <f>ROUND($F$146*VLOOKUP($D$146,ALLOCTABLE_DISTR_CUSTOMER,$H$10,FALSE),0)</f>
        <v>194428</v>
      </c>
      <c r="I146" s="347">
        <f t="shared" si="60"/>
        <v>2674</v>
      </c>
      <c r="J146" s="347">
        <f t="shared" si="61"/>
        <v>606</v>
      </c>
      <c r="K146" s="347">
        <f t="shared" si="62"/>
        <v>2756669</v>
      </c>
      <c r="L146" s="347">
        <f t="shared" si="63"/>
        <v>0</v>
      </c>
    </row>
    <row r="147" spans="1:12">
      <c r="A147" s="333">
        <v>35</v>
      </c>
      <c r="C147" s="365" t="str">
        <f>'FR-16(7)(v)-1 Functional'!C147</f>
        <v>CUSTOMER SERVICE &amp; INFORMATION</v>
      </c>
      <c r="D147" s="344" t="str">
        <f>'FR-16(7)(v)-1 Functional'!D147</f>
        <v>CS19</v>
      </c>
      <c r="E147" s="196"/>
      <c r="F147" s="479">
        <f>'FR-16(7)(v)-4 DISTR Classified'!I147</f>
        <v>241227</v>
      </c>
      <c r="G147" s="349">
        <f t="shared" si="59"/>
        <v>223926</v>
      </c>
      <c r="H147" s="347">
        <f>ROUND($F$147*VLOOKUP($D$147,ALLOCTABLE_DISTR_CUSTOMER,$H$10,FALSE),0)</f>
        <v>17014</v>
      </c>
      <c r="I147" s="347">
        <f t="shared" si="60"/>
        <v>234</v>
      </c>
      <c r="J147" s="347">
        <f t="shared" si="61"/>
        <v>53</v>
      </c>
      <c r="K147" s="347">
        <f t="shared" si="62"/>
        <v>241227</v>
      </c>
      <c r="L147" s="347">
        <f t="shared" si="63"/>
        <v>0</v>
      </c>
    </row>
    <row r="148" spans="1:12">
      <c r="A148" s="333">
        <v>36</v>
      </c>
      <c r="C148" s="365" t="str">
        <f>'FR-16(7)(v)-1 Functional'!C148</f>
        <v>SALES</v>
      </c>
      <c r="D148" s="344" t="str">
        <f>'FR-16(7)(v)-1 Functional'!D148</f>
        <v>SE19</v>
      </c>
      <c r="E148" s="196"/>
      <c r="F148" s="479">
        <f>'FR-16(7)(v)-4 DISTR Classified'!I148</f>
        <v>0</v>
      </c>
      <c r="G148" s="349">
        <f t="shared" si="59"/>
        <v>0</v>
      </c>
      <c r="H148" s="347">
        <f>ROUND($F$148*VLOOKUP($D$148,ALLOCTABLE_DISTR_CUSTOMER,$H$10,FALSE),0)</f>
        <v>0</v>
      </c>
      <c r="I148" s="347">
        <f t="shared" si="60"/>
        <v>0</v>
      </c>
      <c r="J148" s="347">
        <f t="shared" si="61"/>
        <v>0</v>
      </c>
      <c r="K148" s="347">
        <f t="shared" si="62"/>
        <v>0</v>
      </c>
      <c r="L148" s="347">
        <f t="shared" si="63"/>
        <v>0</v>
      </c>
    </row>
    <row r="149" spans="1:12">
      <c r="A149" s="333">
        <v>37</v>
      </c>
      <c r="C149" s="339" t="str">
        <f>'FR-16(7)(v)-1 Functional'!C149</f>
        <v xml:space="preserve">  TOTAL COM &amp; OTHER PLT RESERVE</v>
      </c>
      <c r="D149" s="344"/>
      <c r="E149" s="196"/>
      <c r="F149" s="348">
        <f>SUM(F143:F148)</f>
        <v>5707731</v>
      </c>
      <c r="G149" s="348">
        <f t="shared" ref="G149:L149" si="64">SUM(G142:G148)</f>
        <v>4890814</v>
      </c>
      <c r="H149" s="348">
        <f t="shared" si="64"/>
        <v>735361</v>
      </c>
      <c r="I149" s="348">
        <f t="shared" si="64"/>
        <v>59977</v>
      </c>
      <c r="J149" s="348">
        <f t="shared" si="64"/>
        <v>21579</v>
      </c>
      <c r="K149" s="348">
        <f t="shared" si="64"/>
        <v>5707731</v>
      </c>
      <c r="L149" s="348">
        <f t="shared" si="64"/>
        <v>0</v>
      </c>
    </row>
    <row r="150" spans="1:12">
      <c r="A150" s="333">
        <v>38</v>
      </c>
      <c r="D150" s="344"/>
      <c r="E150" s="196"/>
      <c r="I150" s="332"/>
    </row>
    <row r="151" spans="1:12">
      <c r="A151" s="333">
        <v>39</v>
      </c>
      <c r="B151" s="332" t="s">
        <v>23</v>
      </c>
      <c r="D151" s="344"/>
      <c r="E151" s="196"/>
      <c r="F151" s="347">
        <f t="shared" ref="F151:L151" si="65">F149+F140+F131+F119+F115</f>
        <v>83844548</v>
      </c>
      <c r="G151" s="347">
        <f>G149+G140+G131+G119+G115</f>
        <v>73113898</v>
      </c>
      <c r="H151" s="347">
        <f t="shared" si="65"/>
        <v>10152552</v>
      </c>
      <c r="I151" s="347">
        <f t="shared" si="65"/>
        <v>279925</v>
      </c>
      <c r="J151" s="347">
        <f t="shared" si="65"/>
        <v>298173</v>
      </c>
      <c r="K151" s="347">
        <f t="shared" si="65"/>
        <v>83844548</v>
      </c>
      <c r="L151" s="347">
        <f t="shared" si="65"/>
        <v>0</v>
      </c>
    </row>
    <row r="152" spans="1:12">
      <c r="B152" s="343"/>
      <c r="C152" s="196"/>
      <c r="D152" s="344"/>
      <c r="E152" s="196"/>
      <c r="G152" s="342"/>
      <c r="H152" s="342"/>
      <c r="I152" s="196"/>
      <c r="J152" s="344"/>
      <c r="K152" s="196"/>
    </row>
    <row r="153" spans="1:12">
      <c r="A153" s="343" t="str">
        <f>co_name</f>
        <v>DUKE ENERGY KENTUCKY, INC.</v>
      </c>
      <c r="C153" s="196"/>
      <c r="D153" s="344"/>
      <c r="E153" s="196"/>
      <c r="F153" s="344"/>
      <c r="G153" s="342"/>
      <c r="H153" s="342"/>
      <c r="I153" s="196"/>
      <c r="K153" s="361" t="str">
        <f>$K$1</f>
        <v>FR-16(7)(v)-6</v>
      </c>
    </row>
    <row r="154" spans="1:12">
      <c r="A154" s="343" t="str">
        <f>$A$2</f>
        <v>DISTRIBUTION CUSTOMER ALLOCATED - GAS COST OF SERVICE</v>
      </c>
      <c r="C154" s="196"/>
      <c r="D154" s="344"/>
      <c r="E154" s="196"/>
      <c r="F154" s="344"/>
      <c r="G154" s="342"/>
      <c r="H154" s="342"/>
      <c r="I154" s="196"/>
      <c r="K154" s="361" t="str">
        <f>$K$2</f>
        <v>WITNESS RESPONSIBLE:</v>
      </c>
    </row>
    <row r="155" spans="1:12">
      <c r="A155" s="343" t="str">
        <f>case_name</f>
        <v>CASE NO: 2018-00261</v>
      </c>
      <c r="C155" s="196"/>
      <c r="D155" s="344"/>
      <c r="E155" s="196"/>
      <c r="F155" s="344"/>
      <c r="G155" s="342"/>
      <c r="H155" s="342"/>
      <c r="I155" s="196"/>
      <c r="K155" s="361" t="str">
        <f>Witness</f>
        <v>JAMES E. ZIOLKOWSKI</v>
      </c>
    </row>
    <row r="156" spans="1:12">
      <c r="A156" s="343" t="str">
        <f>data_filing</f>
        <v>DATA: 12 MONTH FORECASTED PERIOD</v>
      </c>
      <c r="C156" s="196"/>
      <c r="D156" s="344"/>
      <c r="E156" s="196"/>
      <c r="F156" s="344"/>
      <c r="G156" s="342"/>
      <c r="H156" s="342"/>
      <c r="I156" s="196"/>
      <c r="K156" s="361" t="str">
        <f>"PAGE "&amp;Pages-14&amp;" OF "&amp;Pages</f>
        <v>PAGE 4 OF 18</v>
      </c>
    </row>
    <row r="157" spans="1:12">
      <c r="A157" s="343" t="str">
        <f>type</f>
        <v xml:space="preserve">TYPE OF FILING: "X" ORIGINAL   UPDATED    REVISED  </v>
      </c>
      <c r="C157" s="196"/>
      <c r="D157" s="344"/>
      <c r="E157" s="196"/>
      <c r="F157" s="344"/>
      <c r="G157" s="342"/>
      <c r="H157" s="342"/>
      <c r="I157" s="196"/>
      <c r="J157" s="344"/>
      <c r="K157" s="196"/>
    </row>
    <row r="158" spans="1:12">
      <c r="A158" s="343"/>
      <c r="C158" s="196"/>
      <c r="D158" s="344"/>
      <c r="E158" s="196"/>
      <c r="F158" s="344"/>
      <c r="G158" s="342"/>
      <c r="H158" s="342"/>
      <c r="I158" s="196"/>
      <c r="J158" s="344"/>
      <c r="K158" s="196"/>
    </row>
    <row r="159" spans="1:12">
      <c r="B159" s="343"/>
      <c r="C159" s="196"/>
      <c r="D159" s="344"/>
      <c r="E159" s="196"/>
      <c r="F159" s="344" t="str">
        <f>$F$7</f>
        <v>TOTAL</v>
      </c>
      <c r="G159" s="342"/>
      <c r="H159" s="342"/>
      <c r="I159" s="196"/>
      <c r="J159" s="344"/>
      <c r="K159" s="196"/>
    </row>
    <row r="160" spans="1:12">
      <c r="A160" s="344" t="s">
        <v>914</v>
      </c>
      <c r="B160" s="196"/>
      <c r="C160" s="196"/>
      <c r="D160" s="344"/>
      <c r="E160" s="196"/>
      <c r="F160" s="344" t="str">
        <f>$F$8</f>
        <v>DISTRIBUTION</v>
      </c>
      <c r="G160" s="354" t="str">
        <f>$G$8</f>
        <v>RS</v>
      </c>
      <c r="H160" s="354" t="str">
        <f>$H$8</f>
        <v>GS</v>
      </c>
      <c r="I160" s="344" t="str">
        <f>$I$8</f>
        <v>FT-L</v>
      </c>
      <c r="J160" s="344" t="str">
        <f>$J$8</f>
        <v>INTERUPT</v>
      </c>
      <c r="K160" s="344" t="s">
        <v>229</v>
      </c>
      <c r="L160" s="344" t="s">
        <v>342</v>
      </c>
    </row>
    <row r="161" spans="1:12">
      <c r="A161" s="346" t="s">
        <v>915</v>
      </c>
      <c r="B161" s="345" t="str">
        <f>"NET GAS PLANT"</f>
        <v>NET GAS PLANT</v>
      </c>
      <c r="C161" s="345"/>
      <c r="D161" s="346" t="s">
        <v>337</v>
      </c>
      <c r="E161" s="345"/>
      <c r="F161" s="344" t="str">
        <f>$F$9</f>
        <v>CUSTOMER</v>
      </c>
      <c r="G161" s="355" t="str">
        <f>$G$9</f>
        <v>RESIDENTIAL</v>
      </c>
      <c r="H161" s="355" t="str">
        <f>$H$9</f>
        <v>GEN SERV</v>
      </c>
      <c r="I161" s="346" t="str">
        <f>$I$9</f>
        <v>FIRM TRANS</v>
      </c>
      <c r="J161" s="346" t="str">
        <f>$J$9</f>
        <v>TRANS</v>
      </c>
      <c r="K161" s="346" t="s">
        <v>341</v>
      </c>
      <c r="L161" s="346" t="s">
        <v>340</v>
      </c>
    </row>
    <row r="162" spans="1:12">
      <c r="C162" s="578" t="s">
        <v>346</v>
      </c>
      <c r="D162" s="344"/>
      <c r="E162" s="196"/>
      <c r="F162" s="761"/>
      <c r="G162" s="633">
        <f>$G$10</f>
        <v>3</v>
      </c>
      <c r="H162" s="633">
        <f>$H$10</f>
        <v>4</v>
      </c>
      <c r="I162" s="633">
        <f>$I$10</f>
        <v>5</v>
      </c>
      <c r="J162" s="633">
        <f>$J$10</f>
        <v>6</v>
      </c>
    </row>
    <row r="163" spans="1:12">
      <c r="A163" s="333">
        <v>1</v>
      </c>
      <c r="B163" s="332" t="s">
        <v>14</v>
      </c>
      <c r="D163" s="344"/>
      <c r="E163" s="196"/>
      <c r="I163" s="332"/>
    </row>
    <row r="164" spans="1:12">
      <c r="A164" s="333">
        <v>2</v>
      </c>
      <c r="C164" s="332" t="str">
        <f>'FR-16(7)(v)-1 Functional'!C164</f>
        <v>PRODUCTION PLANT IN SERVICE</v>
      </c>
      <c r="D164" s="344"/>
      <c r="E164" s="196"/>
      <c r="F164" s="347">
        <f>F59</f>
        <v>0</v>
      </c>
      <c r="G164" s="347">
        <f>$G$59</f>
        <v>0</v>
      </c>
      <c r="H164" s="347">
        <f>$H$59</f>
        <v>0</v>
      </c>
      <c r="I164" s="347">
        <f>$I$59</f>
        <v>0</v>
      </c>
      <c r="J164" s="347">
        <f>$J$59</f>
        <v>0</v>
      </c>
      <c r="K164" s="347">
        <f>$K$59</f>
        <v>0</v>
      </c>
      <c r="L164" s="347">
        <f>F164-K164</f>
        <v>0</v>
      </c>
    </row>
    <row r="165" spans="1:12">
      <c r="A165" s="333">
        <v>3</v>
      </c>
      <c r="C165" s="359" t="str">
        <f>'FR-16(7)(v)-1 Functional'!C165</f>
        <v>TOTAL PROD DEPRC RESERVE</v>
      </c>
      <c r="D165" s="344"/>
      <c r="E165" s="196"/>
      <c r="F165" s="347">
        <f t="shared" ref="F165:K165" si="66">-F115</f>
        <v>0</v>
      </c>
      <c r="G165" s="347">
        <f t="shared" si="66"/>
        <v>0</v>
      </c>
      <c r="H165" s="347">
        <f t="shared" si="66"/>
        <v>0</v>
      </c>
      <c r="I165" s="347">
        <f t="shared" si="66"/>
        <v>0</v>
      </c>
      <c r="J165" s="347">
        <f t="shared" si="66"/>
        <v>0</v>
      </c>
      <c r="K165" s="347">
        <f t="shared" si="66"/>
        <v>0</v>
      </c>
      <c r="L165" s="347">
        <f>F165-K165</f>
        <v>0</v>
      </c>
    </row>
    <row r="166" spans="1:12">
      <c r="A166" s="333">
        <v>4</v>
      </c>
      <c r="C166" s="332" t="str">
        <f>'FR-16(7)(v)-1 Functional'!C166</f>
        <v xml:space="preserve">  NET PRODUCTION PLANT</v>
      </c>
      <c r="D166" s="344"/>
      <c r="E166" s="196"/>
      <c r="F166" s="348">
        <f t="shared" ref="F166:L166" si="67">SUM(F164:F165)</f>
        <v>0</v>
      </c>
      <c r="G166" s="348">
        <f t="shared" si="67"/>
        <v>0</v>
      </c>
      <c r="H166" s="348">
        <f t="shared" si="67"/>
        <v>0</v>
      </c>
      <c r="I166" s="348">
        <f t="shared" si="67"/>
        <v>0</v>
      </c>
      <c r="J166" s="348">
        <f t="shared" si="67"/>
        <v>0</v>
      </c>
      <c r="K166" s="348">
        <f t="shared" si="67"/>
        <v>0</v>
      </c>
      <c r="L166" s="348">
        <f t="shared" si="67"/>
        <v>0</v>
      </c>
    </row>
    <row r="167" spans="1:12">
      <c r="A167" s="333">
        <v>5</v>
      </c>
      <c r="D167" s="344"/>
      <c r="E167" s="196"/>
      <c r="I167" s="332"/>
    </row>
    <row r="168" spans="1:12">
      <c r="A168" s="333">
        <v>6</v>
      </c>
      <c r="B168" s="359" t="s">
        <v>15</v>
      </c>
      <c r="C168" s="359"/>
      <c r="D168" s="344"/>
      <c r="E168" s="196"/>
      <c r="F168" s="347"/>
      <c r="G168" s="347"/>
      <c r="H168" s="347"/>
      <c r="I168" s="347"/>
      <c r="J168" s="347"/>
      <c r="K168" s="347"/>
    </row>
    <row r="169" spans="1:12">
      <c r="A169" s="333">
        <v>7</v>
      </c>
      <c r="C169" s="332" t="str">
        <f>'FR-16(7)(v)-1 Functional'!C169</f>
        <v>TRANSMISSION PLANT IN SERVICE</v>
      </c>
      <c r="D169" s="344"/>
      <c r="E169" s="196"/>
      <c r="F169" s="347">
        <f>F63</f>
        <v>0</v>
      </c>
      <c r="G169" s="347">
        <f>$G$63</f>
        <v>0</v>
      </c>
      <c r="H169" s="347">
        <f>$H$63</f>
        <v>0</v>
      </c>
      <c r="I169" s="347">
        <f>$I$63</f>
        <v>0</v>
      </c>
      <c r="J169" s="347">
        <f>$J$63</f>
        <v>0</v>
      </c>
      <c r="K169" s="347">
        <f>$K$63</f>
        <v>0</v>
      </c>
      <c r="L169" s="347">
        <f>F169-K169</f>
        <v>0</v>
      </c>
    </row>
    <row r="170" spans="1:12">
      <c r="A170" s="333">
        <v>8</v>
      </c>
      <c r="C170" s="332" t="str">
        <f>'FR-16(7)(v)-1 Functional'!C170</f>
        <v>TOTAL TRANS DEPREC RESERVE</v>
      </c>
      <c r="D170" s="344"/>
      <c r="E170" s="196"/>
      <c r="F170" s="347">
        <f t="shared" ref="F170:K170" si="68">-F119</f>
        <v>0</v>
      </c>
      <c r="G170" s="347">
        <f t="shared" si="68"/>
        <v>0</v>
      </c>
      <c r="H170" s="347">
        <f t="shared" si="68"/>
        <v>0</v>
      </c>
      <c r="I170" s="347">
        <f t="shared" si="68"/>
        <v>0</v>
      </c>
      <c r="J170" s="347">
        <f t="shared" si="68"/>
        <v>0</v>
      </c>
      <c r="K170" s="347">
        <f t="shared" si="68"/>
        <v>0</v>
      </c>
      <c r="L170" s="347">
        <f>F170-K170</f>
        <v>0</v>
      </c>
    </row>
    <row r="171" spans="1:12">
      <c r="A171" s="333">
        <v>9</v>
      </c>
      <c r="C171" s="332" t="str">
        <f>'FR-16(7)(v)-1 Functional'!C171</f>
        <v xml:space="preserve">    NET TRANSMISSION PLANT</v>
      </c>
      <c r="D171" s="344"/>
      <c r="E171" s="196"/>
      <c r="F171" s="348">
        <f t="shared" ref="F171:L171" si="69">SUM(F168:F170)</f>
        <v>0</v>
      </c>
      <c r="G171" s="348">
        <f t="shared" si="69"/>
        <v>0</v>
      </c>
      <c r="H171" s="348">
        <f t="shared" si="69"/>
        <v>0</v>
      </c>
      <c r="I171" s="348">
        <f t="shared" si="69"/>
        <v>0</v>
      </c>
      <c r="J171" s="348">
        <f t="shared" si="69"/>
        <v>0</v>
      </c>
      <c r="K171" s="348">
        <f t="shared" si="69"/>
        <v>0</v>
      </c>
      <c r="L171" s="348">
        <f t="shared" si="69"/>
        <v>0</v>
      </c>
    </row>
    <row r="172" spans="1:12">
      <c r="A172" s="333">
        <v>10</v>
      </c>
      <c r="D172" s="344"/>
      <c r="E172" s="196"/>
      <c r="I172" s="332"/>
    </row>
    <row r="173" spans="1:12">
      <c r="A173" s="333">
        <v>11</v>
      </c>
      <c r="B173" s="332" t="s">
        <v>17</v>
      </c>
      <c r="D173" s="344"/>
      <c r="E173" s="196"/>
      <c r="I173" s="332"/>
    </row>
    <row r="174" spans="1:12">
      <c r="A174" s="333">
        <v>12</v>
      </c>
      <c r="C174" s="332" t="str">
        <f>'FR-16(7)(v)-1 Functional'!C174</f>
        <v>DISTRIBUTION PLANT IN SERVICE</v>
      </c>
      <c r="D174" s="344"/>
      <c r="E174" s="196"/>
      <c r="F174" s="347">
        <f t="shared" ref="F174:K174" si="70">F78</f>
        <v>244134287</v>
      </c>
      <c r="G174" s="347">
        <f t="shared" si="70"/>
        <v>211092584</v>
      </c>
      <c r="H174" s="347">
        <f t="shared" si="70"/>
        <v>31409356</v>
      </c>
      <c r="I174" s="347">
        <f t="shared" si="70"/>
        <v>733198</v>
      </c>
      <c r="J174" s="347">
        <f t="shared" si="70"/>
        <v>899149</v>
      </c>
      <c r="K174" s="347">
        <f t="shared" si="70"/>
        <v>244134287</v>
      </c>
      <c r="L174" s="347">
        <f>F174-K174</f>
        <v>0</v>
      </c>
    </row>
    <row r="175" spans="1:12">
      <c r="A175" s="333">
        <v>13</v>
      </c>
      <c r="C175" s="359" t="str">
        <f>'FR-16(7)(v)-1 Functional'!C175</f>
        <v>TOTAL DIST DEPREC RESERVE</v>
      </c>
      <c r="D175" s="344"/>
      <c r="E175" s="196"/>
      <c r="F175" s="347">
        <f t="shared" ref="F175:K175" si="71">-F131</f>
        <v>-73068963</v>
      </c>
      <c r="G175" s="347">
        <f t="shared" si="71"/>
        <v>-63880564</v>
      </c>
      <c r="H175" s="347">
        <f t="shared" si="71"/>
        <v>-8764270</v>
      </c>
      <c r="I175" s="347">
        <f t="shared" si="71"/>
        <v>-166695</v>
      </c>
      <c r="J175" s="347">
        <f t="shared" si="71"/>
        <v>-257434</v>
      </c>
      <c r="K175" s="347">
        <f t="shared" si="71"/>
        <v>-73068963</v>
      </c>
      <c r="L175" s="347">
        <f>F175-K175</f>
        <v>0</v>
      </c>
    </row>
    <row r="176" spans="1:12">
      <c r="A176" s="333">
        <v>14</v>
      </c>
      <c r="C176" s="332" t="str">
        <f>'FR-16(7)(v)-1 Functional'!C176</f>
        <v xml:space="preserve">  NET DISTRIBUTION PLANT</v>
      </c>
      <c r="D176" s="344"/>
      <c r="E176" s="196"/>
      <c r="F176" s="348">
        <f t="shared" ref="F176:L176" si="72">SUM(F173:F175)</f>
        <v>171065324</v>
      </c>
      <c r="G176" s="348">
        <f t="shared" si="72"/>
        <v>147212020</v>
      </c>
      <c r="H176" s="348">
        <f t="shared" si="72"/>
        <v>22645086</v>
      </c>
      <c r="I176" s="348">
        <f t="shared" si="72"/>
        <v>566503</v>
      </c>
      <c r="J176" s="348">
        <f t="shared" si="72"/>
        <v>641715</v>
      </c>
      <c r="K176" s="348">
        <f t="shared" si="72"/>
        <v>171065324</v>
      </c>
      <c r="L176" s="348">
        <f t="shared" si="72"/>
        <v>0</v>
      </c>
    </row>
    <row r="177" spans="1:12">
      <c r="A177" s="333">
        <v>15</v>
      </c>
      <c r="D177" s="344"/>
      <c r="E177" s="196"/>
      <c r="I177" s="332"/>
    </row>
    <row r="178" spans="1:12">
      <c r="A178" s="333">
        <v>16</v>
      </c>
      <c r="B178" s="332" t="s">
        <v>430</v>
      </c>
      <c r="D178" s="344"/>
      <c r="E178" s="196"/>
      <c r="F178" s="347">
        <f t="shared" ref="F178:L178" si="73">F176+F171+F166</f>
        <v>171065324</v>
      </c>
      <c r="G178" s="347">
        <f t="shared" si="73"/>
        <v>147212020</v>
      </c>
      <c r="H178" s="347">
        <f t="shared" si="73"/>
        <v>22645086</v>
      </c>
      <c r="I178" s="347">
        <f t="shared" si="73"/>
        <v>566503</v>
      </c>
      <c r="J178" s="347">
        <f t="shared" si="73"/>
        <v>641715</v>
      </c>
      <c r="K178" s="347">
        <f t="shared" si="73"/>
        <v>171065324</v>
      </c>
      <c r="L178" s="347">
        <f t="shared" si="73"/>
        <v>0</v>
      </c>
    </row>
    <row r="179" spans="1:12">
      <c r="A179" s="333">
        <v>17</v>
      </c>
      <c r="B179" s="332" t="s">
        <v>24</v>
      </c>
      <c r="D179" s="344"/>
      <c r="E179" s="196"/>
      <c r="F179" s="347">
        <f t="shared" ref="F179:L179" si="74">F176+F171</f>
        <v>171065324</v>
      </c>
      <c r="G179" s="347">
        <f t="shared" si="74"/>
        <v>147212020</v>
      </c>
      <c r="H179" s="347">
        <f t="shared" si="74"/>
        <v>22645086</v>
      </c>
      <c r="I179" s="347">
        <f t="shared" si="74"/>
        <v>566503</v>
      </c>
      <c r="J179" s="347">
        <f t="shared" si="74"/>
        <v>641715</v>
      </c>
      <c r="K179" s="347">
        <f t="shared" si="74"/>
        <v>171065324</v>
      </c>
      <c r="L179" s="347">
        <f t="shared" si="74"/>
        <v>0</v>
      </c>
    </row>
    <row r="180" spans="1:12">
      <c r="A180" s="333">
        <v>18</v>
      </c>
      <c r="D180" s="344"/>
      <c r="E180" s="196"/>
      <c r="I180" s="332"/>
    </row>
    <row r="181" spans="1:12">
      <c r="A181" s="333">
        <v>19</v>
      </c>
      <c r="B181" s="332" t="s">
        <v>20</v>
      </c>
      <c r="D181" s="344"/>
      <c r="E181" s="196"/>
      <c r="I181" s="332"/>
    </row>
    <row r="182" spans="1:12">
      <c r="A182" s="333">
        <v>20</v>
      </c>
      <c r="C182" s="332" t="str">
        <f>'FR-16(7)(v)-1 Functional'!C182</f>
        <v>GEN &amp; INTANG PLANT IN SERVICE</v>
      </c>
      <c r="D182" s="344"/>
      <c r="E182" s="196"/>
      <c r="F182" s="347">
        <f t="shared" ref="F182:K182" si="75">F90</f>
        <v>13148823</v>
      </c>
      <c r="G182" s="347">
        <f t="shared" si="75"/>
        <v>11266902</v>
      </c>
      <c r="H182" s="347">
        <f t="shared" si="75"/>
        <v>1694041</v>
      </c>
      <c r="I182" s="347">
        <f t="shared" si="75"/>
        <v>138168</v>
      </c>
      <c r="J182" s="347">
        <f t="shared" si="75"/>
        <v>49712</v>
      </c>
      <c r="K182" s="347">
        <f t="shared" si="75"/>
        <v>13148823</v>
      </c>
      <c r="L182" s="347">
        <f>F182-K182</f>
        <v>0</v>
      </c>
    </row>
    <row r="183" spans="1:12">
      <c r="A183" s="333">
        <v>21</v>
      </c>
      <c r="C183" s="359" t="str">
        <f>'FR-16(7)(v)-1 Functional'!C183</f>
        <v>TOTAL GEN &amp; INTG DEPREC RESERVE</v>
      </c>
      <c r="D183" s="344"/>
      <c r="E183" s="196"/>
      <c r="F183" s="347">
        <f t="shared" ref="F183:K183" si="76">-F140</f>
        <v>-5067854</v>
      </c>
      <c r="G183" s="347">
        <f t="shared" si="76"/>
        <v>-4342520</v>
      </c>
      <c r="H183" s="347">
        <f t="shared" si="76"/>
        <v>-652921</v>
      </c>
      <c r="I183" s="347">
        <f t="shared" si="76"/>
        <v>-53253</v>
      </c>
      <c r="J183" s="347">
        <f t="shared" si="76"/>
        <v>-19160</v>
      </c>
      <c r="K183" s="347">
        <f t="shared" si="76"/>
        <v>-5067854</v>
      </c>
      <c r="L183" s="347">
        <f>F183-K183</f>
        <v>0</v>
      </c>
    </row>
    <row r="184" spans="1:12">
      <c r="A184" s="333">
        <v>22</v>
      </c>
      <c r="C184" s="332" t="str">
        <f>'FR-16(7)(v)-1 Functional'!C184</f>
        <v xml:space="preserve">  NET GENERAL &amp; INTANG PLANT</v>
      </c>
      <c r="D184" s="344"/>
      <c r="E184" s="196"/>
      <c r="F184" s="348">
        <f t="shared" ref="F184:L184" si="77">SUM(F181:F183)</f>
        <v>8080969</v>
      </c>
      <c r="G184" s="348">
        <f t="shared" si="77"/>
        <v>6924382</v>
      </c>
      <c r="H184" s="348">
        <f t="shared" si="77"/>
        <v>1041120</v>
      </c>
      <c r="I184" s="348">
        <f t="shared" si="77"/>
        <v>84915</v>
      </c>
      <c r="J184" s="348">
        <f t="shared" si="77"/>
        <v>30552</v>
      </c>
      <c r="K184" s="348">
        <f t="shared" si="77"/>
        <v>8080969</v>
      </c>
      <c r="L184" s="348">
        <f t="shared" si="77"/>
        <v>0</v>
      </c>
    </row>
    <row r="185" spans="1:12">
      <c r="A185" s="333">
        <v>23</v>
      </c>
      <c r="D185" s="344"/>
      <c r="E185" s="196"/>
      <c r="F185" s="347"/>
      <c r="G185" s="347"/>
      <c r="H185" s="347"/>
      <c r="I185" s="347"/>
      <c r="J185" s="347"/>
      <c r="K185" s="347"/>
    </row>
    <row r="186" spans="1:12">
      <c r="A186" s="333">
        <v>24</v>
      </c>
      <c r="B186" s="332" t="s">
        <v>21</v>
      </c>
      <c r="D186" s="344"/>
      <c r="E186" s="196"/>
      <c r="F186" s="347"/>
      <c r="G186" s="347"/>
      <c r="H186" s="347"/>
      <c r="I186" s="347"/>
      <c r="J186" s="347"/>
      <c r="K186" s="347"/>
    </row>
    <row r="187" spans="1:12">
      <c r="A187" s="333">
        <v>25</v>
      </c>
      <c r="C187" s="332" t="str">
        <f>'FR-16(7)(v)-1 Functional'!C187</f>
        <v>COMMON &amp; OTH PLT IN SERVICE</v>
      </c>
      <c r="D187" s="344"/>
      <c r="E187" s="196"/>
      <c r="F187" s="347">
        <f t="shared" ref="F187:K187" si="78">F99</f>
        <v>6921025</v>
      </c>
      <c r="G187" s="347">
        <f t="shared" si="78"/>
        <v>5930457</v>
      </c>
      <c r="H187" s="347">
        <f t="shared" si="78"/>
        <v>891676</v>
      </c>
      <c r="I187" s="347">
        <f t="shared" si="78"/>
        <v>72726</v>
      </c>
      <c r="J187" s="347">
        <f t="shared" si="78"/>
        <v>26166</v>
      </c>
      <c r="K187" s="347">
        <f t="shared" si="78"/>
        <v>6921025</v>
      </c>
      <c r="L187" s="347">
        <f>F187-K187</f>
        <v>0</v>
      </c>
    </row>
    <row r="188" spans="1:12">
      <c r="A188" s="333">
        <v>26</v>
      </c>
      <c r="C188" s="359" t="str">
        <f>'FR-16(7)(v)-1 Functional'!C188</f>
        <v>TOTAL COM &amp; OTH DEPREC RESERVE</v>
      </c>
      <c r="D188" s="344"/>
      <c r="E188" s="196"/>
      <c r="F188" s="347">
        <f t="shared" ref="F188:K188" si="79">-F149</f>
        <v>-5707731</v>
      </c>
      <c r="G188" s="347">
        <f t="shared" si="79"/>
        <v>-4890814</v>
      </c>
      <c r="H188" s="347">
        <f t="shared" si="79"/>
        <v>-735361</v>
      </c>
      <c r="I188" s="347">
        <f t="shared" si="79"/>
        <v>-59977</v>
      </c>
      <c r="J188" s="347">
        <f t="shared" si="79"/>
        <v>-21579</v>
      </c>
      <c r="K188" s="347">
        <f t="shared" si="79"/>
        <v>-5707731</v>
      </c>
      <c r="L188" s="347">
        <f>F188-K188</f>
        <v>0</v>
      </c>
    </row>
    <row r="189" spans="1:12">
      <c r="A189" s="333">
        <v>27</v>
      </c>
      <c r="C189" s="332" t="str">
        <f>'FR-16(7)(v)-1 Functional'!C189</f>
        <v xml:space="preserve">  NET COMMON &amp; OTHER PLANT</v>
      </c>
      <c r="D189" s="344"/>
      <c r="E189" s="196"/>
      <c r="F189" s="348">
        <f t="shared" ref="F189:L189" si="80">SUM(F186:F188)</f>
        <v>1213294</v>
      </c>
      <c r="G189" s="348">
        <f t="shared" si="80"/>
        <v>1039643</v>
      </c>
      <c r="H189" s="348">
        <f t="shared" si="80"/>
        <v>156315</v>
      </c>
      <c r="I189" s="348">
        <f t="shared" si="80"/>
        <v>12749</v>
      </c>
      <c r="J189" s="348">
        <f t="shared" si="80"/>
        <v>4587</v>
      </c>
      <c r="K189" s="348">
        <f t="shared" si="80"/>
        <v>1213294</v>
      </c>
      <c r="L189" s="348">
        <f t="shared" si="80"/>
        <v>0</v>
      </c>
    </row>
    <row r="190" spans="1:12">
      <c r="A190" s="333">
        <v>28</v>
      </c>
      <c r="D190" s="344"/>
      <c r="E190" s="196"/>
      <c r="F190" s="347"/>
      <c r="G190" s="347"/>
      <c r="H190" s="347"/>
      <c r="I190" s="347"/>
      <c r="J190" s="347"/>
      <c r="K190" s="347"/>
      <c r="L190" s="347"/>
    </row>
    <row r="191" spans="1:12">
      <c r="A191" s="333">
        <v>29</v>
      </c>
      <c r="C191" s="332" t="str">
        <f>'FR-16(7)(v)-1 Functional'!C191</f>
        <v>NET GAS PLANT IN SERVICE</v>
      </c>
      <c r="D191" s="344"/>
      <c r="E191" s="196"/>
      <c r="F191" s="347">
        <f t="shared" ref="F191:L191" si="81">F189+F184+F176+F171+F166</f>
        <v>180359587</v>
      </c>
      <c r="G191" s="347">
        <f t="shared" si="81"/>
        <v>155176045</v>
      </c>
      <c r="H191" s="347">
        <f t="shared" si="81"/>
        <v>23842521</v>
      </c>
      <c r="I191" s="347">
        <f t="shared" si="81"/>
        <v>664167</v>
      </c>
      <c r="J191" s="347">
        <f t="shared" si="81"/>
        <v>676854</v>
      </c>
      <c r="K191" s="347">
        <f t="shared" si="81"/>
        <v>180359587</v>
      </c>
      <c r="L191" s="347">
        <f t="shared" si="81"/>
        <v>0</v>
      </c>
    </row>
    <row r="192" spans="1:12">
      <c r="B192" s="343"/>
      <c r="C192" s="196"/>
      <c r="D192" s="344"/>
      <c r="E192" s="196"/>
      <c r="G192" s="342"/>
      <c r="H192" s="342"/>
      <c r="I192" s="196"/>
      <c r="J192" s="344"/>
      <c r="K192" s="196"/>
      <c r="L192" s="196"/>
    </row>
    <row r="193" spans="1:12">
      <c r="A193" s="343" t="str">
        <f>co_name</f>
        <v>DUKE ENERGY KENTUCKY, INC.</v>
      </c>
      <c r="C193" s="196"/>
      <c r="D193" s="344"/>
      <c r="E193" s="196"/>
      <c r="F193" s="344"/>
      <c r="G193" s="342"/>
      <c r="H193" s="342"/>
      <c r="I193" s="196"/>
      <c r="K193" s="361" t="str">
        <f>$K$1</f>
        <v>FR-16(7)(v)-6</v>
      </c>
      <c r="L193" s="196"/>
    </row>
    <row r="194" spans="1:12">
      <c r="A194" s="343" t="str">
        <f>$A$2</f>
        <v>DISTRIBUTION CUSTOMER ALLOCATED - GAS COST OF SERVICE</v>
      </c>
      <c r="C194" s="196"/>
      <c r="D194" s="344"/>
      <c r="E194" s="196"/>
      <c r="F194" s="344"/>
      <c r="G194" s="342"/>
      <c r="H194" s="342"/>
      <c r="I194" s="196"/>
      <c r="K194" s="361" t="str">
        <f>$K$2</f>
        <v>WITNESS RESPONSIBLE:</v>
      </c>
      <c r="L194" s="196"/>
    </row>
    <row r="195" spans="1:12">
      <c r="A195" s="343" t="str">
        <f>case_name</f>
        <v>CASE NO: 2018-00261</v>
      </c>
      <c r="C195" s="196"/>
      <c r="D195" s="344"/>
      <c r="E195" s="196"/>
      <c r="F195" s="344"/>
      <c r="G195" s="342"/>
      <c r="H195" s="342"/>
      <c r="I195" s="196"/>
      <c r="K195" s="361" t="str">
        <f>Witness</f>
        <v>JAMES E. ZIOLKOWSKI</v>
      </c>
      <c r="L195" s="196"/>
    </row>
    <row r="196" spans="1:12">
      <c r="A196" s="343" t="str">
        <f>data_filing</f>
        <v>DATA: 12 MONTH FORECASTED PERIOD</v>
      </c>
      <c r="C196" s="196"/>
      <c r="D196" s="344"/>
      <c r="E196" s="196"/>
      <c r="F196" s="344"/>
      <c r="G196" s="342"/>
      <c r="H196" s="342"/>
      <c r="I196" s="196"/>
      <c r="K196" s="361" t="str">
        <f>"PAGE "&amp;Pages-13&amp;" OF "&amp;Pages</f>
        <v>PAGE 5 OF 18</v>
      </c>
      <c r="L196" s="196"/>
    </row>
    <row r="197" spans="1:12">
      <c r="A197" s="343" t="str">
        <f>type</f>
        <v xml:space="preserve">TYPE OF FILING: "X" ORIGINAL   UPDATED    REVISED  </v>
      </c>
      <c r="C197" s="196"/>
      <c r="D197" s="344"/>
      <c r="E197" s="196"/>
      <c r="F197" s="344"/>
      <c r="G197" s="342"/>
      <c r="H197" s="342"/>
      <c r="I197" s="196"/>
      <c r="J197" s="344"/>
      <c r="K197" s="196"/>
      <c r="L197" s="196"/>
    </row>
    <row r="198" spans="1:12">
      <c r="B198" s="343"/>
      <c r="C198" s="196"/>
      <c r="D198" s="344"/>
      <c r="E198" s="196"/>
      <c r="F198" s="344"/>
      <c r="G198" s="342"/>
      <c r="H198" s="342"/>
      <c r="I198" s="196"/>
      <c r="J198" s="344"/>
      <c r="K198" s="196"/>
      <c r="L198" s="196"/>
    </row>
    <row r="199" spans="1:12">
      <c r="B199" s="343"/>
      <c r="C199" s="196"/>
      <c r="D199" s="344"/>
      <c r="E199" s="196"/>
      <c r="F199" s="344" t="str">
        <f>$F$7</f>
        <v>TOTAL</v>
      </c>
      <c r="G199" s="342"/>
      <c r="H199" s="342"/>
      <c r="I199" s="196"/>
      <c r="J199" s="344"/>
      <c r="K199" s="196"/>
      <c r="L199" s="196"/>
    </row>
    <row r="200" spans="1:12">
      <c r="A200" s="344" t="s">
        <v>914</v>
      </c>
      <c r="B200" s="196"/>
      <c r="C200" s="196"/>
      <c r="D200" s="344"/>
      <c r="E200" s="196"/>
      <c r="F200" s="344" t="str">
        <f>$F$8</f>
        <v>DISTRIBUTION</v>
      </c>
      <c r="G200" s="354" t="str">
        <f>$G$8</f>
        <v>RS</v>
      </c>
      <c r="H200" s="354" t="str">
        <f>$H$8</f>
        <v>GS</v>
      </c>
      <c r="I200" s="344" t="str">
        <f>$I$8</f>
        <v>FT-L</v>
      </c>
      <c r="J200" s="344" t="str">
        <f>$J$8</f>
        <v>INTERUPT</v>
      </c>
      <c r="K200" s="344" t="s">
        <v>229</v>
      </c>
      <c r="L200" s="344" t="s">
        <v>342</v>
      </c>
    </row>
    <row r="201" spans="1:12">
      <c r="A201" s="346" t="s">
        <v>915</v>
      </c>
      <c r="B201" s="345" t="s">
        <v>953</v>
      </c>
      <c r="C201" s="345"/>
      <c r="D201" s="346" t="s">
        <v>337</v>
      </c>
      <c r="E201" s="345"/>
      <c r="F201" s="344" t="str">
        <f>$F$9</f>
        <v>CUSTOMER</v>
      </c>
      <c r="G201" s="355" t="str">
        <f>$G$9</f>
        <v>RESIDENTIAL</v>
      </c>
      <c r="H201" s="355" t="str">
        <f>$H$9</f>
        <v>GEN SERV</v>
      </c>
      <c r="I201" s="346" t="str">
        <f>$I$9</f>
        <v>FIRM TRANS</v>
      </c>
      <c r="J201" s="346" t="str">
        <f>$J$9</f>
        <v>TRANS</v>
      </c>
      <c r="K201" s="346" t="s">
        <v>341</v>
      </c>
      <c r="L201" s="346" t="s">
        <v>340</v>
      </c>
    </row>
    <row r="202" spans="1:12">
      <c r="C202" s="578" t="s">
        <v>347</v>
      </c>
      <c r="D202" s="344"/>
      <c r="E202" s="196"/>
      <c r="F202" s="761"/>
      <c r="G202" s="633">
        <f>$G$10</f>
        <v>3</v>
      </c>
      <c r="H202" s="633">
        <f>$H$10</f>
        <v>4</v>
      </c>
      <c r="I202" s="633">
        <f>$I$10</f>
        <v>5</v>
      </c>
      <c r="J202" s="633">
        <f>$J$10</f>
        <v>6</v>
      </c>
    </row>
    <row r="203" spans="1:12">
      <c r="A203" s="333">
        <v>1</v>
      </c>
      <c r="B203" s="332" t="s">
        <v>26</v>
      </c>
      <c r="D203" s="344"/>
      <c r="E203" s="196"/>
      <c r="I203" s="332"/>
    </row>
    <row r="204" spans="1:12">
      <c r="A204" s="333">
        <v>2</v>
      </c>
      <c r="B204" s="332" t="s">
        <v>823</v>
      </c>
      <c r="D204" s="344"/>
      <c r="E204" s="196"/>
      <c r="I204" s="332"/>
    </row>
    <row r="205" spans="1:12">
      <c r="A205" s="333">
        <v>3</v>
      </c>
      <c r="B205" s="332" t="s">
        <v>27</v>
      </c>
      <c r="D205" s="344"/>
      <c r="E205" s="196"/>
      <c r="I205" s="332"/>
    </row>
    <row r="206" spans="1:12">
      <c r="A206" s="333">
        <v>4</v>
      </c>
      <c r="C206" s="332" t="str">
        <f>'FR-16(7)(v)-1 Functional'!C206</f>
        <v>LIBERALIZED DEPRECIATION</v>
      </c>
      <c r="D206" s="344" t="str">
        <f>'FR-16(7)(v)-1 Functional'!D206</f>
        <v>NP29</v>
      </c>
      <c r="E206" s="332" t="s">
        <v>343</v>
      </c>
      <c r="F206" s="479">
        <f>'FR-16(7)(v)-4 DISTR Classified'!I206</f>
        <v>23750073</v>
      </c>
      <c r="G206" s="349">
        <f t="shared" ref="G206:G214" si="82">F206-SUM(H206:J206)</f>
        <v>20434088</v>
      </c>
      <c r="H206" s="347">
        <f>ROUND($F$206*VLOOKUP($D$206,ALLOCTABLE_DISTR_CUSTOMER,$H$10,FALSE),0)</f>
        <v>3139522</v>
      </c>
      <c r="I206" s="347">
        <f t="shared" ref="I206:I214" si="83">ROUND(F206*VLOOKUP(D206,ALLOCTABLE_DISTR_CUSTOMER,$I$10,FALSE),0)</f>
        <v>87400</v>
      </c>
      <c r="J206" s="347">
        <f t="shared" ref="J206:J214" si="84">ROUND(F206*VLOOKUP(D206,ALLOCTABLE_DISTR_CUSTOMER,$J$10,FALSE),0)</f>
        <v>89063</v>
      </c>
      <c r="K206" s="347">
        <f t="shared" ref="K206:K214" si="85">SUM(G206:J206)</f>
        <v>23750073</v>
      </c>
      <c r="L206" s="347">
        <f t="shared" ref="L206:L214" si="86">F206-K206</f>
        <v>0</v>
      </c>
    </row>
    <row r="207" spans="1:12">
      <c r="A207" s="333">
        <v>5</v>
      </c>
      <c r="C207" s="332" t="str">
        <f>'FR-16(7)(v)-1 Functional'!C207</f>
        <v>LEASED METERS</v>
      </c>
      <c r="D207" s="344" t="str">
        <f>'FR-16(7)(v)-1 Functional'!D207</f>
        <v>K413</v>
      </c>
      <c r="E207" s="332" t="s">
        <v>343</v>
      </c>
      <c r="F207" s="479">
        <f>'FR-16(7)(v)-4 DISTR Classified'!I207</f>
        <v>1689651</v>
      </c>
      <c r="G207" s="349">
        <f t="shared" si="82"/>
        <v>1337799</v>
      </c>
      <c r="H207" s="347">
        <f>ROUND($F$207*VLOOKUP($D$207,ALLOCTABLE_DISTR_CUSTOMER,$H$10,FALSE),0)</f>
        <v>331594</v>
      </c>
      <c r="I207" s="347">
        <f t="shared" si="83"/>
        <v>13635</v>
      </c>
      <c r="J207" s="347">
        <f t="shared" si="84"/>
        <v>6623</v>
      </c>
      <c r="K207" s="347">
        <f t="shared" si="85"/>
        <v>1689651</v>
      </c>
      <c r="L207" s="347">
        <f t="shared" si="86"/>
        <v>0</v>
      </c>
    </row>
    <row r="208" spans="1:12">
      <c r="A208" s="333">
        <v>6</v>
      </c>
      <c r="C208" s="332" t="str">
        <f>'FR-16(7)(v)-1 Functional'!C208</f>
        <v>CONTRIB AID CONSTR</v>
      </c>
      <c r="D208" s="344" t="str">
        <f>'FR-16(7)(v)-1 Functional'!D208</f>
        <v>D249</v>
      </c>
      <c r="E208" s="332" t="s">
        <v>343</v>
      </c>
      <c r="F208" s="479">
        <f>'FR-16(7)(v)-4 DISTR Classified'!I208</f>
        <v>-82752</v>
      </c>
      <c r="G208" s="349">
        <f t="shared" si="82"/>
        <v>-71213</v>
      </c>
      <c r="H208" s="347">
        <f>ROUND($F$208*VLOOKUP($D$208,ALLOCTABLE_DISTR_CUSTOMER,$H$10,FALSE),0)</f>
        <v>-10955</v>
      </c>
      <c r="I208" s="347">
        <f t="shared" si="83"/>
        <v>-274</v>
      </c>
      <c r="J208" s="347">
        <f t="shared" si="84"/>
        <v>-310</v>
      </c>
      <c r="K208" s="347">
        <f t="shared" si="85"/>
        <v>-82752</v>
      </c>
      <c r="L208" s="347">
        <f t="shared" si="86"/>
        <v>0</v>
      </c>
    </row>
    <row r="209" spans="1:12">
      <c r="A209" s="333">
        <v>7</v>
      </c>
      <c r="C209" s="332" t="str">
        <f>'FR-16(7)(v)-1 Functional'!C209</f>
        <v>CAPITALIZED INTEREST</v>
      </c>
      <c r="D209" s="344" t="str">
        <f>'FR-16(7)(v)-1 Functional'!D209</f>
        <v>NP29</v>
      </c>
      <c r="E209" s="332" t="s">
        <v>343</v>
      </c>
      <c r="F209" s="479">
        <f>'FR-16(7)(v)-4 DISTR Classified'!I209</f>
        <v>-422295</v>
      </c>
      <c r="G209" s="349">
        <f t="shared" si="82"/>
        <v>-363334</v>
      </c>
      <c r="H209" s="347">
        <f>ROUND($F$209*VLOOKUP($D$209,ALLOCTABLE_DISTR_CUSTOMER,$H$10,FALSE),0)</f>
        <v>-55823</v>
      </c>
      <c r="I209" s="347">
        <f t="shared" si="83"/>
        <v>-1554</v>
      </c>
      <c r="J209" s="347">
        <f t="shared" si="84"/>
        <v>-1584</v>
      </c>
      <c r="K209" s="347">
        <f t="shared" si="85"/>
        <v>-422295</v>
      </c>
      <c r="L209" s="347">
        <f t="shared" si="86"/>
        <v>0</v>
      </c>
    </row>
    <row r="210" spans="1:12">
      <c r="A210" s="333">
        <v>8</v>
      </c>
      <c r="C210" s="332" t="str">
        <f>'FR-16(7)(v)-1 Functional'!C210</f>
        <v>AFUDC IN DEBT</v>
      </c>
      <c r="D210" s="344" t="str">
        <f>'FR-16(7)(v)-1 Functional'!D210</f>
        <v>NP29</v>
      </c>
      <c r="E210" s="332" t="s">
        <v>343</v>
      </c>
      <c r="F210" s="479">
        <f>'FR-16(7)(v)-4 DISTR Classified'!I210</f>
        <v>113859</v>
      </c>
      <c r="G210" s="349">
        <f t="shared" si="82"/>
        <v>97962</v>
      </c>
      <c r="H210" s="347">
        <f>ROUND($F$210*VLOOKUP($D$210,ALLOCTABLE_DISTR_CUSTOMER,$H$10,FALSE),0)</f>
        <v>15051</v>
      </c>
      <c r="I210" s="347">
        <f t="shared" si="83"/>
        <v>419</v>
      </c>
      <c r="J210" s="347">
        <f t="shared" si="84"/>
        <v>427</v>
      </c>
      <c r="K210" s="347">
        <f t="shared" si="85"/>
        <v>113859</v>
      </c>
      <c r="L210" s="347">
        <f t="shared" si="86"/>
        <v>0</v>
      </c>
    </row>
    <row r="211" spans="1:12">
      <c r="A211" s="333">
        <v>9</v>
      </c>
      <c r="C211" s="332" t="str">
        <f>'FR-16(7)(v)-1 Functional'!C211</f>
        <v>CWIP DIFFERENCES</v>
      </c>
      <c r="D211" s="344" t="str">
        <f>'FR-16(7)(v)-1 Functional'!D211</f>
        <v>NP29</v>
      </c>
      <c r="E211" s="332" t="s">
        <v>343</v>
      </c>
      <c r="F211" s="479">
        <f>'FR-16(7)(v)-4 DISTR Classified'!I211</f>
        <v>0</v>
      </c>
      <c r="G211" s="349">
        <f t="shared" si="82"/>
        <v>0</v>
      </c>
      <c r="H211" s="347">
        <f>ROUND($F$211*VLOOKUP($D$211,ALLOCTABLE_DISTR_CUSTOMER,$H$10,FALSE),0)</f>
        <v>0</v>
      </c>
      <c r="I211" s="347">
        <f t="shared" si="83"/>
        <v>0</v>
      </c>
      <c r="J211" s="347">
        <f t="shared" si="84"/>
        <v>0</v>
      </c>
      <c r="K211" s="347">
        <f t="shared" si="85"/>
        <v>0</v>
      </c>
      <c r="L211" s="347">
        <f t="shared" si="86"/>
        <v>0</v>
      </c>
    </row>
    <row r="212" spans="1:12">
      <c r="A212" s="333">
        <v>10</v>
      </c>
      <c r="C212" s="332" t="str">
        <f>'FR-16(7)(v)-1 Functional'!C212</f>
        <v>NON-CASH OVERHEADS</v>
      </c>
      <c r="D212" s="344" t="str">
        <f>'FR-16(7)(v)-1 Functional'!D212</f>
        <v>AG39</v>
      </c>
      <c r="E212" s="332" t="s">
        <v>343</v>
      </c>
      <c r="F212" s="479">
        <f>'FR-16(7)(v)-4 DISTR Classified'!I212</f>
        <v>-288593</v>
      </c>
      <c r="G212" s="349">
        <f t="shared" si="82"/>
        <v>-247287</v>
      </c>
      <c r="H212" s="347">
        <f>ROUND($F$212*VLOOKUP($D$212,ALLOCTABLE_DISTR_CUSTOMER,$H$10,FALSE),0)</f>
        <v>-37182</v>
      </c>
      <c r="I212" s="347">
        <f t="shared" si="83"/>
        <v>-3033</v>
      </c>
      <c r="J212" s="347">
        <f t="shared" si="84"/>
        <v>-1091</v>
      </c>
      <c r="K212" s="347">
        <f t="shared" si="85"/>
        <v>-288593</v>
      </c>
      <c r="L212" s="347">
        <f t="shared" si="86"/>
        <v>0</v>
      </c>
    </row>
    <row r="213" spans="1:12">
      <c r="A213" s="333">
        <v>11</v>
      </c>
      <c r="C213" s="332" t="str">
        <f>'FR-16(7)(v)-1 Functional'!C213</f>
        <v>PLANT FAS 109</v>
      </c>
      <c r="D213" s="344" t="str">
        <f>'FR-16(7)(v)-1 Functional'!D213</f>
        <v>NP29</v>
      </c>
      <c r="E213" s="332" t="s">
        <v>343</v>
      </c>
      <c r="F213" s="479">
        <f>'FR-16(7)(v)-4 DISTR Classified'!I213</f>
        <v>0</v>
      </c>
      <c r="G213" s="349">
        <f t="shared" si="82"/>
        <v>0</v>
      </c>
      <c r="H213" s="347">
        <f>ROUND($F$213*VLOOKUP($D$213,ALLOCTABLE_DISTR_CUSTOMER,$H$10,FALSE),0)</f>
        <v>0</v>
      </c>
      <c r="I213" s="347">
        <f t="shared" si="83"/>
        <v>0</v>
      </c>
      <c r="J213" s="347">
        <f t="shared" si="84"/>
        <v>0</v>
      </c>
      <c r="K213" s="347">
        <f t="shared" si="85"/>
        <v>0</v>
      </c>
      <c r="L213" s="347">
        <f t="shared" si="86"/>
        <v>0</v>
      </c>
    </row>
    <row r="214" spans="1:12">
      <c r="A214" s="333">
        <v>12</v>
      </c>
      <c r="C214" s="365" t="str">
        <f>'FR-16(7)(v)-1 Functional'!C214</f>
        <v>MISCELLANEOUS</v>
      </c>
      <c r="D214" s="344" t="str">
        <f>'FR-16(7)(v)-1 Functional'!D214</f>
        <v>AG39</v>
      </c>
      <c r="F214" s="479">
        <f>'FR-16(7)(v)-4 DISTR Classified'!I214</f>
        <v>5081507</v>
      </c>
      <c r="G214" s="349">
        <f t="shared" si="82"/>
        <v>4354191</v>
      </c>
      <c r="H214" s="347">
        <f>ROUND($F$214*VLOOKUP($D$214,ALLOCTABLE_DISTR_CUSTOMER,$H$10,FALSE),0)</f>
        <v>654701</v>
      </c>
      <c r="I214" s="347">
        <f t="shared" si="83"/>
        <v>53407</v>
      </c>
      <c r="J214" s="347">
        <f t="shared" si="84"/>
        <v>19208</v>
      </c>
      <c r="K214" s="347">
        <f t="shared" si="85"/>
        <v>5081507</v>
      </c>
      <c r="L214" s="347">
        <f t="shared" si="86"/>
        <v>0</v>
      </c>
    </row>
    <row r="215" spans="1:12">
      <c r="A215" s="333">
        <v>13</v>
      </c>
      <c r="C215" s="339" t="str">
        <f>'FR-16(7)(v)-1 Functional'!C215</f>
        <v xml:space="preserve">  TOTAL ACCOUNT 282</v>
      </c>
      <c r="D215" s="344"/>
      <c r="F215" s="348">
        <f t="shared" ref="F215:L215" si="87">SUM(F206:F214)</f>
        <v>29841450</v>
      </c>
      <c r="G215" s="348">
        <f>SUM(G206:G214)</f>
        <v>25542206</v>
      </c>
      <c r="H215" s="348">
        <f t="shared" si="87"/>
        <v>4036908</v>
      </c>
      <c r="I215" s="348">
        <f t="shared" si="87"/>
        <v>150000</v>
      </c>
      <c r="J215" s="348">
        <f t="shared" si="87"/>
        <v>112336</v>
      </c>
      <c r="K215" s="348">
        <f t="shared" si="87"/>
        <v>29841450</v>
      </c>
      <c r="L215" s="348">
        <f t="shared" si="87"/>
        <v>0</v>
      </c>
    </row>
    <row r="216" spans="1:12">
      <c r="A216" s="333">
        <v>14</v>
      </c>
      <c r="D216" s="344"/>
      <c r="E216" s="196"/>
      <c r="I216" s="332"/>
    </row>
    <row r="217" spans="1:12">
      <c r="A217" s="333">
        <v>15</v>
      </c>
      <c r="B217" s="332" t="s">
        <v>28</v>
      </c>
      <c r="D217" s="344"/>
      <c r="E217" s="196"/>
      <c r="I217" s="332"/>
    </row>
    <row r="218" spans="1:12">
      <c r="A218" s="333">
        <v>16</v>
      </c>
      <c r="C218" s="332" t="str">
        <f>'FR-16(7)(v)-1 Functional'!C218</f>
        <v>BLANK</v>
      </c>
      <c r="D218" s="344" t="str">
        <f>'FR-16(7)(v)-1 Functional'!D218</f>
        <v>K413</v>
      </c>
      <c r="F218" s="479">
        <f>'FR-16(7)(v)-4 DISTR Classified'!I218</f>
        <v>0</v>
      </c>
      <c r="G218" s="349">
        <f t="shared" ref="G218:G228" si="88">F218-SUM(H218:J218)</f>
        <v>0</v>
      </c>
      <c r="H218" s="347">
        <f>ROUND($F$218*VLOOKUP($D$218,ALLOCTABLE_DISTR_CUSTOMER,$H$10,FALSE),0)</f>
        <v>0</v>
      </c>
      <c r="I218" s="347">
        <f t="shared" ref="I218:I225" si="89">ROUND(F218*VLOOKUP(D218,ALLOCTABLE_DISTR_CUSTOMER,$I$10,FALSE),0)</f>
        <v>0</v>
      </c>
      <c r="J218" s="347">
        <f t="shared" ref="J218:J225" si="90">ROUND(F218*VLOOKUP(D218,ALLOCTABLE_DISTR_CUSTOMER,$J$10,FALSE),0)</f>
        <v>0</v>
      </c>
      <c r="K218" s="347">
        <f t="shared" ref="K218:K228" si="91">SUM(G218:J218)</f>
        <v>0</v>
      </c>
      <c r="L218" s="347">
        <f t="shared" ref="L218:L228" si="92">F218-K218</f>
        <v>0</v>
      </c>
    </row>
    <row r="219" spans="1:12">
      <c r="A219" s="333">
        <v>17</v>
      </c>
      <c r="C219" s="332" t="str">
        <f>'FR-16(7)(v)-1 Functional'!C219</f>
        <v>BLANK</v>
      </c>
      <c r="D219" s="344" t="str">
        <f>'FR-16(7)(v)-1 Functional'!D219</f>
        <v>K413</v>
      </c>
      <c r="F219" s="479">
        <f>'FR-16(7)(v)-4 DISTR Classified'!I219</f>
        <v>0</v>
      </c>
      <c r="G219" s="349">
        <f t="shared" si="88"/>
        <v>0</v>
      </c>
      <c r="H219" s="347">
        <f>ROUND($F$219*VLOOKUP($D$219,ALLOCTABLE_DISTR_CUSTOMER,$H$10,FALSE),0)</f>
        <v>0</v>
      </c>
      <c r="I219" s="347">
        <f t="shared" si="89"/>
        <v>0</v>
      </c>
      <c r="J219" s="347">
        <f t="shared" si="90"/>
        <v>0</v>
      </c>
      <c r="K219" s="347">
        <f t="shared" si="91"/>
        <v>0</v>
      </c>
      <c r="L219" s="347">
        <f t="shared" si="92"/>
        <v>0</v>
      </c>
    </row>
    <row r="220" spans="1:12">
      <c r="A220" s="333">
        <v>18</v>
      </c>
      <c r="C220" s="332" t="str">
        <f>'FR-16(7)(v)-1 Functional'!C220</f>
        <v>UNRECOVERED PURCHASED GAS COST</v>
      </c>
      <c r="D220" s="344" t="str">
        <f>'FR-16(7)(v)-1 Functional'!D220</f>
        <v>AG39</v>
      </c>
      <c r="F220" s="479">
        <f>'FR-16(7)(v)-4 DISTR Classified'!I220</f>
        <v>10764</v>
      </c>
      <c r="G220" s="349">
        <f t="shared" si="88"/>
        <v>9223</v>
      </c>
      <c r="H220" s="347">
        <f>ROUND($F$220*VLOOKUP($D$220,ALLOCTABLE_DISTR_CUSTOMER,$H$10,FALSE),0)</f>
        <v>1387</v>
      </c>
      <c r="I220" s="347">
        <f t="shared" si="89"/>
        <v>113</v>
      </c>
      <c r="J220" s="347">
        <f t="shared" si="90"/>
        <v>41</v>
      </c>
      <c r="K220" s="347">
        <f t="shared" si="91"/>
        <v>10764</v>
      </c>
      <c r="L220" s="347">
        <f t="shared" si="92"/>
        <v>0</v>
      </c>
    </row>
    <row r="221" spans="1:12">
      <c r="A221" s="333">
        <v>19</v>
      </c>
      <c r="C221" s="332" t="str">
        <f>'FR-16(7)(v)-1 Functional'!C221</f>
        <v>ENVIRONMENTAL RESERVE</v>
      </c>
      <c r="D221" s="344" t="str">
        <f>'FR-16(7)(v)-1 Functional'!D221</f>
        <v>NP29</v>
      </c>
      <c r="F221" s="479">
        <f>'FR-16(7)(v)-4 DISTR Classified'!I221</f>
        <v>0</v>
      </c>
      <c r="G221" s="349">
        <f t="shared" si="88"/>
        <v>0</v>
      </c>
      <c r="H221" s="347">
        <f>ROUND($F$221*VLOOKUP($D$221,ALLOCTABLE_DISTR_CUSTOMER,$H$10,FALSE),0)</f>
        <v>0</v>
      </c>
      <c r="I221" s="347">
        <f t="shared" si="89"/>
        <v>0</v>
      </c>
      <c r="J221" s="347">
        <f t="shared" si="90"/>
        <v>0</v>
      </c>
      <c r="K221" s="347">
        <f t="shared" si="91"/>
        <v>0</v>
      </c>
      <c r="L221" s="347">
        <f t="shared" si="92"/>
        <v>0</v>
      </c>
    </row>
    <row r="222" spans="1:12">
      <c r="A222" s="333">
        <v>20</v>
      </c>
      <c r="C222" s="332" t="str">
        <f>'FR-16(7)(v)-1 Functional'!C222</f>
        <v>POST IN-SERVICE CARRYING COSTS</v>
      </c>
      <c r="D222" s="344" t="str">
        <f>'FR-16(7)(v)-1 Functional'!D222</f>
        <v>K667</v>
      </c>
      <c r="F222" s="479">
        <f>'FR-16(7)(v)-4 DISTR Classified'!I222</f>
        <v>0</v>
      </c>
      <c r="G222" s="349">
        <f t="shared" si="88"/>
        <v>0</v>
      </c>
      <c r="H222" s="347">
        <f>ROUND($F$222*VLOOKUP($D$222,ALLOCTABLE_DISTR_CUSTOMER,$H$10,FALSE),0)</f>
        <v>0</v>
      </c>
      <c r="I222" s="347">
        <f t="shared" si="89"/>
        <v>0</v>
      </c>
      <c r="J222" s="347">
        <f t="shared" si="90"/>
        <v>0</v>
      </c>
      <c r="K222" s="347">
        <f t="shared" si="91"/>
        <v>0</v>
      </c>
      <c r="L222" s="347">
        <f t="shared" si="92"/>
        <v>0</v>
      </c>
    </row>
    <row r="223" spans="1:12">
      <c r="A223" s="333">
        <v>21</v>
      </c>
      <c r="C223" s="332" t="str">
        <f>'FR-16(7)(v)-1 Functional'!C223</f>
        <v>ARO CUMULATIVE EFFECT</v>
      </c>
      <c r="D223" s="344" t="str">
        <f>'FR-16(7)(v)-1 Functional'!D223</f>
        <v>NP29</v>
      </c>
      <c r="F223" s="479">
        <f>'FR-16(7)(v)-4 DISTR Classified'!I223</f>
        <v>0</v>
      </c>
      <c r="G223" s="349">
        <f t="shared" si="88"/>
        <v>0</v>
      </c>
      <c r="H223" s="347">
        <f>ROUND($F$223*VLOOKUP($D$223,ALLOCTABLE_DISTR_CUSTOMER,$H$10,FALSE),0)</f>
        <v>0</v>
      </c>
      <c r="I223" s="347">
        <f t="shared" si="89"/>
        <v>0</v>
      </c>
      <c r="J223" s="347">
        <f t="shared" si="90"/>
        <v>0</v>
      </c>
      <c r="K223" s="347">
        <f t="shared" si="91"/>
        <v>0</v>
      </c>
      <c r="L223" s="347">
        <f t="shared" si="92"/>
        <v>0</v>
      </c>
    </row>
    <row r="224" spans="1:12">
      <c r="A224" s="333">
        <v>22</v>
      </c>
      <c r="C224" s="332" t="str">
        <f>'FR-16(7)(v)-1 Functional'!C224</f>
        <v>LOSS ON REACQUIRED DEBT</v>
      </c>
      <c r="D224" s="344" t="str">
        <f>'FR-16(7)(v)-1 Functional'!D224</f>
        <v>NP29</v>
      </c>
      <c r="F224" s="479">
        <f>'FR-16(7)(v)-4 DISTR Classified'!I224</f>
        <v>7687</v>
      </c>
      <c r="G224" s="349">
        <f t="shared" si="88"/>
        <v>6614</v>
      </c>
      <c r="H224" s="347">
        <f>ROUND($F$224*VLOOKUP($D$224,ALLOCTABLE_DISTR_CUSTOMER,$H$10,FALSE),0)</f>
        <v>1016</v>
      </c>
      <c r="I224" s="347">
        <f t="shared" si="89"/>
        <v>28</v>
      </c>
      <c r="J224" s="347">
        <f t="shared" si="90"/>
        <v>29</v>
      </c>
      <c r="K224" s="347">
        <f t="shared" si="91"/>
        <v>7687</v>
      </c>
      <c r="L224" s="347">
        <f t="shared" si="92"/>
        <v>0</v>
      </c>
    </row>
    <row r="225" spans="1:12">
      <c r="A225" s="333">
        <v>23</v>
      </c>
      <c r="C225" s="332" t="str">
        <f>'FR-16(7)(v)-1 Functional'!C225</f>
        <v>VACATION PAY ACCRUAL</v>
      </c>
      <c r="D225" s="344" t="str">
        <f>'FR-16(7)(v)-1 Functional'!D225</f>
        <v>AG39</v>
      </c>
      <c r="F225" s="479">
        <f>'FR-16(7)(v)-4 DISTR Classified'!I225</f>
        <v>49321</v>
      </c>
      <c r="G225" s="349">
        <f t="shared" si="88"/>
        <v>42262</v>
      </c>
      <c r="H225" s="347">
        <f>ROUND($F$225*VLOOKUP($D$225,ALLOCTABLE_DISTR_CUSTOMER,$H$10,FALSE),0)</f>
        <v>6355</v>
      </c>
      <c r="I225" s="347">
        <f t="shared" si="89"/>
        <v>518</v>
      </c>
      <c r="J225" s="347">
        <f t="shared" si="90"/>
        <v>186</v>
      </c>
      <c r="K225" s="347">
        <f t="shared" si="91"/>
        <v>49321</v>
      </c>
      <c r="L225" s="347">
        <f t="shared" si="92"/>
        <v>0</v>
      </c>
    </row>
    <row r="226" spans="1:12">
      <c r="A226" s="333">
        <v>24</v>
      </c>
      <c r="C226" s="618" t="str">
        <f>'FR-16(7)(v)-1 Functional'!C226</f>
        <v>RATE CASE EXPENSE AMORT</v>
      </c>
      <c r="D226" s="344" t="str">
        <f>'FR-16(7)(v)-1 Functional'!D226</f>
        <v>AG39</v>
      </c>
      <c r="F226" s="479">
        <f>'FR-16(7)(v)-4 DISTR Classified'!I226</f>
        <v>-13483</v>
      </c>
      <c r="G226" s="349">
        <f t="shared" si="88"/>
        <v>-11553</v>
      </c>
      <c r="H226" s="347">
        <f>ROUND($F$226*VLOOKUP($D$226,ALLOCTABLE_DISTR_CUSTOMER,$H$10,FALSE),0)</f>
        <v>-1737</v>
      </c>
      <c r="I226" s="347">
        <f>ROUND(F226*VLOOKUP(D226,ALLOCTABLE_DISTR_CUSTOMER,$I$10,FALSE),0)</f>
        <v>-142</v>
      </c>
      <c r="J226" s="347">
        <f>ROUND(F226*VLOOKUP(D226,ALLOCTABLE_DISTR_CUSTOMER,$J$10,FALSE),0)</f>
        <v>-51</v>
      </c>
      <c r="K226" s="347">
        <f>SUM(G226:J226)</f>
        <v>-13483</v>
      </c>
      <c r="L226" s="347">
        <f>F226-K226</f>
        <v>0</v>
      </c>
    </row>
    <row r="227" spans="1:12">
      <c r="A227" s="333">
        <v>25</v>
      </c>
      <c r="C227" s="332" t="str">
        <f>'FR-16(7)(v)-1 Functional'!C227</f>
        <v>PENSION</v>
      </c>
      <c r="D227" s="344" t="str">
        <f>'FR-16(7)(v)-1 Functional'!D227</f>
        <v>AG39</v>
      </c>
      <c r="F227" s="479">
        <f>'FR-16(7)(v)-4 DISTR Classified'!I227</f>
        <v>861689</v>
      </c>
      <c r="G227" s="349">
        <f t="shared" si="88"/>
        <v>738356</v>
      </c>
      <c r="H227" s="347">
        <f>ROUND($F$227*VLOOKUP($D$227,ALLOCTABLE_DISTR_CUSTOMER,$H$10,FALSE),0)</f>
        <v>111020</v>
      </c>
      <c r="I227" s="347">
        <f>ROUND(F227*VLOOKUP(D227,ALLOCTABLE_DISTR_CUSTOMER,$I$10,FALSE),0)</f>
        <v>9056</v>
      </c>
      <c r="J227" s="347">
        <f>ROUND(F227*VLOOKUP(D227,ALLOCTABLE_DISTR_CUSTOMER,$J$10,FALSE),0)</f>
        <v>3257</v>
      </c>
      <c r="K227" s="347">
        <f>SUM(G227:J227)</f>
        <v>861689</v>
      </c>
      <c r="L227" s="347">
        <f>F227-K227</f>
        <v>0</v>
      </c>
    </row>
    <row r="228" spans="1:12">
      <c r="A228" s="333">
        <v>26</v>
      </c>
      <c r="C228" s="365" t="str">
        <f>'FR-16(7)(v)-1 Functional'!C228</f>
        <v>MISCELLANEOUS</v>
      </c>
      <c r="D228" s="344" t="str">
        <f>'FR-16(7)(v)-1 Functional'!D228</f>
        <v>K406</v>
      </c>
      <c r="F228" s="479">
        <f>'FR-16(7)(v)-4 DISTR Classified'!I228</f>
        <v>722522</v>
      </c>
      <c r="G228" s="349">
        <f t="shared" si="88"/>
        <v>670703</v>
      </c>
      <c r="H228" s="347">
        <f>ROUND($F$228*VLOOKUP($D$228,ALLOCTABLE_DISTR_CUSTOMER,$H$10,FALSE),0)</f>
        <v>50959</v>
      </c>
      <c r="I228" s="347">
        <f>ROUND(F228*VLOOKUP(D228,ALLOCTABLE_DISTR_CUSTOMER,$I$10,FALSE),0)</f>
        <v>701</v>
      </c>
      <c r="J228" s="347">
        <f>ROUND(F228*VLOOKUP(D228,ALLOCTABLE_DISTR_CUSTOMER,$J$10,FALSE),0)</f>
        <v>159</v>
      </c>
      <c r="K228" s="347">
        <f t="shared" si="91"/>
        <v>722522</v>
      </c>
      <c r="L228" s="347">
        <f t="shared" si="92"/>
        <v>0</v>
      </c>
    </row>
    <row r="229" spans="1:12">
      <c r="A229" s="333">
        <v>27</v>
      </c>
      <c r="C229" s="339" t="str">
        <f>'FR-16(7)(v)-1 Functional'!C229</f>
        <v xml:space="preserve">  TOTAL ACCOUNT 283</v>
      </c>
      <c r="D229" s="344"/>
      <c r="F229" s="348">
        <f t="shared" ref="F229:L229" si="93">SUM(F217:F228)</f>
        <v>1638500</v>
      </c>
      <c r="G229" s="348">
        <f>SUM(G217:G228)</f>
        <v>1455605</v>
      </c>
      <c r="H229" s="348">
        <f t="shared" si="93"/>
        <v>169000</v>
      </c>
      <c r="I229" s="348">
        <f t="shared" si="93"/>
        <v>10274</v>
      </c>
      <c r="J229" s="348">
        <f t="shared" si="93"/>
        <v>3621</v>
      </c>
      <c r="K229" s="348">
        <f t="shared" si="93"/>
        <v>1638500</v>
      </c>
      <c r="L229" s="348">
        <f t="shared" si="93"/>
        <v>0</v>
      </c>
    </row>
    <row r="230" spans="1:12">
      <c r="A230" s="333">
        <v>28</v>
      </c>
      <c r="D230" s="344"/>
      <c r="E230" s="196"/>
      <c r="I230" s="332"/>
    </row>
    <row r="231" spans="1:12">
      <c r="A231" s="333">
        <v>29</v>
      </c>
      <c r="B231" s="353" t="s">
        <v>824</v>
      </c>
      <c r="C231" s="353"/>
      <c r="D231" s="344"/>
      <c r="E231" s="196"/>
      <c r="I231" s="332"/>
    </row>
    <row r="232" spans="1:12">
      <c r="A232" s="333">
        <v>30</v>
      </c>
      <c r="C232" s="332" t="str">
        <f>'FR-16(7)(v)-1 Functional'!C232</f>
        <v>CUSTOMER ADVANCES FOR CONSTRUCTION</v>
      </c>
      <c r="D232" s="344" t="s">
        <v>312</v>
      </c>
      <c r="E232" s="196"/>
      <c r="F232" s="479">
        <f>'FR-16(7)(v)-4 DISTR Classified'!I232</f>
        <v>706086</v>
      </c>
      <c r="G232" s="349">
        <f>F232-SUM(H232:J232)</f>
        <v>607629</v>
      </c>
      <c r="H232" s="347">
        <f>ROUND($F$232*VLOOKUP($D$232,ALLOCTABLE_DISTR_CUSTOMER,$H$10,FALSE),0)</f>
        <v>93472</v>
      </c>
      <c r="I232" s="347">
        <f>ROUND(F232*VLOOKUP(D232,ALLOCTABLE_DISTR_CUSTOMER,$I$10,FALSE),0)</f>
        <v>2337</v>
      </c>
      <c r="J232" s="347">
        <f>ROUND(F232*VLOOKUP(D232,ALLOCTABLE_DISTR_CUSTOMER,$J$10,FALSE),0)</f>
        <v>2648</v>
      </c>
      <c r="K232" s="347">
        <f>SUM(G232:J232)</f>
        <v>706086</v>
      </c>
      <c r="L232" s="347">
        <f>F232-K232</f>
        <v>0</v>
      </c>
    </row>
    <row r="233" spans="1:12">
      <c r="A233" s="333">
        <v>31</v>
      </c>
      <c r="C233" s="332" t="str">
        <f>'FR-16(7)(v)-1 Functional'!C233</f>
        <v>CUSTOMER SERVICE DEPOSITS</v>
      </c>
      <c r="D233" s="344" t="str">
        <f>'FR-16(7)(v)-1 Functional'!D233</f>
        <v>D249</v>
      </c>
      <c r="E233" s="196"/>
      <c r="F233" s="479">
        <f>'FR-16(7)(v)-4 DISTR Classified'!I233</f>
        <v>0</v>
      </c>
      <c r="G233" s="349">
        <f>F233-SUM(H233:J233)</f>
        <v>0</v>
      </c>
      <c r="H233" s="347">
        <f>ROUND($F$233*VLOOKUP($D$233,ALLOCTABLE_DISTR_CUSTOMER,$H$10,FALSE),0)</f>
        <v>0</v>
      </c>
      <c r="I233" s="347">
        <f>ROUND(F233*VLOOKUP(D233,ALLOCTABLE_DISTR_CUSTOMER,$I$10,FALSE),0)</f>
        <v>0</v>
      </c>
      <c r="J233" s="347">
        <f>ROUND(F233*VLOOKUP(D233,ALLOCTABLE_DISTR_CUSTOMER,$J$10,FALSE),0)</f>
        <v>0</v>
      </c>
      <c r="K233" s="347">
        <f>SUM(G233:J233)</f>
        <v>0</v>
      </c>
      <c r="L233" s="347">
        <f>F233-K233</f>
        <v>0</v>
      </c>
    </row>
    <row r="234" spans="1:12">
      <c r="A234" s="333">
        <v>32</v>
      </c>
      <c r="C234" s="332" t="str">
        <f>'FR-16(7)(v)-1 Functional'!C234</f>
        <v>POST RETIREMENT BENEFITS</v>
      </c>
      <c r="D234" s="344" t="str">
        <f>'FR-16(7)(v)-1 Functional'!D234</f>
        <v>AG39</v>
      </c>
      <c r="E234" s="196"/>
      <c r="F234" s="479">
        <f>'FR-16(7)(v)-4 DISTR Classified'!I234</f>
        <v>0</v>
      </c>
      <c r="G234" s="349">
        <f>F234-SUM(H234:J234)</f>
        <v>0</v>
      </c>
      <c r="H234" s="347">
        <f>ROUND($F$234*VLOOKUP($D$234,ALLOCTABLE_DISTR_CUSTOMER,$H$10,FALSE),0)</f>
        <v>0</v>
      </c>
      <c r="I234" s="347">
        <f>ROUND(F234*VLOOKUP(D234,ALLOCTABLE_DISTR_CUSTOMER,$I$10,FALSE),0)</f>
        <v>0</v>
      </c>
      <c r="J234" s="347">
        <f>ROUND(F234*VLOOKUP(D234,ALLOCTABLE_DISTR_CUSTOMER,$J$10,FALSE),0)</f>
        <v>0</v>
      </c>
      <c r="K234" s="347">
        <f>SUM(G234:J234)</f>
        <v>0</v>
      </c>
      <c r="L234" s="347">
        <f>F234-K234</f>
        <v>0</v>
      </c>
    </row>
    <row r="235" spans="1:12">
      <c r="A235" s="333">
        <v>33</v>
      </c>
      <c r="C235" s="365" t="str">
        <f>'FR-16(7)(v)-1 Functional'!C235</f>
        <v>EDIT</v>
      </c>
      <c r="D235" s="344" t="str">
        <f>'FR-16(7)(v)-1 Functional'!D235</f>
        <v>NP29</v>
      </c>
      <c r="E235" s="196"/>
      <c r="F235" s="479">
        <f>'FR-16(7)(v)-4 DISTR Classified'!I235</f>
        <v>14083944</v>
      </c>
      <c r="G235" s="349">
        <f>F235-SUM(H235:J235)</f>
        <v>12117543</v>
      </c>
      <c r="H235" s="347">
        <f>ROUND($F$235*VLOOKUP($D$235,ALLOCTABLE_DISTR_CUSTOMER,$H$10,FALSE),0)</f>
        <v>1861757</v>
      </c>
      <c r="I235" s="347">
        <f>ROUND(F235*VLOOKUP(D235,ALLOCTABLE_DISTR_CUSTOMER,$I$10,FALSE),0)</f>
        <v>51829</v>
      </c>
      <c r="J235" s="347">
        <f>ROUND(F235*VLOOKUP(D235,ALLOCTABLE_DISTR_CUSTOMER,$J$10,FALSE),0)</f>
        <v>52815</v>
      </c>
      <c r="K235" s="347">
        <f>SUM(G235:J235)</f>
        <v>14083944</v>
      </c>
      <c r="L235" s="347">
        <f>F235-K235</f>
        <v>0</v>
      </c>
    </row>
    <row r="236" spans="1:12">
      <c r="A236" s="333">
        <v>34</v>
      </c>
      <c r="C236" s="339" t="str">
        <f>'FR-16(7)(v)-1 Functional'!C236</f>
        <v xml:space="preserve">  TOTAL OTHER SUBTRACTIVE ADJS</v>
      </c>
      <c r="D236" s="344"/>
      <c r="E236" s="196"/>
      <c r="F236" s="348">
        <f t="shared" ref="F236:L236" si="94">SUM(F231:F235)</f>
        <v>14790030</v>
      </c>
      <c r="G236" s="348">
        <f>SUM(G231:G235)</f>
        <v>12725172</v>
      </c>
      <c r="H236" s="348">
        <f t="shared" si="94"/>
        <v>1955229</v>
      </c>
      <c r="I236" s="348">
        <f t="shared" si="94"/>
        <v>54166</v>
      </c>
      <c r="J236" s="348">
        <f t="shared" si="94"/>
        <v>55463</v>
      </c>
      <c r="K236" s="348">
        <f t="shared" si="94"/>
        <v>14790030</v>
      </c>
      <c r="L236" s="348">
        <f t="shared" si="94"/>
        <v>0</v>
      </c>
    </row>
    <row r="237" spans="1:12">
      <c r="A237" s="333">
        <v>35</v>
      </c>
      <c r="D237" s="344"/>
      <c r="E237" s="196"/>
      <c r="I237" s="332"/>
    </row>
    <row r="238" spans="1:12">
      <c r="A238" s="333">
        <v>36</v>
      </c>
      <c r="B238" s="332" t="s">
        <v>828</v>
      </c>
      <c r="D238" s="344"/>
      <c r="E238" s="196"/>
      <c r="F238" s="347">
        <f t="shared" ref="F238:L238" si="95">F236+F229+F215</f>
        <v>46269980</v>
      </c>
      <c r="G238" s="347">
        <f>G236+G229+G215</f>
        <v>39722983</v>
      </c>
      <c r="H238" s="347">
        <f t="shared" si="95"/>
        <v>6161137</v>
      </c>
      <c r="I238" s="347">
        <f t="shared" si="95"/>
        <v>214440</v>
      </c>
      <c r="J238" s="347">
        <f t="shared" si="95"/>
        <v>171420</v>
      </c>
      <c r="K238" s="347">
        <f t="shared" si="95"/>
        <v>46269980</v>
      </c>
      <c r="L238" s="347">
        <f t="shared" si="95"/>
        <v>0</v>
      </c>
    </row>
    <row r="239" spans="1:12">
      <c r="B239" s="343"/>
      <c r="C239" s="196"/>
      <c r="D239" s="344"/>
      <c r="E239" s="196"/>
      <c r="G239" s="342"/>
      <c r="H239" s="342"/>
      <c r="I239" s="196"/>
      <c r="J239" s="344"/>
      <c r="K239" s="196"/>
      <c r="L239" s="196"/>
    </row>
    <row r="240" spans="1:12">
      <c r="A240" s="343" t="str">
        <f>co_name</f>
        <v>DUKE ENERGY KENTUCKY, INC.</v>
      </c>
      <c r="C240" s="196"/>
      <c r="D240" s="344"/>
      <c r="E240" s="196"/>
      <c r="F240" s="344"/>
      <c r="G240" s="342"/>
      <c r="H240" s="342"/>
      <c r="I240" s="196"/>
      <c r="K240" s="361" t="str">
        <f>$K$1</f>
        <v>FR-16(7)(v)-6</v>
      </c>
      <c r="L240" s="196"/>
    </row>
    <row r="241" spans="1:12">
      <c r="A241" s="343" t="str">
        <f>$A$2</f>
        <v>DISTRIBUTION CUSTOMER ALLOCATED - GAS COST OF SERVICE</v>
      </c>
      <c r="C241" s="196"/>
      <c r="D241" s="344"/>
      <c r="E241" s="196"/>
      <c r="F241" s="344"/>
      <c r="G241" s="342"/>
      <c r="H241" s="342"/>
      <c r="I241" s="196"/>
      <c r="K241" s="361" t="str">
        <f>$K$2</f>
        <v>WITNESS RESPONSIBLE:</v>
      </c>
      <c r="L241" s="196"/>
    </row>
    <row r="242" spans="1:12">
      <c r="A242" s="343" t="str">
        <f>case_name</f>
        <v>CASE NO: 2018-00261</v>
      </c>
      <c r="C242" s="196"/>
      <c r="D242" s="344"/>
      <c r="E242" s="196"/>
      <c r="F242" s="344"/>
      <c r="G242" s="342"/>
      <c r="H242" s="342"/>
      <c r="I242" s="196"/>
      <c r="K242" s="361" t="str">
        <f>Witness</f>
        <v>JAMES E. ZIOLKOWSKI</v>
      </c>
      <c r="L242" s="196"/>
    </row>
    <row r="243" spans="1:12">
      <c r="A243" s="343" t="str">
        <f>data_filing</f>
        <v>DATA: 12 MONTH FORECASTED PERIOD</v>
      </c>
      <c r="C243" s="196"/>
      <c r="D243" s="344"/>
      <c r="E243" s="196"/>
      <c r="F243" s="344"/>
      <c r="G243" s="342"/>
      <c r="H243" s="342"/>
      <c r="I243" s="196"/>
      <c r="K243" s="361" t="str">
        <f>"PAGE "&amp;Pages-12&amp;" OF "&amp;Pages</f>
        <v>PAGE 6 OF 18</v>
      </c>
      <c r="L243" s="196"/>
    </row>
    <row r="244" spans="1:12">
      <c r="A244" s="343" t="str">
        <f>type</f>
        <v xml:space="preserve">TYPE OF FILING: "X" ORIGINAL   UPDATED    REVISED  </v>
      </c>
      <c r="C244" s="196"/>
      <c r="D244" s="344"/>
      <c r="E244" s="196"/>
      <c r="F244" s="344"/>
      <c r="G244" s="342"/>
      <c r="H244" s="342"/>
      <c r="I244" s="196"/>
      <c r="J244" s="344"/>
      <c r="K244" s="196"/>
      <c r="L244" s="196"/>
    </row>
    <row r="245" spans="1:12">
      <c r="B245" s="343"/>
      <c r="C245" s="196"/>
      <c r="D245" s="344"/>
      <c r="E245" s="196"/>
      <c r="F245" s="344"/>
      <c r="G245" s="342"/>
      <c r="H245" s="342"/>
      <c r="I245" s="196"/>
      <c r="J245" s="344"/>
      <c r="K245" s="196"/>
      <c r="L245" s="196"/>
    </row>
    <row r="246" spans="1:12">
      <c r="B246" s="343"/>
      <c r="C246" s="196"/>
      <c r="D246" s="344"/>
      <c r="E246" s="196"/>
      <c r="F246" s="344" t="str">
        <f>$F$7</f>
        <v>TOTAL</v>
      </c>
      <c r="G246" s="342"/>
      <c r="H246" s="342"/>
      <c r="I246" s="196"/>
      <c r="J246" s="344"/>
      <c r="K246" s="196"/>
      <c r="L246" s="196"/>
    </row>
    <row r="247" spans="1:12">
      <c r="A247" s="344" t="s">
        <v>914</v>
      </c>
      <c r="B247" s="196"/>
      <c r="C247" s="196"/>
      <c r="D247" s="344"/>
      <c r="E247" s="196"/>
      <c r="F247" s="344" t="str">
        <f>$F$8</f>
        <v>DISTRIBUTION</v>
      </c>
      <c r="G247" s="354" t="str">
        <f>$G$8</f>
        <v>RS</v>
      </c>
      <c r="H247" s="354" t="str">
        <f>$H$8</f>
        <v>GS</v>
      </c>
      <c r="I247" s="344" t="str">
        <f>$I$8</f>
        <v>FT-L</v>
      </c>
      <c r="J247" s="344" t="str">
        <f>$J$8</f>
        <v>INTERUPT</v>
      </c>
      <c r="K247" s="344" t="s">
        <v>229</v>
      </c>
      <c r="L247" s="344" t="s">
        <v>342</v>
      </c>
    </row>
    <row r="248" spans="1:12">
      <c r="A248" s="346" t="s">
        <v>915</v>
      </c>
      <c r="B248" s="345" t="s">
        <v>954</v>
      </c>
      <c r="C248" s="345"/>
      <c r="D248" s="346" t="s">
        <v>337</v>
      </c>
      <c r="E248" s="345"/>
      <c r="F248" s="344" t="str">
        <f>$F$9</f>
        <v>CUSTOMER</v>
      </c>
      <c r="G248" s="355" t="str">
        <f>$G$9</f>
        <v>RESIDENTIAL</v>
      </c>
      <c r="H248" s="355" t="str">
        <f>$H$9</f>
        <v>GEN SERV</v>
      </c>
      <c r="I248" s="346" t="str">
        <f>$I$9</f>
        <v>FIRM TRANS</v>
      </c>
      <c r="J248" s="346" t="str">
        <f>$J$9</f>
        <v>TRANS</v>
      </c>
      <c r="K248" s="346" t="s">
        <v>341</v>
      </c>
      <c r="L248" s="346" t="s">
        <v>340</v>
      </c>
    </row>
    <row r="249" spans="1:12">
      <c r="C249" s="578" t="s">
        <v>558</v>
      </c>
      <c r="D249" s="344"/>
      <c r="E249" s="196"/>
      <c r="F249" s="761"/>
      <c r="G249" s="633">
        <f>$G$10</f>
        <v>3</v>
      </c>
      <c r="H249" s="633">
        <f>$H$10</f>
        <v>4</v>
      </c>
      <c r="I249" s="633">
        <f>$I$10</f>
        <v>5</v>
      </c>
      <c r="J249" s="633">
        <f>$J$10</f>
        <v>6</v>
      </c>
    </row>
    <row r="250" spans="1:12">
      <c r="A250" s="333">
        <v>1</v>
      </c>
      <c r="B250" s="332" t="s">
        <v>826</v>
      </c>
      <c r="D250" s="344"/>
      <c r="E250" s="196"/>
      <c r="I250" s="332"/>
    </row>
    <row r="251" spans="1:12">
      <c r="A251" s="333">
        <v>2</v>
      </c>
      <c r="B251" s="332" t="s">
        <v>29</v>
      </c>
      <c r="D251" s="344"/>
      <c r="E251" s="196"/>
      <c r="I251" s="332"/>
    </row>
    <row r="252" spans="1:12">
      <c r="A252" s="333">
        <v>3</v>
      </c>
      <c r="C252" s="332" t="str">
        <f>'FR-16(7)(v)-1 Functional'!C252</f>
        <v>UNCOLLECTIBLE ACCTS</v>
      </c>
      <c r="D252" s="344" t="str">
        <f>'FR-16(7)(v)-1 Functional'!D252</f>
        <v>K406</v>
      </c>
      <c r="F252" s="479">
        <f>'FR-16(7)(v)-4 DISTR Classified'!I252</f>
        <v>3828</v>
      </c>
      <c r="G252" s="349">
        <f t="shared" ref="G252:G274" si="96">F252-SUM(H252:J252)</f>
        <v>3553</v>
      </c>
      <c r="H252" s="347">
        <f>ROUND($F$252*VLOOKUP($D$252,ALLOCTABLE_DISTR_CUSTOMER,$H$10,FALSE),0)</f>
        <v>270</v>
      </c>
      <c r="I252" s="347">
        <f t="shared" ref="I252:I274" si="97">ROUND(F252*VLOOKUP(D252,ALLOCTABLE_DISTR_CUSTOMER,$I$10,FALSE),0)</f>
        <v>4</v>
      </c>
      <c r="J252" s="347">
        <f t="shared" ref="J252:J274" si="98">ROUND(F252*VLOOKUP(D252,ALLOCTABLE_DISTR_CUSTOMER,$J$10,FALSE),0)</f>
        <v>1</v>
      </c>
      <c r="K252" s="347">
        <f t="shared" ref="K252:K274" si="99">SUM(G252:J252)</f>
        <v>3828</v>
      </c>
      <c r="L252" s="347">
        <f t="shared" ref="L252:L274" si="100">F252-K252</f>
        <v>0</v>
      </c>
    </row>
    <row r="253" spans="1:12">
      <c r="A253" s="333">
        <v>4</v>
      </c>
      <c r="C253" s="332" t="str">
        <f>'FR-16(7)(v)-1 Functional'!C253</f>
        <v>GAS SUPPLIER REFUND</v>
      </c>
      <c r="D253" s="344" t="str">
        <f>'FR-16(7)(v)-1 Functional'!D253</f>
        <v>K300</v>
      </c>
      <c r="F253" s="479">
        <f>'FR-16(7)(v)-4 DISTR Classified'!I253</f>
        <v>0</v>
      </c>
      <c r="G253" s="349">
        <f t="shared" si="96"/>
        <v>0</v>
      </c>
      <c r="H253" s="347">
        <f>ROUND($F$253*VLOOKUP($D$253,ALLOCTABLE_DISTR_CUSTOMER,$H$10,FALSE),0)</f>
        <v>0</v>
      </c>
      <c r="I253" s="347">
        <f t="shared" si="97"/>
        <v>0</v>
      </c>
      <c r="J253" s="347">
        <f t="shared" si="98"/>
        <v>0</v>
      </c>
      <c r="K253" s="347">
        <f t="shared" si="99"/>
        <v>0</v>
      </c>
      <c r="L253" s="347">
        <f t="shared" si="100"/>
        <v>0</v>
      </c>
    </row>
    <row r="254" spans="1:12">
      <c r="A254" s="333">
        <v>5</v>
      </c>
      <c r="C254" s="332" t="str">
        <f>'FR-16(7)(v)-1 Functional'!C254</f>
        <v>UNBILLED REVENUE - FUEL &amp; RATE REFUNDS</v>
      </c>
      <c r="D254" s="344" t="str">
        <f>'FR-16(7)(v)-1 Functional'!D254</f>
        <v>K300</v>
      </c>
      <c r="F254" s="479">
        <f>'FR-16(7)(v)-4 DISTR Classified'!I254</f>
        <v>0</v>
      </c>
      <c r="G254" s="349">
        <f t="shared" si="96"/>
        <v>0</v>
      </c>
      <c r="H254" s="347">
        <f>ROUND($F$254*VLOOKUP($D$254,ALLOCTABLE_DISTR_CUSTOMER,$H$10,FALSE),0)</f>
        <v>0</v>
      </c>
      <c r="I254" s="347">
        <f t="shared" si="97"/>
        <v>0</v>
      </c>
      <c r="J254" s="347">
        <f t="shared" si="98"/>
        <v>0</v>
      </c>
      <c r="K254" s="347">
        <f t="shared" si="99"/>
        <v>0</v>
      </c>
      <c r="L254" s="347">
        <f t="shared" si="100"/>
        <v>0</v>
      </c>
    </row>
    <row r="255" spans="1:12">
      <c r="A255" s="333">
        <v>6</v>
      </c>
      <c r="C255" s="353" t="str">
        <f>'FR-16(7)(v)-1 Functional'!C255</f>
        <v>OFFSITE GAS STORAGE</v>
      </c>
      <c r="D255" s="344" t="str">
        <f>'FR-16(7)(v)-1 Functional'!D255</f>
        <v>K300</v>
      </c>
      <c r="F255" s="479">
        <f>'FR-16(7)(v)-4 DISTR Classified'!I255</f>
        <v>0</v>
      </c>
      <c r="G255" s="349">
        <f t="shared" si="96"/>
        <v>0</v>
      </c>
      <c r="H255" s="347">
        <f>ROUND($F$255*VLOOKUP($D$255,ALLOCTABLE_DISTR_CUSTOMER,$H$10,FALSE),0)</f>
        <v>0</v>
      </c>
      <c r="I255" s="347">
        <f t="shared" si="97"/>
        <v>0</v>
      </c>
      <c r="J255" s="347">
        <f t="shared" si="98"/>
        <v>0</v>
      </c>
      <c r="K255" s="347">
        <f t="shared" si="99"/>
        <v>0</v>
      </c>
      <c r="L255" s="347">
        <f t="shared" si="100"/>
        <v>0</v>
      </c>
    </row>
    <row r="256" spans="1:12">
      <c r="A256" s="333">
        <v>7</v>
      </c>
      <c r="C256" s="332" t="str">
        <f>'FR-16(7)(v)-1 Functional'!C256</f>
        <v>GAS METERS</v>
      </c>
      <c r="D256" s="344" t="str">
        <f>'FR-16(7)(v)-1 Functional'!D256</f>
        <v>K413</v>
      </c>
      <c r="F256" s="479">
        <f>'FR-16(7)(v)-4 DISTR Classified'!I256</f>
        <v>37579</v>
      </c>
      <c r="G256" s="349">
        <f t="shared" si="96"/>
        <v>29754</v>
      </c>
      <c r="H256" s="347">
        <f>ROUND($F$256*VLOOKUP($D$256,ALLOCTABLE_DISTR_CUSTOMER,$H$10,FALSE),0)</f>
        <v>7375</v>
      </c>
      <c r="I256" s="347">
        <f t="shared" si="97"/>
        <v>303</v>
      </c>
      <c r="J256" s="347">
        <f t="shared" si="98"/>
        <v>147</v>
      </c>
      <c r="K256" s="347">
        <f t="shared" si="99"/>
        <v>37579</v>
      </c>
      <c r="L256" s="347">
        <f t="shared" si="100"/>
        <v>0</v>
      </c>
    </row>
    <row r="257" spans="1:12">
      <c r="A257" s="333">
        <v>8</v>
      </c>
      <c r="C257" s="332" t="str">
        <f>'FR-16(7)(v)-1 Functional'!C257</f>
        <v>UNAMORTIZED DEBT PREMIUM</v>
      </c>
      <c r="D257" s="344" t="str">
        <f>'FR-16(7)(v)-1 Functional'!D257</f>
        <v>NP29</v>
      </c>
      <c r="F257" s="479">
        <f>'FR-16(7)(v)-4 DISTR Classified'!I257</f>
        <v>-824</v>
      </c>
      <c r="G257" s="349">
        <f t="shared" si="96"/>
        <v>-709</v>
      </c>
      <c r="H257" s="347">
        <f>ROUND($F$257*VLOOKUP($D$257,ALLOCTABLE_DISTR_CUSTOMER,$H$10,FALSE),0)</f>
        <v>-109</v>
      </c>
      <c r="I257" s="347">
        <f t="shared" si="97"/>
        <v>-3</v>
      </c>
      <c r="J257" s="347">
        <f t="shared" si="98"/>
        <v>-3</v>
      </c>
      <c r="K257" s="347">
        <f t="shared" si="99"/>
        <v>-824</v>
      </c>
      <c r="L257" s="347">
        <f t="shared" si="100"/>
        <v>0</v>
      </c>
    </row>
    <row r="258" spans="1:12">
      <c r="A258" s="333">
        <v>9</v>
      </c>
      <c r="C258" s="332" t="str">
        <f>'FR-16(7)(v)-1 Functional'!C258</f>
        <v>ARO CUMULATIVE EFFECT</v>
      </c>
      <c r="D258" s="344" t="str">
        <f>'FR-16(7)(v)-1 Functional'!D258</f>
        <v>NP29</v>
      </c>
      <c r="F258" s="479">
        <f>'FR-16(7)(v)-4 DISTR Classified'!I258</f>
        <v>0</v>
      </c>
      <c r="G258" s="349">
        <f t="shared" si="96"/>
        <v>0</v>
      </c>
      <c r="H258" s="347">
        <f>ROUND($F$258*VLOOKUP($D$258,ALLOCTABLE_DISTR_CUSTOMER,$H$10,FALSE),0)</f>
        <v>0</v>
      </c>
      <c r="I258" s="347">
        <f t="shared" si="97"/>
        <v>0</v>
      </c>
      <c r="J258" s="347">
        <f t="shared" si="98"/>
        <v>0</v>
      </c>
      <c r="K258" s="347">
        <f t="shared" si="99"/>
        <v>0</v>
      </c>
      <c r="L258" s="347">
        <f t="shared" si="100"/>
        <v>0</v>
      </c>
    </row>
    <row r="259" spans="1:12">
      <c r="A259" s="333">
        <v>10</v>
      </c>
      <c r="C259" s="332" t="str">
        <f>'FR-16(7)(v)-1 Functional'!C259</f>
        <v>PENSION EXPENSE</v>
      </c>
      <c r="D259" s="344" t="str">
        <f>'FR-16(7)(v)-1 Functional'!D259</f>
        <v>AG39</v>
      </c>
      <c r="F259" s="479">
        <f>'FR-16(7)(v)-4 DISTR Classified'!I259</f>
        <v>99110</v>
      </c>
      <c r="G259" s="349">
        <f t="shared" si="96"/>
        <v>84924</v>
      </c>
      <c r="H259" s="347">
        <f>ROUND($F$259*VLOOKUP($D$259,ALLOCTABLE_DISTR_CUSTOMER,$H$10,FALSE),0)</f>
        <v>12769</v>
      </c>
      <c r="I259" s="347">
        <f t="shared" si="97"/>
        <v>1042</v>
      </c>
      <c r="J259" s="347">
        <f t="shared" si="98"/>
        <v>375</v>
      </c>
      <c r="K259" s="347">
        <f t="shared" si="99"/>
        <v>99110</v>
      </c>
      <c r="L259" s="347">
        <f t="shared" si="100"/>
        <v>0</v>
      </c>
    </row>
    <row r="260" spans="1:12">
      <c r="A260" s="333">
        <v>11</v>
      </c>
      <c r="C260" s="332" t="str">
        <f>'FR-16(7)(v)-1 Functional'!C260</f>
        <v>POST RETIREMENT BENEFITS - LIFE INS</v>
      </c>
      <c r="D260" s="344" t="str">
        <f>'FR-16(7)(v)-1 Functional'!D260</f>
        <v>AG39</v>
      </c>
      <c r="F260" s="479">
        <f>'FR-16(7)(v)-4 DISTR Classified'!I260</f>
        <v>0</v>
      </c>
      <c r="G260" s="349">
        <f t="shared" si="96"/>
        <v>0</v>
      </c>
      <c r="H260" s="347">
        <f>ROUND($F$260*VLOOKUP($D$260,ALLOCTABLE_DISTR_CUSTOMER,$H$10,FALSE),0)</f>
        <v>0</v>
      </c>
      <c r="I260" s="347">
        <f t="shared" si="97"/>
        <v>0</v>
      </c>
      <c r="J260" s="347">
        <f t="shared" si="98"/>
        <v>0</v>
      </c>
      <c r="K260" s="347">
        <f t="shared" si="99"/>
        <v>0</v>
      </c>
      <c r="L260" s="347">
        <f t="shared" si="100"/>
        <v>0</v>
      </c>
    </row>
    <row r="261" spans="1:12">
      <c r="A261" s="333">
        <v>12</v>
      </c>
      <c r="C261" s="332" t="str">
        <f>'FR-16(7)(v)-1 Functional'!C261</f>
        <v>POST RETIREMENT BENEFITS - HEALTH CARE</v>
      </c>
      <c r="D261" s="344" t="str">
        <f>'FR-16(7)(v)-1 Functional'!D261</f>
        <v>AG39</v>
      </c>
      <c r="F261" s="479">
        <f>'FR-16(7)(v)-4 DISTR Classified'!I261</f>
        <v>0</v>
      </c>
      <c r="G261" s="349">
        <f t="shared" si="96"/>
        <v>0</v>
      </c>
      <c r="H261" s="347">
        <f>ROUND($F$261*VLOOKUP($D$261,ALLOCTABLE_DISTR_CUSTOMER,$H$10,FALSE),0)</f>
        <v>0</v>
      </c>
      <c r="I261" s="347">
        <f t="shared" si="97"/>
        <v>0</v>
      </c>
      <c r="J261" s="347">
        <f t="shared" si="98"/>
        <v>0</v>
      </c>
      <c r="K261" s="347">
        <f t="shared" si="99"/>
        <v>0</v>
      </c>
      <c r="L261" s="347">
        <f t="shared" si="100"/>
        <v>0</v>
      </c>
    </row>
    <row r="262" spans="1:12">
      <c r="A262" s="333">
        <v>13</v>
      </c>
      <c r="C262" s="332" t="str">
        <f>'FR-16(7)(v)-1 Functional'!C262</f>
        <v>POST EMPLOYMENT BENEFITS - SFAS 112</v>
      </c>
      <c r="D262" s="344" t="str">
        <f>'FR-16(7)(v)-1 Functional'!D262</f>
        <v>AG39</v>
      </c>
      <c r="F262" s="479">
        <f>'FR-16(7)(v)-4 DISTR Classified'!I262</f>
        <v>23638</v>
      </c>
      <c r="G262" s="349">
        <f t="shared" si="96"/>
        <v>20255</v>
      </c>
      <c r="H262" s="347">
        <f>ROUND($F$262*VLOOKUP($D$262,ALLOCTABLE_DISTR_CUSTOMER,$H$10,FALSE),0)</f>
        <v>3046</v>
      </c>
      <c r="I262" s="347">
        <f t="shared" si="97"/>
        <v>248</v>
      </c>
      <c r="J262" s="347">
        <f t="shared" si="98"/>
        <v>89</v>
      </c>
      <c r="K262" s="347">
        <f t="shared" si="99"/>
        <v>23638</v>
      </c>
      <c r="L262" s="347">
        <f t="shared" si="100"/>
        <v>0</v>
      </c>
    </row>
    <row r="263" spans="1:12">
      <c r="A263" s="333">
        <v>14</v>
      </c>
      <c r="C263" s="332" t="str">
        <f>'FR-16(7)(v)-1 Functional'!C263</f>
        <v>OPEB EXPENSE ACCRUAL</v>
      </c>
      <c r="D263" s="344" t="str">
        <f>'FR-16(7)(v)-1 Functional'!D263</f>
        <v>AG39</v>
      </c>
      <c r="F263" s="479">
        <f>'FR-16(7)(v)-4 DISTR Classified'!I263</f>
        <v>162664</v>
      </c>
      <c r="G263" s="349">
        <f t="shared" si="96"/>
        <v>139381</v>
      </c>
      <c r="H263" s="347">
        <f>ROUND($F$263*VLOOKUP($D$263,ALLOCTABLE_DISTR_CUSTOMER,$H$10,FALSE),0)</f>
        <v>20958</v>
      </c>
      <c r="I263" s="347">
        <f t="shared" si="97"/>
        <v>1710</v>
      </c>
      <c r="J263" s="347">
        <f t="shared" si="98"/>
        <v>615</v>
      </c>
      <c r="K263" s="347">
        <f t="shared" si="99"/>
        <v>162664</v>
      </c>
      <c r="L263" s="347">
        <f t="shared" si="100"/>
        <v>0</v>
      </c>
    </row>
    <row r="264" spans="1:12">
      <c r="A264" s="333">
        <v>15</v>
      </c>
      <c r="C264" s="332" t="str">
        <f>'FR-16(7)(v)-1 Functional'!C264</f>
        <v>INCENTIVE PLAN</v>
      </c>
      <c r="D264" s="344" t="str">
        <f>'FR-16(7)(v)-1 Functional'!D264</f>
        <v>AG39</v>
      </c>
      <c r="F264" s="479">
        <f>'FR-16(7)(v)-4 DISTR Classified'!I264</f>
        <v>0</v>
      </c>
      <c r="G264" s="349">
        <f t="shared" si="96"/>
        <v>0</v>
      </c>
      <c r="H264" s="347">
        <f>ROUND($F$264*VLOOKUP($D$264,ALLOCTABLE_DISTR_CUSTOMER,$H$10,FALSE),0)</f>
        <v>0</v>
      </c>
      <c r="I264" s="347">
        <f t="shared" si="97"/>
        <v>0</v>
      </c>
      <c r="J264" s="347">
        <f t="shared" si="98"/>
        <v>0</v>
      </c>
      <c r="K264" s="347">
        <f t="shared" si="99"/>
        <v>0</v>
      </c>
      <c r="L264" s="347">
        <f t="shared" si="100"/>
        <v>0</v>
      </c>
    </row>
    <row r="265" spans="1:12">
      <c r="A265" s="333">
        <v>16</v>
      </c>
      <c r="C265" s="332" t="str">
        <f>'FR-16(7)(v)-1 Functional'!C265</f>
        <v>FEDERAL DEFERRED TAX RECEIVEABLE</v>
      </c>
      <c r="D265" s="344" t="str">
        <f>'FR-16(7)(v)-1 Functional'!D265</f>
        <v>AG39</v>
      </c>
      <c r="F265" s="479">
        <f>'FR-16(7)(v)-4 DISTR Classified'!I265</f>
        <v>0</v>
      </c>
      <c r="G265" s="349">
        <f t="shared" si="96"/>
        <v>0</v>
      </c>
      <c r="H265" s="347">
        <f>ROUND($F$265*VLOOKUP($D$265,ALLOCTABLE_DISTR_CUSTOMER,$H$10,FALSE),0)</f>
        <v>0</v>
      </c>
      <c r="I265" s="347">
        <f t="shared" si="97"/>
        <v>0</v>
      </c>
      <c r="J265" s="347">
        <f t="shared" si="98"/>
        <v>0</v>
      </c>
      <c r="K265" s="347">
        <f t="shared" si="99"/>
        <v>0</v>
      </c>
      <c r="L265" s="347">
        <f t="shared" si="100"/>
        <v>0</v>
      </c>
    </row>
    <row r="266" spans="1:12">
      <c r="A266" s="333">
        <v>17</v>
      </c>
      <c r="C266" s="332" t="str">
        <f>'FR-16(7)(v)-1 Functional'!C266</f>
        <v>DSM DEFERRAL</v>
      </c>
      <c r="D266" s="344" t="str">
        <f>'FR-16(7)(v)-1 Functional'!D266</f>
        <v>AG39</v>
      </c>
      <c r="F266" s="479">
        <f>'FR-16(7)(v)-4 DISTR Classified'!I266</f>
        <v>100734</v>
      </c>
      <c r="G266" s="349">
        <f t="shared" si="96"/>
        <v>86315</v>
      </c>
      <c r="H266" s="347">
        <f>ROUND($F$266*VLOOKUP($D$266,ALLOCTABLE_DISTR_CUSTOMER,$H$10,FALSE),0)</f>
        <v>12979</v>
      </c>
      <c r="I266" s="347">
        <f t="shared" si="97"/>
        <v>1059</v>
      </c>
      <c r="J266" s="347">
        <f t="shared" si="98"/>
        <v>381</v>
      </c>
      <c r="K266" s="347">
        <f t="shared" si="99"/>
        <v>100734</v>
      </c>
      <c r="L266" s="347">
        <f t="shared" si="100"/>
        <v>0</v>
      </c>
    </row>
    <row r="267" spans="1:12">
      <c r="A267" s="333">
        <v>18</v>
      </c>
      <c r="C267" s="332" t="str">
        <f>'FR-16(7)(v)-1 Functional'!C267</f>
        <v>PROPERTY TAX</v>
      </c>
      <c r="D267" s="344" t="str">
        <f>'FR-16(7)(v)-1 Functional'!D267</f>
        <v>P229</v>
      </c>
      <c r="F267" s="479">
        <f>'FR-16(7)(v)-4 DISTR Classified'!I267</f>
        <v>0</v>
      </c>
      <c r="G267" s="349">
        <f t="shared" si="96"/>
        <v>0</v>
      </c>
      <c r="H267" s="347">
        <f>ROUND($F$267*VLOOKUP($D$267,ALLOCTABLE_DISTR_CUSTOMER,$H$10,FALSE),0)</f>
        <v>0</v>
      </c>
      <c r="I267" s="347">
        <f t="shared" si="97"/>
        <v>0</v>
      </c>
      <c r="J267" s="347">
        <f t="shared" si="98"/>
        <v>0</v>
      </c>
      <c r="K267" s="347">
        <f t="shared" si="99"/>
        <v>0</v>
      </c>
      <c r="L267" s="347">
        <f t="shared" si="100"/>
        <v>0</v>
      </c>
    </row>
    <row r="268" spans="1:12">
      <c r="A268" s="333">
        <v>19</v>
      </c>
      <c r="C268" s="353" t="str">
        <f>'FR-16(7)(v)-1 Functional'!C268</f>
        <v>PROPERTY TAX ON PROPANE</v>
      </c>
      <c r="D268" s="344" t="str">
        <f>'FR-16(7)(v)-1 Functional'!D268</f>
        <v>P229</v>
      </c>
      <c r="F268" s="479">
        <f>'FR-16(7)(v)-4 DISTR Classified'!I268</f>
        <v>0</v>
      </c>
      <c r="G268" s="349">
        <f t="shared" si="96"/>
        <v>0</v>
      </c>
      <c r="H268" s="347">
        <f>ROUND($F$268*VLOOKUP($D$268,ALLOCTABLE_DISTR_CUSTOMER,$H$10,FALSE),0)</f>
        <v>0</v>
      </c>
      <c r="I268" s="347">
        <f t="shared" si="97"/>
        <v>0</v>
      </c>
      <c r="J268" s="347">
        <f t="shared" si="98"/>
        <v>0</v>
      </c>
      <c r="K268" s="347">
        <f t="shared" si="99"/>
        <v>0</v>
      </c>
      <c r="L268" s="347">
        <f t="shared" si="100"/>
        <v>0</v>
      </c>
    </row>
    <row r="269" spans="1:12">
      <c r="A269" s="333">
        <v>20</v>
      </c>
      <c r="C269" s="489" t="str">
        <f>'FR-16(7)(v)-1 Functional'!C269</f>
        <v>401K INCENTIVE PLAN</v>
      </c>
      <c r="D269" s="344" t="str">
        <f>'FR-16(7)(v)-1 Functional'!D269</f>
        <v>AG39</v>
      </c>
      <c r="F269" s="479">
        <f>'FR-16(7)(v)-4 DISTR Classified'!I269</f>
        <v>0</v>
      </c>
      <c r="G269" s="349">
        <f t="shared" si="96"/>
        <v>0</v>
      </c>
      <c r="H269" s="347">
        <f>ROUND($F$269*VLOOKUP($D$269,ALLOCTABLE_DISTR_CUSTOMER,$H$10,FALSE),0)</f>
        <v>0</v>
      </c>
      <c r="I269" s="347">
        <f t="shared" si="97"/>
        <v>0</v>
      </c>
      <c r="J269" s="347">
        <f t="shared" si="98"/>
        <v>0</v>
      </c>
      <c r="K269" s="347">
        <f t="shared" si="99"/>
        <v>0</v>
      </c>
      <c r="L269" s="347">
        <f t="shared" si="100"/>
        <v>0</v>
      </c>
    </row>
    <row r="270" spans="1:12">
      <c r="A270" s="333">
        <v>21</v>
      </c>
      <c r="C270" s="332" t="str">
        <f>'FR-16(7)(v)-1 Functional'!C270</f>
        <v>ENVIRONMENTAL RESERVE</v>
      </c>
      <c r="D270" s="344" t="str">
        <f>'FR-16(7)(v)-1 Functional'!D270</f>
        <v>NP29</v>
      </c>
      <c r="F270" s="479">
        <f>'FR-16(7)(v)-4 DISTR Classified'!I270</f>
        <v>71602</v>
      </c>
      <c r="G270" s="349">
        <f t="shared" si="96"/>
        <v>61605</v>
      </c>
      <c r="H270" s="347">
        <f>ROUND($F$270*VLOOKUP($D$270,ALLOCTABLE_DISTR_CUSTOMER,$H$10,FALSE),0)</f>
        <v>9465</v>
      </c>
      <c r="I270" s="347">
        <f t="shared" si="97"/>
        <v>263</v>
      </c>
      <c r="J270" s="347">
        <f t="shared" si="98"/>
        <v>269</v>
      </c>
      <c r="K270" s="347">
        <f t="shared" si="99"/>
        <v>71602</v>
      </c>
      <c r="L270" s="347">
        <f t="shared" si="100"/>
        <v>0</v>
      </c>
    </row>
    <row r="271" spans="1:12">
      <c r="A271" s="333">
        <v>22</v>
      </c>
      <c r="C271" s="332" t="str">
        <f>'FR-16(7)(v)-1 Functional'!C271</f>
        <v>VACATION PAY ACCRUALS</v>
      </c>
      <c r="D271" s="344" t="str">
        <f>'FR-16(7)(v)-1 Functional'!D271</f>
        <v>G129</v>
      </c>
      <c r="F271" s="479">
        <f>'FR-16(7)(v)-4 DISTR Classified'!I271</f>
        <v>88088</v>
      </c>
      <c r="G271" s="349">
        <f t="shared" si="96"/>
        <v>75480</v>
      </c>
      <c r="H271" s="347">
        <f>ROUND($F$271*VLOOKUP($D$271,ALLOCTABLE_DISTR_CUSTOMER,$H$10,FALSE),0)</f>
        <v>11349</v>
      </c>
      <c r="I271" s="347">
        <f t="shared" si="97"/>
        <v>926</v>
      </c>
      <c r="J271" s="347">
        <f t="shared" si="98"/>
        <v>333</v>
      </c>
      <c r="K271" s="347">
        <f t="shared" si="99"/>
        <v>88088</v>
      </c>
      <c r="L271" s="347">
        <f t="shared" si="100"/>
        <v>0</v>
      </c>
    </row>
    <row r="272" spans="1:12">
      <c r="A272" s="333">
        <v>23</v>
      </c>
      <c r="C272" s="332" t="str">
        <f>'FR-16(7)(v)-1 Functional'!C272</f>
        <v>SMART GRID</v>
      </c>
      <c r="D272" s="344" t="str">
        <f>'FR-16(7)(v)-1 Functional'!D272</f>
        <v>K413</v>
      </c>
      <c r="F272" s="479">
        <f>'FR-16(7)(v)-4 DISTR Classified'!I272</f>
        <v>0</v>
      </c>
      <c r="G272" s="349">
        <f t="shared" si="96"/>
        <v>0</v>
      </c>
      <c r="H272" s="347">
        <f>ROUND($F$272*VLOOKUP($D$272,ALLOCTABLE_DISTR_CUSTOMER,$H$10,FALSE),0)</f>
        <v>0</v>
      </c>
      <c r="I272" s="347">
        <f t="shared" si="97"/>
        <v>0</v>
      </c>
      <c r="J272" s="347">
        <f t="shared" si="98"/>
        <v>0</v>
      </c>
      <c r="K272" s="347">
        <f t="shared" si="99"/>
        <v>0</v>
      </c>
      <c r="L272" s="347">
        <f t="shared" si="100"/>
        <v>0</v>
      </c>
    </row>
    <row r="273" spans="1:12">
      <c r="A273" s="333">
        <v>24</v>
      </c>
      <c r="C273" s="332" t="str">
        <f>'FR-16(7)(v)-1 Functional'!C273</f>
        <v>METERS &amp; TRANSFORMERS</v>
      </c>
      <c r="D273" s="344" t="str">
        <f>'FR-16(7)(v)-1 Functional'!D273</f>
        <v>D249</v>
      </c>
      <c r="F273" s="479">
        <f>'FR-16(7)(v)-4 DISTR Classified'!I273</f>
        <v>0</v>
      </c>
      <c r="G273" s="349">
        <f t="shared" si="96"/>
        <v>0</v>
      </c>
      <c r="H273" s="347">
        <f>ROUND($F$273*VLOOKUP($D$273,ALLOCTABLE_DISTR_CUSTOMER,$H$10,FALSE),0)</f>
        <v>0</v>
      </c>
      <c r="I273" s="347">
        <f t="shared" si="97"/>
        <v>0</v>
      </c>
      <c r="J273" s="347">
        <f t="shared" si="98"/>
        <v>0</v>
      </c>
      <c r="K273" s="347">
        <f t="shared" si="99"/>
        <v>0</v>
      </c>
      <c r="L273" s="347">
        <f t="shared" si="100"/>
        <v>0</v>
      </c>
    </row>
    <row r="274" spans="1:12">
      <c r="A274" s="333">
        <v>25</v>
      </c>
      <c r="C274" s="359" t="str">
        <f>'FR-16(7)(v)-1 Functional'!C274</f>
        <v>OTHER</v>
      </c>
      <c r="D274" s="344" t="str">
        <f>'FR-16(7)(v)-1 Functional'!D274</f>
        <v>AG39</v>
      </c>
      <c r="F274" s="479">
        <f>'FR-16(7)(v)-4 DISTR Classified'!I274</f>
        <v>203910</v>
      </c>
      <c r="G274" s="349">
        <f t="shared" si="96"/>
        <v>174724</v>
      </c>
      <c r="H274" s="347">
        <f>ROUND($F$274*VLOOKUP($D$274,ALLOCTABLE_DISTR_CUSTOMER,$H$10,FALSE),0)</f>
        <v>26272</v>
      </c>
      <c r="I274" s="347">
        <f t="shared" si="97"/>
        <v>2143</v>
      </c>
      <c r="J274" s="347">
        <f t="shared" si="98"/>
        <v>771</v>
      </c>
      <c r="K274" s="347">
        <f t="shared" si="99"/>
        <v>203910</v>
      </c>
      <c r="L274" s="347">
        <f t="shared" si="100"/>
        <v>0</v>
      </c>
    </row>
    <row r="275" spans="1:12">
      <c r="A275" s="333">
        <v>26</v>
      </c>
      <c r="C275" s="332" t="str">
        <f>'FR-16(7)(v)-1 Functional'!C275</f>
        <v xml:space="preserve">  TOTAL ACCOUNT 190</v>
      </c>
      <c r="D275" s="344"/>
      <c r="F275" s="348">
        <f t="shared" ref="F275:L275" si="101">SUM(F251:F274)</f>
        <v>790329</v>
      </c>
      <c r="G275" s="348">
        <f>SUM(G251:G274)</f>
        <v>675282</v>
      </c>
      <c r="H275" s="348">
        <f t="shared" si="101"/>
        <v>104374</v>
      </c>
      <c r="I275" s="348">
        <f t="shared" si="101"/>
        <v>7695</v>
      </c>
      <c r="J275" s="348">
        <f t="shared" si="101"/>
        <v>2978</v>
      </c>
      <c r="K275" s="348">
        <f t="shared" si="101"/>
        <v>790329</v>
      </c>
      <c r="L275" s="348">
        <f t="shared" si="101"/>
        <v>0</v>
      </c>
    </row>
    <row r="276" spans="1:12">
      <c r="A276" s="333">
        <v>27</v>
      </c>
      <c r="D276" s="344"/>
      <c r="E276" s="196"/>
      <c r="I276" s="332"/>
    </row>
    <row r="277" spans="1:12">
      <c r="A277" s="333">
        <v>28</v>
      </c>
      <c r="B277" s="332" t="s">
        <v>30</v>
      </c>
      <c r="D277" s="344"/>
      <c r="E277" s="196"/>
      <c r="I277" s="332"/>
    </row>
    <row r="278" spans="1:12">
      <c r="A278" s="333">
        <v>29</v>
      </c>
      <c r="C278" s="365" t="str">
        <f>'FR-16(7)(v)-1 Functional'!C278</f>
        <v>RESERVED FOR FUTURE USE</v>
      </c>
      <c r="D278" s="344" t="str">
        <f>'FR-16(7)(v)-1 Functional'!D278</f>
        <v>D249</v>
      </c>
      <c r="F278" s="479">
        <f>'FR-16(7)(v)-4 DISTR Classified'!I278</f>
        <v>0</v>
      </c>
      <c r="G278" s="349">
        <f>F278-SUM(H278:J278)</f>
        <v>0</v>
      </c>
      <c r="H278" s="347">
        <f>ROUND($F$278*VLOOKUP($D$278,ALLOCTABLE_DISTR_CUSTOMER,$H$10,FALSE),0)</f>
        <v>0</v>
      </c>
      <c r="I278" s="347">
        <f>ROUND(F278*VLOOKUP(D278,ALLOCTABLE_DISTR_CUSTOMER,$I$10,FALSE),0)</f>
        <v>0</v>
      </c>
      <c r="J278" s="347">
        <f>ROUND(F278*VLOOKUP(D278,ALLOCTABLE_DISTR_CUSTOMER,$J$10,FALSE),0)</f>
        <v>0</v>
      </c>
      <c r="K278" s="347">
        <f>SUM(G278:J278)</f>
        <v>0</v>
      </c>
      <c r="L278" s="347">
        <f>F278-K278</f>
        <v>0</v>
      </c>
    </row>
    <row r="279" spans="1:12">
      <c r="A279" s="333">
        <v>30</v>
      </c>
      <c r="C279" s="332" t="str">
        <f>'FR-16(7)(v)-1 Functional'!C279</f>
        <v>ANNUALIZE DEPRECIATION</v>
      </c>
      <c r="D279" s="344" t="str">
        <f>'FR-16(7)(v)-1 Functional'!D279</f>
        <v>NP29</v>
      </c>
      <c r="F279" s="477">
        <f>'FR-16(7)(v)-4 DISTR Classified'!I279</f>
        <v>-121547</v>
      </c>
      <c r="G279" s="349">
        <f>F279-SUM(H279:J279)</f>
        <v>-104577</v>
      </c>
      <c r="H279" s="347">
        <f>ROUND($F$279*VLOOKUP($D$279,ALLOCTABLE_DISTR_CUSTOMER,$H$10,FALSE),0)</f>
        <v>-16067</v>
      </c>
      <c r="I279" s="347">
        <f>ROUND(F279*VLOOKUP(D279,ALLOCTABLE_DISTR_CUSTOMER,$I$10,FALSE),0)</f>
        <v>-447</v>
      </c>
      <c r="J279" s="347">
        <f>ROUND(F279*VLOOKUP(D279,ALLOCTABLE_DISTR_CUSTOMER,$J$10,FALSE),0)</f>
        <v>-456</v>
      </c>
      <c r="K279" s="347">
        <f>SUM(G279:J279)</f>
        <v>-121547</v>
      </c>
      <c r="L279" s="347">
        <f>F279-K279</f>
        <v>0</v>
      </c>
    </row>
    <row r="280" spans="1:12">
      <c r="A280" s="333">
        <v>31</v>
      </c>
      <c r="C280" s="332" t="str">
        <f>'FR-16(7)(v)-1 Functional'!C280</f>
        <v>ELIMINATE UNBILLED REVENUE AND GAS COSTS</v>
      </c>
      <c r="D280" s="344" t="str">
        <f>'FR-16(7)(v)-1 Functional'!D280</f>
        <v>K300</v>
      </c>
      <c r="F280" s="477">
        <v>0</v>
      </c>
      <c r="G280" s="349">
        <f>F280-SUM(H280:J280)</f>
        <v>0</v>
      </c>
      <c r="H280" s="347">
        <f>ROUND($F$280*VLOOKUP($D$280,ALLOCTABLE_DISTR_CUSTOMER,$H$10,FALSE),0)</f>
        <v>0</v>
      </c>
      <c r="I280" s="347">
        <f>ROUND(F280*VLOOKUP(D280,ALLOCTABLE_DISTR_CUSTOMER,$I$10,FALSE),0)</f>
        <v>0</v>
      </c>
      <c r="J280" s="347">
        <f>ROUND(F280*VLOOKUP(D280,ALLOCTABLE_DISTR_CUSTOMER,$J$10,FALSE),0)</f>
        <v>0</v>
      </c>
      <c r="K280" s="347">
        <f>SUM(G280:J280)</f>
        <v>0</v>
      </c>
      <c r="L280" s="347">
        <f>F280-K280</f>
        <v>0</v>
      </c>
    </row>
    <row r="281" spans="1:12">
      <c r="A281" s="333">
        <v>32</v>
      </c>
      <c r="C281" s="339" t="str">
        <f>'FR-16(7)(v)-1 Functional'!C281</f>
        <v xml:space="preserve">  OTHER</v>
      </c>
      <c r="D281" s="344"/>
      <c r="F281" s="348">
        <f>SUM(F278:F280)</f>
        <v>-121547</v>
      </c>
      <c r="G281" s="348">
        <f t="shared" ref="G281:L281" si="102">SUM(G277:G280)</f>
        <v>-104577</v>
      </c>
      <c r="H281" s="348">
        <f t="shared" si="102"/>
        <v>-16067</v>
      </c>
      <c r="I281" s="348">
        <f t="shared" si="102"/>
        <v>-447</v>
      </c>
      <c r="J281" s="348">
        <f t="shared" si="102"/>
        <v>-456</v>
      </c>
      <c r="K281" s="348">
        <f t="shared" si="102"/>
        <v>-121547</v>
      </c>
      <c r="L281" s="348">
        <f t="shared" si="102"/>
        <v>0</v>
      </c>
    </row>
    <row r="282" spans="1:12">
      <c r="A282" s="333">
        <v>33</v>
      </c>
      <c r="D282" s="344"/>
      <c r="F282" s="335" t="s">
        <v>343</v>
      </c>
      <c r="I282" s="332"/>
    </row>
    <row r="283" spans="1:12">
      <c r="A283" s="333">
        <v>34</v>
      </c>
      <c r="B283" s="332" t="s">
        <v>825</v>
      </c>
      <c r="D283" s="344"/>
      <c r="F283" s="347">
        <f t="shared" ref="F283:L283" si="103">F275+F281</f>
        <v>668782</v>
      </c>
      <c r="G283" s="347">
        <f>G275+G281</f>
        <v>570705</v>
      </c>
      <c r="H283" s="347">
        <f t="shared" si="103"/>
        <v>88307</v>
      </c>
      <c r="I283" s="347">
        <f t="shared" si="103"/>
        <v>7248</v>
      </c>
      <c r="J283" s="347">
        <f t="shared" si="103"/>
        <v>2522</v>
      </c>
      <c r="K283" s="347">
        <f t="shared" si="103"/>
        <v>668782</v>
      </c>
      <c r="L283" s="347">
        <f t="shared" si="103"/>
        <v>0</v>
      </c>
    </row>
    <row r="284" spans="1:12">
      <c r="B284" s="343"/>
      <c r="C284" s="196"/>
      <c r="D284" s="344"/>
      <c r="E284" s="196"/>
      <c r="G284" s="342"/>
      <c r="H284" s="342"/>
      <c r="I284" s="196"/>
      <c r="J284" s="344"/>
      <c r="K284" s="196"/>
      <c r="L284" s="196"/>
    </row>
    <row r="285" spans="1:12">
      <c r="A285" s="343" t="str">
        <f>co_name</f>
        <v>DUKE ENERGY KENTUCKY, INC.</v>
      </c>
      <c r="C285" s="196"/>
      <c r="D285" s="344"/>
      <c r="E285" s="196"/>
      <c r="F285" s="344"/>
      <c r="G285" s="342"/>
      <c r="H285" s="342"/>
      <c r="I285" s="196"/>
      <c r="K285" s="361" t="str">
        <f>$K$1</f>
        <v>FR-16(7)(v)-6</v>
      </c>
      <c r="L285" s="196"/>
    </row>
    <row r="286" spans="1:12">
      <c r="A286" s="343" t="str">
        <f>$A$2</f>
        <v>DISTRIBUTION CUSTOMER ALLOCATED - GAS COST OF SERVICE</v>
      </c>
      <c r="C286" s="196"/>
      <c r="D286" s="344"/>
      <c r="E286" s="196"/>
      <c r="F286" s="344"/>
      <c r="G286" s="342"/>
      <c r="H286" s="342"/>
      <c r="I286" s="196"/>
      <c r="K286" s="361" t="str">
        <f>$K$2</f>
        <v>WITNESS RESPONSIBLE:</v>
      </c>
      <c r="L286" s="196"/>
    </row>
    <row r="287" spans="1:12">
      <c r="A287" s="343" t="str">
        <f>case_name</f>
        <v>CASE NO: 2018-00261</v>
      </c>
      <c r="C287" s="196"/>
      <c r="D287" s="344"/>
      <c r="E287" s="196"/>
      <c r="F287" s="344"/>
      <c r="G287" s="342"/>
      <c r="H287" s="342"/>
      <c r="I287" s="196"/>
      <c r="K287" s="361" t="str">
        <f>Witness</f>
        <v>JAMES E. ZIOLKOWSKI</v>
      </c>
      <c r="L287" s="196"/>
    </row>
    <row r="288" spans="1:12">
      <c r="A288" s="343" t="str">
        <f>data_filing</f>
        <v>DATA: 12 MONTH FORECASTED PERIOD</v>
      </c>
      <c r="C288" s="196"/>
      <c r="D288" s="344"/>
      <c r="E288" s="196"/>
      <c r="F288" s="344"/>
      <c r="G288" s="342"/>
      <c r="H288" s="342"/>
      <c r="I288" s="196"/>
      <c r="K288" s="361" t="str">
        <f>"PAGE "&amp;Pages-11&amp;" OF "&amp;Pages</f>
        <v>PAGE 7 OF 18</v>
      </c>
      <c r="L288" s="196"/>
    </row>
    <row r="289" spans="1:12">
      <c r="A289" s="343" t="str">
        <f>type</f>
        <v xml:space="preserve">TYPE OF FILING: "X" ORIGINAL   UPDATED    REVISED  </v>
      </c>
      <c r="C289" s="196"/>
      <c r="D289" s="344"/>
      <c r="E289" s="196"/>
      <c r="F289" s="344"/>
      <c r="G289" s="342"/>
      <c r="H289" s="342"/>
      <c r="I289" s="196"/>
      <c r="J289" s="344"/>
      <c r="K289" s="196"/>
      <c r="L289" s="196"/>
    </row>
    <row r="290" spans="1:12">
      <c r="B290" s="343"/>
      <c r="C290" s="196"/>
      <c r="D290" s="344"/>
      <c r="E290" s="196"/>
      <c r="F290" s="344"/>
      <c r="G290" s="342"/>
      <c r="H290" s="342"/>
      <c r="I290" s="196"/>
      <c r="J290" s="344"/>
      <c r="K290" s="196"/>
      <c r="L290" s="196"/>
    </row>
    <row r="291" spans="1:12">
      <c r="B291" s="343"/>
      <c r="C291" s="196"/>
      <c r="D291" s="344"/>
      <c r="E291" s="196"/>
      <c r="F291" s="344" t="str">
        <f>$F$7</f>
        <v>TOTAL</v>
      </c>
      <c r="G291" s="342"/>
      <c r="H291" s="342"/>
      <c r="I291" s="196"/>
      <c r="J291" s="344"/>
      <c r="K291" s="196"/>
      <c r="L291" s="196"/>
    </row>
    <row r="292" spans="1:12">
      <c r="A292" s="344" t="s">
        <v>914</v>
      </c>
      <c r="B292" s="196"/>
      <c r="C292" s="196"/>
      <c r="D292" s="344"/>
      <c r="E292" s="196"/>
      <c r="F292" s="344" t="str">
        <f>$F$8</f>
        <v>DISTRIBUTION</v>
      </c>
      <c r="G292" s="354" t="str">
        <f>$G$8</f>
        <v>RS</v>
      </c>
      <c r="H292" s="354" t="str">
        <f>$H$8</f>
        <v>GS</v>
      </c>
      <c r="I292" s="344" t="str">
        <f>$I$8</f>
        <v>FT-L</v>
      </c>
      <c r="J292" s="344" t="str">
        <f>$J$8</f>
        <v>INTERUPT</v>
      </c>
      <c r="K292" s="344" t="s">
        <v>229</v>
      </c>
      <c r="L292" s="344" t="s">
        <v>342</v>
      </c>
    </row>
    <row r="293" spans="1:12">
      <c r="A293" s="346" t="s">
        <v>915</v>
      </c>
      <c r="B293" s="345" t="s">
        <v>32</v>
      </c>
      <c r="C293" s="345"/>
      <c r="D293" s="346" t="s">
        <v>337</v>
      </c>
      <c r="E293" s="345"/>
      <c r="F293" s="344" t="str">
        <f>$F$9</f>
        <v>CUSTOMER</v>
      </c>
      <c r="G293" s="355" t="str">
        <f>$G$9</f>
        <v>RESIDENTIAL</v>
      </c>
      <c r="H293" s="355" t="str">
        <f>$H$9</f>
        <v>GEN SERV</v>
      </c>
      <c r="I293" s="346" t="str">
        <f>$I$9</f>
        <v>FIRM TRANS</v>
      </c>
      <c r="J293" s="346" t="str">
        <f>$J$9</f>
        <v>TRANS</v>
      </c>
      <c r="K293" s="346" t="s">
        <v>341</v>
      </c>
      <c r="L293" s="346" t="s">
        <v>340</v>
      </c>
    </row>
    <row r="294" spans="1:12">
      <c r="C294" s="578" t="s">
        <v>559</v>
      </c>
      <c r="D294" s="344"/>
      <c r="E294" s="490"/>
      <c r="F294" s="763"/>
      <c r="G294" s="633">
        <f>$G$10</f>
        <v>3</v>
      </c>
      <c r="H294" s="633">
        <f>$H$10</f>
        <v>4</v>
      </c>
      <c r="I294" s="633">
        <f>$I$10</f>
        <v>5</v>
      </c>
      <c r="J294" s="633">
        <f>$J$10</f>
        <v>6</v>
      </c>
      <c r="K294" s="490"/>
      <c r="L294" s="490"/>
    </row>
    <row r="295" spans="1:12">
      <c r="C295" s="578"/>
      <c r="D295" s="344"/>
      <c r="E295" s="490"/>
      <c r="F295" s="491"/>
      <c r="G295" s="633"/>
      <c r="H295" s="633"/>
      <c r="I295" s="633"/>
      <c r="J295" s="633"/>
      <c r="K295" s="490"/>
      <c r="L295" s="490"/>
    </row>
    <row r="296" spans="1:12">
      <c r="A296" s="333">
        <v>1</v>
      </c>
      <c r="B296" s="332" t="s">
        <v>31</v>
      </c>
      <c r="D296" s="344"/>
      <c r="E296" s="196"/>
      <c r="F296" s="347">
        <f t="shared" ref="F296:L296" si="104">F191-F238+F283</f>
        <v>134758389</v>
      </c>
      <c r="G296" s="347">
        <f>G191-G238+G283</f>
        <v>116023767</v>
      </c>
      <c r="H296" s="347">
        <f t="shared" si="104"/>
        <v>17769691</v>
      </c>
      <c r="I296" s="347">
        <f t="shared" si="104"/>
        <v>456975</v>
      </c>
      <c r="J296" s="347">
        <f t="shared" si="104"/>
        <v>507956</v>
      </c>
      <c r="K296" s="347">
        <f t="shared" si="104"/>
        <v>134758389</v>
      </c>
      <c r="L296" s="347">
        <f t="shared" si="104"/>
        <v>0</v>
      </c>
    </row>
    <row r="297" spans="1:12">
      <c r="A297" s="333">
        <v>2</v>
      </c>
      <c r="D297" s="344"/>
      <c r="E297" s="196"/>
      <c r="I297" s="332"/>
    </row>
    <row r="298" spans="1:12">
      <c r="A298" s="333">
        <v>3</v>
      </c>
      <c r="B298" s="332" t="s">
        <v>32</v>
      </c>
      <c r="D298" s="344"/>
      <c r="E298" s="196"/>
      <c r="I298" s="332"/>
    </row>
    <row r="299" spans="1:12">
      <c r="A299" s="333">
        <v>4</v>
      </c>
      <c r="D299" s="344"/>
      <c r="E299" s="196"/>
      <c r="I299" s="332"/>
    </row>
    <row r="300" spans="1:12">
      <c r="A300" s="333">
        <v>5</v>
      </c>
      <c r="B300" s="332" t="s">
        <v>33</v>
      </c>
      <c r="D300" s="344"/>
      <c r="E300" s="196"/>
      <c r="I300" s="332"/>
    </row>
    <row r="301" spans="1:12">
      <c r="A301" s="333">
        <v>6</v>
      </c>
      <c r="C301" s="332" t="str">
        <f>'FR-16(7)(v)-1 Functional'!C301</f>
        <v>GAS ENRICHER LIQUID</v>
      </c>
      <c r="D301" s="344" t="str">
        <f>'FR-16(7)(v)-1 Functional'!D301</f>
        <v>K301</v>
      </c>
      <c r="E301" s="196"/>
      <c r="F301" s="479">
        <f>'FR-16(7)(v)-4 DISTR Classified'!I301</f>
        <v>0</v>
      </c>
      <c r="G301" s="349">
        <f>F301-SUM(H301:J301)</f>
        <v>0</v>
      </c>
      <c r="H301" s="347">
        <f>ROUND($F$301*VLOOKUP($D$301,ALLOCTABLE_DISTR_CUSTOMER,$H$10,FALSE),0)</f>
        <v>0</v>
      </c>
      <c r="I301" s="347">
        <f>ROUND(F301*VLOOKUP(D301,ALLOCTABLE_DISTR_CUSTOMER,$I$10,FALSE),0)</f>
        <v>0</v>
      </c>
      <c r="J301" s="347">
        <f>ROUND(F301*VLOOKUP(D301,ALLOCTABLE_DISTR_CUSTOMER,$J$10,FALSE),0)</f>
        <v>0</v>
      </c>
      <c r="K301" s="347">
        <f>SUM(G301:J301)</f>
        <v>0</v>
      </c>
      <c r="L301" s="347">
        <f>F301-K301</f>
        <v>0</v>
      </c>
    </row>
    <row r="302" spans="1:12">
      <c r="A302" s="333">
        <v>7</v>
      </c>
      <c r="C302" s="359" t="str">
        <f>'FR-16(7)(v)-1 Functional'!C302</f>
        <v>OTHER SUPPLIES</v>
      </c>
      <c r="D302" s="344" t="str">
        <f>'FR-16(7)(v)-1 Functional'!D302</f>
        <v>NP29</v>
      </c>
      <c r="E302" s="196"/>
      <c r="F302" s="479">
        <f>'FR-16(7)(v)-4 DISTR Classified'!I302</f>
        <v>514012</v>
      </c>
      <c r="G302" s="349">
        <f>F302-SUM(H302:J302)</f>
        <v>442245</v>
      </c>
      <c r="H302" s="347">
        <f>ROUND($F$302*VLOOKUP($D$302,ALLOCTABLE_DISTR_CUSTOMER,$H$10,FALSE),0)</f>
        <v>67947</v>
      </c>
      <c r="I302" s="347">
        <f>ROUND(F302*VLOOKUP(D302,ALLOCTABLE_DISTR_CUSTOMER,$I$10,FALSE),0)</f>
        <v>1892</v>
      </c>
      <c r="J302" s="347">
        <f>ROUND(F302*VLOOKUP(D302,ALLOCTABLE_DISTR_CUSTOMER,$J$10,FALSE),0)</f>
        <v>1928</v>
      </c>
      <c r="K302" s="347">
        <f>SUM(G302:J302)</f>
        <v>514012</v>
      </c>
      <c r="L302" s="347">
        <f>F302-K302</f>
        <v>0</v>
      </c>
    </row>
    <row r="303" spans="1:12">
      <c r="A303" s="333">
        <v>8</v>
      </c>
      <c r="C303" s="332" t="str">
        <f>'FR-16(7)(v)-1 Functional'!C303</f>
        <v xml:space="preserve">  TOTAL PLANT MATS. &amp; SUPPLIES</v>
      </c>
      <c r="D303" s="344"/>
      <c r="E303" s="196"/>
      <c r="F303" s="348">
        <f t="shared" ref="F303:L303" si="105">SUM(F300:F302)</f>
        <v>514012</v>
      </c>
      <c r="G303" s="348">
        <f>SUM(G300:G302)</f>
        <v>442245</v>
      </c>
      <c r="H303" s="348">
        <f t="shared" si="105"/>
        <v>67947</v>
      </c>
      <c r="I303" s="348">
        <f t="shared" si="105"/>
        <v>1892</v>
      </c>
      <c r="J303" s="348">
        <f t="shared" si="105"/>
        <v>1928</v>
      </c>
      <c r="K303" s="348">
        <f t="shared" si="105"/>
        <v>514012</v>
      </c>
      <c r="L303" s="348">
        <f t="shared" si="105"/>
        <v>0</v>
      </c>
    </row>
    <row r="304" spans="1:12">
      <c r="A304" s="333">
        <v>9</v>
      </c>
      <c r="B304" s="332" t="s">
        <v>34</v>
      </c>
      <c r="D304" s="344"/>
      <c r="E304" s="196"/>
      <c r="F304" s="347">
        <f t="shared" ref="F304:L304" si="106">F303</f>
        <v>514012</v>
      </c>
      <c r="G304" s="670">
        <f t="shared" si="106"/>
        <v>442245</v>
      </c>
      <c r="H304" s="670">
        <f t="shared" si="106"/>
        <v>67947</v>
      </c>
      <c r="I304" s="347">
        <f t="shared" si="106"/>
        <v>1892</v>
      </c>
      <c r="J304" s="347">
        <f t="shared" si="106"/>
        <v>1928</v>
      </c>
      <c r="K304" s="347">
        <f t="shared" si="106"/>
        <v>514012</v>
      </c>
      <c r="L304" s="347">
        <f t="shared" si="106"/>
        <v>0</v>
      </c>
    </row>
    <row r="305" spans="1:12">
      <c r="A305" s="333">
        <v>10</v>
      </c>
      <c r="D305" s="344"/>
      <c r="E305" s="196"/>
      <c r="I305" s="332"/>
    </row>
    <row r="306" spans="1:12">
      <c r="A306" s="333">
        <v>11</v>
      </c>
      <c r="B306" s="332" t="s">
        <v>35</v>
      </c>
      <c r="D306" s="344"/>
      <c r="E306" s="196"/>
      <c r="I306" s="332"/>
    </row>
    <row r="307" spans="1:12">
      <c r="A307" s="333">
        <v>12</v>
      </c>
      <c r="C307" s="332" t="str">
        <f>'FR-16(7)(v)-1 Functional'!C307</f>
        <v>INSURANCE GENERAL</v>
      </c>
      <c r="D307" s="344" t="str">
        <f>'FR-16(7)(v)-1 Functional'!D307</f>
        <v>OM39</v>
      </c>
      <c r="E307" s="196"/>
      <c r="F307" s="479">
        <f>'FR-16(7)(v)-4 DISTR Classified'!I307</f>
        <v>7739</v>
      </c>
      <c r="G307" s="349">
        <f>F307-SUM(H307:J307)</f>
        <v>6513</v>
      </c>
      <c r="H307" s="347">
        <f>ROUND($F$307*VLOOKUP($D$307,ALLOCTABLE_DISTR_CUSTOMER,$H$10,FALSE),0)</f>
        <v>1094</v>
      </c>
      <c r="I307" s="347">
        <f>ROUND(F307*VLOOKUP(D307,ALLOCTABLE_DISTR_CUSTOMER,$I$10,FALSE),0)</f>
        <v>97</v>
      </c>
      <c r="J307" s="347">
        <f>ROUND(F307*VLOOKUP(D307,ALLOCTABLE_DISTR_CUSTOMER,$J$10,FALSE),0)</f>
        <v>35</v>
      </c>
      <c r="K307" s="347">
        <f>SUM(G307:J307)</f>
        <v>7739</v>
      </c>
      <c r="L307" s="347">
        <f>F307-K307</f>
        <v>0</v>
      </c>
    </row>
    <row r="308" spans="1:12">
      <c r="A308" s="333">
        <v>13</v>
      </c>
      <c r="C308" s="332" t="str">
        <f>'FR-16(7)(v)-1 Functional'!C308</f>
        <v>EXCISE TAX</v>
      </c>
      <c r="D308" s="344" t="str">
        <f>'FR-16(7)(v)-1 Functional'!D308</f>
        <v>OM39</v>
      </c>
      <c r="E308" s="196"/>
      <c r="F308" s="479">
        <f>'FR-16(7)(v)-4 DISTR Classified'!I308</f>
        <v>0</v>
      </c>
      <c r="G308" s="349">
        <f>F308-SUM(H308:J308)</f>
        <v>0</v>
      </c>
      <c r="H308" s="347">
        <f>ROUND($F$308*VLOOKUP($D$308,ALLOCTABLE_DISTR_CUSTOMER,$H$10,FALSE),0)</f>
        <v>0</v>
      </c>
      <c r="I308" s="347">
        <f>ROUND(F308*VLOOKUP(D308,ALLOCTABLE_DISTR_CUSTOMER,$I$10,FALSE),0)</f>
        <v>0</v>
      </c>
      <c r="J308" s="347">
        <f>ROUND(F308*VLOOKUP(D308,ALLOCTABLE_DISTR_CUSTOMER,$J$10,FALSE),0)</f>
        <v>0</v>
      </c>
      <c r="K308" s="347">
        <f>SUM(G308:J308)</f>
        <v>0</v>
      </c>
      <c r="L308" s="347">
        <f>F308-K308</f>
        <v>0</v>
      </c>
    </row>
    <row r="309" spans="1:12">
      <c r="A309" s="333">
        <v>14</v>
      </c>
      <c r="C309" s="332" t="str">
        <f>'FR-16(7)(v)-1 Functional'!C309</f>
        <v>GAS PURCHASE</v>
      </c>
      <c r="D309" s="344" t="str">
        <f>'FR-16(7)(v)-1 Functional'!D309</f>
        <v>K301</v>
      </c>
      <c r="E309" s="196"/>
      <c r="F309" s="479">
        <f>'FR-16(7)(v)-4 DISTR Classified'!I309</f>
        <v>0</v>
      </c>
      <c r="G309" s="349">
        <f>F309-SUM(H309:J309)</f>
        <v>0</v>
      </c>
      <c r="H309" s="347">
        <f>ROUND($F$309*VLOOKUP($D$309,ALLOCTABLE_DISTR_CUSTOMER,$H$10,FALSE),0)</f>
        <v>0</v>
      </c>
      <c r="I309" s="347">
        <f>ROUND(F309*VLOOKUP(D309,ALLOCTABLE_DISTR_CUSTOMER,$I$10,FALSE),0)</f>
        <v>0</v>
      </c>
      <c r="J309" s="347">
        <f>ROUND(F309*VLOOKUP(D309,ALLOCTABLE_DISTR_CUSTOMER,$J$10,FALSE),0)</f>
        <v>0</v>
      </c>
      <c r="K309" s="347">
        <f>SUM(G309:J309)</f>
        <v>0</v>
      </c>
      <c r="L309" s="347">
        <f>F309-K309</f>
        <v>0</v>
      </c>
    </row>
    <row r="310" spans="1:12">
      <c r="A310" s="333">
        <v>15</v>
      </c>
      <c r="C310" s="339" t="str">
        <f>'FR-16(7)(v)-1 Functional'!C310</f>
        <v xml:space="preserve">  TOTAL PREPAYMENTS</v>
      </c>
      <c r="D310" s="344"/>
      <c r="E310" s="196"/>
      <c r="F310" s="579">
        <f t="shared" ref="F310:L310" si="107">SUM(F306:F309)</f>
        <v>7739</v>
      </c>
      <c r="G310" s="579">
        <f>SUM(G306:G309)</f>
        <v>6513</v>
      </c>
      <c r="H310" s="579">
        <f t="shared" si="107"/>
        <v>1094</v>
      </c>
      <c r="I310" s="579">
        <f t="shared" si="107"/>
        <v>97</v>
      </c>
      <c r="J310" s="579">
        <f t="shared" si="107"/>
        <v>35</v>
      </c>
      <c r="K310" s="579">
        <f t="shared" si="107"/>
        <v>7739</v>
      </c>
      <c r="L310" s="579">
        <f t="shared" si="107"/>
        <v>0</v>
      </c>
    </row>
    <row r="311" spans="1:12">
      <c r="A311" s="333">
        <v>16</v>
      </c>
      <c r="D311" s="344"/>
      <c r="E311" s="196"/>
      <c r="I311" s="332"/>
    </row>
    <row r="312" spans="1:12">
      <c r="A312" s="333">
        <v>17</v>
      </c>
      <c r="B312" s="332" t="s">
        <v>36</v>
      </c>
      <c r="D312" s="344"/>
      <c r="E312" s="196"/>
      <c r="F312" s="347">
        <f>IF(WorkingCap="No",0,ROUND((F433-F348-F353)/8,0))</f>
        <v>1550887</v>
      </c>
      <c r="G312" s="347">
        <f>IF(WorkingCap="No",0,ROUND((G433-G348-G353)/8,0))</f>
        <v>1305206</v>
      </c>
      <c r="H312" s="347">
        <f>IF(WorkingCap="No",0,ROUND((H433-H348-H353)/8,0))</f>
        <v>219170</v>
      </c>
      <c r="I312" s="347">
        <f>IF(WorkingCap="No",0,ROUND((I433-I348-I353)/8,0))</f>
        <v>19461</v>
      </c>
      <c r="J312" s="347">
        <f>IF(WorkingCap="No",0,ROUND((J433-J348-J353)/8,0))</f>
        <v>7050</v>
      </c>
      <c r="K312" s="347">
        <f>SUM(G312:J312)</f>
        <v>1550887</v>
      </c>
      <c r="L312" s="347">
        <f>F312-K312</f>
        <v>0</v>
      </c>
    </row>
    <row r="313" spans="1:12">
      <c r="A313" s="333">
        <v>18</v>
      </c>
      <c r="B313" s="332" t="s">
        <v>37</v>
      </c>
      <c r="D313" s="344"/>
      <c r="E313" s="196"/>
      <c r="F313" s="347">
        <f t="shared" ref="F313:L313" si="108">F312</f>
        <v>1550887</v>
      </c>
      <c r="G313" s="670">
        <f t="shared" si="108"/>
        <v>1305206</v>
      </c>
      <c r="H313" s="670">
        <f t="shared" si="108"/>
        <v>219170</v>
      </c>
      <c r="I313" s="670">
        <f t="shared" si="108"/>
        <v>19461</v>
      </c>
      <c r="J313" s="347">
        <f t="shared" si="108"/>
        <v>7050</v>
      </c>
      <c r="K313" s="347">
        <f t="shared" si="108"/>
        <v>1550887</v>
      </c>
      <c r="L313" s="347">
        <f t="shared" si="108"/>
        <v>0</v>
      </c>
    </row>
    <row r="314" spans="1:12">
      <c r="A314" s="333">
        <v>19</v>
      </c>
      <c r="D314" s="344"/>
      <c r="E314" s="196"/>
      <c r="I314" s="332"/>
    </row>
    <row r="315" spans="1:12">
      <c r="A315" s="333">
        <v>20</v>
      </c>
      <c r="B315" s="332" t="s">
        <v>38</v>
      </c>
      <c r="D315" s="344"/>
      <c r="E315" s="196"/>
      <c r="I315" s="332"/>
    </row>
    <row r="316" spans="1:12">
      <c r="A316" s="333">
        <v>21</v>
      </c>
      <c r="C316" s="618" t="str">
        <f>'FR-16(7)(v)-1 Functional'!C316</f>
        <v>GAS STORED UNDERGROUND</v>
      </c>
      <c r="D316" s="344" t="str">
        <f>'FR-16(7)(v)-1 Functional'!D316</f>
        <v>K301</v>
      </c>
      <c r="E316" s="196"/>
      <c r="F316" s="479">
        <f>'FR-16(7)(v)-4 DISTR Classified'!I316</f>
        <v>0</v>
      </c>
      <c r="G316" s="349">
        <f>F316-SUM(H316:J316)</f>
        <v>0</v>
      </c>
      <c r="H316" s="347">
        <f>ROUND($F$316*VLOOKUP($D$316,ALLOCTABLE_DISTR_CUSTOMER,$H$10,FALSE),0)</f>
        <v>0</v>
      </c>
      <c r="I316" s="347">
        <f>ROUND(F316*VLOOKUP(D316,ALLOCTABLE_DISTR_CUSTOMER,$I$10,FALSE),0)</f>
        <v>0</v>
      </c>
      <c r="J316" s="347">
        <f>ROUND(F316*VLOOKUP(D316,ALLOCTABLE_DISTR_CUSTOMER,$J$10,FALSE),0)</f>
        <v>0</v>
      </c>
      <c r="K316" s="347">
        <f>SUM(G316:J316)</f>
        <v>0</v>
      </c>
      <c r="L316" s="347">
        <f>F316-K316</f>
        <v>0</v>
      </c>
    </row>
    <row r="317" spans="1:12">
      <c r="A317" s="333">
        <v>22</v>
      </c>
      <c r="C317" s="353" t="str">
        <f>'FR-16(7)(v)-1 Functional'!C317</f>
        <v>PIPP UNCOLLECTIBLES</v>
      </c>
      <c r="D317" s="344" t="str">
        <f>'FR-16(7)(v)-1 Functional'!D317</f>
        <v>K406</v>
      </c>
      <c r="E317" s="196"/>
      <c r="F317" s="479">
        <f>'FR-16(7)(v)-4 DISTR Classified'!I317</f>
        <v>0</v>
      </c>
      <c r="G317" s="349">
        <f>F317-SUM(H317:J317)</f>
        <v>0</v>
      </c>
      <c r="H317" s="347">
        <f>ROUND($F$317*VLOOKUP($D$317,ALLOCTABLE_DISTR_CUSTOMER,$H$10,FALSE),0)</f>
        <v>0</v>
      </c>
      <c r="I317" s="347">
        <f>ROUND(F317*VLOOKUP(D317,ALLOCTABLE_DISTR_CUSTOMER,$I$10,FALSE),0)</f>
        <v>0</v>
      </c>
      <c r="J317" s="347">
        <f>ROUND(F317*VLOOKUP(D317,ALLOCTABLE_DISTR_CUSTOMER,$J$10,FALSE),0)</f>
        <v>0</v>
      </c>
      <c r="K317" s="347">
        <f>SUM(G317:J317)</f>
        <v>0</v>
      </c>
      <c r="L317" s="347">
        <f>F317-K317</f>
        <v>0</v>
      </c>
    </row>
    <row r="318" spans="1:12">
      <c r="A318" s="333">
        <v>23</v>
      </c>
      <c r="C318" s="511" t="str">
        <f>'FR-16(7)(v)-1 Functional'!C318</f>
        <v>RESERVED FOR FUTURE USE</v>
      </c>
      <c r="D318" s="344" t="str">
        <f>'FR-16(7)(v)-1 Functional'!D318</f>
        <v>D249</v>
      </c>
      <c r="E318" s="196"/>
      <c r="F318" s="479">
        <f>'FR-16(7)(v)-4 DISTR Classified'!I318</f>
        <v>0</v>
      </c>
      <c r="G318" s="349">
        <f>F318-SUM(H318:J318)</f>
        <v>0</v>
      </c>
      <c r="H318" s="347">
        <f>ROUND($F$318*VLOOKUP($D$318,ALLOCTABLE_DISTR_CUSTOMER,$H$10,FALSE),0)</f>
        <v>0</v>
      </c>
      <c r="I318" s="347">
        <f>ROUND(F318*VLOOKUP(D318,ALLOCTABLE_DISTR_CUSTOMER,$I$10,FALSE),0)</f>
        <v>0</v>
      </c>
      <c r="J318" s="347">
        <f>ROUND(F318*VLOOKUP(D318,ALLOCTABLE_DISTR_CUSTOMER,$J$10,FALSE),0)</f>
        <v>0</v>
      </c>
      <c r="K318" s="347">
        <f>SUM(G318:J318)</f>
        <v>0</v>
      </c>
      <c r="L318" s="347">
        <f>F318-K318</f>
        <v>0</v>
      </c>
    </row>
    <row r="319" spans="1:12">
      <c r="A319" s="333">
        <v>24</v>
      </c>
      <c r="C319" s="332" t="str">
        <f>'FR-16(7)(v)-1 Functional'!C319</f>
        <v xml:space="preserve">  TOTAL MISC WORK CAPITAL</v>
      </c>
      <c r="D319" s="344"/>
      <c r="E319" s="196"/>
      <c r="F319" s="348">
        <f t="shared" ref="F319:L319" si="109">SUM(F315:F318)</f>
        <v>0</v>
      </c>
      <c r="G319" s="348">
        <f>SUM(G315:G318)</f>
        <v>0</v>
      </c>
      <c r="H319" s="348">
        <f t="shared" si="109"/>
        <v>0</v>
      </c>
      <c r="I319" s="348">
        <f t="shared" si="109"/>
        <v>0</v>
      </c>
      <c r="J319" s="348">
        <f t="shared" si="109"/>
        <v>0</v>
      </c>
      <c r="K319" s="348">
        <f t="shared" si="109"/>
        <v>0</v>
      </c>
      <c r="L319" s="348">
        <f t="shared" si="109"/>
        <v>0</v>
      </c>
    </row>
    <row r="320" spans="1:12">
      <c r="A320" s="333">
        <v>25</v>
      </c>
      <c r="D320" s="344"/>
      <c r="E320" s="196"/>
      <c r="I320" s="332"/>
    </row>
    <row r="321" spans="1:12">
      <c r="A321" s="333">
        <v>26</v>
      </c>
      <c r="B321" s="332" t="s">
        <v>39</v>
      </c>
      <c r="D321" s="344"/>
      <c r="E321" s="196"/>
      <c r="F321" s="347">
        <f t="shared" ref="F321:L321" si="110">F304+F310+F313+F319</f>
        <v>2072638</v>
      </c>
      <c r="G321" s="347">
        <f>G304+G310+G313+G319</f>
        <v>1753964</v>
      </c>
      <c r="H321" s="347">
        <f t="shared" si="110"/>
        <v>288211</v>
      </c>
      <c r="I321" s="347">
        <f t="shared" si="110"/>
        <v>21450</v>
      </c>
      <c r="J321" s="347">
        <f t="shared" si="110"/>
        <v>9013</v>
      </c>
      <c r="K321" s="347">
        <f t="shared" si="110"/>
        <v>2072638</v>
      </c>
      <c r="L321" s="347">
        <f t="shared" si="110"/>
        <v>0</v>
      </c>
    </row>
    <row r="322" spans="1:12">
      <c r="A322" s="333">
        <v>27</v>
      </c>
      <c r="B322" s="332" t="s">
        <v>40</v>
      </c>
      <c r="D322" s="344"/>
      <c r="E322" s="196"/>
      <c r="I322" s="332"/>
    </row>
    <row r="323" spans="1:12">
      <c r="A323" s="333">
        <v>28</v>
      </c>
      <c r="C323" s="332" t="str">
        <f>'FR-16(7)(v)-1 Functional'!C323</f>
        <v>TOTAL ACCUMULATED DEFERRED INCOME TAXES</v>
      </c>
      <c r="D323" s="344"/>
      <c r="E323" s="196"/>
      <c r="F323" s="347">
        <f t="shared" ref="F323:L323" si="111">-F238</f>
        <v>-46269980</v>
      </c>
      <c r="G323" s="347">
        <f>-G238</f>
        <v>-39722983</v>
      </c>
      <c r="H323" s="347">
        <f t="shared" si="111"/>
        <v>-6161137</v>
      </c>
      <c r="I323" s="347">
        <f t="shared" si="111"/>
        <v>-214440</v>
      </c>
      <c r="J323" s="347">
        <f t="shared" si="111"/>
        <v>-171420</v>
      </c>
      <c r="K323" s="347">
        <f t="shared" si="111"/>
        <v>-46269980</v>
      </c>
      <c r="L323" s="347">
        <f t="shared" si="111"/>
        <v>0</v>
      </c>
    </row>
    <row r="324" spans="1:12">
      <c r="A324" s="333">
        <v>29</v>
      </c>
      <c r="C324" s="332" t="str">
        <f>'FR-16(7)(v)-1 Functional'!C324</f>
        <v>TOTAL OTHER ACCUMULATED DEFERRED INCOME TAXES</v>
      </c>
      <c r="D324" s="344"/>
      <c r="E324" s="196"/>
      <c r="F324" s="347">
        <f t="shared" ref="F324:L324" si="112">F283</f>
        <v>668782</v>
      </c>
      <c r="G324" s="347">
        <f>G283</f>
        <v>570705</v>
      </c>
      <c r="H324" s="347">
        <f t="shared" si="112"/>
        <v>88307</v>
      </c>
      <c r="I324" s="347">
        <f t="shared" si="112"/>
        <v>7248</v>
      </c>
      <c r="J324" s="347">
        <f t="shared" si="112"/>
        <v>2522</v>
      </c>
      <c r="K324" s="347">
        <f t="shared" si="112"/>
        <v>668782</v>
      </c>
      <c r="L324" s="347">
        <f t="shared" si="112"/>
        <v>0</v>
      </c>
    </row>
    <row r="325" spans="1:12">
      <c r="A325" s="333">
        <v>30</v>
      </c>
      <c r="C325" s="359" t="str">
        <f>'FR-16(7)(v)-1 Functional'!C325</f>
        <v>TOTAL WORKING CAPITAL</v>
      </c>
      <c r="D325" s="344"/>
      <c r="E325" s="196"/>
      <c r="F325" s="347">
        <f t="shared" ref="F325:L325" si="113">F321</f>
        <v>2072638</v>
      </c>
      <c r="G325" s="347">
        <f>G321</f>
        <v>1753964</v>
      </c>
      <c r="H325" s="347">
        <f t="shared" si="113"/>
        <v>288211</v>
      </c>
      <c r="I325" s="347">
        <f t="shared" si="113"/>
        <v>21450</v>
      </c>
      <c r="J325" s="347">
        <f t="shared" si="113"/>
        <v>9013</v>
      </c>
      <c r="K325" s="347">
        <f t="shared" si="113"/>
        <v>2072638</v>
      </c>
      <c r="L325" s="347">
        <f t="shared" si="113"/>
        <v>0</v>
      </c>
    </row>
    <row r="326" spans="1:12">
      <c r="A326" s="333">
        <v>31</v>
      </c>
      <c r="C326" s="332" t="str">
        <f>'FR-16(7)(v)-1 Functional'!C326</f>
        <v xml:space="preserve">  TOTAL RATE BASE ADJUSTMENTS</v>
      </c>
      <c r="D326" s="344"/>
      <c r="E326" s="196"/>
      <c r="F326" s="348">
        <f t="shared" ref="F326:L326" si="114">SUM(F322:F325)</f>
        <v>-43528560</v>
      </c>
      <c r="G326" s="348">
        <f>SUM(G322:G325)</f>
        <v>-37398314</v>
      </c>
      <c r="H326" s="348">
        <f t="shared" si="114"/>
        <v>-5784619</v>
      </c>
      <c r="I326" s="348">
        <f t="shared" si="114"/>
        <v>-185742</v>
      </c>
      <c r="J326" s="348">
        <f t="shared" si="114"/>
        <v>-159885</v>
      </c>
      <c r="K326" s="348">
        <f t="shared" si="114"/>
        <v>-43528560</v>
      </c>
      <c r="L326" s="348">
        <f t="shared" si="114"/>
        <v>0</v>
      </c>
    </row>
    <row r="327" spans="1:12">
      <c r="A327" s="333">
        <v>32</v>
      </c>
      <c r="D327" s="344"/>
      <c r="E327" s="196"/>
      <c r="I327" s="332"/>
    </row>
    <row r="328" spans="1:12">
      <c r="A328" s="333">
        <v>33</v>
      </c>
      <c r="B328" s="332" t="s">
        <v>41</v>
      </c>
      <c r="D328" s="344"/>
      <c r="E328" s="196"/>
      <c r="I328" s="332"/>
    </row>
    <row r="329" spans="1:12">
      <c r="A329" s="333">
        <v>34</v>
      </c>
      <c r="C329" s="332" t="str">
        <f>'FR-16(7)(v)-1 Functional'!C329</f>
        <v>NET GAS PLANT IN SERVICE</v>
      </c>
      <c r="D329" s="344"/>
      <c r="E329" s="196"/>
      <c r="F329" s="347">
        <f t="shared" ref="F329:L329" si="115">F191</f>
        <v>180359587</v>
      </c>
      <c r="G329" s="347">
        <f>G191</f>
        <v>155176045</v>
      </c>
      <c r="H329" s="347">
        <f t="shared" si="115"/>
        <v>23842521</v>
      </c>
      <c r="I329" s="347">
        <f t="shared" si="115"/>
        <v>664167</v>
      </c>
      <c r="J329" s="347">
        <f t="shared" si="115"/>
        <v>676854</v>
      </c>
      <c r="K329" s="347">
        <f t="shared" si="115"/>
        <v>180359587</v>
      </c>
      <c r="L329" s="347">
        <f t="shared" si="115"/>
        <v>0</v>
      </c>
    </row>
    <row r="330" spans="1:12">
      <c r="A330" s="333">
        <v>35</v>
      </c>
      <c r="C330" s="359" t="str">
        <f>'FR-16(7)(v)-1 Functional'!C330</f>
        <v>TOTAL RATE BASE ADJUSTMENTS</v>
      </c>
      <c r="D330" s="344"/>
      <c r="E330" s="196"/>
      <c r="F330" s="347">
        <f t="shared" ref="F330:L330" si="116">F326</f>
        <v>-43528560</v>
      </c>
      <c r="G330" s="347">
        <f>G326</f>
        <v>-37398314</v>
      </c>
      <c r="H330" s="347">
        <f t="shared" si="116"/>
        <v>-5784619</v>
      </c>
      <c r="I330" s="347">
        <f t="shared" si="116"/>
        <v>-185742</v>
      </c>
      <c r="J330" s="347">
        <f t="shared" si="116"/>
        <v>-159885</v>
      </c>
      <c r="K330" s="347">
        <f t="shared" si="116"/>
        <v>-43528560</v>
      </c>
      <c r="L330" s="347">
        <f t="shared" si="116"/>
        <v>0</v>
      </c>
    </row>
    <row r="331" spans="1:12">
      <c r="A331" s="333">
        <v>36</v>
      </c>
      <c r="C331" s="332" t="str">
        <f>'FR-16(7)(v)-1 Functional'!C331</f>
        <v xml:space="preserve">  TOTAL RATE BASE</v>
      </c>
      <c r="D331" s="344"/>
      <c r="E331" s="196"/>
      <c r="F331" s="348">
        <f t="shared" ref="F331:L331" si="117">SUM(F328:F330)</f>
        <v>136831027</v>
      </c>
      <c r="G331" s="348">
        <f>SUM(G328:G330)</f>
        <v>117777731</v>
      </c>
      <c r="H331" s="348">
        <f t="shared" si="117"/>
        <v>18057902</v>
      </c>
      <c r="I331" s="348">
        <f t="shared" si="117"/>
        <v>478425</v>
      </c>
      <c r="J331" s="348">
        <f t="shared" si="117"/>
        <v>516969</v>
      </c>
      <c r="K331" s="348">
        <f t="shared" si="117"/>
        <v>136831027</v>
      </c>
      <c r="L331" s="348">
        <f t="shared" si="117"/>
        <v>0</v>
      </c>
    </row>
    <row r="332" spans="1:12">
      <c r="A332" s="333">
        <v>37</v>
      </c>
      <c r="D332" s="344"/>
      <c r="E332" s="196"/>
      <c r="I332" s="332"/>
    </row>
    <row r="333" spans="1:12">
      <c r="A333" s="333">
        <v>38</v>
      </c>
      <c r="B333" s="332" t="s">
        <v>42</v>
      </c>
      <c r="D333" s="344"/>
      <c r="E333" s="196"/>
      <c r="F333" s="1284">
        <f>$F$688</f>
        <v>7.1809999999999999E-2</v>
      </c>
      <c r="G333" s="1284">
        <f>F688</f>
        <v>7.1809999999999999E-2</v>
      </c>
      <c r="H333" s="1284">
        <f>F688</f>
        <v>7.1809999999999999E-2</v>
      </c>
      <c r="I333" s="1284">
        <f>F688</f>
        <v>7.1809999999999999E-2</v>
      </c>
      <c r="J333" s="1284">
        <f>F688</f>
        <v>7.1809999999999999E-2</v>
      </c>
      <c r="K333" s="1284">
        <f>F688</f>
        <v>7.1809999999999999E-2</v>
      </c>
      <c r="L333" s="1284">
        <f>'FR-16(7)(v)-1 Functional'!F688</f>
        <v>7.1809999999999999E-2</v>
      </c>
    </row>
    <row r="334" spans="1:12">
      <c r="A334" s="333">
        <v>39</v>
      </c>
      <c r="B334" s="332" t="s">
        <v>43</v>
      </c>
      <c r="D334" s="344"/>
      <c r="E334" s="196"/>
      <c r="F334" s="347">
        <f>ROUND(F333*F331,0)</f>
        <v>9825836</v>
      </c>
      <c r="G334" s="349">
        <f>F334-SUM(H334:J334)</f>
        <v>8457618</v>
      </c>
      <c r="H334" s="477">
        <f>ROUND(H331*H333,0)</f>
        <v>1296738</v>
      </c>
      <c r="I334" s="477">
        <f>ROUND(I331*I333,0)</f>
        <v>34356</v>
      </c>
      <c r="J334" s="477">
        <f>ROUND(J331*J333,0)</f>
        <v>37124</v>
      </c>
      <c r="K334" s="347">
        <f>SUM(G334:J334)</f>
        <v>9825836</v>
      </c>
      <c r="L334" s="347">
        <f>ROUND(L331*L333,0)</f>
        <v>0</v>
      </c>
    </row>
    <row r="335" spans="1:12">
      <c r="B335" s="343"/>
      <c r="C335" s="196"/>
      <c r="D335" s="344"/>
      <c r="E335" s="196"/>
      <c r="G335" s="342"/>
      <c r="H335" s="342"/>
      <c r="I335" s="196"/>
      <c r="J335" s="344"/>
      <c r="K335" s="196"/>
      <c r="L335" s="196"/>
    </row>
    <row r="336" spans="1:12">
      <c r="A336" s="343" t="str">
        <f>co_name</f>
        <v>DUKE ENERGY KENTUCKY, INC.</v>
      </c>
      <c r="C336" s="196"/>
      <c r="D336" s="344"/>
      <c r="E336" s="196"/>
      <c r="F336" s="344"/>
      <c r="G336" s="342"/>
      <c r="H336" s="342"/>
      <c r="I336" s="196"/>
      <c r="K336" s="361" t="str">
        <f>$K$1</f>
        <v>FR-16(7)(v)-6</v>
      </c>
      <c r="L336" s="196"/>
    </row>
    <row r="337" spans="1:12">
      <c r="A337" s="343" t="str">
        <f>$A$2</f>
        <v>DISTRIBUTION CUSTOMER ALLOCATED - GAS COST OF SERVICE</v>
      </c>
      <c r="C337" s="196"/>
      <c r="D337" s="344"/>
      <c r="E337" s="196"/>
      <c r="F337" s="344"/>
      <c r="G337" s="342"/>
      <c r="H337" s="342"/>
      <c r="I337" s="196"/>
      <c r="K337" s="361" t="str">
        <f>$K$2</f>
        <v>WITNESS RESPONSIBLE:</v>
      </c>
      <c r="L337" s="196"/>
    </row>
    <row r="338" spans="1:12">
      <c r="A338" s="343" t="str">
        <f>case_name</f>
        <v>CASE NO: 2018-00261</v>
      </c>
      <c r="C338" s="196"/>
      <c r="D338" s="344"/>
      <c r="E338" s="196"/>
      <c r="F338" s="344"/>
      <c r="G338" s="342"/>
      <c r="H338" s="342"/>
      <c r="I338" s="196"/>
      <c r="K338" s="361" t="str">
        <f>Witness</f>
        <v>JAMES E. ZIOLKOWSKI</v>
      </c>
      <c r="L338" s="196"/>
    </row>
    <row r="339" spans="1:12">
      <c r="A339" s="343" t="str">
        <f>data_filing</f>
        <v>DATA: 12 MONTH FORECASTED PERIOD</v>
      </c>
      <c r="C339" s="196"/>
      <c r="D339" s="344"/>
      <c r="E339" s="196"/>
      <c r="F339" s="344"/>
      <c r="G339" s="342"/>
      <c r="H339" s="342"/>
      <c r="I339" s="196"/>
      <c r="K339" s="361" t="str">
        <f>"PAGE "&amp;Pages-10&amp;" OF "&amp;Pages</f>
        <v>PAGE 8 OF 18</v>
      </c>
      <c r="L339" s="196"/>
    </row>
    <row r="340" spans="1:12">
      <c r="A340" s="343" t="str">
        <f>type</f>
        <v xml:space="preserve">TYPE OF FILING: "X" ORIGINAL   UPDATED    REVISED  </v>
      </c>
      <c r="C340" s="196"/>
      <c r="D340" s="344"/>
      <c r="E340" s="196"/>
      <c r="F340" s="344"/>
      <c r="G340" s="342"/>
      <c r="H340" s="342"/>
      <c r="I340" s="196"/>
      <c r="J340" s="344"/>
      <c r="K340" s="196"/>
      <c r="L340" s="196"/>
    </row>
    <row r="341" spans="1:12">
      <c r="B341" s="343"/>
      <c r="C341" s="196"/>
      <c r="D341" s="344"/>
      <c r="E341" s="196"/>
      <c r="F341" s="344"/>
      <c r="G341" s="342"/>
      <c r="H341" s="342"/>
      <c r="I341" s="196"/>
      <c r="J341" s="344"/>
      <c r="K341" s="196"/>
      <c r="L341" s="196"/>
    </row>
    <row r="342" spans="1:12">
      <c r="B342" s="343"/>
      <c r="C342" s="196"/>
      <c r="D342" s="344"/>
      <c r="E342" s="196"/>
      <c r="F342" s="344" t="str">
        <f>$F$7</f>
        <v>TOTAL</v>
      </c>
      <c r="G342" s="342"/>
      <c r="H342" s="342"/>
      <c r="I342" s="196"/>
      <c r="J342" s="344"/>
      <c r="K342" s="196"/>
      <c r="L342" s="196"/>
    </row>
    <row r="343" spans="1:12">
      <c r="A343" s="344" t="s">
        <v>914</v>
      </c>
      <c r="B343" s="196"/>
      <c r="C343" s="196"/>
      <c r="D343" s="344"/>
      <c r="E343" s="196"/>
      <c r="F343" s="344" t="str">
        <f>$F$8</f>
        <v>DISTRIBUTION</v>
      </c>
      <c r="G343" s="354" t="str">
        <f>$G$8</f>
        <v>RS</v>
      </c>
      <c r="H343" s="354" t="str">
        <f>$H$8</f>
        <v>GS</v>
      </c>
      <c r="I343" s="344" t="str">
        <f>$I$8</f>
        <v>FT-L</v>
      </c>
      <c r="J343" s="344" t="str">
        <f>$J$8</f>
        <v>INTERUPT</v>
      </c>
      <c r="K343" s="344" t="s">
        <v>229</v>
      </c>
      <c r="L343" s="344" t="s">
        <v>342</v>
      </c>
    </row>
    <row r="344" spans="1:12">
      <c r="A344" s="346" t="s">
        <v>915</v>
      </c>
      <c r="B344" s="345" t="s">
        <v>44</v>
      </c>
      <c r="C344" s="345"/>
      <c r="D344" s="346" t="s">
        <v>337</v>
      </c>
      <c r="E344" s="345"/>
      <c r="F344" s="344" t="str">
        <f>$F$9</f>
        <v>CUSTOMER</v>
      </c>
      <c r="G344" s="355" t="str">
        <f>$G$9</f>
        <v>RESIDENTIAL</v>
      </c>
      <c r="H344" s="355" t="str">
        <f>$H$9</f>
        <v>GEN SERV</v>
      </c>
      <c r="I344" s="346" t="str">
        <f>$I$9</f>
        <v>FIRM TRANS</v>
      </c>
      <c r="J344" s="346" t="str">
        <f>$J$9</f>
        <v>TRANS</v>
      </c>
      <c r="K344" s="346" t="s">
        <v>341</v>
      </c>
      <c r="L344" s="346" t="s">
        <v>340</v>
      </c>
    </row>
    <row r="345" spans="1:12">
      <c r="C345" s="578" t="s">
        <v>348</v>
      </c>
      <c r="D345" s="344"/>
      <c r="E345" s="196"/>
      <c r="F345" s="761"/>
      <c r="G345" s="633">
        <f>$G$10</f>
        <v>3</v>
      </c>
      <c r="H345" s="633">
        <f>$H$10</f>
        <v>4</v>
      </c>
      <c r="I345" s="633">
        <f>$I$10</f>
        <v>5</v>
      </c>
      <c r="J345" s="633">
        <f>$J$10</f>
        <v>6</v>
      </c>
    </row>
    <row r="346" spans="1:12">
      <c r="A346" s="333">
        <v>1</v>
      </c>
      <c r="B346" s="332" t="s">
        <v>45</v>
      </c>
      <c r="D346" s="344"/>
      <c r="E346" s="196"/>
      <c r="I346" s="332"/>
    </row>
    <row r="347" spans="1:12">
      <c r="A347" s="333">
        <v>2</v>
      </c>
      <c r="B347" s="332" t="s">
        <v>46</v>
      </c>
      <c r="D347" s="344"/>
      <c r="E347" s="196"/>
      <c r="I347" s="332"/>
    </row>
    <row r="348" spans="1:12">
      <c r="A348" s="333">
        <v>3</v>
      </c>
      <c r="C348" s="332" t="str">
        <f>'FR-16(7)(v)-1 Functional'!C348</f>
        <v>ANNUALIZED GAS COST</v>
      </c>
      <c r="D348" s="344" t="str">
        <f>'FR-16(7)(v)-1 Functional'!D348</f>
        <v>K301</v>
      </c>
      <c r="E348" s="196"/>
      <c r="F348" s="479">
        <f>'FR-16(7)(v)-4 DISTR Classified'!I348</f>
        <v>0</v>
      </c>
      <c r="G348" s="349">
        <f>F348-SUM(H348:J348)</f>
        <v>0</v>
      </c>
      <c r="H348" s="347">
        <f>ROUND($F$348*VLOOKUP($D$348,ALLOCTABLE_DISTR_CUSTOMER,$H$10,FALSE),0)</f>
        <v>0</v>
      </c>
      <c r="I348" s="347">
        <f>ROUND(F348*VLOOKUP(D348,ALLOCTABLE_DISTR_CUSTOMER,$I$10,FALSE),0)</f>
        <v>0</v>
      </c>
      <c r="J348" s="347">
        <f>ROUND(F348*VLOOKUP(D348,ALLOCTABLE_DISTR_CUSTOMER,$J$10,FALSE),0)</f>
        <v>0</v>
      </c>
      <c r="K348" s="347">
        <f>SUM(G348:J348)</f>
        <v>0</v>
      </c>
      <c r="L348" s="347">
        <f>F348-K348</f>
        <v>0</v>
      </c>
    </row>
    <row r="349" spans="1:12">
      <c r="A349" s="333">
        <v>4</v>
      </c>
      <c r="C349" s="359" t="str">
        <f>'FR-16(7)(v)-1 Functional'!C349</f>
        <v>OTHER ASSOCIATED COST</v>
      </c>
      <c r="D349" s="344" t="str">
        <f>'FR-16(7)(v)-1 Functional'!D349</f>
        <v>K300</v>
      </c>
      <c r="E349" s="196"/>
      <c r="F349" s="479">
        <f>'FR-16(7)(v)-4 DISTR Classified'!I349</f>
        <v>0</v>
      </c>
      <c r="G349" s="349">
        <f>F349-SUM(H349:J349)</f>
        <v>0</v>
      </c>
      <c r="H349" s="347">
        <f>ROUND($F$349*VLOOKUP($D$349,ALLOCTABLE_DISTR_CUSTOMER,$H$10,FALSE),0)</f>
        <v>0</v>
      </c>
      <c r="I349" s="347">
        <f>ROUND(F349*VLOOKUP(D349,ALLOCTABLE_DISTR_CUSTOMER,$I$10,FALSE),0)</f>
        <v>0</v>
      </c>
      <c r="J349" s="347">
        <f>ROUND(F349*VLOOKUP(D349,ALLOCTABLE_DISTR_CUSTOMER,$J$10,FALSE),0)</f>
        <v>0</v>
      </c>
      <c r="K349" s="347">
        <f>SUM(G349:J349)</f>
        <v>0</v>
      </c>
      <c r="L349" s="347">
        <f>F349-K349</f>
        <v>0</v>
      </c>
    </row>
    <row r="350" spans="1:12">
      <c r="A350" s="333">
        <v>5</v>
      </c>
      <c r="C350" s="332" t="str">
        <f>'FR-16(7)(v)-1 Functional'!C350</f>
        <v xml:space="preserve">  TOTAL COMMODITY RELATED</v>
      </c>
      <c r="D350" s="344"/>
      <c r="E350" s="196"/>
      <c r="F350" s="348">
        <f t="shared" ref="F350:L350" si="118">SUM(F348:F349)</f>
        <v>0</v>
      </c>
      <c r="G350" s="348">
        <f>SUM(G348:G349)</f>
        <v>0</v>
      </c>
      <c r="H350" s="348">
        <f t="shared" si="118"/>
        <v>0</v>
      </c>
      <c r="I350" s="348">
        <f t="shared" si="118"/>
        <v>0</v>
      </c>
      <c r="J350" s="348">
        <f t="shared" si="118"/>
        <v>0</v>
      </c>
      <c r="K350" s="348">
        <f t="shared" si="118"/>
        <v>0</v>
      </c>
      <c r="L350" s="348">
        <f t="shared" si="118"/>
        <v>0</v>
      </c>
    </row>
    <row r="351" spans="1:12">
      <c r="A351" s="333">
        <v>6</v>
      </c>
      <c r="D351" s="344"/>
      <c r="E351" s="196"/>
      <c r="I351" s="332"/>
    </row>
    <row r="352" spans="1:12">
      <c r="A352" s="333">
        <v>7</v>
      </c>
      <c r="B352" s="359" t="s">
        <v>47</v>
      </c>
      <c r="C352" s="359"/>
      <c r="D352" s="344"/>
      <c r="E352" s="196"/>
      <c r="F352" s="347"/>
      <c r="I352" s="332"/>
      <c r="J352" s="347"/>
      <c r="K352" s="347"/>
      <c r="L352" s="347"/>
    </row>
    <row r="353" spans="1:12">
      <c r="A353" s="333">
        <v>8</v>
      </c>
      <c r="C353" s="332" t="str">
        <f>'FR-16(7)(v)-1 Functional'!C353</f>
        <v>ANNUALIZED GAS COST - DEMAND</v>
      </c>
      <c r="D353" s="344" t="s">
        <v>290</v>
      </c>
      <c r="E353" s="196"/>
      <c r="F353" s="477">
        <v>0</v>
      </c>
      <c r="G353" s="349">
        <f>F353-SUM(H353:J353)</f>
        <v>0</v>
      </c>
      <c r="H353" s="347">
        <f>ROUND($F$353*VLOOKUP($D$353,ALLOCTABLE_DISTR_CUSTOMER,$H$10,FALSE),0)</f>
        <v>0</v>
      </c>
      <c r="I353" s="347">
        <f>ROUND(F353*VLOOKUP(D353,ALLOCTABLE_DISTR_CUSTOMER,$I$10,FALSE),0)</f>
        <v>0</v>
      </c>
      <c r="J353" s="347">
        <f>ROUND(F353*VLOOKUP(D353,ALLOCTABLE_DISTR_CUSTOMER,$J$10,FALSE),0)</f>
        <v>0</v>
      </c>
      <c r="K353" s="347">
        <f>SUM(G353:J353)</f>
        <v>0</v>
      </c>
      <c r="L353" s="347">
        <f>F353-K353</f>
        <v>0</v>
      </c>
    </row>
    <row r="354" spans="1:12">
      <c r="A354" s="333">
        <v>9</v>
      </c>
      <c r="C354" s="332" t="str">
        <f>'FR-16(7)(v)-1 Functional'!C354</f>
        <v xml:space="preserve">  TOTAL DEMAND RELATED</v>
      </c>
      <c r="D354" s="344"/>
      <c r="E354" s="196"/>
      <c r="F354" s="348">
        <f t="shared" ref="F354:L354" si="119">SUM(F352:F353)</f>
        <v>0</v>
      </c>
      <c r="G354" s="348">
        <f>SUM(G352:G353)</f>
        <v>0</v>
      </c>
      <c r="H354" s="348">
        <f t="shared" si="119"/>
        <v>0</v>
      </c>
      <c r="I354" s="348">
        <f t="shared" si="119"/>
        <v>0</v>
      </c>
      <c r="J354" s="348">
        <f t="shared" si="119"/>
        <v>0</v>
      </c>
      <c r="K354" s="348">
        <f t="shared" si="119"/>
        <v>0</v>
      </c>
      <c r="L354" s="348">
        <f t="shared" si="119"/>
        <v>0</v>
      </c>
    </row>
    <row r="355" spans="1:12">
      <c r="A355" s="333">
        <v>10</v>
      </c>
      <c r="D355" s="344"/>
      <c r="E355" s="196"/>
      <c r="I355" s="332"/>
    </row>
    <row r="356" spans="1:12">
      <c r="A356" s="333">
        <v>11</v>
      </c>
      <c r="B356" s="332" t="s">
        <v>1010</v>
      </c>
      <c r="D356" s="344"/>
      <c r="E356" s="196"/>
      <c r="I356" s="332"/>
    </row>
    <row r="357" spans="1:12">
      <c r="A357" s="333">
        <v>12</v>
      </c>
      <c r="C357" s="359" t="str">
        <f>'FR-16(7)(v)-1 Functional'!C357</f>
        <v>PRODUCTION EXPENSES</v>
      </c>
      <c r="D357" s="344" t="str">
        <f>'FR-16(7)(v)-1 Functional'!D357</f>
        <v>K201</v>
      </c>
      <c r="E357" s="196"/>
      <c r="F357" s="479">
        <f>'FR-16(7)(v)-4 DISTR Classified'!I357</f>
        <v>0</v>
      </c>
      <c r="G357" s="349">
        <f>F357-SUM(H357:J357)</f>
        <v>0</v>
      </c>
      <c r="H357" s="347">
        <f>ROUND($F$357*VLOOKUP($D$357,ALLOCTABLE_DISTR_CUSTOMER,$H$10,FALSE),0)</f>
        <v>0</v>
      </c>
      <c r="I357" s="347">
        <f>ROUND(F357*VLOOKUP(D357,ALLOCTABLE_DISTR_CUSTOMER,$I$10,FALSE),0)</f>
        <v>0</v>
      </c>
      <c r="J357" s="347">
        <f>ROUND(F357*VLOOKUP(D357,ALLOCTABLE_DISTR_CUSTOMER,$J$10,FALSE),0)</f>
        <v>0</v>
      </c>
      <c r="K357" s="347">
        <f>SUM(G357:J357)</f>
        <v>0</v>
      </c>
      <c r="L357" s="347">
        <f>F357-K357</f>
        <v>0</v>
      </c>
    </row>
    <row r="358" spans="1:12">
      <c r="A358" s="333">
        <v>13</v>
      </c>
      <c r="C358" s="332" t="str">
        <f>'FR-16(7)(v)-1 Functional'!C358</f>
        <v xml:space="preserve">  TOTAL DEM REL &amp; OTH PROD O&amp;M </v>
      </c>
      <c r="D358" s="344"/>
      <c r="E358" s="196"/>
      <c r="F358" s="348">
        <f t="shared" ref="F358:L358" si="120">SUM(F356:F357)</f>
        <v>0</v>
      </c>
      <c r="G358" s="348">
        <f>SUM(G356:G357)</f>
        <v>0</v>
      </c>
      <c r="H358" s="348">
        <f t="shared" si="120"/>
        <v>0</v>
      </c>
      <c r="I358" s="348">
        <f t="shared" si="120"/>
        <v>0</v>
      </c>
      <c r="J358" s="348">
        <f t="shared" si="120"/>
        <v>0</v>
      </c>
      <c r="K358" s="348">
        <f t="shared" si="120"/>
        <v>0</v>
      </c>
      <c r="L358" s="348">
        <f t="shared" si="120"/>
        <v>0</v>
      </c>
    </row>
    <row r="359" spans="1:12">
      <c r="A359" s="333">
        <v>14</v>
      </c>
      <c r="D359" s="344"/>
      <c r="E359" s="196"/>
      <c r="F359" s="347"/>
      <c r="I359" s="332"/>
      <c r="J359" s="347"/>
      <c r="K359" s="347"/>
      <c r="L359" s="347"/>
    </row>
    <row r="360" spans="1:12">
      <c r="A360" s="333">
        <v>15</v>
      </c>
      <c r="B360" s="332" t="s">
        <v>48</v>
      </c>
      <c r="D360" s="344"/>
      <c r="E360" s="196" t="s">
        <v>343</v>
      </c>
      <c r="F360" s="347">
        <f t="shared" ref="F360:L360" si="121">F358+F354+F350</f>
        <v>0</v>
      </c>
      <c r="G360" s="347">
        <f>G358+G354+G350</f>
        <v>0</v>
      </c>
      <c r="H360" s="347">
        <f t="shared" si="121"/>
        <v>0</v>
      </c>
      <c r="I360" s="347">
        <f t="shared" si="121"/>
        <v>0</v>
      </c>
      <c r="J360" s="347">
        <f t="shared" si="121"/>
        <v>0</v>
      </c>
      <c r="K360" s="347">
        <f t="shared" si="121"/>
        <v>0</v>
      </c>
      <c r="L360" s="347">
        <f t="shared" si="121"/>
        <v>0</v>
      </c>
    </row>
    <row r="361" spans="1:12">
      <c r="A361" s="333">
        <v>16</v>
      </c>
      <c r="D361" s="344"/>
      <c r="E361" s="196"/>
      <c r="I361" s="332"/>
    </row>
    <row r="362" spans="1:12">
      <c r="A362" s="333">
        <v>17</v>
      </c>
      <c r="B362" s="332" t="s">
        <v>49</v>
      </c>
      <c r="D362" s="344"/>
      <c r="E362" s="196"/>
      <c r="I362" s="332"/>
    </row>
    <row r="363" spans="1:12">
      <c r="A363" s="333">
        <v>18</v>
      </c>
      <c r="C363" s="359" t="str">
        <f>'FR-16(7)(v)-1 Functional'!C363</f>
        <v>TRANSMISSION O &amp; M</v>
      </c>
      <c r="D363" s="344" t="s">
        <v>343</v>
      </c>
      <c r="E363" s="196"/>
      <c r="F363" s="477"/>
      <c r="G363" s="347"/>
      <c r="H363" s="347"/>
      <c r="I363" s="347"/>
      <c r="J363" s="347"/>
      <c r="K363" s="347"/>
      <c r="L363" s="347"/>
    </row>
    <row r="364" spans="1:12">
      <c r="A364" s="333">
        <v>19</v>
      </c>
      <c r="C364" s="332" t="str">
        <f>'FR-16(7)(v)-1 Functional'!C364</f>
        <v xml:space="preserve">  TOTAL TRANSMISSION O &amp; M</v>
      </c>
      <c r="D364" s="344"/>
      <c r="E364" s="196"/>
      <c r="F364" s="348">
        <f t="shared" ref="F364:L364" si="122">SUM(F363)</f>
        <v>0</v>
      </c>
      <c r="G364" s="348">
        <f>SUM(G363)</f>
        <v>0</v>
      </c>
      <c r="H364" s="348">
        <f t="shared" si="122"/>
        <v>0</v>
      </c>
      <c r="I364" s="348">
        <f t="shared" si="122"/>
        <v>0</v>
      </c>
      <c r="J364" s="348">
        <f t="shared" si="122"/>
        <v>0</v>
      </c>
      <c r="K364" s="348">
        <f t="shared" si="122"/>
        <v>0</v>
      </c>
      <c r="L364" s="348">
        <f t="shared" si="122"/>
        <v>0</v>
      </c>
    </row>
    <row r="365" spans="1:12">
      <c r="A365" s="333">
        <v>20</v>
      </c>
      <c r="D365" s="344"/>
      <c r="E365" s="196"/>
      <c r="I365" s="332"/>
    </row>
    <row r="366" spans="1:12">
      <c r="A366" s="333">
        <v>21</v>
      </c>
      <c r="B366" s="332" t="s">
        <v>50</v>
      </c>
      <c r="D366" s="344"/>
      <c r="E366" s="196"/>
      <c r="I366" s="332"/>
    </row>
    <row r="367" spans="1:12">
      <c r="A367" s="333">
        <v>22</v>
      </c>
      <c r="C367" s="332" t="str">
        <f>'FR-16(7)(v)-1 Functional'!C367</f>
        <v>LOAD DISPATCHING</v>
      </c>
      <c r="D367" s="344" t="str">
        <f>'FR-16(7)(v)-1 Functional'!D367</f>
        <v>K203</v>
      </c>
      <c r="E367" s="196"/>
      <c r="F367" s="479">
        <f>'FR-16(7)(v)-4 DISTR Classified'!I367</f>
        <v>0</v>
      </c>
      <c r="G367" s="349">
        <f t="shared" ref="G367:G377" si="123">F367-SUM(H367:J367)</f>
        <v>0</v>
      </c>
      <c r="H367" s="347">
        <f>ROUND($F$367*VLOOKUP($D$367,ALLOCTABLE_DISTR_CUSTOMER,$H$10,FALSE),0)</f>
        <v>0</v>
      </c>
      <c r="I367" s="347">
        <f t="shared" ref="I367:I377" si="124">ROUND(F367*VLOOKUP(D367,ALLOCTABLE_DISTR_CUSTOMER,$I$10,FALSE),0)</f>
        <v>0</v>
      </c>
      <c r="J367" s="347">
        <f t="shared" ref="J367:J377" si="125">ROUND(F367*VLOOKUP(D367,ALLOCTABLE_DISTR_CUSTOMER,$J$10,FALSE),0)</f>
        <v>0</v>
      </c>
      <c r="K367" s="347">
        <f t="shared" ref="K367:K377" si="126">SUM(G367:J367)</f>
        <v>0</v>
      </c>
      <c r="L367" s="347">
        <f t="shared" ref="L367:L377" si="127">F367-K367</f>
        <v>0</v>
      </c>
    </row>
    <row r="368" spans="1:12">
      <c r="A368" s="333">
        <v>23</v>
      </c>
      <c r="C368" s="332" t="str">
        <f>'FR-16(7)(v)-1 Functional'!C368</f>
        <v>MAINS &amp; SERVICES OPER</v>
      </c>
      <c r="D368" s="344" t="str">
        <f>'FR-16(7)(v)-1 Functional'!D368</f>
        <v>K667</v>
      </c>
      <c r="E368" s="196"/>
      <c r="F368" s="479">
        <f>'FR-16(7)(v)-4 DISTR Classified'!I368</f>
        <v>1225576</v>
      </c>
      <c r="G368" s="349">
        <f t="shared" si="123"/>
        <v>1083838</v>
      </c>
      <c r="H368" s="347">
        <f>ROUND($F$368*VLOOKUP($D$368,ALLOCTABLE_DISTR_CUSTOMER,$H$10,FALSE),0)</f>
        <v>134421</v>
      </c>
      <c r="I368" s="347">
        <f t="shared" si="124"/>
        <v>2635</v>
      </c>
      <c r="J368" s="347">
        <f t="shared" si="125"/>
        <v>4682</v>
      </c>
      <c r="K368" s="347">
        <f t="shared" si="126"/>
        <v>1225576</v>
      </c>
      <c r="L368" s="347">
        <f t="shared" si="127"/>
        <v>0</v>
      </c>
    </row>
    <row r="369" spans="1:12">
      <c r="A369" s="333">
        <v>24</v>
      </c>
      <c r="C369" s="332" t="str">
        <f>'FR-16(7)(v)-1 Functional'!C369</f>
        <v>M &amp; R STATION GENERAL</v>
      </c>
      <c r="D369" s="344" t="str">
        <f>'FR-16(7)(v)-1 Functional'!D369</f>
        <v>K203</v>
      </c>
      <c r="E369" s="196"/>
      <c r="F369" s="479">
        <f>'FR-16(7)(v)-4 DISTR Classified'!I369</f>
        <v>0</v>
      </c>
      <c r="G369" s="349">
        <f t="shared" si="123"/>
        <v>0</v>
      </c>
      <c r="H369" s="347">
        <f>ROUND($F$369*VLOOKUP($D$369,ALLOCTABLE_DISTR_CUSTOMER,$H$10,FALSE),0)</f>
        <v>0</v>
      </c>
      <c r="I369" s="347">
        <f t="shared" si="124"/>
        <v>0</v>
      </c>
      <c r="J369" s="347">
        <f t="shared" si="125"/>
        <v>0</v>
      </c>
      <c r="K369" s="347">
        <f t="shared" si="126"/>
        <v>0</v>
      </c>
      <c r="L369" s="347">
        <f t="shared" si="127"/>
        <v>0</v>
      </c>
    </row>
    <row r="370" spans="1:12">
      <c r="A370" s="333">
        <v>25</v>
      </c>
      <c r="C370" s="332" t="str">
        <f>'FR-16(7)(v)-1 Functional'!C370</f>
        <v>CUSTOMER INST &amp; OTHER</v>
      </c>
      <c r="D370" s="344" t="str">
        <f>'FR-16(7)(v)-1 Functional'!D370</f>
        <v>K415</v>
      </c>
      <c r="E370" s="196"/>
      <c r="F370" s="479">
        <f>'FR-16(7)(v)-4 DISTR Classified'!I370</f>
        <v>216481</v>
      </c>
      <c r="G370" s="349">
        <f t="shared" si="123"/>
        <v>134638</v>
      </c>
      <c r="H370" s="347">
        <f>ROUND($F$370*VLOOKUP($D$370,ALLOCTABLE_DISTR_CUSTOMER,$H$10,FALSE),0)</f>
        <v>56253</v>
      </c>
      <c r="I370" s="347">
        <f t="shared" si="124"/>
        <v>19936</v>
      </c>
      <c r="J370" s="347">
        <f t="shared" si="125"/>
        <v>5654</v>
      </c>
      <c r="K370" s="347">
        <f t="shared" si="126"/>
        <v>216481</v>
      </c>
      <c r="L370" s="347">
        <f t="shared" si="127"/>
        <v>0</v>
      </c>
    </row>
    <row r="371" spans="1:12">
      <c r="A371" s="333">
        <v>26</v>
      </c>
      <c r="C371" s="332" t="str">
        <f>'FR-16(7)(v)-1 Functional'!C371</f>
        <v>METERS &amp; HOUSE REG</v>
      </c>
      <c r="D371" s="344" t="str">
        <f>'FR-16(7)(v)-1 Functional'!D371</f>
        <v>K697</v>
      </c>
      <c r="E371" s="196"/>
      <c r="F371" s="479">
        <f>'FR-16(7)(v)-4 DISTR Classified'!I371</f>
        <v>2583784</v>
      </c>
      <c r="G371" s="349">
        <f t="shared" si="123"/>
        <v>1971427</v>
      </c>
      <c r="H371" s="347">
        <f>ROUND($F$371*VLOOKUP($D$371,ALLOCTABLE_DISTR_CUSTOMER,$H$10,FALSE),0)</f>
        <v>582488</v>
      </c>
      <c r="I371" s="347">
        <f t="shared" si="124"/>
        <v>20903</v>
      </c>
      <c r="J371" s="347">
        <f t="shared" si="125"/>
        <v>8966</v>
      </c>
      <c r="K371" s="347">
        <f t="shared" si="126"/>
        <v>2583784</v>
      </c>
      <c r="L371" s="347">
        <f t="shared" si="127"/>
        <v>0</v>
      </c>
    </row>
    <row r="372" spans="1:12">
      <c r="A372" s="333">
        <v>27</v>
      </c>
      <c r="C372" s="332" t="str">
        <f>'FR-16(7)(v)-1 Functional'!C372</f>
        <v>MAINS</v>
      </c>
      <c r="D372" s="344" t="str">
        <f>'FR-16(7)(v)-1 Functional'!D372</f>
        <v>K415</v>
      </c>
      <c r="E372" s="196"/>
      <c r="F372" s="479">
        <f>'FR-16(7)(v)-4 DISTR Classified'!I372</f>
        <v>345336</v>
      </c>
      <c r="G372" s="349">
        <f t="shared" si="123"/>
        <v>214778</v>
      </c>
      <c r="H372" s="347">
        <f>ROUND($F$372*VLOOKUP($D$372,ALLOCTABLE_DISTR_CUSTOMER,$H$10,FALSE),0)</f>
        <v>89736</v>
      </c>
      <c r="I372" s="347">
        <f t="shared" si="124"/>
        <v>31802</v>
      </c>
      <c r="J372" s="347">
        <f t="shared" si="125"/>
        <v>9020</v>
      </c>
      <c r="K372" s="347">
        <f t="shared" si="126"/>
        <v>345336</v>
      </c>
      <c r="L372" s="347">
        <f t="shared" si="127"/>
        <v>0</v>
      </c>
    </row>
    <row r="373" spans="1:12">
      <c r="A373" s="333">
        <v>28</v>
      </c>
      <c r="C373" s="332" t="str">
        <f>'FR-16(7)(v)-1 Functional'!C373</f>
        <v>SERVICES</v>
      </c>
      <c r="D373" s="344" t="str">
        <f>'FR-16(7)(v)-1 Functional'!D373</f>
        <v>K403</v>
      </c>
      <c r="E373" s="196"/>
      <c r="F373" s="479">
        <f>'FR-16(7)(v)-4 DISTR Classified'!I373</f>
        <v>596174</v>
      </c>
      <c r="G373" s="349">
        <f t="shared" si="123"/>
        <v>520453</v>
      </c>
      <c r="H373" s="347">
        <f>ROUND($F$373*VLOOKUP($D$373,ALLOCTABLE_DISTR_CUSTOMER,$H$10,FALSE),0)</f>
        <v>71428</v>
      </c>
      <c r="I373" s="347">
        <f t="shared" si="124"/>
        <v>1461</v>
      </c>
      <c r="J373" s="347">
        <f t="shared" si="125"/>
        <v>2832</v>
      </c>
      <c r="K373" s="347">
        <f t="shared" si="126"/>
        <v>596174</v>
      </c>
      <c r="L373" s="347">
        <f t="shared" si="127"/>
        <v>0</v>
      </c>
    </row>
    <row r="374" spans="1:12">
      <c r="A374" s="333">
        <v>29</v>
      </c>
      <c r="C374" s="332" t="str">
        <f>'FR-16(7)(v)-1 Functional'!C374</f>
        <v>SUPV &amp; ENG</v>
      </c>
      <c r="D374" s="344" t="str">
        <f>'FR-16(7)(v)-1 Functional'!D374</f>
        <v>D249</v>
      </c>
      <c r="E374" s="196"/>
      <c r="F374" s="479">
        <f>'FR-16(7)(v)-4 DISTR Classified'!I374</f>
        <v>0</v>
      </c>
      <c r="G374" s="349">
        <f t="shared" si="123"/>
        <v>0</v>
      </c>
      <c r="H374" s="347">
        <f>ROUND($F$374*VLOOKUP($D$374,ALLOCTABLE_DISTR_CUSTOMER,$H$10,FALSE),0)</f>
        <v>0</v>
      </c>
      <c r="I374" s="347">
        <f t="shared" si="124"/>
        <v>0</v>
      </c>
      <c r="J374" s="347">
        <f t="shared" si="125"/>
        <v>0</v>
      </c>
      <c r="K374" s="347">
        <f t="shared" si="126"/>
        <v>0</v>
      </c>
      <c r="L374" s="347">
        <f t="shared" si="127"/>
        <v>0</v>
      </c>
    </row>
    <row r="375" spans="1:12">
      <c r="A375" s="333">
        <v>30</v>
      </c>
      <c r="C375" s="332" t="str">
        <f>'FR-16(7)(v)-1 Functional'!C375</f>
        <v>ELIMINATE NON-KY CUSTOMER</v>
      </c>
      <c r="D375" s="344" t="str">
        <f>'FR-16(7)(v)-1 Functional'!D375</f>
        <v>K595</v>
      </c>
      <c r="E375" s="196"/>
      <c r="F375" s="479">
        <f>'FR-16(7)(v)-4 DISTR Classified'!I375</f>
        <v>0</v>
      </c>
      <c r="G375" s="349">
        <f t="shared" si="123"/>
        <v>0</v>
      </c>
      <c r="H375" s="347">
        <f>ROUND($F$375*VLOOKUP($D$375,ALLOCTABLE_DISTR_CUSTOMER,$H$10,FALSE),0)</f>
        <v>0</v>
      </c>
      <c r="I375" s="347">
        <f t="shared" si="124"/>
        <v>0</v>
      </c>
      <c r="J375" s="347">
        <f t="shared" si="125"/>
        <v>0</v>
      </c>
      <c r="K375" s="347">
        <f t="shared" si="126"/>
        <v>0</v>
      </c>
      <c r="L375" s="347">
        <f t="shared" si="127"/>
        <v>0</v>
      </c>
    </row>
    <row r="376" spans="1:12">
      <c r="A376" s="333">
        <v>31</v>
      </c>
      <c r="C376" s="332" t="str">
        <f>'FR-16(7)(v)-1 Functional'!C376</f>
        <v>INTEGRITY MANAGEMENT EXPENSES</v>
      </c>
      <c r="D376" s="344" t="str">
        <f>'FR-16(7)(v)-1 Functional'!D376</f>
        <v>K203</v>
      </c>
      <c r="E376" s="196"/>
      <c r="F376" s="479">
        <f>'FR-16(7)(v)-4 DISTR Classified'!I376</f>
        <v>0</v>
      </c>
      <c r="G376" s="349">
        <f t="shared" si="123"/>
        <v>0</v>
      </c>
      <c r="H376" s="347">
        <f>ROUND($F$376*VLOOKUP($D$376,ALLOCTABLE_DISTR_CUSTOMER,$H$10,FALSE),0)</f>
        <v>0</v>
      </c>
      <c r="I376" s="347">
        <f t="shared" si="124"/>
        <v>0</v>
      </c>
      <c r="J376" s="347">
        <f t="shared" si="125"/>
        <v>0</v>
      </c>
      <c r="K376" s="347">
        <f t="shared" si="126"/>
        <v>0</v>
      </c>
      <c r="L376" s="347">
        <f t="shared" si="127"/>
        <v>0</v>
      </c>
    </row>
    <row r="377" spans="1:12">
      <c r="A377" s="333">
        <v>32</v>
      </c>
      <c r="C377" s="359" t="str">
        <f>'FR-16(7)(v)-1 Functional'!C377</f>
        <v>OTHER DISTRIBUTION EXPENSES</v>
      </c>
      <c r="D377" s="344" t="str">
        <f>'FR-16(7)(v)-1 Functional'!D377</f>
        <v>K415</v>
      </c>
      <c r="E377" s="196"/>
      <c r="F377" s="479">
        <f>'FR-16(7)(v)-4 DISTR Classified'!I377</f>
        <v>392233</v>
      </c>
      <c r="G377" s="349">
        <f t="shared" si="123"/>
        <v>243945</v>
      </c>
      <c r="H377" s="347">
        <f>ROUND($F$377*VLOOKUP($D$377,ALLOCTABLE_DISTR_CUSTOMER,$H$10,FALSE),0)</f>
        <v>101922</v>
      </c>
      <c r="I377" s="347">
        <f t="shared" si="124"/>
        <v>36121</v>
      </c>
      <c r="J377" s="347">
        <f t="shared" si="125"/>
        <v>10245</v>
      </c>
      <c r="K377" s="347">
        <f t="shared" si="126"/>
        <v>392233</v>
      </c>
      <c r="L377" s="347">
        <f t="shared" si="127"/>
        <v>0</v>
      </c>
    </row>
    <row r="378" spans="1:12">
      <c r="A378" s="333">
        <v>33</v>
      </c>
      <c r="C378" s="332" t="str">
        <f>'FR-16(7)(v)-1 Functional'!C378</f>
        <v xml:space="preserve">  TOTAL DISTRIBUTION O &amp; M</v>
      </c>
      <c r="D378" s="344"/>
      <c r="E378" s="196" t="s">
        <v>343</v>
      </c>
      <c r="F378" s="348">
        <f t="shared" ref="F378:L378" si="128">SUM(F366:F377)</f>
        <v>5359584</v>
      </c>
      <c r="G378" s="348">
        <f>SUM(G366:G377)</f>
        <v>4169079</v>
      </c>
      <c r="H378" s="348">
        <f t="shared" si="128"/>
        <v>1036248</v>
      </c>
      <c r="I378" s="348">
        <f t="shared" si="128"/>
        <v>112858</v>
      </c>
      <c r="J378" s="348">
        <f t="shared" si="128"/>
        <v>41399</v>
      </c>
      <c r="K378" s="348">
        <f t="shared" si="128"/>
        <v>5359584</v>
      </c>
      <c r="L378" s="348">
        <f t="shared" si="128"/>
        <v>0</v>
      </c>
    </row>
    <row r="379" spans="1:12">
      <c r="A379" s="333">
        <v>34</v>
      </c>
      <c r="C379" s="332" t="s">
        <v>343</v>
      </c>
      <c r="D379" s="344"/>
      <c r="E379" s="196"/>
      <c r="I379" s="332"/>
    </row>
    <row r="380" spans="1:12">
      <c r="A380" s="333">
        <v>35</v>
      </c>
      <c r="B380" s="332" t="s">
        <v>51</v>
      </c>
      <c r="D380" s="344"/>
      <c r="E380" s="196"/>
      <c r="F380" s="332" t="s">
        <v>343</v>
      </c>
      <c r="I380" s="332"/>
    </row>
    <row r="381" spans="1:12">
      <c r="A381" s="333">
        <v>36</v>
      </c>
      <c r="C381" s="332" t="str">
        <f>'FR-16(7)(v)-1 Functional'!C381</f>
        <v>SUPERVISION &amp; ENGINEERING</v>
      </c>
      <c r="D381" s="344" t="str">
        <f>'FR-16(7)(v)-1 Functional'!D381</f>
        <v>K405</v>
      </c>
      <c r="E381" s="196"/>
      <c r="F381" s="479">
        <f>'FR-16(7)(v)-4 DISTR Classified'!I381</f>
        <v>185894</v>
      </c>
      <c r="G381" s="349">
        <f t="shared" ref="G381:G388" si="129">F381-SUM(H381:J381)</f>
        <v>172562</v>
      </c>
      <c r="H381" s="347">
        <f>ROUND($F$381*VLOOKUP($D$381,ALLOCTABLE_DISTR_CUSTOMER,$H$10,FALSE),0)</f>
        <v>13111</v>
      </c>
      <c r="I381" s="347">
        <f t="shared" ref="I381:I388" si="130">ROUND(F381*VLOOKUP(D381,ALLOCTABLE_DISTR_CUSTOMER,$I$10,FALSE),0)</f>
        <v>180</v>
      </c>
      <c r="J381" s="347">
        <f t="shared" ref="J381:J388" si="131">ROUND(F381*VLOOKUP(D381,ALLOCTABLE_DISTR_CUSTOMER,$J$10,FALSE),0)</f>
        <v>41</v>
      </c>
      <c r="K381" s="347">
        <f t="shared" ref="K381:K388" si="132">SUM(G381:J381)</f>
        <v>185894</v>
      </c>
      <c r="L381" s="347">
        <f t="shared" ref="L381:L388" si="133">F381-K381</f>
        <v>0</v>
      </c>
    </row>
    <row r="382" spans="1:12">
      <c r="A382" s="333">
        <v>37</v>
      </c>
      <c r="C382" s="332" t="str">
        <f>'FR-16(7)(v)-1 Functional'!C382</f>
        <v>METER READING</v>
      </c>
      <c r="D382" s="344" t="str">
        <f>'FR-16(7)(v)-1 Functional'!D382</f>
        <v>K405</v>
      </c>
      <c r="E382" s="196"/>
      <c r="F382" s="479">
        <f>'FR-16(7)(v)-4 DISTR Classified'!I382</f>
        <v>15923</v>
      </c>
      <c r="G382" s="349">
        <f t="shared" si="129"/>
        <v>14781</v>
      </c>
      <c r="H382" s="347">
        <f>ROUND($F$382*VLOOKUP($D$382,ALLOCTABLE_DISTR_CUSTOMER,$H$10,FALSE),0)</f>
        <v>1123</v>
      </c>
      <c r="I382" s="347">
        <f t="shared" si="130"/>
        <v>15</v>
      </c>
      <c r="J382" s="347">
        <f t="shared" si="131"/>
        <v>4</v>
      </c>
      <c r="K382" s="347">
        <f t="shared" si="132"/>
        <v>15923</v>
      </c>
      <c r="L382" s="347">
        <f t="shared" si="133"/>
        <v>0</v>
      </c>
    </row>
    <row r="383" spans="1:12">
      <c r="A383" s="333">
        <v>38</v>
      </c>
      <c r="C383" s="332" t="str">
        <f>'FR-16(7)(v)-1 Functional'!C383</f>
        <v>CUSTOMER BILLING &amp; COLLECTIONS</v>
      </c>
      <c r="D383" s="344" t="str">
        <f>'FR-16(7)(v)-1 Functional'!D383</f>
        <v>K405</v>
      </c>
      <c r="E383" s="196"/>
      <c r="F383" s="479">
        <f>'FR-16(7)(v)-4 DISTR Classified'!I383</f>
        <v>2595599</v>
      </c>
      <c r="G383" s="349">
        <f t="shared" si="129"/>
        <v>2409442</v>
      </c>
      <c r="H383" s="347">
        <f>ROUND($F$383*VLOOKUP($D$383,ALLOCTABLE_DISTR_CUSTOMER,$H$10,FALSE),0)</f>
        <v>183068</v>
      </c>
      <c r="I383" s="347">
        <f t="shared" si="130"/>
        <v>2518</v>
      </c>
      <c r="J383" s="347">
        <f t="shared" si="131"/>
        <v>571</v>
      </c>
      <c r="K383" s="347">
        <f t="shared" si="132"/>
        <v>2595599</v>
      </c>
      <c r="L383" s="347">
        <f t="shared" si="133"/>
        <v>0</v>
      </c>
    </row>
    <row r="384" spans="1:12">
      <c r="A384" s="333">
        <v>39</v>
      </c>
      <c r="C384" s="332" t="str">
        <f>'FR-16(7)(v)-1 Functional'!C384</f>
        <v>UNCOLLECTIBLE EXP</v>
      </c>
      <c r="D384" s="344" t="str">
        <f>'FR-16(7)(v)-1 Functional'!D384</f>
        <v>K406</v>
      </c>
      <c r="E384" s="196"/>
      <c r="F384" s="479">
        <f>'FR-16(7)(v)-4 DISTR Classified'!I384</f>
        <v>-229924</v>
      </c>
      <c r="G384" s="349">
        <f t="shared" si="129"/>
        <v>-213433</v>
      </c>
      <c r="H384" s="347">
        <f>ROUND($F$384*VLOOKUP($D$384,ALLOCTABLE_DISTR_CUSTOMER,$H$10,FALSE),0)</f>
        <v>-16217</v>
      </c>
      <c r="I384" s="347">
        <f t="shared" si="130"/>
        <v>-223</v>
      </c>
      <c r="J384" s="347">
        <f t="shared" si="131"/>
        <v>-51</v>
      </c>
      <c r="K384" s="347">
        <f t="shared" si="132"/>
        <v>-229924</v>
      </c>
      <c r="L384" s="347">
        <f t="shared" si="133"/>
        <v>0</v>
      </c>
    </row>
    <row r="385" spans="1:12">
      <c r="A385" s="333">
        <v>40</v>
      </c>
      <c r="C385" s="332" t="str">
        <f>'FR-16(7)(v)-1 Functional'!C385</f>
        <v>ELIMINATE MISC EXPENSES</v>
      </c>
      <c r="D385" s="344" t="str">
        <f>'FR-16(7)(v)-1 Functional'!D385</f>
        <v>K406</v>
      </c>
      <c r="E385" s="196"/>
      <c r="F385" s="479">
        <f>'FR-16(7)(v)-4 DISTR Classified'!I385</f>
        <v>0</v>
      </c>
      <c r="G385" s="349">
        <f t="shared" si="129"/>
        <v>0</v>
      </c>
      <c r="H385" s="347">
        <f>ROUND($F$385*VLOOKUP($D$385,ALLOCTABLE_DISTR_CUSTOMER,$H$10,FALSE),0)</f>
        <v>0</v>
      </c>
      <c r="I385" s="347">
        <f t="shared" si="130"/>
        <v>0</v>
      </c>
      <c r="J385" s="347">
        <f t="shared" si="131"/>
        <v>0</v>
      </c>
      <c r="K385" s="347">
        <f t="shared" si="132"/>
        <v>0</v>
      </c>
      <c r="L385" s="347">
        <f t="shared" si="133"/>
        <v>0</v>
      </c>
    </row>
    <row r="386" spans="1:12">
      <c r="A386" s="333">
        <v>41</v>
      </c>
      <c r="C386" s="332" t="str">
        <f>'FR-16(7)(v)-1 Functional'!C386</f>
        <v>SALE OF A/R</v>
      </c>
      <c r="D386" s="344" t="str">
        <f>'FR-16(7)(v)-1 Functional'!D386</f>
        <v>K406</v>
      </c>
      <c r="E386" s="196"/>
      <c r="F386" s="479">
        <f>'FR-16(7)(v)-4 DISTR Classified'!I386</f>
        <v>105421</v>
      </c>
      <c r="G386" s="349">
        <f t="shared" si="129"/>
        <v>97861</v>
      </c>
      <c r="H386" s="347">
        <f>ROUND($F$386*VLOOKUP($D$386,ALLOCTABLE_DISTR_CUSTOMER,$H$10,FALSE),0)</f>
        <v>7435</v>
      </c>
      <c r="I386" s="347">
        <f t="shared" si="130"/>
        <v>102</v>
      </c>
      <c r="J386" s="347">
        <f t="shared" si="131"/>
        <v>23</v>
      </c>
      <c r="K386" s="347">
        <f t="shared" si="132"/>
        <v>105421</v>
      </c>
      <c r="L386" s="347">
        <f t="shared" si="133"/>
        <v>0</v>
      </c>
    </row>
    <row r="387" spans="1:12">
      <c r="A387" s="333">
        <v>42</v>
      </c>
      <c r="C387" s="332" t="str">
        <f>'FR-16(7)(v)-1 Functional'!C387</f>
        <v>INTEREST ON CUSTOMER SERVICE DEPOSITS</v>
      </c>
      <c r="D387" s="344" t="str">
        <f>'FR-16(7)(v)-1 Functional'!D387</f>
        <v>K405</v>
      </c>
      <c r="E387" s="196"/>
      <c r="F387" s="479">
        <f>'FR-16(7)(v)-4 DISTR Classified'!I387</f>
        <v>0</v>
      </c>
      <c r="G387" s="349">
        <f t="shared" si="129"/>
        <v>0</v>
      </c>
      <c r="H387" s="347">
        <f>ROUND($F$387*VLOOKUP($D$387,ALLOCTABLE_DISTR_CUSTOMER,$H$10,FALSE),0)</f>
        <v>0</v>
      </c>
      <c r="I387" s="347">
        <f t="shared" si="130"/>
        <v>0</v>
      </c>
      <c r="J387" s="347">
        <f t="shared" si="131"/>
        <v>0</v>
      </c>
      <c r="K387" s="347">
        <f t="shared" si="132"/>
        <v>0</v>
      </c>
      <c r="L387" s="347">
        <f t="shared" si="133"/>
        <v>0</v>
      </c>
    </row>
    <row r="388" spans="1:12">
      <c r="A388" s="333">
        <v>43</v>
      </c>
      <c r="C388" s="359" t="str">
        <f>'FR-16(7)(v)-1 Functional'!C388</f>
        <v>ANNUALIZED UNCOLL EXP ON INCR</v>
      </c>
      <c r="D388" s="344" t="str">
        <f>'FR-16(7)(v)-1 Functional'!D388</f>
        <v>K406</v>
      </c>
      <c r="E388" s="196"/>
      <c r="F388" s="479">
        <f>'FR-16(7)(v)-4 DISTR Classified'!I388</f>
        <v>0</v>
      </c>
      <c r="G388" s="349">
        <f t="shared" si="129"/>
        <v>0</v>
      </c>
      <c r="H388" s="347">
        <f>ROUND($F$388*VLOOKUP($D$388,ALLOCTABLE_DISTR_CUSTOMER,$H$10,FALSE),0)</f>
        <v>0</v>
      </c>
      <c r="I388" s="347">
        <f t="shared" si="130"/>
        <v>0</v>
      </c>
      <c r="J388" s="347">
        <f t="shared" si="131"/>
        <v>0</v>
      </c>
      <c r="K388" s="347">
        <f t="shared" si="132"/>
        <v>0</v>
      </c>
      <c r="L388" s="347">
        <f t="shared" si="133"/>
        <v>0</v>
      </c>
    </row>
    <row r="389" spans="1:12">
      <c r="A389" s="333">
        <v>44</v>
      </c>
      <c r="C389" s="332" t="str">
        <f>'FR-16(7)(v)-1 Functional'!C389</f>
        <v xml:space="preserve">  TOTAL CUSTOMER ACCT EXPENSE</v>
      </c>
      <c r="D389" s="344"/>
      <c r="E389" s="196" t="s">
        <v>343</v>
      </c>
      <c r="F389" s="348">
        <f t="shared" ref="F389:L389" si="134">SUM(F380:F388)</f>
        <v>2672913</v>
      </c>
      <c r="G389" s="348">
        <f>SUM(G380:G388)</f>
        <v>2481213</v>
      </c>
      <c r="H389" s="348">
        <f t="shared" si="134"/>
        <v>188520</v>
      </c>
      <c r="I389" s="348">
        <f t="shared" si="134"/>
        <v>2592</v>
      </c>
      <c r="J389" s="348">
        <f t="shared" si="134"/>
        <v>588</v>
      </c>
      <c r="K389" s="348">
        <f t="shared" si="134"/>
        <v>2672913</v>
      </c>
      <c r="L389" s="348">
        <f t="shared" si="134"/>
        <v>0</v>
      </c>
    </row>
    <row r="390" spans="1:12">
      <c r="B390" s="343"/>
      <c r="C390" s="196"/>
      <c r="D390" s="344"/>
      <c r="E390" s="196"/>
      <c r="G390" s="342"/>
      <c r="H390" s="342"/>
      <c r="I390" s="196"/>
      <c r="J390" s="344"/>
      <c r="K390" s="196"/>
      <c r="L390" s="196"/>
    </row>
    <row r="391" spans="1:12">
      <c r="A391" s="343" t="str">
        <f>co_name</f>
        <v>DUKE ENERGY KENTUCKY, INC.</v>
      </c>
      <c r="C391" s="196"/>
      <c r="D391" s="344"/>
      <c r="E391" s="196"/>
      <c r="F391" s="344"/>
      <c r="G391" s="342"/>
      <c r="H391" s="342"/>
      <c r="I391" s="196"/>
      <c r="K391" s="361" t="str">
        <f>$K$1</f>
        <v>FR-16(7)(v)-6</v>
      </c>
      <c r="L391" s="196"/>
    </row>
    <row r="392" spans="1:12">
      <c r="A392" s="343" t="str">
        <f>$A$2</f>
        <v>DISTRIBUTION CUSTOMER ALLOCATED - GAS COST OF SERVICE</v>
      </c>
      <c r="C392" s="196"/>
      <c r="D392" s="344"/>
      <c r="E392" s="196"/>
      <c r="F392" s="344"/>
      <c r="G392" s="342"/>
      <c r="H392" s="342"/>
      <c r="I392" s="196"/>
      <c r="K392" s="361" t="str">
        <f>$K$2</f>
        <v>WITNESS RESPONSIBLE:</v>
      </c>
      <c r="L392" s="196"/>
    </row>
    <row r="393" spans="1:12">
      <c r="A393" s="343" t="str">
        <f>case_name</f>
        <v>CASE NO: 2018-00261</v>
      </c>
      <c r="C393" s="196"/>
      <c r="D393" s="344"/>
      <c r="E393" s="196"/>
      <c r="F393" s="344"/>
      <c r="G393" s="342"/>
      <c r="H393" s="342"/>
      <c r="I393" s="196"/>
      <c r="K393" s="361" t="str">
        <f>Witness</f>
        <v>JAMES E. ZIOLKOWSKI</v>
      </c>
      <c r="L393" s="196"/>
    </row>
    <row r="394" spans="1:12">
      <c r="A394" s="343" t="str">
        <f>data_filing</f>
        <v>DATA: 12 MONTH FORECASTED PERIOD</v>
      </c>
      <c r="C394" s="196"/>
      <c r="D394" s="344"/>
      <c r="E394" s="196"/>
      <c r="F394" s="344"/>
      <c r="G394" s="342"/>
      <c r="H394" s="342"/>
      <c r="I394" s="196"/>
      <c r="K394" s="361" t="str">
        <f>"PAGE "&amp;Pages-9&amp;" OF "&amp;Pages</f>
        <v>PAGE 9 OF 18</v>
      </c>
      <c r="L394" s="196"/>
    </row>
    <row r="395" spans="1:12">
      <c r="A395" s="343" t="str">
        <f>type</f>
        <v xml:space="preserve">TYPE OF FILING: "X" ORIGINAL   UPDATED    REVISED  </v>
      </c>
      <c r="C395" s="196"/>
      <c r="D395" s="344"/>
      <c r="E395" s="196"/>
      <c r="F395" s="344"/>
      <c r="G395" s="342"/>
      <c r="H395" s="342"/>
      <c r="I395" s="196"/>
      <c r="J395" s="344"/>
      <c r="K395" s="196"/>
      <c r="L395" s="196"/>
    </row>
    <row r="396" spans="1:12">
      <c r="B396" s="343"/>
      <c r="C396" s="196"/>
      <c r="D396" s="344"/>
      <c r="E396" s="196"/>
      <c r="F396" s="344"/>
      <c r="G396" s="342"/>
      <c r="H396" s="342"/>
      <c r="I396" s="196"/>
      <c r="J396" s="344"/>
      <c r="K396" s="196"/>
      <c r="L396" s="196"/>
    </row>
    <row r="397" spans="1:12">
      <c r="B397" s="343"/>
      <c r="C397" s="196"/>
      <c r="D397" s="344"/>
      <c r="E397" s="196"/>
      <c r="F397" s="344" t="str">
        <f>$F$7</f>
        <v>TOTAL</v>
      </c>
      <c r="G397" s="342"/>
      <c r="H397" s="342"/>
      <c r="I397" s="196"/>
      <c r="J397" s="344"/>
      <c r="K397" s="196"/>
      <c r="L397" s="196"/>
    </row>
    <row r="398" spans="1:12">
      <c r="A398" s="344" t="s">
        <v>914</v>
      </c>
      <c r="B398" s="196"/>
      <c r="C398" s="196"/>
      <c r="D398" s="344"/>
      <c r="E398" s="196"/>
      <c r="F398" s="344" t="str">
        <f>$F$8</f>
        <v>DISTRIBUTION</v>
      </c>
      <c r="G398" s="354" t="str">
        <f>$G$8</f>
        <v>RS</v>
      </c>
      <c r="H398" s="354" t="str">
        <f>$H$8</f>
        <v>GS</v>
      </c>
      <c r="I398" s="344" t="str">
        <f>$I$8</f>
        <v>FT-L</v>
      </c>
      <c r="J398" s="344" t="str">
        <f>$J$8</f>
        <v>INTERUPT</v>
      </c>
      <c r="K398" s="344" t="s">
        <v>229</v>
      </c>
      <c r="L398" s="344" t="s">
        <v>342</v>
      </c>
    </row>
    <row r="399" spans="1:12">
      <c r="A399" s="346" t="s">
        <v>915</v>
      </c>
      <c r="B399" s="345" t="s">
        <v>44</v>
      </c>
      <c r="C399" s="345"/>
      <c r="D399" s="346" t="s">
        <v>337</v>
      </c>
      <c r="E399" s="345"/>
      <c r="F399" s="344" t="str">
        <f>$F$9</f>
        <v>CUSTOMER</v>
      </c>
      <c r="G399" s="355" t="str">
        <f>$G$9</f>
        <v>RESIDENTIAL</v>
      </c>
      <c r="H399" s="355" t="str">
        <f>$H$9</f>
        <v>GEN SERV</v>
      </c>
      <c r="I399" s="346" t="str">
        <f>$I$9</f>
        <v>FIRM TRANS</v>
      </c>
      <c r="J399" s="346" t="str">
        <f>$J$9</f>
        <v>TRANS</v>
      </c>
      <c r="K399" s="346" t="s">
        <v>341</v>
      </c>
      <c r="L399" s="346" t="s">
        <v>340</v>
      </c>
    </row>
    <row r="400" spans="1:12">
      <c r="C400" s="578" t="s">
        <v>560</v>
      </c>
      <c r="D400" s="344"/>
      <c r="E400" s="196"/>
      <c r="F400" s="761"/>
      <c r="G400" s="633">
        <f>$G$10</f>
        <v>3</v>
      </c>
      <c r="H400" s="633">
        <f>$H$10</f>
        <v>4</v>
      </c>
      <c r="I400" s="633">
        <f>$I$10</f>
        <v>5</v>
      </c>
      <c r="J400" s="633">
        <f>$J$10</f>
        <v>6</v>
      </c>
    </row>
    <row r="401" spans="1:12">
      <c r="A401" s="333">
        <v>1</v>
      </c>
      <c r="B401" s="332" t="s">
        <v>52</v>
      </c>
      <c r="D401" s="344"/>
      <c r="E401" s="196"/>
      <c r="I401" s="332"/>
    </row>
    <row r="402" spans="1:12">
      <c r="A402" s="333">
        <v>2</v>
      </c>
      <c r="C402" s="359" t="str">
        <f>'FR-16(7)(v)-1 Functional'!C402</f>
        <v>TOTAL CUST SERVICE &amp; INFO</v>
      </c>
      <c r="D402" s="344" t="str">
        <f>'FR-16(7)(v)-1 Functional'!D402</f>
        <v>K407</v>
      </c>
      <c r="E402" s="196"/>
      <c r="F402" s="479">
        <f>'FR-16(7)(v)-4 DISTR Classified'!I402</f>
        <v>406241</v>
      </c>
      <c r="G402" s="349">
        <f>F402-SUM(H402:J402)</f>
        <v>377106</v>
      </c>
      <c r="H402" s="347">
        <f>ROUND($F$402*VLOOKUP($D$402,ALLOCTABLE_DISTR_CUSTOMER,$H$10,FALSE),0)</f>
        <v>28652</v>
      </c>
      <c r="I402" s="347">
        <f>ROUND(F402*VLOOKUP(D402,ALLOCTABLE_DISTR_CUSTOMER,$I$10,FALSE),0)</f>
        <v>394</v>
      </c>
      <c r="J402" s="347">
        <f>ROUND(F402*VLOOKUP(D402,ALLOCTABLE_DISTR_CUSTOMER,$J$10,FALSE),0)</f>
        <v>89</v>
      </c>
      <c r="K402" s="347">
        <f>SUM(G402:J402)</f>
        <v>406241</v>
      </c>
      <c r="L402" s="347">
        <f>F402-K402</f>
        <v>0</v>
      </c>
    </row>
    <row r="403" spans="1:12">
      <c r="A403" s="333">
        <v>3</v>
      </c>
      <c r="C403" s="332" t="str">
        <f>'FR-16(7)(v)-1 Functional'!C403</f>
        <v xml:space="preserve">  TOTAL CUSTOMER SERV. &amp; INFO.</v>
      </c>
      <c r="D403" s="344"/>
      <c r="E403" s="196" t="s">
        <v>343</v>
      </c>
      <c r="F403" s="348">
        <f t="shared" ref="F403:L403" si="135">SUM(F402:F402)</f>
        <v>406241</v>
      </c>
      <c r="G403" s="348">
        <f>SUM(G402:G402)</f>
        <v>377106</v>
      </c>
      <c r="H403" s="348">
        <f t="shared" si="135"/>
        <v>28652</v>
      </c>
      <c r="I403" s="348">
        <f t="shared" si="135"/>
        <v>394</v>
      </c>
      <c r="J403" s="348">
        <f t="shared" si="135"/>
        <v>89</v>
      </c>
      <c r="K403" s="348">
        <f t="shared" si="135"/>
        <v>406241</v>
      </c>
      <c r="L403" s="348">
        <f t="shared" si="135"/>
        <v>0</v>
      </c>
    </row>
    <row r="404" spans="1:12">
      <c r="A404" s="333">
        <v>4</v>
      </c>
      <c r="D404" s="344"/>
      <c r="E404" s="196"/>
      <c r="F404" s="347"/>
      <c r="I404" s="332"/>
      <c r="J404" s="347"/>
      <c r="K404" s="347"/>
      <c r="L404" s="347"/>
    </row>
    <row r="405" spans="1:12">
      <c r="A405" s="333">
        <v>5</v>
      </c>
      <c r="B405" s="332" t="s">
        <v>53</v>
      </c>
      <c r="D405" s="344"/>
      <c r="E405" s="196"/>
      <c r="F405" s="347"/>
      <c r="I405" s="332"/>
      <c r="J405" s="347"/>
      <c r="K405" s="347"/>
      <c r="L405" s="347"/>
    </row>
    <row r="406" spans="1:12">
      <c r="A406" s="333">
        <v>6</v>
      </c>
      <c r="C406" s="359" t="str">
        <f>'FR-16(7)(v)-1 Functional'!C406</f>
        <v>SALES EXPENSE</v>
      </c>
      <c r="D406" s="344" t="str">
        <f>'FR-16(7)(v)-1 Functional'!D406</f>
        <v>K408</v>
      </c>
      <c r="E406" s="196" t="s">
        <v>343</v>
      </c>
      <c r="F406" s="479">
        <f>'FR-16(7)(v)-4 DISTR Classified'!I406</f>
        <v>194128</v>
      </c>
      <c r="G406" s="349">
        <f>F406-SUM(H406:J406)</f>
        <v>180210</v>
      </c>
      <c r="H406" s="347">
        <f>ROUND($F$406*VLOOKUP($D$406,ALLOCTABLE_DISTR_CUSTOMER,$H$10,FALSE),0)</f>
        <v>13680</v>
      </c>
      <c r="I406" s="347">
        <f>ROUND(F406*VLOOKUP(D406,ALLOCTABLE_DISTR_CUSTOMER,$I$10,FALSE),0)</f>
        <v>186</v>
      </c>
      <c r="J406" s="347">
        <f>ROUND(F406*VLOOKUP(D406,ALLOCTABLE_DISTR_CUSTOMER,$J$10,FALSE),0)</f>
        <v>52</v>
      </c>
      <c r="K406" s="347">
        <f>SUM(G406:J406)</f>
        <v>194128</v>
      </c>
      <c r="L406" s="347">
        <f>F406-K406</f>
        <v>0</v>
      </c>
    </row>
    <row r="407" spans="1:12">
      <c r="A407" s="333">
        <v>7</v>
      </c>
      <c r="C407" s="332" t="str">
        <f>'FR-16(7)(v)-1 Functional'!C407</f>
        <v xml:space="preserve">  TOTAL SALES EXPENSE</v>
      </c>
      <c r="D407" s="344"/>
      <c r="E407" s="196" t="s">
        <v>343</v>
      </c>
      <c r="F407" s="348">
        <f t="shared" ref="F407:L407" si="136">SUM(F405:F406)</f>
        <v>194128</v>
      </c>
      <c r="G407" s="348">
        <f>SUM(G405:G406)</f>
        <v>180210</v>
      </c>
      <c r="H407" s="348">
        <f t="shared" si="136"/>
        <v>13680</v>
      </c>
      <c r="I407" s="348">
        <f t="shared" si="136"/>
        <v>186</v>
      </c>
      <c r="J407" s="348">
        <f t="shared" si="136"/>
        <v>52</v>
      </c>
      <c r="K407" s="348">
        <f t="shared" si="136"/>
        <v>194128</v>
      </c>
      <c r="L407" s="348">
        <f t="shared" si="136"/>
        <v>0</v>
      </c>
    </row>
    <row r="408" spans="1:12">
      <c r="A408" s="333">
        <v>8</v>
      </c>
      <c r="D408" s="344"/>
      <c r="E408" s="196"/>
      <c r="I408" s="332"/>
    </row>
    <row r="409" spans="1:12">
      <c r="A409" s="333">
        <v>9</v>
      </c>
      <c r="B409" s="332" t="s">
        <v>54</v>
      </c>
      <c r="D409" s="344"/>
      <c r="E409" s="196"/>
      <c r="I409" s="332"/>
    </row>
    <row r="410" spans="1:12">
      <c r="A410" s="333">
        <v>10</v>
      </c>
      <c r="C410" s="332" t="str">
        <f>'FR-16(7)(v)-1 Functional'!C410</f>
        <v>PRODUCTION PLANT DEMAND</v>
      </c>
      <c r="D410" s="344" t="str">
        <f>'FR-16(7)(v)-1 Functional'!D410</f>
        <v>P349</v>
      </c>
      <c r="E410" s="196"/>
      <c r="F410" s="479">
        <f>'FR-16(7)(v)-4 DISTR Classified'!I410</f>
        <v>0</v>
      </c>
      <c r="G410" s="349">
        <f t="shared" ref="G410:G415" si="137">F410-SUM(H410:J410)</f>
        <v>0</v>
      </c>
      <c r="H410" s="347">
        <f>ROUND($F$410*VLOOKUP($D$410,ALLOCTABLE_DISTR_CUSTOMER,$H$10,FALSE),0)</f>
        <v>0</v>
      </c>
      <c r="I410" s="347">
        <f t="shared" ref="I410:I415" si="138">ROUND(F410*VLOOKUP(D410,ALLOCTABLE_DISTR_CUSTOMER,$I$10,FALSE),0)</f>
        <v>0</v>
      </c>
      <c r="J410" s="347">
        <f t="shared" ref="J410:J415" si="139">ROUND(F410*VLOOKUP(D410,ALLOCTABLE_DISTR_CUSTOMER,$J$10,FALSE),0)</f>
        <v>0</v>
      </c>
      <c r="K410" s="347">
        <f t="shared" ref="K410:K415" si="140">SUM(G410:J410)</f>
        <v>0</v>
      </c>
      <c r="L410" s="347">
        <f t="shared" ref="L410:L415" si="141">F410-K410</f>
        <v>0</v>
      </c>
    </row>
    <row r="411" spans="1:12">
      <c r="A411" s="333">
        <v>11</v>
      </c>
      <c r="C411" s="332" t="str">
        <f>'FR-16(7)(v)-1 Functional'!C411</f>
        <v>PRODUCTION PLANT COMMODITY</v>
      </c>
      <c r="D411" s="344" t="str">
        <f>'FR-16(7)(v)-1 Functional'!D411</f>
        <v>K301</v>
      </c>
      <c r="E411" s="196"/>
      <c r="F411" s="479">
        <f>'FR-16(7)(v)-4 DISTR Classified'!I411</f>
        <v>0</v>
      </c>
      <c r="G411" s="349">
        <f t="shared" si="137"/>
        <v>0</v>
      </c>
      <c r="H411" s="347">
        <f>ROUND($F$411*VLOOKUP($D$411,ALLOCTABLE_DISTR_CUSTOMER,$H$10,FALSE),0)</f>
        <v>0</v>
      </c>
      <c r="I411" s="347">
        <f t="shared" si="138"/>
        <v>0</v>
      </c>
      <c r="J411" s="347">
        <f t="shared" si="139"/>
        <v>0</v>
      </c>
      <c r="K411" s="347">
        <f t="shared" si="140"/>
        <v>0</v>
      </c>
      <c r="L411" s="347">
        <f t="shared" si="141"/>
        <v>0</v>
      </c>
    </row>
    <row r="412" spans="1:12">
      <c r="A412" s="333">
        <v>12</v>
      </c>
      <c r="C412" s="332" t="str">
        <f>'FR-16(7)(v)-1 Functional'!C412</f>
        <v>DISTRIBUTION PLANT</v>
      </c>
      <c r="D412" s="344" t="str">
        <f>'FR-16(7)(v)-1 Functional'!D412</f>
        <v>D349</v>
      </c>
      <c r="E412" s="196"/>
      <c r="F412" s="479">
        <f>'FR-16(7)(v)-4 DISTR Classified'!I412</f>
        <v>1776871</v>
      </c>
      <c r="G412" s="349">
        <f t="shared" si="137"/>
        <v>1382193</v>
      </c>
      <c r="H412" s="347">
        <f>ROUND($F$412*VLOOKUP($D$412,ALLOCTABLE_DISTR_CUSTOMER,$H$10,FALSE),0)</f>
        <v>343540</v>
      </c>
      <c r="I412" s="347">
        <f t="shared" si="138"/>
        <v>37421</v>
      </c>
      <c r="J412" s="347">
        <f t="shared" si="139"/>
        <v>13717</v>
      </c>
      <c r="K412" s="347">
        <f t="shared" si="140"/>
        <v>1776871</v>
      </c>
      <c r="L412" s="347">
        <f t="shared" si="141"/>
        <v>0</v>
      </c>
    </row>
    <row r="413" spans="1:12">
      <c r="A413" s="333">
        <v>13</v>
      </c>
      <c r="C413" s="332" t="str">
        <f>'FR-16(7)(v)-1 Functional'!C413</f>
        <v>CUSTOMER ACCOUNTING</v>
      </c>
      <c r="D413" s="344" t="str">
        <f>'FR-16(7)(v)-1 Functional'!D413</f>
        <v>CA19</v>
      </c>
      <c r="E413" s="196"/>
      <c r="F413" s="479">
        <f>'FR-16(7)(v)-4 DISTR Classified'!I413</f>
        <v>1807581</v>
      </c>
      <c r="G413" s="349">
        <f t="shared" si="137"/>
        <v>1677941</v>
      </c>
      <c r="H413" s="347">
        <f>ROUND($F$413*VLOOKUP($D$413,ALLOCTABLE_DISTR_CUSTOMER,$H$10,FALSE),0)</f>
        <v>127489</v>
      </c>
      <c r="I413" s="347">
        <f t="shared" si="138"/>
        <v>1753</v>
      </c>
      <c r="J413" s="347">
        <f t="shared" si="139"/>
        <v>398</v>
      </c>
      <c r="K413" s="347">
        <f t="shared" si="140"/>
        <v>1807581</v>
      </c>
      <c r="L413" s="347">
        <f t="shared" si="141"/>
        <v>0</v>
      </c>
    </row>
    <row r="414" spans="1:12">
      <c r="A414" s="333">
        <v>14</v>
      </c>
      <c r="C414" s="332" t="str">
        <f>'FR-16(7)(v)-1 Functional'!C414</f>
        <v>CUSTOMER SERVICE &amp; INFORMATION</v>
      </c>
      <c r="D414" s="344" t="str">
        <f>'FR-16(7)(v)-1 Functional'!D414</f>
        <v>CS19</v>
      </c>
      <c r="E414" s="196"/>
      <c r="F414" s="479">
        <f>'FR-16(7)(v)-4 DISTR Classified'!I414</f>
        <v>158176</v>
      </c>
      <c r="G414" s="349">
        <f t="shared" si="137"/>
        <v>146832</v>
      </c>
      <c r="H414" s="347">
        <f>ROUND($F$414*VLOOKUP($D$414,ALLOCTABLE_DISTR_CUSTOMER,$H$10,FALSE),0)</f>
        <v>11156</v>
      </c>
      <c r="I414" s="347">
        <f t="shared" si="138"/>
        <v>153</v>
      </c>
      <c r="J414" s="347">
        <f t="shared" si="139"/>
        <v>35</v>
      </c>
      <c r="K414" s="347">
        <f t="shared" si="140"/>
        <v>158176</v>
      </c>
      <c r="L414" s="347">
        <f t="shared" si="141"/>
        <v>0</v>
      </c>
    </row>
    <row r="415" spans="1:12">
      <c r="A415" s="333">
        <v>15</v>
      </c>
      <c r="C415" s="359" t="str">
        <f>'FR-16(7)(v)-1 Functional'!C415</f>
        <v>SALES</v>
      </c>
      <c r="D415" s="344" t="str">
        <f>'FR-16(7)(v)-1 Functional'!D415</f>
        <v>SE19</v>
      </c>
      <c r="E415" s="196"/>
      <c r="F415" s="479">
        <f>'FR-16(7)(v)-4 DISTR Classified'!I415</f>
        <v>0</v>
      </c>
      <c r="G415" s="349">
        <f t="shared" si="137"/>
        <v>0</v>
      </c>
      <c r="H415" s="347">
        <f>ROUND($F$415*VLOOKUP($D$415,ALLOCTABLE_DISTR_CUSTOMER,$H$10,FALSE),0)</f>
        <v>0</v>
      </c>
      <c r="I415" s="347">
        <f t="shared" si="138"/>
        <v>0</v>
      </c>
      <c r="J415" s="347">
        <f t="shared" si="139"/>
        <v>0</v>
      </c>
      <c r="K415" s="502">
        <f t="shared" si="140"/>
        <v>0</v>
      </c>
      <c r="L415" s="502">
        <f t="shared" si="141"/>
        <v>0</v>
      </c>
    </row>
    <row r="416" spans="1:12">
      <c r="A416" s="333">
        <v>16</v>
      </c>
      <c r="C416" s="332" t="str">
        <f>'FR-16(7)(v)-1 Functional'!C416</f>
        <v xml:space="preserve"> TOT ADMIN &amp; GEN LESS REG EXP</v>
      </c>
      <c r="D416" s="344" t="s">
        <v>343</v>
      </c>
      <c r="E416" s="196"/>
      <c r="F416" s="503">
        <f t="shared" ref="F416:L416" si="142">SUM(F410:F415)</f>
        <v>3742628</v>
      </c>
      <c r="G416" s="503">
        <f>SUM(G410:G415)</f>
        <v>3206966</v>
      </c>
      <c r="H416" s="503">
        <f t="shared" si="142"/>
        <v>482185</v>
      </c>
      <c r="I416" s="503">
        <f t="shared" si="142"/>
        <v>39327</v>
      </c>
      <c r="J416" s="503">
        <f t="shared" si="142"/>
        <v>14150</v>
      </c>
      <c r="K416" s="477">
        <f t="shared" si="142"/>
        <v>3742628</v>
      </c>
      <c r="L416" s="477">
        <f t="shared" si="142"/>
        <v>0</v>
      </c>
    </row>
    <row r="417" spans="1:12">
      <c r="A417" s="333">
        <v>17</v>
      </c>
      <c r="C417" s="332" t="str">
        <f>'FR-16(7)(v)-1 Functional'!C417</f>
        <v>AMORTIZATION RATE CASE EXPENSE</v>
      </c>
      <c r="D417" s="344" t="str">
        <f>'FR-16(7)(v)-1 Functional'!D417</f>
        <v>AG39</v>
      </c>
      <c r="E417" s="196"/>
      <c r="F417" s="479">
        <f>'FR-16(7)(v)-4 DISTR Classified'!I417</f>
        <v>61858</v>
      </c>
      <c r="G417" s="349">
        <f t="shared" ref="G417:G430" si="143">F417-SUM(H417:J417)</f>
        <v>53004</v>
      </c>
      <c r="H417" s="347">
        <f>ROUND($F$417*VLOOKUP($D$417,ALLOCTABLE_DISTR_CUSTOMER,$H$10,FALSE),0)</f>
        <v>7970</v>
      </c>
      <c r="I417" s="347">
        <f t="shared" ref="I417:I430" si="144">ROUND(F417*VLOOKUP(D417,ALLOCTABLE_DISTR_CUSTOMER,$I$10,FALSE),0)</f>
        <v>650</v>
      </c>
      <c r="J417" s="347">
        <f t="shared" ref="J417:J430" si="145">ROUND(F417*VLOOKUP(D417,ALLOCTABLE_DISTR_CUSTOMER,$J$10,FALSE),0)</f>
        <v>234</v>
      </c>
      <c r="K417" s="347">
        <f t="shared" ref="K417:K430" si="146">SUM(G417:J417)</f>
        <v>61858</v>
      </c>
      <c r="L417" s="347">
        <f t="shared" ref="L417:L430" si="147">F417-K417</f>
        <v>0</v>
      </c>
    </row>
    <row r="418" spans="1:12">
      <c r="A418" s="333">
        <v>18</v>
      </c>
      <c r="C418" s="332" t="str">
        <f>'FR-16(7)(v)-1 Functional'!C418</f>
        <v>INCENTIVE COMPENSATION</v>
      </c>
      <c r="D418" s="344" t="str">
        <f>'FR-16(7)(v)-1 Functional'!D418</f>
        <v>AG39</v>
      </c>
      <c r="E418" s="196"/>
      <c r="F418" s="479">
        <f>'FR-16(7)(v)-4 DISTR Classified'!I418</f>
        <v>-149014</v>
      </c>
      <c r="G418" s="349">
        <f t="shared" si="143"/>
        <v>-127686</v>
      </c>
      <c r="H418" s="347">
        <f>ROUND($F$418*VLOOKUP($D$418,ALLOCTABLE_DISTR_CUSTOMER,$H$10,FALSE),0)</f>
        <v>-19199</v>
      </c>
      <c r="I418" s="347">
        <f t="shared" si="144"/>
        <v>-1566</v>
      </c>
      <c r="J418" s="347">
        <f t="shared" si="145"/>
        <v>-563</v>
      </c>
      <c r="K418" s="347">
        <f t="shared" si="146"/>
        <v>-149014</v>
      </c>
      <c r="L418" s="347">
        <f t="shared" si="147"/>
        <v>0</v>
      </c>
    </row>
    <row r="419" spans="1:12">
      <c r="A419" s="333">
        <v>19</v>
      </c>
      <c r="C419" s="332" t="str">
        <f>'FR-16(7)(v)-1 Functional'!C419</f>
        <v>ELIMINATE MISCELLANEOUS EXPENSES</v>
      </c>
      <c r="D419" s="344" t="str">
        <f>'FR-16(7)(v)-1 Functional'!D419</f>
        <v>AG39</v>
      </c>
      <c r="E419" s="196"/>
      <c r="F419" s="479">
        <f>'FR-16(7)(v)-4 DISTR Classified'!I419</f>
        <v>-173094</v>
      </c>
      <c r="G419" s="349">
        <f t="shared" si="143"/>
        <v>-148320</v>
      </c>
      <c r="H419" s="347">
        <f>ROUND($F$419*VLOOKUP($D$419,ALLOCTABLE_DISTR_CUSTOMER,$H$10,FALSE),0)</f>
        <v>-22301</v>
      </c>
      <c r="I419" s="347">
        <f t="shared" si="144"/>
        <v>-1819</v>
      </c>
      <c r="J419" s="347">
        <f t="shared" si="145"/>
        <v>-654</v>
      </c>
      <c r="K419" s="347">
        <f t="shared" si="146"/>
        <v>-173094</v>
      </c>
      <c r="L419" s="347">
        <f t="shared" si="147"/>
        <v>0</v>
      </c>
    </row>
    <row r="420" spans="1:12">
      <c r="A420" s="333">
        <v>20</v>
      </c>
      <c r="C420" s="332" t="str">
        <f>'FR-16(7)(v)-1 Functional'!C420</f>
        <v>ELIMINATE NON-JURISDICTIONAL EXPENSES</v>
      </c>
      <c r="D420" s="344" t="str">
        <f>'FR-16(7)(v)-1 Functional'!D420</f>
        <v>NP29</v>
      </c>
      <c r="E420" s="196"/>
      <c r="F420" s="479">
        <f>'FR-16(7)(v)-4 DISTR Classified'!I420</f>
        <v>0</v>
      </c>
      <c r="G420" s="349">
        <f t="shared" si="143"/>
        <v>0</v>
      </c>
      <c r="H420" s="347">
        <f>ROUND($F$420*VLOOKUP($D$420,ALLOCTABLE_DISTR_CUSTOMER,$H$10,FALSE),0)</f>
        <v>0</v>
      </c>
      <c r="I420" s="347">
        <f t="shared" si="144"/>
        <v>0</v>
      </c>
      <c r="J420" s="347">
        <f t="shared" si="145"/>
        <v>0</v>
      </c>
      <c r="K420" s="347">
        <f t="shared" si="146"/>
        <v>0</v>
      </c>
      <c r="L420" s="347">
        <f t="shared" si="147"/>
        <v>0</v>
      </c>
    </row>
    <row r="421" spans="1:12">
      <c r="A421" s="333">
        <v>21</v>
      </c>
      <c r="C421" s="332" t="str">
        <f>'FR-16(7)(v)-1 Functional'!C421</f>
        <v xml:space="preserve">AMORTIZATION OF DEFERRED EXP </v>
      </c>
      <c r="D421" s="344" t="str">
        <f>'FR-16(7)(v)-1 Functional'!D421</f>
        <v>AG39</v>
      </c>
      <c r="E421" s="196"/>
      <c r="F421" s="479">
        <f>'FR-16(7)(v)-4 DISTR Classified'!I421</f>
        <v>291850</v>
      </c>
      <c r="G421" s="349">
        <f t="shared" si="143"/>
        <v>250078</v>
      </c>
      <c r="H421" s="347">
        <f>ROUND($F$421*VLOOKUP($D$421,ALLOCTABLE_DISTR_CUSTOMER,$H$10,FALSE),0)</f>
        <v>37602</v>
      </c>
      <c r="I421" s="347">
        <f t="shared" si="144"/>
        <v>3067</v>
      </c>
      <c r="J421" s="347">
        <f t="shared" si="145"/>
        <v>1103</v>
      </c>
      <c r="K421" s="347">
        <f t="shared" si="146"/>
        <v>291850</v>
      </c>
      <c r="L421" s="347">
        <f t="shared" si="147"/>
        <v>0</v>
      </c>
    </row>
    <row r="422" spans="1:12">
      <c r="A422" s="333">
        <v>22</v>
      </c>
      <c r="C422" s="332" t="str">
        <f>'FR-16(7)(v)-1 Functional'!C422</f>
        <v>STATE REG COMMISSION EXPENSES</v>
      </c>
      <c r="D422" s="344" t="str">
        <f>'FR-16(7)(v)-1 Functional'!D422</f>
        <v>AG39</v>
      </c>
      <c r="E422" s="196"/>
      <c r="F422" s="479">
        <f>'FR-16(7)(v)-4 DISTR Classified'!I422</f>
        <v>0</v>
      </c>
      <c r="G422" s="349">
        <f t="shared" si="143"/>
        <v>0</v>
      </c>
      <c r="H422" s="347">
        <f>ROUND($F$422*VLOOKUP($D$422,ALLOCTABLE_DISTR_CUSTOMER,$H$10,FALSE),0)</f>
        <v>0</v>
      </c>
      <c r="I422" s="347">
        <f t="shared" si="144"/>
        <v>0</v>
      </c>
      <c r="J422" s="347">
        <f t="shared" si="145"/>
        <v>0</v>
      </c>
      <c r="K422" s="347">
        <f t="shared" si="146"/>
        <v>0</v>
      </c>
      <c r="L422" s="347">
        <f t="shared" si="147"/>
        <v>0</v>
      </c>
    </row>
    <row r="423" spans="1:12">
      <c r="A423" s="333">
        <v>23</v>
      </c>
      <c r="C423" s="332" t="str">
        <f>'FR-16(7)(v)-1 Functional'!C423</f>
        <v>STATE REG COM EXP ANN ADJ.</v>
      </c>
      <c r="D423" s="344" t="str">
        <f>'FR-16(7)(v)-1 Functional'!D423</f>
        <v>AG39</v>
      </c>
      <c r="E423" s="196"/>
      <c r="F423" s="479">
        <f>'FR-16(7)(v)-4 DISTR Classified'!I423</f>
        <v>0</v>
      </c>
      <c r="G423" s="349">
        <f t="shared" si="143"/>
        <v>0</v>
      </c>
      <c r="H423" s="347">
        <f>ROUND($F$423*VLOOKUP($D$423,ALLOCTABLE_DISTR_CUSTOMER,$H$10,FALSE),0)</f>
        <v>0</v>
      </c>
      <c r="I423" s="347">
        <f t="shared" si="144"/>
        <v>0</v>
      </c>
      <c r="J423" s="347">
        <f t="shared" si="145"/>
        <v>0</v>
      </c>
      <c r="K423" s="347">
        <f t="shared" si="146"/>
        <v>0</v>
      </c>
      <c r="L423" s="347">
        <f t="shared" si="147"/>
        <v>0</v>
      </c>
    </row>
    <row r="424" spans="1:12">
      <c r="A424" s="333">
        <v>24</v>
      </c>
      <c r="C424" s="332" t="str">
        <f>'FR-16(7)(v)-1 Functional'!C424</f>
        <v>AMORTIZE CAMERA WORK</v>
      </c>
      <c r="D424" s="344" t="str">
        <f>'FR-16(7)(v)-1 Functional'!D424</f>
        <v>AG39</v>
      </c>
      <c r="E424" s="196"/>
      <c r="F424" s="479">
        <f>'FR-16(7)(v)-4 DISTR Classified'!I424</f>
        <v>0</v>
      </c>
      <c r="G424" s="349">
        <f t="shared" si="143"/>
        <v>0</v>
      </c>
      <c r="H424" s="347">
        <f>ROUND($F$424*VLOOKUP($D$424,ALLOCTABLE_DISTR_CUSTOMER,$H$10,FALSE),0)</f>
        <v>0</v>
      </c>
      <c r="I424" s="347">
        <f t="shared" si="144"/>
        <v>0</v>
      </c>
      <c r="J424" s="347">
        <f t="shared" si="145"/>
        <v>0</v>
      </c>
      <c r="K424" s="347">
        <f t="shared" ref="K424:K429" si="148">SUM(G424:J424)</f>
        <v>0</v>
      </c>
      <c r="L424" s="347">
        <f t="shared" ref="L424:L429" si="149">F424-K424</f>
        <v>0</v>
      </c>
    </row>
    <row r="425" spans="1:12">
      <c r="A425" s="333">
        <v>25</v>
      </c>
      <c r="C425" s="332" t="str">
        <f>'FR-16(7)(v)-1 Functional'!C425</f>
        <v>ELIMINATE MERGER EXPENSE</v>
      </c>
      <c r="D425" s="344" t="str">
        <f>'FR-16(7)(v)-1 Functional'!D425</f>
        <v>AG39</v>
      </c>
      <c r="E425" s="196"/>
      <c r="F425" s="479">
        <f>'FR-16(7)(v)-4 DISTR Classified'!I425</f>
        <v>0</v>
      </c>
      <c r="G425" s="349">
        <f t="shared" si="143"/>
        <v>0</v>
      </c>
      <c r="H425" s="347">
        <f>ROUND($F$425*VLOOKUP($D$425,ALLOCTABLE_DISTR_CUSTOMER,$H$10,FALSE),0)</f>
        <v>0</v>
      </c>
      <c r="I425" s="347">
        <f t="shared" si="144"/>
        <v>0</v>
      </c>
      <c r="J425" s="347">
        <f t="shared" si="145"/>
        <v>0</v>
      </c>
      <c r="K425" s="347">
        <f t="shared" si="148"/>
        <v>0</v>
      </c>
      <c r="L425" s="347">
        <f t="shared" si="149"/>
        <v>0</v>
      </c>
    </row>
    <row r="426" spans="1:12">
      <c r="A426" s="333">
        <v>26</v>
      </c>
      <c r="C426" s="332" t="str">
        <f>'FR-16(7)(v)-1 Functional'!C426</f>
        <v>SMART GRID AMORTIZATION ADJUSTMENT</v>
      </c>
      <c r="D426" s="344" t="str">
        <f>'FR-16(7)(v)-1 Functional'!D426</f>
        <v>K413</v>
      </c>
      <c r="E426" s="196"/>
      <c r="F426" s="479">
        <f>'FR-16(7)(v)-4 DISTR Classified'!I426</f>
        <v>0</v>
      </c>
      <c r="G426" s="349">
        <f t="shared" si="143"/>
        <v>0</v>
      </c>
      <c r="H426" s="347">
        <f>ROUND($F$426*VLOOKUP($D$426,ALLOCTABLE_DISTR_CUSTOMER,$H$10,FALSE),0)</f>
        <v>0</v>
      </c>
      <c r="I426" s="347">
        <f t="shared" si="144"/>
        <v>0</v>
      </c>
      <c r="J426" s="347">
        <f t="shared" si="145"/>
        <v>0</v>
      </c>
      <c r="K426" s="347">
        <f t="shared" si="148"/>
        <v>0</v>
      </c>
      <c r="L426" s="347">
        <f t="shared" si="149"/>
        <v>0</v>
      </c>
    </row>
    <row r="427" spans="1:12">
      <c r="A427" s="333">
        <v>27</v>
      </c>
      <c r="C427" s="332" t="str">
        <f>'FR-16(7)(v)-1 Functional'!C427</f>
        <v>AMORTIZE 2011 SMART GRID DEFERRED O&amp;M</v>
      </c>
      <c r="D427" s="344" t="str">
        <f>'FR-16(7)(v)-1 Functional'!D427</f>
        <v>K413</v>
      </c>
      <c r="E427" s="196"/>
      <c r="F427" s="479">
        <f>'FR-16(7)(v)-4 DISTR Classified'!I427</f>
        <v>0</v>
      </c>
      <c r="G427" s="349">
        <f t="shared" si="143"/>
        <v>0</v>
      </c>
      <c r="H427" s="347">
        <f>ROUND($F$427*VLOOKUP($D$427,ALLOCTABLE_DISTR_CUSTOMER,$H$10,FALSE),0)</f>
        <v>0</v>
      </c>
      <c r="I427" s="347">
        <f t="shared" si="144"/>
        <v>0</v>
      </c>
      <c r="J427" s="347">
        <f t="shared" si="145"/>
        <v>0</v>
      </c>
      <c r="K427" s="347">
        <f t="shared" si="148"/>
        <v>0</v>
      </c>
      <c r="L427" s="347">
        <f t="shared" si="149"/>
        <v>0</v>
      </c>
    </row>
    <row r="428" spans="1:12">
      <c r="A428" s="333">
        <v>28</v>
      </c>
      <c r="C428" s="332" t="str">
        <f>'FR-16(7)(v)-1 Functional'!C428</f>
        <v>INCREASED MEDICAL COSTS</v>
      </c>
      <c r="D428" s="344" t="str">
        <f>'FR-16(7)(v)-1 Functional'!D428</f>
        <v>AG39</v>
      </c>
      <c r="E428" s="196"/>
      <c r="F428" s="479">
        <f>'FR-16(7)(v)-4 DISTR Classified'!I428</f>
        <v>0</v>
      </c>
      <c r="G428" s="349">
        <f t="shared" si="143"/>
        <v>0</v>
      </c>
      <c r="H428" s="347">
        <f>ROUND($F$428*VLOOKUP($D$428,ALLOCTABLE_DISTR_CUSTOMER,$H$10,FALSE),0)</f>
        <v>0</v>
      </c>
      <c r="I428" s="347">
        <f t="shared" si="144"/>
        <v>0</v>
      </c>
      <c r="J428" s="347">
        <f t="shared" si="145"/>
        <v>0</v>
      </c>
      <c r="K428" s="347">
        <f t="shared" si="148"/>
        <v>0</v>
      </c>
      <c r="L428" s="347">
        <f t="shared" si="149"/>
        <v>0</v>
      </c>
    </row>
    <row r="429" spans="1:12">
      <c r="A429" s="333">
        <v>29</v>
      </c>
      <c r="C429" s="332" t="str">
        <f>'FR-16(7)(v)-1 Functional'!C429</f>
        <v>AMORTIZE GAS FURNACE PROGRAM</v>
      </c>
      <c r="D429" s="344" t="str">
        <f>'FR-16(7)(v)-1 Functional'!D429</f>
        <v>NP29</v>
      </c>
      <c r="E429" s="196"/>
      <c r="F429" s="479">
        <f>'FR-16(7)(v)-4 DISTR Classified'!I429</f>
        <v>0</v>
      </c>
      <c r="G429" s="349">
        <f t="shared" si="143"/>
        <v>0</v>
      </c>
      <c r="H429" s="347">
        <f>ROUND($F$429*VLOOKUP($D$429,ALLOCTABLE_DISTR_CUSTOMER,$H$10,FALSE),0)</f>
        <v>0</v>
      </c>
      <c r="I429" s="347">
        <f t="shared" si="144"/>
        <v>0</v>
      </c>
      <c r="J429" s="347">
        <f t="shared" si="145"/>
        <v>0</v>
      </c>
      <c r="K429" s="347">
        <f t="shared" si="148"/>
        <v>0</v>
      </c>
      <c r="L429" s="347">
        <f t="shared" si="149"/>
        <v>0</v>
      </c>
    </row>
    <row r="430" spans="1:12">
      <c r="A430" s="333">
        <v>30</v>
      </c>
      <c r="C430" s="359" t="str">
        <f>'FR-16(7)(v)-1 Functional'!C430</f>
        <v>AMORTIZATION OF MGP DEFERRED EXP</v>
      </c>
      <c r="D430" s="344" t="str">
        <f>'FR-16(7)(v)-1 Functional'!D430</f>
        <v>NP29</v>
      </c>
      <c r="E430" s="196"/>
      <c r="F430" s="479">
        <f>'FR-16(7)(v)-4 DISTR Classified'!I430</f>
        <v>0</v>
      </c>
      <c r="G430" s="349">
        <f t="shared" si="143"/>
        <v>0</v>
      </c>
      <c r="H430" s="347">
        <f>ROUND($F$430*VLOOKUP($D$430,ALLOCTABLE_DISTR_CUSTOMER,$H$10,FALSE),0)</f>
        <v>0</v>
      </c>
      <c r="I430" s="347">
        <f t="shared" si="144"/>
        <v>0</v>
      </c>
      <c r="J430" s="347">
        <f t="shared" si="145"/>
        <v>0</v>
      </c>
      <c r="K430" s="347">
        <f t="shared" si="146"/>
        <v>0</v>
      </c>
      <c r="L430" s="347">
        <f t="shared" si="147"/>
        <v>0</v>
      </c>
    </row>
    <row r="431" spans="1:12">
      <c r="A431" s="333">
        <v>31</v>
      </c>
      <c r="C431" s="332" t="str">
        <f>'FR-16(7)(v)-1 Functional'!C431</f>
        <v xml:space="preserve">  TOTAL ADMIN. &amp; GENERAL</v>
      </c>
      <c r="D431" s="344"/>
      <c r="E431" s="196" t="s">
        <v>343</v>
      </c>
      <c r="F431" s="348">
        <f t="shared" ref="F431:L431" si="150">SUM(F416:F430)</f>
        <v>3774228</v>
      </c>
      <c r="G431" s="348">
        <f>SUM(G416:G430)</f>
        <v>3234042</v>
      </c>
      <c r="H431" s="348">
        <f t="shared" si="150"/>
        <v>486257</v>
      </c>
      <c r="I431" s="348">
        <f t="shared" si="150"/>
        <v>39659</v>
      </c>
      <c r="J431" s="348">
        <f t="shared" si="150"/>
        <v>14270</v>
      </c>
      <c r="K431" s="348">
        <f t="shared" si="150"/>
        <v>3774228</v>
      </c>
      <c r="L431" s="348">
        <f t="shared" si="150"/>
        <v>0</v>
      </c>
    </row>
    <row r="432" spans="1:12">
      <c r="A432" s="333">
        <v>32</v>
      </c>
      <c r="D432" s="344"/>
      <c r="E432" s="196"/>
      <c r="F432" s="335"/>
      <c r="I432" s="332"/>
      <c r="J432" s="347"/>
      <c r="K432" s="347"/>
      <c r="L432" s="347"/>
    </row>
    <row r="433" spans="1:12">
      <c r="A433" s="333">
        <v>33</v>
      </c>
      <c r="C433" s="332" t="str">
        <f>'FR-16(7)(v)-1 Functional'!C433</f>
        <v>TOTAL O &amp; M EXPENSE</v>
      </c>
      <c r="D433" s="344"/>
      <c r="E433" s="196"/>
      <c r="F433" s="347">
        <f t="shared" ref="F433:L433" si="151">F431+F407+F403+F389+F378+F364+F360</f>
        <v>12407094</v>
      </c>
      <c r="G433" s="347">
        <f>G431+G407+G403+G389+G378+G364+G360</f>
        <v>10441650</v>
      </c>
      <c r="H433" s="347">
        <f t="shared" si="151"/>
        <v>1753357</v>
      </c>
      <c r="I433" s="347">
        <f t="shared" si="151"/>
        <v>155689</v>
      </c>
      <c r="J433" s="347">
        <f t="shared" si="151"/>
        <v>56398</v>
      </c>
      <c r="K433" s="347">
        <f t="shared" si="151"/>
        <v>12407094</v>
      </c>
      <c r="L433" s="347">
        <f t="shared" si="151"/>
        <v>0</v>
      </c>
    </row>
    <row r="434" spans="1:12">
      <c r="B434" s="343"/>
      <c r="C434" s="196"/>
      <c r="D434" s="344"/>
      <c r="E434" s="196"/>
      <c r="G434" s="342"/>
      <c r="H434" s="342"/>
      <c r="I434" s="196"/>
      <c r="J434" s="344"/>
      <c r="K434" s="196"/>
      <c r="L434" s="196"/>
    </row>
    <row r="435" spans="1:12">
      <c r="A435" s="343" t="str">
        <f>co_name</f>
        <v>DUKE ENERGY KENTUCKY, INC.</v>
      </c>
      <c r="C435" s="196"/>
      <c r="D435" s="344"/>
      <c r="E435" s="196"/>
      <c r="F435" s="344"/>
      <c r="G435" s="342"/>
      <c r="H435" s="342"/>
      <c r="I435" s="196"/>
      <c r="K435" s="361" t="str">
        <f>$K$1</f>
        <v>FR-16(7)(v)-6</v>
      </c>
      <c r="L435" s="196"/>
    </row>
    <row r="436" spans="1:12">
      <c r="A436" s="343" t="str">
        <f>$A$2</f>
        <v>DISTRIBUTION CUSTOMER ALLOCATED - GAS COST OF SERVICE</v>
      </c>
      <c r="C436" s="196"/>
      <c r="D436" s="344"/>
      <c r="E436" s="196"/>
      <c r="F436" s="344"/>
      <c r="G436" s="342"/>
      <c r="H436" s="342"/>
      <c r="I436" s="196"/>
      <c r="K436" s="361" t="str">
        <f>$K$2</f>
        <v>WITNESS RESPONSIBLE:</v>
      </c>
      <c r="L436" s="196"/>
    </row>
    <row r="437" spans="1:12">
      <c r="A437" s="343" t="str">
        <f>case_name</f>
        <v>CASE NO: 2018-00261</v>
      </c>
      <c r="C437" s="196"/>
      <c r="D437" s="344"/>
      <c r="E437" s="196"/>
      <c r="F437" s="344"/>
      <c r="G437" s="342"/>
      <c r="H437" s="342"/>
      <c r="I437" s="196"/>
      <c r="K437" s="361" t="str">
        <f>Witness</f>
        <v>JAMES E. ZIOLKOWSKI</v>
      </c>
      <c r="L437" s="196"/>
    </row>
    <row r="438" spans="1:12">
      <c r="A438" s="343" t="str">
        <f>data_filing</f>
        <v>DATA: 12 MONTH FORECASTED PERIOD</v>
      </c>
      <c r="C438" s="196"/>
      <c r="D438" s="344"/>
      <c r="E438" s="196"/>
      <c r="F438" s="344"/>
      <c r="G438" s="342"/>
      <c r="H438" s="342"/>
      <c r="I438" s="196"/>
      <c r="K438" s="361" t="str">
        <f>"PAGE "&amp;Pages-8&amp;" OF "&amp;Pages</f>
        <v>PAGE 10 OF 18</v>
      </c>
      <c r="L438" s="196"/>
    </row>
    <row r="439" spans="1:12">
      <c r="A439" s="343" t="str">
        <f>type</f>
        <v xml:space="preserve">TYPE OF FILING: "X" ORIGINAL   UPDATED    REVISED  </v>
      </c>
      <c r="C439" s="196"/>
      <c r="D439" s="344"/>
      <c r="E439" s="196"/>
      <c r="F439" s="344"/>
      <c r="G439" s="342"/>
      <c r="H439" s="342"/>
      <c r="I439" s="196"/>
      <c r="J439" s="344"/>
      <c r="K439" s="196"/>
      <c r="L439" s="196"/>
    </row>
    <row r="440" spans="1:12">
      <c r="B440" s="343"/>
      <c r="C440" s="196"/>
      <c r="D440" s="344"/>
      <c r="E440" s="196"/>
      <c r="F440" s="344"/>
      <c r="G440" s="342"/>
      <c r="H440" s="342"/>
      <c r="I440" s="196"/>
      <c r="J440" s="344"/>
      <c r="K440" s="196"/>
      <c r="L440" s="196"/>
    </row>
    <row r="441" spans="1:12">
      <c r="B441" s="343"/>
      <c r="C441" s="196"/>
      <c r="D441" s="344"/>
      <c r="E441" s="196"/>
      <c r="F441" s="344" t="str">
        <f>$F$7</f>
        <v>TOTAL</v>
      </c>
      <c r="G441" s="342"/>
      <c r="H441" s="342"/>
      <c r="I441" s="196"/>
      <c r="J441" s="344"/>
      <c r="K441" s="196"/>
      <c r="L441" s="196"/>
    </row>
    <row r="442" spans="1:12">
      <c r="A442" s="344" t="s">
        <v>914</v>
      </c>
      <c r="B442" s="196"/>
      <c r="C442" s="196"/>
      <c r="D442" s="344"/>
      <c r="E442" s="196"/>
      <c r="F442" s="344" t="str">
        <f>$F$8</f>
        <v>DISTRIBUTION</v>
      </c>
      <c r="G442" s="354" t="str">
        <f>$G$8</f>
        <v>RS</v>
      </c>
      <c r="H442" s="354" t="str">
        <f>$H$8</f>
        <v>GS</v>
      </c>
      <c r="I442" s="344" t="str">
        <f>$I$8</f>
        <v>FT-L</v>
      </c>
      <c r="J442" s="344" t="str">
        <f>$J$8</f>
        <v>INTERUPT</v>
      </c>
      <c r="K442" s="344" t="s">
        <v>229</v>
      </c>
      <c r="L442" s="344" t="s">
        <v>342</v>
      </c>
    </row>
    <row r="443" spans="1:12">
      <c r="A443" s="346" t="s">
        <v>915</v>
      </c>
      <c r="B443" s="345" t="s">
        <v>55</v>
      </c>
      <c r="C443" s="345"/>
      <c r="D443" s="346" t="s">
        <v>337</v>
      </c>
      <c r="E443" s="345"/>
      <c r="F443" s="344" t="str">
        <f>$F$9</f>
        <v>CUSTOMER</v>
      </c>
      <c r="G443" s="355" t="str">
        <f>$G$9</f>
        <v>RESIDENTIAL</v>
      </c>
      <c r="H443" s="355" t="str">
        <f>$H$9</f>
        <v>GEN SERV</v>
      </c>
      <c r="I443" s="346" t="str">
        <f>$I$9</f>
        <v>FIRM TRANS</v>
      </c>
      <c r="J443" s="346" t="str">
        <f>$J$9</f>
        <v>TRANS</v>
      </c>
      <c r="K443" s="346" t="s">
        <v>341</v>
      </c>
      <c r="L443" s="346" t="s">
        <v>340</v>
      </c>
    </row>
    <row r="444" spans="1:12">
      <c r="C444" s="578" t="s">
        <v>349</v>
      </c>
      <c r="D444" s="344"/>
      <c r="E444" s="196"/>
      <c r="F444" s="762"/>
      <c r="G444" s="633">
        <f>$G$10</f>
        <v>3</v>
      </c>
      <c r="H444" s="633">
        <f>$H$10</f>
        <v>4</v>
      </c>
      <c r="I444" s="633">
        <f>$I$10</f>
        <v>5</v>
      </c>
      <c r="J444" s="633">
        <f>$J$10</f>
        <v>6</v>
      </c>
      <c r="K444" s="510"/>
      <c r="L444" s="510"/>
    </row>
    <row r="445" spans="1:12">
      <c r="A445" s="333">
        <v>1</v>
      </c>
      <c r="B445" s="353" t="s">
        <v>56</v>
      </c>
      <c r="C445" s="353"/>
      <c r="D445" s="344"/>
      <c r="E445" s="196"/>
      <c r="H445" s="353"/>
      <c r="J445" s="353"/>
    </row>
    <row r="446" spans="1:12">
      <c r="A446" s="333">
        <v>2</v>
      </c>
      <c r="B446" s="353"/>
      <c r="C446" s="511" t="str">
        <f>'FR-16(7)(v)-1 Functional'!C446</f>
        <v>PRODUCTION DEPRECIATION</v>
      </c>
      <c r="D446" s="344" t="str">
        <f>'FR-16(7)(v)-1 Functional'!D446</f>
        <v>P229</v>
      </c>
      <c r="E446" s="196"/>
      <c r="F446" s="479">
        <f>'FR-16(7)(v)-4 DISTR Classified'!I446</f>
        <v>0</v>
      </c>
      <c r="G446" s="349">
        <f>F446-SUM(H446:J446)</f>
        <v>0</v>
      </c>
      <c r="H446" s="349">
        <f>ROUND($F$446*VLOOKUP($D$446,ALLOCTABLE_DISTR_CUSTOMER,$H$10,FALSE),0)</f>
        <v>0</v>
      </c>
      <c r="I446" s="349">
        <f>ROUND(F446*VLOOKUP(D446,ALLOCTABLE_DISTR_CUSTOMER,$I$10,FALSE),0)</f>
        <v>0</v>
      </c>
      <c r="J446" s="349">
        <f>ROUND(F446*VLOOKUP(D446,ALLOCTABLE_DISTR_CUSTOMER,$J$10,FALSE),0)</f>
        <v>0</v>
      </c>
      <c r="K446" s="347">
        <f>SUM(G446:J446)</f>
        <v>0</v>
      </c>
      <c r="L446" s="347">
        <f>F446-K446</f>
        <v>0</v>
      </c>
    </row>
    <row r="447" spans="1:12">
      <c r="A447" s="333">
        <v>3</v>
      </c>
      <c r="B447" s="353"/>
      <c r="C447" s="353" t="str">
        <f>'FR-16(7)(v)-1 Functional'!C447</f>
        <v xml:space="preserve">  TOTAL PRODUCTION DEPREC EXP.</v>
      </c>
      <c r="D447" s="344"/>
      <c r="E447" s="196"/>
      <c r="F447" s="348">
        <f t="shared" ref="F447:L447" si="152">SUM(F446:F446)</f>
        <v>0</v>
      </c>
      <c r="G447" s="348">
        <f>SUM(G446:G446)</f>
        <v>0</v>
      </c>
      <c r="H447" s="348">
        <f t="shared" si="152"/>
        <v>0</v>
      </c>
      <c r="I447" s="348">
        <f t="shared" si="152"/>
        <v>0</v>
      </c>
      <c r="J447" s="348">
        <f t="shared" si="152"/>
        <v>0</v>
      </c>
      <c r="K447" s="348">
        <f t="shared" si="152"/>
        <v>0</v>
      </c>
      <c r="L447" s="348">
        <f t="shared" si="152"/>
        <v>0</v>
      </c>
    </row>
    <row r="448" spans="1:12">
      <c r="A448" s="333">
        <v>4</v>
      </c>
      <c r="B448" s="353"/>
      <c r="C448" s="353"/>
      <c r="D448" s="344"/>
      <c r="E448" s="196"/>
      <c r="F448" s="353"/>
      <c r="G448" s="353"/>
      <c r="H448" s="353"/>
      <c r="J448" s="353"/>
    </row>
    <row r="449" spans="1:12">
      <c r="A449" s="333">
        <v>5</v>
      </c>
      <c r="B449" s="511" t="s">
        <v>57</v>
      </c>
      <c r="C449" s="511"/>
      <c r="D449" s="344"/>
      <c r="E449" s="196"/>
      <c r="F449" s="349"/>
      <c r="G449" s="353"/>
      <c r="H449" s="353"/>
      <c r="J449" s="349"/>
      <c r="K449" s="347"/>
      <c r="L449" s="347"/>
    </row>
    <row r="450" spans="1:12">
      <c r="A450" s="333">
        <v>6</v>
      </c>
      <c r="B450" s="353"/>
      <c r="C450" s="353" t="str">
        <f>'FR-16(7)(v)-1 Functional'!C450</f>
        <v xml:space="preserve">  TOTAL TRANSMISSION DEP. EXP.</v>
      </c>
      <c r="D450" s="344"/>
      <c r="E450" s="196"/>
      <c r="F450" s="348">
        <f t="shared" ref="F450:L450" si="153">SUM(F449)</f>
        <v>0</v>
      </c>
      <c r="G450" s="762">
        <f t="shared" si="153"/>
        <v>0</v>
      </c>
      <c r="H450" s="762">
        <f t="shared" si="153"/>
        <v>0</v>
      </c>
      <c r="I450" s="348">
        <f t="shared" si="153"/>
        <v>0</v>
      </c>
      <c r="J450" s="348">
        <f t="shared" si="153"/>
        <v>0</v>
      </c>
      <c r="K450" s="348">
        <f t="shared" si="153"/>
        <v>0</v>
      </c>
      <c r="L450" s="348">
        <f t="shared" si="153"/>
        <v>0</v>
      </c>
    </row>
    <row r="451" spans="1:12">
      <c r="A451" s="333">
        <v>7</v>
      </c>
      <c r="B451" s="353"/>
      <c r="C451" s="353"/>
      <c r="D451" s="344"/>
      <c r="E451" s="196"/>
      <c r="F451" s="353"/>
      <c r="G451" s="353"/>
      <c r="H451" s="353"/>
      <c r="J451" s="353"/>
    </row>
    <row r="452" spans="1:12">
      <c r="A452" s="333">
        <v>8</v>
      </c>
      <c r="B452" s="353" t="s">
        <v>58</v>
      </c>
      <c r="C452" s="353"/>
      <c r="D452" s="344"/>
      <c r="E452" s="196"/>
      <c r="F452" s="353"/>
      <c r="G452" s="353"/>
      <c r="H452" s="353"/>
      <c r="J452" s="353"/>
    </row>
    <row r="453" spans="1:12">
      <c r="A453" s="333">
        <v>9</v>
      </c>
      <c r="B453" s="353"/>
      <c r="C453" s="511" t="str">
        <f>'FR-16(7)(v)-1 Functional'!C453</f>
        <v>DISTRIBUTION DEPRECIATION</v>
      </c>
      <c r="D453" s="344" t="str">
        <f>'FR-16(7)(v)-1 Functional'!D453</f>
        <v>D249</v>
      </c>
      <c r="E453" s="196"/>
      <c r="F453" s="479">
        <f>'FR-16(7)(v)-4 DISTR Classified'!I453</f>
        <v>5398436</v>
      </c>
      <c r="G453" s="349">
        <f>F453-SUM(H453:J453)</f>
        <v>4645678</v>
      </c>
      <c r="H453" s="349">
        <f>ROUND($F$453*VLOOKUP($D$453,ALLOCTABLE_DISTR_CUSTOMER,$H$10,FALSE),0)</f>
        <v>714645</v>
      </c>
      <c r="I453" s="349">
        <f>ROUND(F453*VLOOKUP(D453,ALLOCTABLE_DISTR_CUSTOMER,$I$10,FALSE),0)</f>
        <v>17869</v>
      </c>
      <c r="J453" s="349">
        <f>ROUND(F453*VLOOKUP(D453,ALLOCTABLE_DISTR_CUSTOMER,$J$10,FALSE),0)</f>
        <v>20244</v>
      </c>
      <c r="K453" s="347">
        <f>SUM(G453:J453)</f>
        <v>5398436</v>
      </c>
      <c r="L453" s="347">
        <f>F453-K453</f>
        <v>0</v>
      </c>
    </row>
    <row r="454" spans="1:12">
      <c r="A454" s="333">
        <v>10</v>
      </c>
      <c r="B454" s="353"/>
      <c r="C454" s="353" t="str">
        <f>'FR-16(7)(v)-1 Functional'!C454</f>
        <v xml:space="preserve">  TOTAL DIST. DEPREC EXP.</v>
      </c>
      <c r="D454" s="344"/>
      <c r="E454" s="196"/>
      <c r="F454" s="348">
        <f t="shared" ref="F454:L454" si="154">SUM(F453:F453)</f>
        <v>5398436</v>
      </c>
      <c r="G454" s="348">
        <f>SUM(G453:G453)</f>
        <v>4645678</v>
      </c>
      <c r="H454" s="348">
        <f t="shared" si="154"/>
        <v>714645</v>
      </c>
      <c r="I454" s="348">
        <f t="shared" si="154"/>
        <v>17869</v>
      </c>
      <c r="J454" s="348">
        <f t="shared" si="154"/>
        <v>20244</v>
      </c>
      <c r="K454" s="348">
        <f t="shared" si="154"/>
        <v>5398436</v>
      </c>
      <c r="L454" s="348">
        <f t="shared" si="154"/>
        <v>0</v>
      </c>
    </row>
    <row r="455" spans="1:12">
      <c r="A455" s="333">
        <v>11</v>
      </c>
      <c r="B455" s="353"/>
      <c r="C455" s="353"/>
      <c r="D455" s="344"/>
      <c r="E455" s="196"/>
      <c r="F455" s="353" t="s">
        <v>343</v>
      </c>
      <c r="G455" s="353"/>
      <c r="H455" s="353"/>
      <c r="J455" s="353"/>
    </row>
    <row r="456" spans="1:12">
      <c r="A456" s="333">
        <v>12</v>
      </c>
      <c r="B456" s="353" t="s">
        <v>59</v>
      </c>
      <c r="C456" s="353"/>
      <c r="D456" s="344"/>
      <c r="E456" s="196"/>
      <c r="F456" s="353"/>
      <c r="G456" s="353"/>
      <c r="H456" s="353"/>
      <c r="J456" s="353"/>
    </row>
    <row r="457" spans="1:12">
      <c r="A457" s="333">
        <v>13</v>
      </c>
      <c r="B457" s="353"/>
      <c r="C457" s="511" t="str">
        <f>'FR-16(7)(v)-1 Functional'!C457</f>
        <v>GENERAL DEPRECIATION</v>
      </c>
      <c r="D457" s="344" t="str">
        <f>'FR-16(7)(v)-1 Functional'!D457</f>
        <v>G229</v>
      </c>
      <c r="E457" s="196"/>
      <c r="F457" s="479">
        <f>'FR-16(7)(v)-4 DISTR Classified'!I457</f>
        <v>1179672</v>
      </c>
      <c r="G457" s="349">
        <f>F457-SUM(H457:J457)</f>
        <v>1010826</v>
      </c>
      <c r="H457" s="349">
        <f>ROUND($F$457*VLOOKUP($D$457,ALLOCTABLE_DISTR_CUSTOMER,$H$10,FALSE),0)</f>
        <v>151989</v>
      </c>
      <c r="I457" s="349">
        <f>ROUND(F457*VLOOKUP(D457,ALLOCTABLE_DISTR_CUSTOMER,$I$10,FALSE),0)</f>
        <v>12398</v>
      </c>
      <c r="J457" s="349">
        <f>ROUND(F457*VLOOKUP(D457,ALLOCTABLE_DISTR_CUSTOMER,$J$10,FALSE),0)</f>
        <v>4459</v>
      </c>
      <c r="K457" s="347">
        <f>SUM(G457:J457)</f>
        <v>1179672</v>
      </c>
      <c r="L457" s="347">
        <f>F457-K457</f>
        <v>0</v>
      </c>
    </row>
    <row r="458" spans="1:12">
      <c r="A458" s="333">
        <v>14</v>
      </c>
      <c r="B458" s="353"/>
      <c r="C458" s="353" t="str">
        <f>'FR-16(7)(v)-1 Functional'!C458</f>
        <v xml:space="preserve">  TOTAL GENERAL DEPREC EXP.</v>
      </c>
      <c r="D458" s="344"/>
      <c r="E458" s="196"/>
      <c r="F458" s="348">
        <f t="shared" ref="F458:L458" si="155">SUM(F457:F457)</f>
        <v>1179672</v>
      </c>
      <c r="G458" s="348">
        <f>SUM(G457:G457)</f>
        <v>1010826</v>
      </c>
      <c r="H458" s="348">
        <f t="shared" si="155"/>
        <v>151989</v>
      </c>
      <c r="I458" s="348">
        <f t="shared" si="155"/>
        <v>12398</v>
      </c>
      <c r="J458" s="348">
        <f t="shared" si="155"/>
        <v>4459</v>
      </c>
      <c r="K458" s="348">
        <f t="shared" si="155"/>
        <v>1179672</v>
      </c>
      <c r="L458" s="348">
        <f t="shared" si="155"/>
        <v>0</v>
      </c>
    </row>
    <row r="459" spans="1:12">
      <c r="A459" s="333">
        <v>15</v>
      </c>
      <c r="B459" s="353"/>
      <c r="C459" s="353"/>
      <c r="D459" s="344"/>
      <c r="E459" s="196"/>
      <c r="F459" s="353"/>
      <c r="G459" s="353"/>
      <c r="H459" s="353"/>
      <c r="J459" s="353"/>
    </row>
    <row r="460" spans="1:12">
      <c r="A460" s="333">
        <v>16</v>
      </c>
      <c r="B460" s="353" t="s">
        <v>60</v>
      </c>
      <c r="C460" s="353"/>
      <c r="D460" s="344"/>
      <c r="E460" s="196"/>
      <c r="F460" s="476"/>
      <c r="G460" s="349"/>
      <c r="H460" s="349"/>
      <c r="I460" s="349"/>
      <c r="J460" s="349"/>
      <c r="K460" s="347"/>
      <c r="L460" s="347"/>
    </row>
    <row r="461" spans="1:12">
      <c r="A461" s="333">
        <v>17</v>
      </c>
      <c r="B461" s="353"/>
      <c r="C461" s="511" t="str">
        <f>'FR-16(7)(v)-1 Functional'!C461</f>
        <v>COMMON DEPRECIATION</v>
      </c>
      <c r="D461" s="344" t="str">
        <f>'FR-16(7)(v)-1 Functional'!D461</f>
        <v>C229</v>
      </c>
      <c r="E461" s="196"/>
      <c r="F461" s="479">
        <f>'FR-16(7)(v)-4 DISTR Classified'!I461</f>
        <v>68483</v>
      </c>
      <c r="G461" s="349">
        <f>F461-SUM(H461:J461)</f>
        <v>58681</v>
      </c>
      <c r="H461" s="349">
        <f>ROUND($F$461*VLOOKUP($D$461,ALLOCTABLE_DISTR_CUSTOMER,$H$10,FALSE),0)</f>
        <v>8823</v>
      </c>
      <c r="I461" s="349">
        <f>ROUND(F461*VLOOKUP(D461,ALLOCTABLE_DISTR_CUSTOMER,$I$10,FALSE),0)</f>
        <v>720</v>
      </c>
      <c r="J461" s="349">
        <f>ROUND(F461*VLOOKUP(D461,ALLOCTABLE_DISTR_CUSTOMER,$J$10,FALSE),0)</f>
        <v>259</v>
      </c>
      <c r="K461" s="347">
        <f>SUM(G461:J461)</f>
        <v>68483</v>
      </c>
      <c r="L461" s="347">
        <f>F461-K461</f>
        <v>0</v>
      </c>
    </row>
    <row r="462" spans="1:12">
      <c r="A462" s="333">
        <v>18</v>
      </c>
      <c r="B462" s="353"/>
      <c r="C462" s="353" t="str">
        <f>'FR-16(7)(v)-1 Functional'!C462</f>
        <v xml:space="preserve">  TOTAL COM &amp; OTHER DEPREC EXP.</v>
      </c>
      <c r="D462" s="344"/>
      <c r="E462" s="196"/>
      <c r="F462" s="348">
        <f t="shared" ref="F462:L462" si="156">SUM(F461:F461)</f>
        <v>68483</v>
      </c>
      <c r="G462" s="348">
        <f>SUM(G461:G461)</f>
        <v>58681</v>
      </c>
      <c r="H462" s="348">
        <f t="shared" si="156"/>
        <v>8823</v>
      </c>
      <c r="I462" s="348">
        <f t="shared" si="156"/>
        <v>720</v>
      </c>
      <c r="J462" s="348">
        <f t="shared" si="156"/>
        <v>259</v>
      </c>
      <c r="K462" s="348">
        <f t="shared" si="156"/>
        <v>68483</v>
      </c>
      <c r="L462" s="348">
        <f t="shared" si="156"/>
        <v>0</v>
      </c>
    </row>
    <row r="463" spans="1:12">
      <c r="A463" s="333">
        <v>19</v>
      </c>
      <c r="B463" s="353"/>
      <c r="C463" s="353"/>
      <c r="D463" s="344"/>
      <c r="E463" s="196"/>
      <c r="G463" s="353"/>
      <c r="H463" s="353"/>
      <c r="J463" s="353"/>
    </row>
    <row r="464" spans="1:12">
      <c r="A464" s="333">
        <v>20</v>
      </c>
      <c r="B464" s="353"/>
      <c r="C464" s="353"/>
      <c r="D464" s="344"/>
      <c r="E464" s="196"/>
      <c r="G464" s="353"/>
      <c r="H464" s="353"/>
      <c r="J464" s="353"/>
    </row>
    <row r="465" spans="1:13">
      <c r="A465" s="333">
        <v>21</v>
      </c>
      <c r="B465" s="353" t="s">
        <v>61</v>
      </c>
      <c r="C465" s="353"/>
      <c r="D465" s="344"/>
      <c r="E465" s="332" t="s">
        <v>343</v>
      </c>
      <c r="F465" s="347">
        <f t="shared" ref="F465:L465" si="157">F462+F458+F454+F450+F447</f>
        <v>6646591</v>
      </c>
      <c r="G465" s="349">
        <f>G462+G458+G454+G450+G447</f>
        <v>5715185</v>
      </c>
      <c r="H465" s="349">
        <f t="shared" si="157"/>
        <v>875457</v>
      </c>
      <c r="I465" s="349">
        <f t="shared" si="157"/>
        <v>30987</v>
      </c>
      <c r="J465" s="349">
        <f t="shared" si="157"/>
        <v>24962</v>
      </c>
      <c r="K465" s="347">
        <f t="shared" si="157"/>
        <v>6646591</v>
      </c>
      <c r="L465" s="347">
        <f t="shared" si="157"/>
        <v>0</v>
      </c>
    </row>
    <row r="466" spans="1:13">
      <c r="B466" s="343"/>
      <c r="C466" s="196"/>
      <c r="D466" s="344"/>
      <c r="E466" s="196"/>
      <c r="G466" s="342"/>
      <c r="H466" s="342"/>
      <c r="I466" s="196"/>
      <c r="J466" s="344"/>
      <c r="K466" s="196"/>
      <c r="L466" s="196"/>
    </row>
    <row r="467" spans="1:13">
      <c r="A467" s="343" t="str">
        <f>co_name</f>
        <v>DUKE ENERGY KENTUCKY, INC.</v>
      </c>
      <c r="C467" s="196"/>
      <c r="D467" s="344"/>
      <c r="E467" s="196"/>
      <c r="F467" s="344"/>
      <c r="G467" s="342"/>
      <c r="H467" s="342"/>
      <c r="I467" s="196"/>
      <c r="K467" s="361" t="str">
        <f>$K$1</f>
        <v>FR-16(7)(v)-6</v>
      </c>
      <c r="L467" s="196"/>
    </row>
    <row r="468" spans="1:13">
      <c r="A468" s="343" t="str">
        <f>$A$2</f>
        <v>DISTRIBUTION CUSTOMER ALLOCATED - GAS COST OF SERVICE</v>
      </c>
      <c r="C468" s="196"/>
      <c r="D468" s="344"/>
      <c r="E468" s="196"/>
      <c r="F468" s="344"/>
      <c r="G468" s="342"/>
      <c r="H468" s="342"/>
      <c r="I468" s="196"/>
      <c r="K468" s="361" t="str">
        <f>$K$2</f>
        <v>WITNESS RESPONSIBLE:</v>
      </c>
      <c r="L468" s="196"/>
    </row>
    <row r="469" spans="1:13">
      <c r="A469" s="343" t="str">
        <f>case_name</f>
        <v>CASE NO: 2018-00261</v>
      </c>
      <c r="C469" s="196"/>
      <c r="D469" s="344"/>
      <c r="E469" s="196"/>
      <c r="F469" s="344"/>
      <c r="G469" s="342"/>
      <c r="H469" s="342"/>
      <c r="I469" s="196"/>
      <c r="K469" s="361" t="str">
        <f>Witness</f>
        <v>JAMES E. ZIOLKOWSKI</v>
      </c>
      <c r="L469" s="196"/>
    </row>
    <row r="470" spans="1:13">
      <c r="A470" s="343" t="str">
        <f>data_filing</f>
        <v>DATA: 12 MONTH FORECASTED PERIOD</v>
      </c>
      <c r="C470" s="196"/>
      <c r="D470" s="344"/>
      <c r="E470" s="196"/>
      <c r="F470" s="344"/>
      <c r="G470" s="342"/>
      <c r="H470" s="342"/>
      <c r="I470" s="196"/>
      <c r="K470" s="361" t="str">
        <f>"PAGE "&amp;Pages-7&amp;" OF "&amp;Pages</f>
        <v>PAGE 11 OF 18</v>
      </c>
      <c r="L470" s="196"/>
    </row>
    <row r="471" spans="1:13">
      <c r="A471" s="343" t="str">
        <f>type</f>
        <v xml:space="preserve">TYPE OF FILING: "X" ORIGINAL   UPDATED    REVISED  </v>
      </c>
      <c r="C471" s="196"/>
      <c r="D471" s="344"/>
      <c r="E471" s="196"/>
      <c r="F471" s="344"/>
      <c r="G471" s="342"/>
      <c r="H471" s="342"/>
      <c r="I471" s="196"/>
      <c r="J471" s="344"/>
      <c r="K471" s="196"/>
      <c r="L471" s="196"/>
    </row>
    <row r="472" spans="1:13">
      <c r="B472" s="343"/>
      <c r="C472" s="196"/>
      <c r="D472" s="344"/>
      <c r="E472" s="196"/>
      <c r="F472" s="344"/>
      <c r="G472" s="342"/>
      <c r="H472" s="342"/>
      <c r="I472" s="196"/>
      <c r="J472" s="344"/>
      <c r="K472" s="196"/>
      <c r="L472" s="196"/>
    </row>
    <row r="473" spans="1:13">
      <c r="B473" s="343"/>
      <c r="C473" s="196"/>
      <c r="D473" s="344"/>
      <c r="E473" s="196"/>
      <c r="F473" s="344" t="str">
        <f>$F$7</f>
        <v>TOTAL</v>
      </c>
      <c r="G473" s="342"/>
      <c r="H473" s="342"/>
      <c r="I473" s="196"/>
      <c r="J473" s="344"/>
      <c r="K473" s="196"/>
      <c r="L473" s="196"/>
    </row>
    <row r="474" spans="1:13">
      <c r="A474" s="344" t="s">
        <v>914</v>
      </c>
      <c r="B474" s="196"/>
      <c r="C474" s="196"/>
      <c r="D474" s="344"/>
      <c r="E474" s="196"/>
      <c r="F474" s="344" t="str">
        <f>$F$8</f>
        <v>DISTRIBUTION</v>
      </c>
      <c r="G474" s="354" t="str">
        <f>$G$8</f>
        <v>RS</v>
      </c>
      <c r="H474" s="354" t="str">
        <f>$H$8</f>
        <v>GS</v>
      </c>
      <c r="I474" s="344" t="str">
        <f>$I$8</f>
        <v>FT-L</v>
      </c>
      <c r="J474" s="344" t="str">
        <f>$J$8</f>
        <v>INTERUPT</v>
      </c>
      <c r="K474" s="344" t="s">
        <v>229</v>
      </c>
      <c r="L474" s="344" t="s">
        <v>342</v>
      </c>
    </row>
    <row r="475" spans="1:13">
      <c r="A475" s="346" t="s">
        <v>915</v>
      </c>
      <c r="B475" s="345" t="s">
        <v>62</v>
      </c>
      <c r="C475" s="345"/>
      <c r="D475" s="346" t="s">
        <v>337</v>
      </c>
      <c r="E475" s="345"/>
      <c r="F475" s="344" t="str">
        <f>$F$9</f>
        <v>CUSTOMER</v>
      </c>
      <c r="G475" s="355" t="str">
        <f>$G$9</f>
        <v>RESIDENTIAL</v>
      </c>
      <c r="H475" s="355" t="str">
        <f>$H$9</f>
        <v>GEN SERV</v>
      </c>
      <c r="I475" s="346" t="str">
        <f>$I$9</f>
        <v>FIRM TRANS</v>
      </c>
      <c r="J475" s="346" t="str">
        <f>$J$9</f>
        <v>TRANS</v>
      </c>
      <c r="K475" s="346" t="s">
        <v>341</v>
      </c>
      <c r="L475" s="346" t="s">
        <v>340</v>
      </c>
      <c r="M475" s="365"/>
    </row>
    <row r="476" spans="1:13">
      <c r="C476" s="578" t="s">
        <v>350</v>
      </c>
      <c r="D476" s="344"/>
      <c r="E476" s="196"/>
      <c r="F476" s="762"/>
      <c r="G476" s="633">
        <f>$G$10</f>
        <v>3</v>
      </c>
      <c r="H476" s="633">
        <f>$H$10</f>
        <v>4</v>
      </c>
      <c r="I476" s="633">
        <f>$I$10</f>
        <v>5</v>
      </c>
      <c r="J476" s="633">
        <f>$J$10</f>
        <v>6</v>
      </c>
      <c r="K476" s="510"/>
      <c r="L476" s="510"/>
    </row>
    <row r="477" spans="1:13">
      <c r="A477" s="333">
        <v>1</v>
      </c>
      <c r="B477" s="332" t="s">
        <v>63</v>
      </c>
      <c r="D477" s="344"/>
      <c r="E477" s="196"/>
      <c r="I477" s="332"/>
    </row>
    <row r="478" spans="1:13">
      <c r="A478" s="333">
        <v>2</v>
      </c>
      <c r="B478" s="332" t="s">
        <v>64</v>
      </c>
      <c r="D478" s="344"/>
      <c r="E478" s="196"/>
      <c r="I478" s="332"/>
    </row>
    <row r="479" spans="1:13">
      <c r="A479" s="333">
        <v>3</v>
      </c>
      <c r="C479" s="332" t="str">
        <f>'FR-16(7)(v)-1 Functional'!C479</f>
        <v>REAL ESTATE &amp; PROPERTY TAX</v>
      </c>
      <c r="D479" s="344" t="str">
        <f>'FR-16(7)(v)-1 Functional'!D479</f>
        <v>NP29</v>
      </c>
      <c r="E479" s="196"/>
      <c r="F479" s="479">
        <f>'FR-16(7)(v)-4 DISTR Classified'!I479</f>
        <v>1523827</v>
      </c>
      <c r="G479" s="349">
        <f>F479-SUM(H479:J479)</f>
        <v>1311070</v>
      </c>
      <c r="H479" s="347">
        <f>ROUND($F$479*VLOOKUP($D$479,ALLOCTABLE_DISTR_CUSTOMER,$H$10,FALSE),0)</f>
        <v>201435</v>
      </c>
      <c r="I479" s="347">
        <f>ROUND(F479*VLOOKUP(D479,ALLOCTABLE_DISTR_CUSTOMER,$I$10,FALSE),0)</f>
        <v>5608</v>
      </c>
      <c r="J479" s="347">
        <f>ROUND(F479*VLOOKUP(D479,ALLOCTABLE_DISTR_CUSTOMER,$J$10,FALSE),0)</f>
        <v>5714</v>
      </c>
      <c r="K479" s="347">
        <f>SUM($G$479:$J$479)</f>
        <v>1523827</v>
      </c>
      <c r="L479" s="347">
        <f>F479-$K$479</f>
        <v>0</v>
      </c>
    </row>
    <row r="480" spans="1:13">
      <c r="A480" s="333">
        <v>4</v>
      </c>
      <c r="C480" s="359" t="str">
        <f>'FR-16(7)(v)-1 Functional'!C480</f>
        <v>ANNUALIZE PROPERTY TAX</v>
      </c>
      <c r="D480" s="344" t="str">
        <f>'FR-16(7)(v)-1 Functional'!D480</f>
        <v>NP29</v>
      </c>
      <c r="E480" s="196" t="s">
        <v>343</v>
      </c>
      <c r="F480" s="479">
        <f>'FR-16(7)(v)-4 DISTR Classified'!I480</f>
        <v>0</v>
      </c>
      <c r="G480" s="349">
        <f>F480-SUM(H480:J480)</f>
        <v>0</v>
      </c>
      <c r="H480" s="347">
        <f>ROUND($F$480*VLOOKUP($D$480,ALLOCTABLE_DISTR_CUSTOMER,$H$10,FALSE),0)</f>
        <v>0</v>
      </c>
      <c r="I480" s="347">
        <f>ROUND(F480*VLOOKUP(D480,ALLOCTABLE_DISTR_CUSTOMER,$I$10,FALSE),0)</f>
        <v>0</v>
      </c>
      <c r="J480" s="347">
        <f>ROUND(F480*VLOOKUP(D480,ALLOCTABLE_DISTR_CUSTOMER,$J$10,FALSE),0)</f>
        <v>0</v>
      </c>
      <c r="K480" s="347">
        <f>SUM($G$480:$J$480)</f>
        <v>0</v>
      </c>
      <c r="L480" s="347">
        <f>F480-$K$480</f>
        <v>0</v>
      </c>
    </row>
    <row r="481" spans="1:12">
      <c r="A481" s="333">
        <v>5</v>
      </c>
      <c r="C481" s="332" t="str">
        <f>'FR-16(7)(v)-1 Functional'!C481</f>
        <v xml:space="preserve">  TOTAL REAL ESTATE &amp; PROPERTY TAX</v>
      </c>
      <c r="D481" s="344"/>
      <c r="E481" s="196"/>
      <c r="F481" s="348">
        <f>SUM(F479:F480)</f>
        <v>1523827</v>
      </c>
      <c r="G481" s="348">
        <f>SUM($G$479:$G$480)</f>
        <v>1311070</v>
      </c>
      <c r="H481" s="348">
        <f>SUM($H$479:$H$480)</f>
        <v>201435</v>
      </c>
      <c r="I481" s="348">
        <f>SUM($I$479:$I$480)</f>
        <v>5608</v>
      </c>
      <c r="J481" s="348">
        <f>SUM($J$479:$J$480)</f>
        <v>5714</v>
      </c>
      <c r="K481" s="348">
        <f>SUM($K$479:$K$480)</f>
        <v>1523827</v>
      </c>
      <c r="L481" s="348">
        <f>SUM($L$479:$L$480)</f>
        <v>0</v>
      </c>
    </row>
    <row r="482" spans="1:12">
      <c r="A482" s="333">
        <v>6</v>
      </c>
      <c r="D482" s="344"/>
      <c r="E482" s="196"/>
      <c r="F482" s="353"/>
      <c r="I482" s="332"/>
    </row>
    <row r="483" spans="1:12">
      <c r="A483" s="333">
        <v>7</v>
      </c>
      <c r="B483" s="332" t="s">
        <v>65</v>
      </c>
      <c r="D483" s="344"/>
      <c r="E483" s="196"/>
      <c r="F483" s="353"/>
      <c r="I483" s="332"/>
    </row>
    <row r="484" spans="1:12">
      <c r="A484" s="333">
        <v>8</v>
      </c>
      <c r="C484" s="332" t="str">
        <f>'FR-16(7)(v)-1 Functional'!C484</f>
        <v>PAYROLL &amp; HIGHWAY</v>
      </c>
      <c r="D484" s="344" t="str">
        <f>'FR-16(7)(v)-1 Functional'!D484</f>
        <v>AG39</v>
      </c>
      <c r="E484" s="196"/>
      <c r="F484" s="479">
        <f>'FR-16(7)(v)-4 DISTR Classified'!I484</f>
        <v>381022</v>
      </c>
      <c r="G484" s="349">
        <f>F484-SUM(H484:J484)</f>
        <v>326486</v>
      </c>
      <c r="H484" s="347">
        <f>ROUND($F$484*VLOOKUP($D$484,ALLOCTABLE_DISTR_CUSTOMER,$H$10,FALSE),0)</f>
        <v>49091</v>
      </c>
      <c r="I484" s="347">
        <f>ROUND(F484*VLOOKUP(D484,ALLOCTABLE_DISTR_CUSTOMER,$I$10,FALSE),0)</f>
        <v>4005</v>
      </c>
      <c r="J484" s="347">
        <f>ROUND(F484*VLOOKUP(D484,ALLOCTABLE_DISTR_CUSTOMER,$J$10,FALSE),0)</f>
        <v>1440</v>
      </c>
      <c r="K484" s="347">
        <f>SUM($G$484:$J$484)</f>
        <v>381022</v>
      </c>
      <c r="L484" s="347">
        <f>F484-$K$484</f>
        <v>0</v>
      </c>
    </row>
    <row r="485" spans="1:12">
      <c r="A485" s="333">
        <v>9</v>
      </c>
      <c r="C485" s="332" t="str">
        <f>'FR-16(7)(v)-1 Functional'!C485</f>
        <v>UNEMPLOYMENT COMPENSATION</v>
      </c>
      <c r="D485" s="344" t="str">
        <f>'FR-16(7)(v)-1 Functional'!D485</f>
        <v>AG39</v>
      </c>
      <c r="E485" s="196"/>
      <c r="F485" s="479">
        <f>'FR-16(7)(v)-4 DISTR Classified'!I485</f>
        <v>0</v>
      </c>
      <c r="G485" s="349">
        <f>F485-SUM(H485:J485)</f>
        <v>0</v>
      </c>
      <c r="H485" s="347">
        <f>ROUND($F$485*VLOOKUP($D$485,ALLOCTABLE_DISTR_CUSTOMER,$H$10,FALSE),0)</f>
        <v>0</v>
      </c>
      <c r="I485" s="347">
        <f>ROUND(F485*VLOOKUP(D485,ALLOCTABLE_DISTR_CUSTOMER,$I$10,FALSE),0)</f>
        <v>0</v>
      </c>
      <c r="J485" s="347">
        <f>ROUND(F485*VLOOKUP(D485,ALLOCTABLE_DISTR_CUSTOMER,$J$10,FALSE),0)</f>
        <v>0</v>
      </c>
      <c r="K485" s="347">
        <f>SUM($G$485:$J$485)</f>
        <v>0</v>
      </c>
      <c r="L485" s="347">
        <f>F485-$K$485</f>
        <v>0</v>
      </c>
    </row>
    <row r="486" spans="1:12">
      <c r="A486" s="333">
        <v>10</v>
      </c>
      <c r="C486" s="332" t="str">
        <f>'FR-16(7)(v)-1 Functional'!C486</f>
        <v>OHIO EXCISE TAX</v>
      </c>
      <c r="D486" s="354" t="str">
        <f>'FR-16(7)(v)-1 Functional'!D486</f>
        <v>OM39</v>
      </c>
      <c r="E486" s="196"/>
      <c r="F486" s="479">
        <f>'FR-16(7)(v)-4 DISTR Classified'!I486</f>
        <v>0</v>
      </c>
      <c r="G486" s="349">
        <f>F486-SUM(H486:J486)</f>
        <v>0</v>
      </c>
      <c r="H486" s="347">
        <f>ROUND($F$486*VLOOKUP($D$486,ALLOCTABLE_DISTR_CUSTOMER,$H$10,FALSE),0)</f>
        <v>0</v>
      </c>
      <c r="I486" s="347">
        <f>ROUND(F486*VLOOKUP(D486,ALLOCTABLE_DISTR_CUSTOMER,$I$10,FALSE),0)</f>
        <v>0</v>
      </c>
      <c r="J486" s="347">
        <f>ROUND(F486*VLOOKUP(D486,ALLOCTABLE_DISTR_CUSTOMER,$J$10,FALSE),0)</f>
        <v>0</v>
      </c>
      <c r="K486" s="347">
        <f>SUM($G$486:$J$486)</f>
        <v>0</v>
      </c>
      <c r="L486" s="347">
        <f>F486-$K$486</f>
        <v>0</v>
      </c>
    </row>
    <row r="487" spans="1:12">
      <c r="A487" s="333">
        <v>11</v>
      </c>
      <c r="C487" s="359" t="str">
        <f>'FR-16(7)(v)-1 Functional'!C487</f>
        <v>STATE TAX RIDER</v>
      </c>
      <c r="D487" s="354" t="str">
        <f>'FR-16(7)(v)-1 Functional'!D487</f>
        <v>OM39</v>
      </c>
      <c r="E487" s="196"/>
      <c r="F487" s="479">
        <f>'FR-16(7)(v)-4 DISTR Classified'!I487</f>
        <v>0</v>
      </c>
      <c r="G487" s="349">
        <f>F487-SUM(H487:J487)</f>
        <v>0</v>
      </c>
      <c r="H487" s="347">
        <f>ROUND($F$487*VLOOKUP($D$487,ALLOCTABLE_DISTR_CUSTOMER,$H$10,FALSE),0)</f>
        <v>0</v>
      </c>
      <c r="I487" s="347">
        <f>ROUND(F487*VLOOKUP(D487,ALLOCTABLE_DISTR_CUSTOMER,$I$10,FALSE),0)</f>
        <v>0</v>
      </c>
      <c r="J487" s="347">
        <f>ROUND(F487*VLOOKUP(D487,ALLOCTABLE_DISTR_CUSTOMER,$J$10,FALSE),0)</f>
        <v>0</v>
      </c>
      <c r="K487" s="347">
        <f>SUM($G$487:$J$487)</f>
        <v>0</v>
      </c>
      <c r="L487" s="347">
        <f>F487-$K$487</f>
        <v>0</v>
      </c>
    </row>
    <row r="488" spans="1:12">
      <c r="A488" s="333">
        <v>12</v>
      </c>
      <c r="C488" s="332" t="str">
        <f>'FR-16(7)(v)-1 Functional'!C488</f>
        <v xml:space="preserve">  TOTAL MISCELLANEOUS TAXES</v>
      </c>
      <c r="D488" s="344"/>
      <c r="E488" s="196"/>
      <c r="F488" s="348">
        <f>SUM(F484:F487)</f>
        <v>381022</v>
      </c>
      <c r="G488" s="348">
        <f>SUM($G$484:$G$487)</f>
        <v>326486</v>
      </c>
      <c r="H488" s="348">
        <f>SUM($H$484:$H$487)</f>
        <v>49091</v>
      </c>
      <c r="I488" s="348">
        <f>SUM($I$484:$I$487)</f>
        <v>4005</v>
      </c>
      <c r="J488" s="348">
        <f>SUM($J$484:$J$487)</f>
        <v>1440</v>
      </c>
      <c r="K488" s="348">
        <f>SUM($K$484:$K$487)</f>
        <v>381022</v>
      </c>
      <c r="L488" s="348">
        <f>SUM($L$484:$L$487)</f>
        <v>0</v>
      </c>
    </row>
    <row r="489" spans="1:12">
      <c r="A489" s="333">
        <v>13</v>
      </c>
      <c r="D489" s="344"/>
      <c r="E489" s="196"/>
      <c r="F489" s="353"/>
      <c r="I489" s="332"/>
    </row>
    <row r="490" spans="1:12">
      <c r="A490" s="333">
        <v>14</v>
      </c>
      <c r="B490" s="332" t="s">
        <v>66</v>
      </c>
      <c r="D490" s="344"/>
      <c r="E490" s="196"/>
      <c r="F490" s="353"/>
      <c r="I490" s="332"/>
    </row>
    <row r="491" spans="1:12">
      <c r="A491" s="333">
        <v>15</v>
      </c>
      <c r="C491" s="332" t="str">
        <f>'FR-16(7)(v)-1 Functional'!C491</f>
        <v>PSC MAINT. EXP ON INCREASE</v>
      </c>
      <c r="D491" s="344" t="str">
        <f>'FR-16(7)(v)-1 Functional'!D491</f>
        <v>AG39</v>
      </c>
      <c r="E491" s="196"/>
      <c r="F491" s="479">
        <f>'FR-16(7)(v)-4 DISTR Classified'!I491</f>
        <v>11331</v>
      </c>
      <c r="G491" s="349">
        <f>F491-SUM(H491:J491)</f>
        <v>9709</v>
      </c>
      <c r="H491" s="347">
        <f>ROUND($F$491*VLOOKUP($D$491,ALLOCTABLE_DISTR_CUSTOMER,$H$10,FALSE),0)</f>
        <v>1460</v>
      </c>
      <c r="I491" s="347">
        <f>ROUND(F491*VLOOKUP(D491,ALLOCTABLE_DISTR_CUSTOMER,$I$10,FALSE),0)</f>
        <v>119</v>
      </c>
      <c r="J491" s="347">
        <f>ROUND(F491*VLOOKUP(D491,ALLOCTABLE_DISTR_CUSTOMER,$J$10,FALSE),0)</f>
        <v>43</v>
      </c>
      <c r="K491" s="347">
        <f>SUM($G$491:$J$491)</f>
        <v>11331</v>
      </c>
      <c r="L491" s="347">
        <f>F491-$K$491</f>
        <v>0</v>
      </c>
    </row>
    <row r="492" spans="1:12">
      <c r="A492" s="333">
        <v>16</v>
      </c>
      <c r="C492" s="359" t="str">
        <f>'FR-16(7)(v)-1 Functional'!C492</f>
        <v>RESERVED FOR FUTURE USE</v>
      </c>
      <c r="D492" s="344" t="str">
        <f>'FR-16(7)(v)-1 Functional'!D492</f>
        <v>AG39</v>
      </c>
      <c r="E492" s="196"/>
      <c r="F492" s="479">
        <f>'FR-16(7)(v)-4 DISTR Classified'!I492</f>
        <v>0</v>
      </c>
      <c r="G492" s="349">
        <f>F492-SUM(H492:J492)</f>
        <v>0</v>
      </c>
      <c r="H492" s="347">
        <f>ROUND($F$492*VLOOKUP($D$492,ALLOCTABLE_DISTR_CUSTOMER,$H$10,FALSE),0)</f>
        <v>0</v>
      </c>
      <c r="I492" s="347">
        <f>ROUND(F492*VLOOKUP(D492,ALLOCTABLE_DISTR_CUSTOMER,$I$10,FALSE),0)</f>
        <v>0</v>
      </c>
      <c r="J492" s="347">
        <f>ROUND(F492*VLOOKUP(D492,ALLOCTABLE_DISTR_CUSTOMER,$J$10,FALSE),0)</f>
        <v>0</v>
      </c>
      <c r="K492" s="347">
        <f>SUM($G$492:$J$492)</f>
        <v>0</v>
      </c>
      <c r="L492" s="347">
        <f>F492-$K$492</f>
        <v>0</v>
      </c>
    </row>
    <row r="493" spans="1:12">
      <c r="A493" s="333">
        <v>17</v>
      </c>
      <c r="C493" s="332" t="str">
        <f>'FR-16(7)(v)-1 Functional'!C493</f>
        <v xml:space="preserve">  TOTAL MISCELLANEOUS EXPENSES</v>
      </c>
      <c r="D493" s="344"/>
      <c r="E493" s="196"/>
      <c r="F493" s="480">
        <f>SUM(F491:F492)</f>
        <v>11331</v>
      </c>
      <c r="G493" s="348">
        <f>SUM($G$491:$G$492)</f>
        <v>9709</v>
      </c>
      <c r="H493" s="348">
        <f>SUM($H$491:$H$492)</f>
        <v>1460</v>
      </c>
      <c r="I493" s="348">
        <f>SUM($I$491:$I$492)</f>
        <v>119</v>
      </c>
      <c r="J493" s="348">
        <f>SUM($J$491:$J$492)</f>
        <v>43</v>
      </c>
      <c r="K493" s="348">
        <f>SUM($K$491:$K$492)</f>
        <v>11331</v>
      </c>
      <c r="L493" s="348">
        <f>SUM($L$491:$L$492)</f>
        <v>0</v>
      </c>
    </row>
    <row r="494" spans="1:12">
      <c r="A494" s="333">
        <v>18</v>
      </c>
      <c r="D494" s="344"/>
      <c r="E494" s="196"/>
      <c r="I494" s="332"/>
    </row>
    <row r="495" spans="1:12">
      <c r="A495" s="333">
        <v>19</v>
      </c>
      <c r="B495" s="332" t="s">
        <v>67</v>
      </c>
      <c r="D495" s="344"/>
      <c r="E495" s="196" t="s">
        <v>343</v>
      </c>
      <c r="F495" s="347">
        <f>F488+F481+F493</f>
        <v>1916180</v>
      </c>
      <c r="G495" s="347">
        <f>$G$488+$G$481+$G$493</f>
        <v>1647265</v>
      </c>
      <c r="H495" s="347">
        <f>$H$488+$H$481+$H$493</f>
        <v>251986</v>
      </c>
      <c r="I495" s="347">
        <f>$I$488+$I$481+$I$493</f>
        <v>9732</v>
      </c>
      <c r="J495" s="347">
        <f>$J$488+$J$481+$J$493</f>
        <v>7197</v>
      </c>
      <c r="K495" s="347">
        <f>$K$488+$K$481+$K$493</f>
        <v>1916180</v>
      </c>
      <c r="L495" s="347">
        <f>$L$488+$L$481+$L$493</f>
        <v>0</v>
      </c>
    </row>
    <row r="496" spans="1:12">
      <c r="A496" s="333">
        <v>20</v>
      </c>
      <c r="D496" s="344"/>
      <c r="E496" s="196"/>
      <c r="I496" s="332"/>
    </row>
    <row r="497" spans="1:12">
      <c r="A497" s="333">
        <v>21</v>
      </c>
      <c r="B497" s="332" t="s">
        <v>40</v>
      </c>
      <c r="D497" s="344"/>
      <c r="E497" s="196"/>
      <c r="I497" s="332"/>
    </row>
    <row r="498" spans="1:12">
      <c r="A498" s="333">
        <v>22</v>
      </c>
      <c r="C498" s="332" t="str">
        <f>'FR-16(7)(v)-1 Functional'!C498</f>
        <v>TOTAL O&amp;M EXPENSE</v>
      </c>
      <c r="D498" s="344"/>
      <c r="E498" s="196"/>
      <c r="F498" s="347">
        <f t="shared" ref="F498:L498" si="158">F433</f>
        <v>12407094</v>
      </c>
      <c r="G498" s="347">
        <f>G433</f>
        <v>10441650</v>
      </c>
      <c r="H498" s="347">
        <f t="shared" si="158"/>
        <v>1753357</v>
      </c>
      <c r="I498" s="347">
        <f t="shared" si="158"/>
        <v>155689</v>
      </c>
      <c r="J498" s="347">
        <f t="shared" si="158"/>
        <v>56398</v>
      </c>
      <c r="K498" s="347">
        <f t="shared" si="158"/>
        <v>12407094</v>
      </c>
      <c r="L498" s="347">
        <f t="shared" si="158"/>
        <v>0</v>
      </c>
    </row>
    <row r="499" spans="1:12">
      <c r="A499" s="333">
        <v>23</v>
      </c>
      <c r="C499" s="332" t="str">
        <f>'FR-16(7)(v)-1 Functional'!C499</f>
        <v>TOTAL DEPRECIATION EXPENSE</v>
      </c>
      <c r="D499" s="344"/>
      <c r="E499" s="196"/>
      <c r="F499" s="347">
        <f t="shared" ref="F499:L499" si="159">F465</f>
        <v>6646591</v>
      </c>
      <c r="G499" s="347">
        <f>G465</f>
        <v>5715185</v>
      </c>
      <c r="H499" s="347">
        <f t="shared" si="159"/>
        <v>875457</v>
      </c>
      <c r="I499" s="347">
        <f t="shared" si="159"/>
        <v>30987</v>
      </c>
      <c r="J499" s="347">
        <f t="shared" si="159"/>
        <v>24962</v>
      </c>
      <c r="K499" s="347">
        <f t="shared" si="159"/>
        <v>6646591</v>
      </c>
      <c r="L499" s="347">
        <f t="shared" si="159"/>
        <v>0</v>
      </c>
    </row>
    <row r="500" spans="1:12">
      <c r="A500" s="333">
        <v>24</v>
      </c>
      <c r="C500" s="359" t="str">
        <f>'FR-16(7)(v)-1 Functional'!C500</f>
        <v>TOTAL OTHER TAX &amp; MISC EXPENSE</v>
      </c>
      <c r="D500" s="344"/>
      <c r="E500" s="196"/>
      <c r="F500" s="347">
        <f>F495</f>
        <v>1916180</v>
      </c>
      <c r="G500" s="347">
        <f>$G$495</f>
        <v>1647265</v>
      </c>
      <c r="H500" s="347">
        <f>$H$495</f>
        <v>251986</v>
      </c>
      <c r="I500" s="347">
        <f>$I$495</f>
        <v>9732</v>
      </c>
      <c r="J500" s="347">
        <f>$J$495</f>
        <v>7197</v>
      </c>
      <c r="K500" s="347">
        <f>$K$495</f>
        <v>1916180</v>
      </c>
      <c r="L500" s="347">
        <f>$L$495</f>
        <v>0</v>
      </c>
    </row>
    <row r="501" spans="1:12">
      <c r="A501" s="333">
        <v>25</v>
      </c>
      <c r="C501" s="332" t="str">
        <f>'FR-16(7)(v)-1 Functional'!C501</f>
        <v xml:space="preserve">  TOTAL OPER EXP EXCL INCOME &amp; REV TAX</v>
      </c>
      <c r="D501" s="344"/>
      <c r="E501" s="196"/>
      <c r="F501" s="348">
        <f>SUM(F498:F500)</f>
        <v>20969865</v>
      </c>
      <c r="G501" s="348">
        <f>SUM($G$498:$G$500)</f>
        <v>17804100</v>
      </c>
      <c r="H501" s="348">
        <f>SUM($H$498:$H$500)</f>
        <v>2880800</v>
      </c>
      <c r="I501" s="348">
        <f>SUM($I$498:$I$500)</f>
        <v>196408</v>
      </c>
      <c r="J501" s="348">
        <f>SUM($J$498:$J$500)</f>
        <v>88557</v>
      </c>
      <c r="K501" s="348">
        <f>SUM($K$498:$K$500)</f>
        <v>20969865</v>
      </c>
      <c r="L501" s="348">
        <f>SUM($L$498:$L$500)</f>
        <v>0</v>
      </c>
    </row>
    <row r="502" spans="1:12">
      <c r="B502" s="343"/>
      <c r="C502" s="196"/>
      <c r="D502" s="344"/>
      <c r="E502" s="196"/>
      <c r="G502" s="342"/>
      <c r="H502" s="342"/>
      <c r="I502" s="196"/>
      <c r="J502" s="344"/>
      <c r="K502" s="196"/>
      <c r="L502" s="196"/>
    </row>
    <row r="503" spans="1:12">
      <c r="A503" s="343" t="str">
        <f>co_name</f>
        <v>DUKE ENERGY KENTUCKY, INC.</v>
      </c>
      <c r="C503" s="196"/>
      <c r="D503" s="344"/>
      <c r="E503" s="196"/>
      <c r="F503" s="344"/>
      <c r="G503" s="342"/>
      <c r="H503" s="342"/>
      <c r="I503" s="196"/>
      <c r="K503" s="361" t="str">
        <f>$K$1</f>
        <v>FR-16(7)(v)-6</v>
      </c>
      <c r="L503" s="196"/>
    </row>
    <row r="504" spans="1:12">
      <c r="A504" s="343" t="str">
        <f>$A$2</f>
        <v>DISTRIBUTION CUSTOMER ALLOCATED - GAS COST OF SERVICE</v>
      </c>
      <c r="C504" s="196"/>
      <c r="D504" s="344"/>
      <c r="E504" s="196"/>
      <c r="F504" s="344"/>
      <c r="G504" s="342"/>
      <c r="H504" s="342"/>
      <c r="I504" s="196"/>
      <c r="K504" s="361" t="str">
        <f>$K$2</f>
        <v>WITNESS RESPONSIBLE:</v>
      </c>
      <c r="L504" s="196"/>
    </row>
    <row r="505" spans="1:12">
      <c r="A505" s="343" t="str">
        <f>case_name</f>
        <v>CASE NO: 2018-00261</v>
      </c>
      <c r="C505" s="196"/>
      <c r="D505" s="344"/>
      <c r="E505" s="196"/>
      <c r="F505" s="344"/>
      <c r="G505" s="342"/>
      <c r="H505" s="342"/>
      <c r="I505" s="196"/>
      <c r="K505" s="361" t="str">
        <f>Witness</f>
        <v>JAMES E. ZIOLKOWSKI</v>
      </c>
      <c r="L505" s="196"/>
    </row>
    <row r="506" spans="1:12">
      <c r="A506" s="343" t="str">
        <f>data_filing</f>
        <v>DATA: 12 MONTH FORECASTED PERIOD</v>
      </c>
      <c r="C506" s="196"/>
      <c r="D506" s="344"/>
      <c r="E506" s="196"/>
      <c r="F506" s="344"/>
      <c r="G506" s="342"/>
      <c r="H506" s="342"/>
      <c r="I506" s="196"/>
      <c r="K506" s="361" t="str">
        <f>"PAGE "&amp;Pages-6&amp;" OF "&amp;Pages</f>
        <v>PAGE 12 OF 18</v>
      </c>
      <c r="L506" s="196"/>
    </row>
    <row r="507" spans="1:12">
      <c r="A507" s="343" t="str">
        <f>type</f>
        <v xml:space="preserve">TYPE OF FILING: "X" ORIGINAL   UPDATED    REVISED  </v>
      </c>
      <c r="C507" s="196"/>
      <c r="D507" s="344"/>
      <c r="E507" s="196"/>
      <c r="F507" s="344"/>
      <c r="G507" s="342"/>
      <c r="H507" s="342"/>
      <c r="I507" s="196"/>
      <c r="J507" s="344"/>
      <c r="K507" s="196"/>
      <c r="L507" s="196"/>
    </row>
    <row r="508" spans="1:12">
      <c r="B508" s="343"/>
      <c r="C508" s="196"/>
      <c r="D508" s="344"/>
      <c r="E508" s="196"/>
      <c r="F508" s="344"/>
      <c r="G508" s="342"/>
      <c r="H508" s="342"/>
      <c r="I508" s="196"/>
      <c r="J508" s="344"/>
      <c r="K508" s="196"/>
      <c r="L508" s="196"/>
    </row>
    <row r="509" spans="1:12">
      <c r="B509" s="343"/>
      <c r="C509" s="196"/>
      <c r="D509" s="344"/>
      <c r="E509" s="196"/>
      <c r="F509" s="344" t="str">
        <f>$F$7</f>
        <v>TOTAL</v>
      </c>
      <c r="G509" s="342"/>
      <c r="H509" s="342"/>
      <c r="I509" s="196"/>
      <c r="J509" s="344"/>
      <c r="K509" s="196"/>
      <c r="L509" s="196"/>
    </row>
    <row r="510" spans="1:12">
      <c r="A510" s="344" t="s">
        <v>914</v>
      </c>
      <c r="B510" s="196"/>
      <c r="C510" s="196"/>
      <c r="D510" s="344"/>
      <c r="E510" s="196"/>
      <c r="F510" s="344" t="str">
        <f>$F$8</f>
        <v>DISTRIBUTION</v>
      </c>
      <c r="G510" s="354" t="str">
        <f>$G$8</f>
        <v>RS</v>
      </c>
      <c r="H510" s="354" t="str">
        <f>$H$8</f>
        <v>GS</v>
      </c>
      <c r="I510" s="344" t="str">
        <f>$I$8</f>
        <v>FT-L</v>
      </c>
      <c r="J510" s="344" t="str">
        <f>$J$8</f>
        <v>INTERUPT</v>
      </c>
      <c r="K510" s="344" t="s">
        <v>229</v>
      </c>
      <c r="L510" s="344" t="s">
        <v>342</v>
      </c>
    </row>
    <row r="511" spans="1:12">
      <c r="A511" s="346" t="s">
        <v>915</v>
      </c>
      <c r="B511" s="345" t="str">
        <f>'FR-16(7)(v)-1 Functional'!B511</f>
        <v>FEDERAL INCOME TAX BASED ON RETURN</v>
      </c>
      <c r="C511" s="345"/>
      <c r="D511" s="346" t="s">
        <v>337</v>
      </c>
      <c r="E511" s="345"/>
      <c r="F511" s="344" t="str">
        <f>$F$9</f>
        <v>CUSTOMER</v>
      </c>
      <c r="G511" s="355" t="str">
        <f>$G$9</f>
        <v>RESIDENTIAL</v>
      </c>
      <c r="H511" s="355" t="str">
        <f>$H$9</f>
        <v>GEN SERV</v>
      </c>
      <c r="I511" s="346" t="str">
        <f>$I$9</f>
        <v>FIRM TRANS</v>
      </c>
      <c r="J511" s="346" t="str">
        <f>$J$9</f>
        <v>TRANS</v>
      </c>
      <c r="K511" s="346" t="s">
        <v>341</v>
      </c>
      <c r="L511" s="346" t="s">
        <v>340</v>
      </c>
    </row>
    <row r="512" spans="1:12">
      <c r="C512" s="578" t="s">
        <v>351</v>
      </c>
      <c r="D512" s="344"/>
      <c r="E512" s="196"/>
      <c r="F512" s="761"/>
      <c r="G512" s="633">
        <f>$G$10</f>
        <v>3</v>
      </c>
      <c r="H512" s="633">
        <f>$H$10</f>
        <v>4</v>
      </c>
      <c r="I512" s="633">
        <f>$I$10</f>
        <v>5</v>
      </c>
      <c r="J512" s="633">
        <f>$J$10</f>
        <v>6</v>
      </c>
    </row>
    <row r="513" spans="1:12">
      <c r="A513" s="333">
        <v>1</v>
      </c>
      <c r="B513" s="332" t="s">
        <v>69</v>
      </c>
      <c r="D513" s="344"/>
      <c r="E513" s="196"/>
      <c r="I513" s="332"/>
    </row>
    <row r="514" spans="1:12">
      <c r="A514" s="333">
        <v>2</v>
      </c>
      <c r="B514" s="332" t="s">
        <v>70</v>
      </c>
      <c r="D514" s="344"/>
      <c r="E514" s="196"/>
      <c r="F514" s="332" t="s">
        <v>343</v>
      </c>
      <c r="I514" s="332"/>
    </row>
    <row r="515" spans="1:12">
      <c r="A515" s="333">
        <v>3</v>
      </c>
      <c r="C515" s="359" t="str">
        <f>'FR-16(7)(v)-1 Functional'!C515</f>
        <v>AUTO PROC INTEREST DED</v>
      </c>
      <c r="D515" s="344" t="str">
        <f>'FR-16(7)(v)-1 Functional'!D515</f>
        <v>RB99</v>
      </c>
      <c r="E515" s="196"/>
      <c r="F515" s="479">
        <f>'FR-16(7)(v)-4 DISTR Classified'!I515</f>
        <v>2949490</v>
      </c>
      <c r="G515" s="349">
        <f>F515-SUM(H515:J515)</f>
        <v>2538774</v>
      </c>
      <c r="H515" s="347">
        <f>ROUND($F$515*VLOOKUP($D$515,ALLOCTABLE_DISTR_CUSTOMER,$H$10,FALSE),0)</f>
        <v>389244</v>
      </c>
      <c r="I515" s="347">
        <f>ROUND(F515*VLOOKUP(D515,ALLOCTABLE_DISTR_CUSTOMER,$I$10,FALSE),0)</f>
        <v>10323</v>
      </c>
      <c r="J515" s="347">
        <f>ROUND(F515*VLOOKUP(D515,ALLOCTABLE_DISTR_CUSTOMER,$J$10,FALSE),0)</f>
        <v>11149</v>
      </c>
      <c r="K515" s="347">
        <f>SUM($G$515:$J$515)</f>
        <v>2949490</v>
      </c>
      <c r="L515" s="347">
        <f>F515-$K$515</f>
        <v>0</v>
      </c>
    </row>
    <row r="516" spans="1:12">
      <c r="A516" s="333">
        <v>4</v>
      </c>
      <c r="C516" s="332" t="str">
        <f>'FR-16(7)(v)-1 Functional'!C516</f>
        <v xml:space="preserve">  TOTAL INTEREST EXPENSE</v>
      </c>
      <c r="D516" s="344"/>
      <c r="E516" s="196"/>
      <c r="F516" s="348">
        <f>F515</f>
        <v>2949490</v>
      </c>
      <c r="G516" s="348">
        <f>$G$515</f>
        <v>2538774</v>
      </c>
      <c r="H516" s="348">
        <f>$H$515</f>
        <v>389244</v>
      </c>
      <c r="I516" s="348">
        <f>$I$515</f>
        <v>10323</v>
      </c>
      <c r="J516" s="348">
        <f>$J$515</f>
        <v>11149</v>
      </c>
      <c r="K516" s="348">
        <f>$K$515</f>
        <v>2949490</v>
      </c>
      <c r="L516" s="348">
        <f>$L$515</f>
        <v>0</v>
      </c>
    </row>
    <row r="517" spans="1:12">
      <c r="A517" s="333">
        <v>5</v>
      </c>
      <c r="D517" s="344"/>
      <c r="E517" s="196"/>
      <c r="F517" s="353"/>
      <c r="I517" s="332"/>
    </row>
    <row r="518" spans="1:12">
      <c r="A518" s="333">
        <v>6</v>
      </c>
      <c r="B518" s="332" t="s">
        <v>71</v>
      </c>
      <c r="D518" s="344"/>
      <c r="E518" s="196"/>
      <c r="F518" s="353"/>
      <c r="I518" s="332"/>
    </row>
    <row r="519" spans="1:12">
      <c r="A519" s="333">
        <v>7</v>
      </c>
      <c r="C519" s="332" t="str">
        <f>'FR-16(7)(v)-1 Functional'!C519</f>
        <v>DEPREC EXCESS TAX-BOOK</v>
      </c>
      <c r="D519" s="344" t="str">
        <f>'FR-16(7)(v)-1 Functional'!D519</f>
        <v>DE49</v>
      </c>
      <c r="E519" s="196"/>
      <c r="F519" s="479">
        <f>'FR-16(7)(v)-4 DISTR Classified'!I519</f>
        <v>2940610</v>
      </c>
      <c r="G519" s="349">
        <f>F519-SUM(H519:J519)</f>
        <v>2528513</v>
      </c>
      <c r="H519" s="347">
        <f>ROUND($F$519*VLOOKUP($D$519,ALLOCTABLE_DISTR_CUSTOMER,$H$10,FALSE),0)</f>
        <v>387337</v>
      </c>
      <c r="I519" s="347">
        <f>ROUND(F519*VLOOKUP(D519,ALLOCTABLE_DISTR_CUSTOMER,$I$10,FALSE),0)</f>
        <v>13703</v>
      </c>
      <c r="J519" s="347">
        <f>ROUND(F519*VLOOKUP(D519,ALLOCTABLE_DISTR_CUSTOMER,$J$10,FALSE),0)</f>
        <v>11057</v>
      </c>
      <c r="K519" s="347">
        <f>SUM($G$519:$J$519)</f>
        <v>2940610</v>
      </c>
      <c r="L519" s="347">
        <f>F519-$K$519</f>
        <v>0</v>
      </c>
    </row>
    <row r="520" spans="1:12">
      <c r="A520" s="333">
        <v>8</v>
      </c>
      <c r="C520" s="332" t="str">
        <f>'FR-16(7)(v)-1 Functional'!C520</f>
        <v>PERMANENT DIFFERENCES</v>
      </c>
      <c r="D520" s="344" t="str">
        <f>'FR-16(7)(v)-1 Functional'!D520</f>
        <v>AG39</v>
      </c>
      <c r="E520" s="196"/>
      <c r="F520" s="479">
        <f>'FR-16(7)(v)-4 DISTR Classified'!I520</f>
        <v>-53556</v>
      </c>
      <c r="G520" s="349">
        <f>F520-SUM(H520:J520)</f>
        <v>-45891</v>
      </c>
      <c r="H520" s="347">
        <f>ROUND($F$520*VLOOKUP($D$520,ALLOCTABLE_DISTR_CUSTOMER,$H$10,FALSE),0)</f>
        <v>-6900</v>
      </c>
      <c r="I520" s="347">
        <f>ROUND(F520*VLOOKUP(D520,ALLOCTABLE_DISTR_CUSTOMER,$I$10,FALSE),0)</f>
        <v>-563</v>
      </c>
      <c r="J520" s="347">
        <f>ROUND(F520*VLOOKUP(D520,ALLOCTABLE_DISTR_CUSTOMER,$J$10,FALSE),0)</f>
        <v>-202</v>
      </c>
      <c r="K520" s="347">
        <f>SUM($G$520:$J$520)</f>
        <v>-53556</v>
      </c>
      <c r="L520" s="347">
        <f>F520-$K$520</f>
        <v>0</v>
      </c>
    </row>
    <row r="521" spans="1:12">
      <c r="A521" s="333">
        <v>9</v>
      </c>
      <c r="C521" s="359" t="str">
        <f>'FR-16(7)(v)-1 Functional'!C521</f>
        <v>TEMPORARY DIFFERENCES</v>
      </c>
      <c r="D521" s="344" t="str">
        <f>'FR-16(7)(v)-1 Functional'!D521</f>
        <v>DE49</v>
      </c>
      <c r="E521" s="196"/>
      <c r="F521" s="479">
        <f>'FR-16(7)(v)-4 DISTR Classified'!I521</f>
        <v>106666</v>
      </c>
      <c r="G521" s="349">
        <f>F521-SUM(H521:J521)</f>
        <v>91718</v>
      </c>
      <c r="H521" s="347">
        <f>ROUND($F$521*VLOOKUP($D$521,ALLOCTABLE_DISTR_CUSTOMER,$H$10,FALSE),0)</f>
        <v>14050</v>
      </c>
      <c r="I521" s="347">
        <f>ROUND(F521*VLOOKUP(D521,ALLOCTABLE_DISTR_CUSTOMER,$I$10,FALSE),0)</f>
        <v>497</v>
      </c>
      <c r="J521" s="347">
        <f>ROUND(F521*VLOOKUP(D521,ALLOCTABLE_DISTR_CUSTOMER,$J$10,FALSE),0)</f>
        <v>401</v>
      </c>
      <c r="K521" s="347">
        <f>SUM($G$521:$J$521)</f>
        <v>106666</v>
      </c>
      <c r="L521" s="347">
        <f>F521-$K$521</f>
        <v>0</v>
      </c>
    </row>
    <row r="522" spans="1:12">
      <c r="A522" s="333">
        <v>10</v>
      </c>
      <c r="C522" s="332" t="str">
        <f>'FR-16(7)(v)-1 Functional'!C522</f>
        <v xml:space="preserve">  TOTAL OTHER DEDUCTIONS</v>
      </c>
      <c r="D522" s="344"/>
      <c r="E522" s="196"/>
      <c r="F522" s="348">
        <f>SUM(F519:F521)</f>
        <v>2993720</v>
      </c>
      <c r="G522" s="348">
        <f>SUM($G$519:$G$521)</f>
        <v>2574340</v>
      </c>
      <c r="H522" s="348">
        <f>SUM($H$519:$H$521)</f>
        <v>394487</v>
      </c>
      <c r="I522" s="348">
        <f>SUM($I$519:$I$521)</f>
        <v>13637</v>
      </c>
      <c r="J522" s="348">
        <f>SUM($J$519:$J$521)</f>
        <v>11256</v>
      </c>
      <c r="K522" s="348">
        <f>SUM($K$519:$K$521)</f>
        <v>2993720</v>
      </c>
      <c r="L522" s="480">
        <f>SUM($L$519:$L$521)</f>
        <v>0</v>
      </c>
    </row>
    <row r="523" spans="1:12">
      <c r="A523" s="333">
        <v>11</v>
      </c>
      <c r="D523" s="344"/>
      <c r="E523" s="196"/>
      <c r="F523" s="353"/>
      <c r="I523" s="332"/>
    </row>
    <row r="524" spans="1:12">
      <c r="A524" s="333">
        <v>12</v>
      </c>
      <c r="B524" s="332" t="s">
        <v>72</v>
      </c>
      <c r="D524" s="344"/>
      <c r="E524" s="196"/>
      <c r="F524" s="349">
        <f>F522+F516</f>
        <v>5943210</v>
      </c>
      <c r="G524" s="347">
        <f>$G$522+$G$516</f>
        <v>5113114</v>
      </c>
      <c r="H524" s="347">
        <f>$H$522+$H$516</f>
        <v>783731</v>
      </c>
      <c r="I524" s="347">
        <f>$I$522+$I$516</f>
        <v>23960</v>
      </c>
      <c r="J524" s="347">
        <f>$J$522+$J$516</f>
        <v>22405</v>
      </c>
      <c r="K524" s="347">
        <f>$K$522+$K$516</f>
        <v>5943210</v>
      </c>
      <c r="L524" s="347">
        <f>$L$522+$L$516</f>
        <v>0</v>
      </c>
    </row>
    <row r="525" spans="1:12">
      <c r="A525" s="333">
        <v>13</v>
      </c>
      <c r="D525" s="344"/>
      <c r="E525" s="196"/>
      <c r="F525" s="353"/>
      <c r="I525" s="332"/>
    </row>
    <row r="526" spans="1:12">
      <c r="A526" s="333">
        <v>14</v>
      </c>
      <c r="B526" s="340" t="s">
        <v>544</v>
      </c>
      <c r="D526" s="344"/>
      <c r="E526" s="196"/>
      <c r="F526" s="353"/>
      <c r="I526" s="332"/>
    </row>
    <row r="527" spans="1:12">
      <c r="A527" s="333">
        <v>15</v>
      </c>
      <c r="C527" s="332" t="str">
        <f>'FR-16(7)(v)-1 Functional'!C527</f>
        <v>DEFERRED INCOME TAXES - NET</v>
      </c>
      <c r="D527" s="344" t="str">
        <f>'FR-16(7)(v)-1 Functional'!D527</f>
        <v>OM39</v>
      </c>
      <c r="E527" s="196"/>
      <c r="F527" s="479">
        <f>'FR-16(7)(v)-4 DISTR Classified'!I527</f>
        <v>262043</v>
      </c>
      <c r="G527" s="349">
        <f>F527-SUM(H527:J527)</f>
        <v>220530</v>
      </c>
      <c r="H527" s="347">
        <f>ROUND($F$527*VLOOKUP($D$527,ALLOCTABLE_DISTR_CUSTOMER,$H$10,FALSE),0)</f>
        <v>37032</v>
      </c>
      <c r="I527" s="347">
        <f>ROUND(F527*VLOOKUP(D527,ALLOCTABLE_DISTR_CUSTOMER,$I$10,FALSE),0)</f>
        <v>3289</v>
      </c>
      <c r="J527" s="347">
        <f>ROUND(F527*VLOOKUP(D527,ALLOCTABLE_DISTR_CUSTOMER,$J$10,FALSE),0)</f>
        <v>1192</v>
      </c>
      <c r="K527" s="347">
        <f>SUM($G$527:$J$527)</f>
        <v>262043</v>
      </c>
      <c r="L527" s="347">
        <f>F527-$K$527</f>
        <v>0</v>
      </c>
    </row>
    <row r="528" spans="1:12">
      <c r="A528" s="333">
        <v>16</v>
      </c>
      <c r="C528" s="332" t="str">
        <f>'FR-16(7)(v)-1 Functional'!C528</f>
        <v>AMORT OF DEFERRED MERGER COST</v>
      </c>
      <c r="D528" s="344" t="str">
        <f>'FR-16(7)(v)-1 Functional'!D528</f>
        <v>AG39</v>
      </c>
      <c r="E528" s="196"/>
      <c r="F528" s="479">
        <f>'FR-16(7)(v)-4 DISTR Classified'!I528</f>
        <v>0</v>
      </c>
      <c r="G528" s="349">
        <f>F528-SUM(H528:J528)</f>
        <v>0</v>
      </c>
      <c r="H528" s="347">
        <f>ROUND($F$528*VLOOKUP($D$528,ALLOCTABLE_DISTR_CUSTOMER,$H$10,FALSE),0)</f>
        <v>0</v>
      </c>
      <c r="I528" s="347">
        <f>ROUND(F528*VLOOKUP(D528,ALLOCTABLE_DISTR_CUSTOMER,$I$10,FALSE),0)</f>
        <v>0</v>
      </c>
      <c r="J528" s="347">
        <f>ROUND(F528*VLOOKUP(D528,ALLOCTABLE_DISTR_CUSTOMER,$J$10,FALSE),0)</f>
        <v>0</v>
      </c>
      <c r="K528" s="347">
        <f>SUM($G$528:$J$528)</f>
        <v>0</v>
      </c>
      <c r="L528" s="347">
        <f>F528-$K$528</f>
        <v>0</v>
      </c>
    </row>
    <row r="529" spans="1:12">
      <c r="A529" s="333">
        <v>17</v>
      </c>
      <c r="C529" s="618" t="str">
        <f>'FR-16(7)(v)-1 Functional'!C529</f>
        <v>DIT ADJUSTMENT - S/L DEPRECIATION</v>
      </c>
      <c r="D529" s="344" t="str">
        <f>'FR-16(7)(v)-1 Functional'!D529</f>
        <v>DE49</v>
      </c>
      <c r="E529" s="196"/>
      <c r="F529" s="479">
        <f>'FR-16(7)(v)-4 DISTR Classified'!I529</f>
        <v>0</v>
      </c>
      <c r="G529" s="349">
        <f>F529-SUM(H529:J529)</f>
        <v>0</v>
      </c>
      <c r="H529" s="347">
        <f>ROUND($F$529*VLOOKUP($D$529,ALLOCTABLE_DISTR_CUSTOMER,$H$10,FALSE),0)</f>
        <v>0</v>
      </c>
      <c r="I529" s="347">
        <f>ROUND(F529*VLOOKUP(D529,ALLOCTABLE_DISTR_CUSTOMER,$I$10,FALSE),0)</f>
        <v>0</v>
      </c>
      <c r="J529" s="347">
        <f>ROUND(F529*VLOOKUP(D529,ALLOCTABLE_DISTR_CUSTOMER,$J$10,FALSE),0)</f>
        <v>0</v>
      </c>
      <c r="K529" s="347">
        <f>SUM($G$529:$J$529)</f>
        <v>0</v>
      </c>
      <c r="L529" s="347">
        <f>F529-$K$529</f>
        <v>0</v>
      </c>
    </row>
    <row r="530" spans="1:12">
      <c r="A530" s="333">
        <v>18</v>
      </c>
      <c r="C530" s="332" t="str">
        <f>'FR-16(7)(v)-1 Functional'!C530</f>
        <v>DIT ADJUSTMENT - ARAM</v>
      </c>
      <c r="D530" s="344" t="str">
        <f>'FR-16(7)(v)-1 Functional'!D530</f>
        <v>K201</v>
      </c>
      <c r="E530" s="196"/>
      <c r="F530" s="479">
        <f>'FR-16(7)(v)-4 DISTR Classified'!I530</f>
        <v>0</v>
      </c>
      <c r="G530" s="349">
        <f>F530-SUM(H530:J530)</f>
        <v>0</v>
      </c>
      <c r="H530" s="347">
        <f>ROUND($F$530*VLOOKUP($D$530,ALLOCTABLE_DISTR_CUSTOMER,$H$10,FALSE),0)</f>
        <v>0</v>
      </c>
      <c r="I530" s="347">
        <f>ROUND(F530*VLOOKUP(D530,ALLOCTABLE_DISTR_CUSTOMER,$I$10,FALSE),0)</f>
        <v>0</v>
      </c>
      <c r="J530" s="347">
        <f>ROUND(F530*VLOOKUP(D530,ALLOCTABLE_DISTR_CUSTOMER,$J$10,FALSE),0)</f>
        <v>0</v>
      </c>
      <c r="K530" s="347">
        <f>SUM($G$530:$J$530)</f>
        <v>0</v>
      </c>
      <c r="L530" s="347">
        <f>F530-$K$530</f>
        <v>0</v>
      </c>
    </row>
    <row r="531" spans="1:12">
      <c r="A531" s="333">
        <v>19</v>
      </c>
      <c r="C531" s="359" t="s">
        <v>1495</v>
      </c>
      <c r="D531" s="344" t="str">
        <f>'FR-16(7)(v)-1 Functional'!D531</f>
        <v>AG39</v>
      </c>
      <c r="E531" s="196"/>
      <c r="F531" s="479">
        <f>'FR-16(7)(v)-4 DISTR Classified'!I531</f>
        <v>-314911</v>
      </c>
      <c r="G531" s="349">
        <f>F531-SUM(H531:J531)</f>
        <v>-269838</v>
      </c>
      <c r="H531" s="347">
        <f>ROUND($F$531*VLOOKUP($D$531,ALLOCTABLE_DISTR_CUSTOMER,$H$10,FALSE),0)</f>
        <v>-40573</v>
      </c>
      <c r="I531" s="347">
        <f>ROUND(F531*VLOOKUP(D531,ALLOCTABLE_DISTR_CUSTOMER,$I$10,FALSE),0)</f>
        <v>-3310</v>
      </c>
      <c r="J531" s="347">
        <f>ROUND(F531*VLOOKUP(D531,ALLOCTABLE_DISTR_CUSTOMER,$J$10,FALSE),0)</f>
        <v>-1190</v>
      </c>
      <c r="K531" s="347">
        <f>SUM($G$531:$J$531)</f>
        <v>-314911</v>
      </c>
      <c r="L531" s="347">
        <f>F531-$K$531</f>
        <v>0</v>
      </c>
    </row>
    <row r="532" spans="1:12">
      <c r="A532" s="333">
        <v>20</v>
      </c>
      <c r="C532" s="332" t="str">
        <f>'FR-16(7)(v)-1 Functional'!C532</f>
        <v xml:space="preserve">  TOTAL FED DEF IT (410 &amp; 411)</v>
      </c>
      <c r="D532" s="344"/>
      <c r="E532" s="196"/>
      <c r="F532" s="348">
        <f>SUM(F527:F531)</f>
        <v>-52868</v>
      </c>
      <c r="G532" s="348">
        <f>SUM($G$527:$G$531)</f>
        <v>-49308</v>
      </c>
      <c r="H532" s="348">
        <f>SUM($H$527:$H$531)</f>
        <v>-3541</v>
      </c>
      <c r="I532" s="348">
        <f>SUM($I$527:$I$531)</f>
        <v>-21</v>
      </c>
      <c r="J532" s="348">
        <f>SUM($J$527:$J$531)</f>
        <v>2</v>
      </c>
      <c r="K532" s="348">
        <f>SUM($K$527:$K$531)</f>
        <v>-52868</v>
      </c>
      <c r="L532" s="480">
        <f>SUM($L$527:$L$531)</f>
        <v>0</v>
      </c>
    </row>
    <row r="533" spans="1:12">
      <c r="A533" s="333">
        <v>21</v>
      </c>
      <c r="D533" s="344"/>
      <c r="E533" s="196"/>
      <c r="F533" s="353"/>
      <c r="I533" s="332"/>
    </row>
    <row r="534" spans="1:12">
      <c r="A534" s="333">
        <v>22</v>
      </c>
      <c r="B534" s="332" t="s">
        <v>419</v>
      </c>
      <c r="D534" s="344"/>
      <c r="E534" s="196"/>
      <c r="F534" s="353"/>
      <c r="I534" s="332"/>
    </row>
    <row r="535" spans="1:12">
      <c r="A535" s="333">
        <v>23</v>
      </c>
      <c r="C535" s="359" t="str">
        <f>'FR-16(7)(v)-1 Functional'!C535</f>
        <v>AMORTIZE ITC</v>
      </c>
      <c r="D535" s="344" t="str">
        <f>'FR-16(7)(v)-1 Functional'!D535</f>
        <v>NP29</v>
      </c>
      <c r="E535" s="196"/>
      <c r="F535" s="479">
        <f>'FR-16(7)(v)-4 DISTR Classified'!I535</f>
        <v>29703</v>
      </c>
      <c r="G535" s="349">
        <f>F535-SUM(H535:J535)</f>
        <v>25557</v>
      </c>
      <c r="H535" s="512">
        <f>ROUND($F$535*VLOOKUP($D$535,ALLOCTABLE_DISTR_CUSTOMER,$H$10,FALSE),0)</f>
        <v>3926</v>
      </c>
      <c r="I535" s="512">
        <f>ROUND(F535*VLOOKUP(D535,ALLOCTABLE_DISTR_CUSTOMER,$I$10,FALSE),0)</f>
        <v>109</v>
      </c>
      <c r="J535" s="512">
        <f>ROUND(F535*VLOOKUP(D535,ALLOCTABLE_DISTR_CUSTOMER,$J$10,FALSE),0)</f>
        <v>111</v>
      </c>
      <c r="K535" s="512">
        <f>SUM($G$535:$J$535)</f>
        <v>29703</v>
      </c>
      <c r="L535" s="512">
        <f>F535-$K$535</f>
        <v>0</v>
      </c>
    </row>
    <row r="536" spans="1:12">
      <c r="A536" s="333">
        <v>24</v>
      </c>
      <c r="C536" s="332" t="str">
        <f>'FR-16(7)(v)-1 Functional'!C536</f>
        <v xml:space="preserve">  TOTAL AMORTIZED ITC</v>
      </c>
      <c r="D536" s="344"/>
      <c r="E536" s="196"/>
      <c r="F536" s="348">
        <f>SUM(F535:F535)</f>
        <v>29703</v>
      </c>
      <c r="G536" s="348">
        <f>SUM($G$535:$G$535)</f>
        <v>25557</v>
      </c>
      <c r="H536" s="348">
        <f>SUM($H$535:$H$535)</f>
        <v>3926</v>
      </c>
      <c r="I536" s="348">
        <f>SUM($I$535:$I$535)</f>
        <v>109</v>
      </c>
      <c r="J536" s="348">
        <f>SUM($J$535:$J$535)</f>
        <v>111</v>
      </c>
      <c r="K536" s="348">
        <f>SUM($K$535:$K$535)</f>
        <v>29703</v>
      </c>
      <c r="L536" s="480">
        <f>SUM($L$535:$L$535)</f>
        <v>0</v>
      </c>
    </row>
    <row r="537" spans="1:12">
      <c r="A537" s="333">
        <v>25</v>
      </c>
      <c r="D537" s="344"/>
      <c r="E537" s="196"/>
      <c r="F537" s="510"/>
      <c r="G537" s="510"/>
      <c r="H537" s="510"/>
      <c r="I537" s="510"/>
      <c r="J537" s="510"/>
      <c r="K537" s="510"/>
      <c r="L537" s="670"/>
    </row>
    <row r="538" spans="1:12" ht="15.75">
      <c r="A538" s="333">
        <v>26</v>
      </c>
      <c r="B538" s="332" t="s">
        <v>73</v>
      </c>
      <c r="D538" s="735"/>
      <c r="E538" s="1"/>
      <c r="F538" s="510"/>
      <c r="G538" s="510"/>
      <c r="H538" s="510"/>
      <c r="I538" s="510"/>
      <c r="J538" s="510"/>
      <c r="K538" s="510"/>
      <c r="L538" s="670"/>
    </row>
    <row r="539" spans="1:12">
      <c r="A539" s="333">
        <v>27</v>
      </c>
      <c r="C539" s="332" t="str">
        <f>'FR-16(7)(v)-1 Functional'!C539</f>
        <v>PROV INVEST TAX CREDIT</v>
      </c>
      <c r="D539" s="344" t="s">
        <v>315</v>
      </c>
      <c r="F539" s="479">
        <v>0</v>
      </c>
      <c r="G539" s="349">
        <f>F539-SUM(H539:J539)</f>
        <v>0</v>
      </c>
      <c r="H539" s="512">
        <f>ROUND($F$539*VLOOKUP($D$539,ALLOCTABLE_DISTR_CUSTOMER,$H$10,FALSE),0)</f>
        <v>0</v>
      </c>
      <c r="I539" s="512">
        <f>ROUND(F539*VLOOKUP(D539,ALLOCTABLE_DISTR_CUSTOMER,$I$10,FALSE),0)</f>
        <v>0</v>
      </c>
      <c r="J539" s="512">
        <f>ROUND(F539*VLOOKUP(D539,ALLOCTABLE_DISTR_CUSTOMER,$J$10,FALSE),0)</f>
        <v>0</v>
      </c>
      <c r="K539" s="512">
        <f>SUM($G$539:$J$539)</f>
        <v>0</v>
      </c>
      <c r="L539" s="512">
        <f>F539-$K$539</f>
        <v>0</v>
      </c>
    </row>
    <row r="540" spans="1:12" ht="15.75">
      <c r="A540" s="333">
        <v>28</v>
      </c>
      <c r="C540" s="339" t="str">
        <f>'FR-16(7)(v)-1 Functional'!C540</f>
        <v xml:space="preserve">  TEST YEAR INV TAX CREDIT</v>
      </c>
      <c r="D540" s="735"/>
      <c r="E540" s="1"/>
      <c r="F540" s="348">
        <f>SUM(F539:F539)</f>
        <v>0</v>
      </c>
      <c r="G540" s="480">
        <f>SUM($G$539:$G$539)</f>
        <v>0</v>
      </c>
      <c r="H540" s="480">
        <f>SUM($H$539:$H$539)</f>
        <v>0</v>
      </c>
      <c r="I540" s="480">
        <f>SUM($I$539:$I$539)</f>
        <v>0</v>
      </c>
      <c r="J540" s="480">
        <f>SUM($J$539:$J$539)</f>
        <v>0</v>
      </c>
      <c r="K540" s="480">
        <f>SUM($K$539:$K$539)</f>
        <v>0</v>
      </c>
      <c r="L540" s="480">
        <f>SUM($L$539:$L$539)</f>
        <v>0</v>
      </c>
    </row>
    <row r="541" spans="1:12" ht="15.75">
      <c r="A541" s="333">
        <v>29</v>
      </c>
      <c r="B541" s="193"/>
      <c r="C541" s="193"/>
      <c r="D541" s="735"/>
      <c r="E541" s="1"/>
      <c r="F541" s="510"/>
      <c r="G541" s="510"/>
      <c r="H541" s="510"/>
      <c r="I541" s="510"/>
      <c r="J541" s="510"/>
      <c r="K541" s="510"/>
      <c r="L541" s="510"/>
    </row>
    <row r="542" spans="1:12" ht="15.75">
      <c r="A542" s="333">
        <v>30</v>
      </c>
      <c r="B542" s="332" t="s">
        <v>40</v>
      </c>
      <c r="C542" s="193"/>
      <c r="D542" s="735"/>
      <c r="E542" s="1"/>
      <c r="F542" s="510"/>
      <c r="G542" s="510"/>
      <c r="H542" s="510"/>
      <c r="I542" s="510"/>
      <c r="J542" s="510"/>
      <c r="K542" s="510"/>
      <c r="L542" s="510"/>
    </row>
    <row r="543" spans="1:12">
      <c r="A543" s="333">
        <v>31</v>
      </c>
      <c r="C543" s="332" t="str">
        <f>'FR-16(7)(v)-1 Functional'!C543</f>
        <v>TOTAL FED DEF IT (410 &amp; 411)</v>
      </c>
      <c r="D543" s="344"/>
      <c r="E543" s="196"/>
      <c r="F543" s="349">
        <f>F532</f>
        <v>-52868</v>
      </c>
      <c r="G543" s="347">
        <f>$G$532</f>
        <v>-49308</v>
      </c>
      <c r="H543" s="347">
        <f>$H$532</f>
        <v>-3541</v>
      </c>
      <c r="I543" s="347">
        <f>$I$532</f>
        <v>-21</v>
      </c>
      <c r="J543" s="347">
        <f>$J$532</f>
        <v>2</v>
      </c>
      <c r="K543" s="347">
        <f>$K$532</f>
        <v>-52868</v>
      </c>
      <c r="L543" s="347">
        <f>$L$532</f>
        <v>0</v>
      </c>
    </row>
    <row r="544" spans="1:12">
      <c r="A544" s="333">
        <v>32</v>
      </c>
      <c r="C544" s="359" t="str">
        <f>'FR-16(7)(v)-1 Functional'!C544</f>
        <v>TOTAL AMORTIZED ITC</v>
      </c>
      <c r="D544" s="344"/>
      <c r="E544" s="196"/>
      <c r="F544" s="349">
        <f>-F536</f>
        <v>-29703</v>
      </c>
      <c r="G544" s="347">
        <f>-$G$536</f>
        <v>-25557</v>
      </c>
      <c r="H544" s="347">
        <f>-$H$536</f>
        <v>-3926</v>
      </c>
      <c r="I544" s="347">
        <f>-$I$536</f>
        <v>-109</v>
      </c>
      <c r="J544" s="347">
        <f>-$J$536</f>
        <v>-111</v>
      </c>
      <c r="K544" s="347">
        <f>-$K$536</f>
        <v>-29703</v>
      </c>
      <c r="L544" s="347">
        <f>-$L$536</f>
        <v>0</v>
      </c>
    </row>
    <row r="545" spans="1:12">
      <c r="A545" s="333">
        <v>33</v>
      </c>
      <c r="C545" s="332" t="str">
        <f>'FR-16(7)(v)-1 Functional'!C545</f>
        <v xml:space="preserve">  TOTAL FEDERAL TAX ADJUSTMENTS</v>
      </c>
      <c r="D545" s="344"/>
      <c r="E545" s="196"/>
      <c r="F545" s="348">
        <f>SUM(F543:F544)</f>
        <v>-82571</v>
      </c>
      <c r="G545" s="348">
        <f>SUM($G$543:$G$544)</f>
        <v>-74865</v>
      </c>
      <c r="H545" s="348">
        <f>SUM($H$543:$H$544)</f>
        <v>-7467</v>
      </c>
      <c r="I545" s="348">
        <f>SUM($I$543:$I$544)</f>
        <v>-130</v>
      </c>
      <c r="J545" s="348">
        <f>SUM($J$543:$J$544)</f>
        <v>-109</v>
      </c>
      <c r="K545" s="348">
        <f>SUM($K$543:$K$544)</f>
        <v>-82571</v>
      </c>
      <c r="L545" s="348">
        <f>SUM($L$543:$L$544)</f>
        <v>0</v>
      </c>
    </row>
    <row r="546" spans="1:12">
      <c r="A546" s="333">
        <v>34</v>
      </c>
      <c r="D546" s="344"/>
      <c r="E546" s="196"/>
      <c r="F546" s="353"/>
      <c r="I546" s="332"/>
    </row>
    <row r="547" spans="1:12">
      <c r="A547" s="333">
        <v>35</v>
      </c>
      <c r="B547" s="332" t="s">
        <v>74</v>
      </c>
      <c r="D547" s="344"/>
      <c r="E547" s="196"/>
      <c r="F547" s="353"/>
      <c r="I547" s="332"/>
    </row>
    <row r="548" spans="1:12">
      <c r="A548" s="333">
        <v>36</v>
      </c>
      <c r="C548" s="332" t="str">
        <f>'FR-16(7)(v)-1 Functional'!C548</f>
        <v>RETURN ON RATE BASE</v>
      </c>
      <c r="D548" s="344"/>
      <c r="E548" s="196"/>
      <c r="F548" s="349">
        <f t="shared" ref="F548:L548" si="160">F334</f>
        <v>9825836</v>
      </c>
      <c r="G548" s="347">
        <f>G334</f>
        <v>8457618</v>
      </c>
      <c r="H548" s="347">
        <f t="shared" si="160"/>
        <v>1296738</v>
      </c>
      <c r="I548" s="347">
        <f t="shared" si="160"/>
        <v>34356</v>
      </c>
      <c r="J548" s="347">
        <f t="shared" si="160"/>
        <v>37124</v>
      </c>
      <c r="K548" s="347">
        <f t="shared" si="160"/>
        <v>9825836</v>
      </c>
      <c r="L548" s="347">
        <f t="shared" si="160"/>
        <v>0</v>
      </c>
    </row>
    <row r="549" spans="1:12">
      <c r="A549" s="333">
        <v>37</v>
      </c>
      <c r="C549" s="332" t="str">
        <f>'FR-16(7)(v)-1 Functional'!C549</f>
        <v>NET DEDUCTIONS AND ADDITIONS</v>
      </c>
      <c r="D549" s="344"/>
      <c r="E549" s="196"/>
      <c r="F549" s="349">
        <f>-F524</f>
        <v>-5943210</v>
      </c>
      <c r="G549" s="347">
        <f>-$G$524</f>
        <v>-5113114</v>
      </c>
      <c r="H549" s="347">
        <f>-$H$524</f>
        <v>-783731</v>
      </c>
      <c r="I549" s="347">
        <f>-$I$524</f>
        <v>-23960</v>
      </c>
      <c r="J549" s="347">
        <f>-$J$524</f>
        <v>-22405</v>
      </c>
      <c r="K549" s="347">
        <f>-$K$524</f>
        <v>-5943210</v>
      </c>
      <c r="L549" s="347">
        <f>-$L$524</f>
        <v>0</v>
      </c>
    </row>
    <row r="550" spans="1:12">
      <c r="A550" s="333">
        <v>38</v>
      </c>
      <c r="C550" s="332" t="s">
        <v>1496</v>
      </c>
      <c r="D550" s="344"/>
      <c r="E550" s="196"/>
      <c r="F550" s="349">
        <f>F591</f>
        <v>202786</v>
      </c>
      <c r="G550" s="349">
        <f t="shared" ref="G550:L550" si="161">G591</f>
        <v>174474</v>
      </c>
      <c r="H550" s="349">
        <f t="shared" si="161"/>
        <v>26806</v>
      </c>
      <c r="I550" s="349">
        <f t="shared" si="161"/>
        <v>746</v>
      </c>
      <c r="J550" s="349">
        <f t="shared" si="161"/>
        <v>760</v>
      </c>
      <c r="K550" s="349">
        <f t="shared" si="161"/>
        <v>202786</v>
      </c>
      <c r="L550" s="349">
        <f t="shared" si="161"/>
        <v>0</v>
      </c>
    </row>
    <row r="551" spans="1:12">
      <c r="A551" s="333">
        <v>39</v>
      </c>
      <c r="C551" s="359" t="str">
        <f>'FR-16(7)(v)-1 Functional'!C551</f>
        <v>TOTAL FEDERAL TAX ADJUSTMENTS</v>
      </c>
      <c r="D551" s="344"/>
      <c r="E551" s="196"/>
      <c r="F551" s="349">
        <f>F545</f>
        <v>-82571</v>
      </c>
      <c r="G551" s="347">
        <f>$G$545</f>
        <v>-74865</v>
      </c>
      <c r="H551" s="347">
        <f>$H$545</f>
        <v>-7467</v>
      </c>
      <c r="I551" s="347">
        <f>$I$545</f>
        <v>-130</v>
      </c>
      <c r="J551" s="347">
        <f>$J$545</f>
        <v>-109</v>
      </c>
      <c r="K551" s="347">
        <f>$K$545</f>
        <v>-82571</v>
      </c>
      <c r="L551" s="347">
        <f>$L$545</f>
        <v>0</v>
      </c>
    </row>
    <row r="552" spans="1:12">
      <c r="A552" s="333">
        <v>40</v>
      </c>
      <c r="C552" s="332" t="str">
        <f>'FR-16(7)(v)-1 Functional'!C552</f>
        <v xml:space="preserve">  BASE FOR FIT COMPUATION</v>
      </c>
      <c r="D552" s="344"/>
      <c r="E552" s="196"/>
      <c r="F552" s="348">
        <f>SUM(F548:F551)</f>
        <v>4002841</v>
      </c>
      <c r="G552" s="348">
        <f>SUM($G$548:$G$551)</f>
        <v>3444113</v>
      </c>
      <c r="H552" s="348">
        <f>SUM($H$548:$H$551)</f>
        <v>532346</v>
      </c>
      <c r="I552" s="348">
        <f>SUM($I$548:$I$551)</f>
        <v>11012</v>
      </c>
      <c r="J552" s="348">
        <f>SUM($J$548:$J$551)</f>
        <v>15370</v>
      </c>
      <c r="K552" s="348">
        <f>SUM($K$548:$K$551)</f>
        <v>4002841</v>
      </c>
      <c r="L552" s="348">
        <f>SUM($L$548:$L$551)</f>
        <v>0</v>
      </c>
    </row>
    <row r="553" spans="1:12">
      <c r="A553" s="333">
        <v>41</v>
      </c>
      <c r="D553" s="344"/>
      <c r="E553" s="196"/>
      <c r="F553" s="353"/>
      <c r="I553" s="332"/>
    </row>
    <row r="554" spans="1:12">
      <c r="A554" s="333">
        <v>42</v>
      </c>
      <c r="C554" s="332" t="str">
        <f>'FR-16(7)(v)-1 Functional'!C554</f>
        <v>FIT FACTOR K190/(1-K190)</v>
      </c>
      <c r="D554" s="344"/>
      <c r="E554" s="196"/>
      <c r="F554" s="356">
        <f>ROUND(F692/(1-F692),9)</f>
        <v>0.26582278500000001</v>
      </c>
      <c r="G554" s="350">
        <f>ROUND(G692/(1-G692),9)</f>
        <v>0.26582278500000001</v>
      </c>
      <c r="H554" s="350">
        <f>ROUND(H692/(1-H692),9)</f>
        <v>0.26582278500000001</v>
      </c>
      <c r="I554" s="350">
        <f>ROUND(I692/(1-I692),9)</f>
        <v>0.26582278500000001</v>
      </c>
      <c r="J554" s="350">
        <f>ROUND(J692/(1-J692),9)</f>
        <v>0.26582278500000001</v>
      </c>
      <c r="K554" s="350"/>
      <c r="L554" s="350">
        <f>ROUND(K692/(1-K692),9)</f>
        <v>0.26582278500000001</v>
      </c>
    </row>
    <row r="555" spans="1:12">
      <c r="A555" s="333">
        <v>43</v>
      </c>
      <c r="C555" s="332" t="str">
        <f>'FR-16(7)(v)-1 Functional'!C555</f>
        <v>PRELIM FED INCOME TAX</v>
      </c>
      <c r="D555" s="344"/>
      <c r="E555" s="196"/>
      <c r="F555" s="349">
        <f>ROUND(F554*F552,0)</f>
        <v>1064046</v>
      </c>
      <c r="G555" s="347">
        <f>ROUND($G$552*$G$554,0)</f>
        <v>915524</v>
      </c>
      <c r="H555" s="347">
        <f>ROUND($H$552*$H$554,0)</f>
        <v>141510</v>
      </c>
      <c r="I555" s="347">
        <f>ROUND($I$552*$I$554,0)</f>
        <v>2927</v>
      </c>
      <c r="J555" s="347">
        <f>ROUND($J$552*$J$554,0)</f>
        <v>4086</v>
      </c>
      <c r="K555" s="347">
        <f>SUM($G$555:$J$555)</f>
        <v>1064047</v>
      </c>
      <c r="L555" s="347">
        <f>ROUND($L$552*$L$554,0)</f>
        <v>0</v>
      </c>
    </row>
    <row r="556" spans="1:12">
      <c r="A556" s="333">
        <v>44</v>
      </c>
      <c r="C556" s="359" t="str">
        <f>'FR-16(7)(v)-1 Functional'!C556</f>
        <v>TOTAL FEDERAL TAX ADJUSTMENTS</v>
      </c>
      <c r="D556" s="344"/>
      <c r="E556" s="196"/>
      <c r="F556" s="349">
        <f>F545</f>
        <v>-82571</v>
      </c>
      <c r="G556" s="347">
        <f>$G$545</f>
        <v>-74865</v>
      </c>
      <c r="H556" s="347">
        <f>$H$545</f>
        <v>-7467</v>
      </c>
      <c r="I556" s="347">
        <f>$I$545</f>
        <v>-130</v>
      </c>
      <c r="J556" s="347">
        <f>$J$545</f>
        <v>-109</v>
      </c>
      <c r="K556" s="347">
        <f>$K$545</f>
        <v>-82571</v>
      </c>
      <c r="L556" s="347">
        <f>$L$545</f>
        <v>0</v>
      </c>
    </row>
    <row r="557" spans="1:12">
      <c r="A557" s="333">
        <v>45</v>
      </c>
      <c r="C557" s="353" t="str">
        <f>'FR-16(7)(v)-1 Functional'!C557</f>
        <v xml:space="preserve">  NET FED INCOME TAX ALLOWABLE</v>
      </c>
      <c r="D557" s="344"/>
      <c r="E557" s="196"/>
      <c r="F557" s="348">
        <f>SUM(F555:F556)</f>
        <v>981475</v>
      </c>
      <c r="G557" s="348">
        <f>SUM($G$555:$G$556)</f>
        <v>840659</v>
      </c>
      <c r="H557" s="348">
        <f>SUM($H$555:$H$556)</f>
        <v>134043</v>
      </c>
      <c r="I557" s="348">
        <f>SUM($I$555:$I$556)</f>
        <v>2797</v>
      </c>
      <c r="J557" s="348">
        <f>SUM($J$555:$J$556)</f>
        <v>3977</v>
      </c>
      <c r="K557" s="348">
        <f>SUM($K$555:$K$556)</f>
        <v>981476</v>
      </c>
      <c r="L557" s="348">
        <f>SUM($L$555:$L$556)</f>
        <v>0</v>
      </c>
    </row>
    <row r="558" spans="1:12">
      <c r="A558" s="333">
        <v>46</v>
      </c>
      <c r="D558" s="344"/>
      <c r="E558" s="196"/>
      <c r="F558" s="353"/>
      <c r="I558" s="332"/>
    </row>
    <row r="559" spans="1:12">
      <c r="A559" s="333">
        <v>47</v>
      </c>
      <c r="B559" s="332" t="s">
        <v>68</v>
      </c>
      <c r="D559" s="344"/>
      <c r="E559" s="196"/>
      <c r="F559" s="353"/>
      <c r="I559" s="332"/>
    </row>
    <row r="560" spans="1:12">
      <c r="A560" s="333">
        <v>48</v>
      </c>
      <c r="B560" s="332" t="s">
        <v>75</v>
      </c>
      <c r="D560" s="344"/>
      <c r="E560" s="196"/>
      <c r="F560" s="353"/>
      <c r="I560" s="332"/>
    </row>
    <row r="561" spans="1:12">
      <c r="A561" s="333">
        <v>49</v>
      </c>
      <c r="C561" s="332" t="str">
        <f>'FR-16(7)(v)-1 Functional'!C561</f>
        <v>PRELIM FEDERAL INCOME TAX</v>
      </c>
      <c r="D561" s="344"/>
      <c r="E561" s="196"/>
      <c r="F561" s="349">
        <f>F555</f>
        <v>1064046</v>
      </c>
      <c r="G561" s="347">
        <f>$G$555</f>
        <v>915524</v>
      </c>
      <c r="H561" s="347">
        <f>$H$555</f>
        <v>141510</v>
      </c>
      <c r="I561" s="347">
        <f>$I$555</f>
        <v>2927</v>
      </c>
      <c r="J561" s="347">
        <f>$J$555</f>
        <v>4086</v>
      </c>
      <c r="K561" s="347">
        <f>$K$555</f>
        <v>1064047</v>
      </c>
      <c r="L561" s="347">
        <f>$L$555</f>
        <v>0</v>
      </c>
    </row>
    <row r="562" spans="1:12">
      <c r="A562" s="333">
        <v>50</v>
      </c>
      <c r="C562" s="359" t="str">
        <f>'FR-16(7)(v)-1 Functional'!C562</f>
        <v>TEST YEAR INV TAX CREDIT</v>
      </c>
      <c r="D562" s="344"/>
      <c r="E562" s="196"/>
      <c r="F562" s="347">
        <f>-F540</f>
        <v>0</v>
      </c>
      <c r="G562" s="626">
        <f>-$G$540</f>
        <v>0</v>
      </c>
      <c r="H562" s="626">
        <f>-$H$540</f>
        <v>0</v>
      </c>
      <c r="I562" s="347">
        <f>-$I$540</f>
        <v>0</v>
      </c>
      <c r="J562" s="347">
        <f>-$J$540</f>
        <v>0</v>
      </c>
      <c r="K562" s="347">
        <f>-$K$540</f>
        <v>0</v>
      </c>
      <c r="L562" s="347">
        <f>-$L$540</f>
        <v>0</v>
      </c>
    </row>
    <row r="563" spans="1:12">
      <c r="A563" s="333">
        <v>51</v>
      </c>
      <c r="C563" s="332" t="str">
        <f>'FR-16(7)(v)-1 Functional'!C563</f>
        <v xml:space="preserve">  NET FED INCOME TAX PAYABLE</v>
      </c>
      <c r="D563" s="344"/>
      <c r="E563" s="196"/>
      <c r="F563" s="348">
        <f>SUM(F560:F562)</f>
        <v>1064046</v>
      </c>
      <c r="G563" s="348">
        <f>SUM($G$560:$G$562)</f>
        <v>915524</v>
      </c>
      <c r="H563" s="348">
        <f>SUM($H$560:$H$562)</f>
        <v>141510</v>
      </c>
      <c r="I563" s="348">
        <f>SUM($I$560:$I$562)</f>
        <v>2927</v>
      </c>
      <c r="J563" s="348">
        <f>SUM($J$560:$J$562)</f>
        <v>4086</v>
      </c>
      <c r="K563" s="348">
        <f>SUM($K$560:$K$562)</f>
        <v>1064047</v>
      </c>
      <c r="L563" s="348">
        <f>SUM($L$560:$L$562)</f>
        <v>0</v>
      </c>
    </row>
    <row r="564" spans="1:12">
      <c r="A564" s="333">
        <v>52</v>
      </c>
      <c r="D564" s="344"/>
      <c r="E564" s="196"/>
      <c r="I564" s="332"/>
    </row>
    <row r="565" spans="1:12">
      <c r="A565" s="333">
        <v>53</v>
      </c>
      <c r="B565" s="332" t="s">
        <v>76</v>
      </c>
      <c r="D565" s="344"/>
      <c r="E565" s="196"/>
      <c r="F565" s="332">
        <f>ROUND((F693*(1-F692))+((1-F693)*(1-F692)*F694)+F692,5)</f>
        <v>0.24925</v>
      </c>
      <c r="G565" s="332">
        <f>ROUND((G693*(1-G692))+((1-G693)*(1-G692)*G694)+G692,5)</f>
        <v>0.24925</v>
      </c>
      <c r="H565" s="332">
        <f>ROUND((H693*(1-H692))+((1-H693)*(1-H692)*H694)+H692,5)</f>
        <v>0.24925</v>
      </c>
      <c r="I565" s="332">
        <f>ROUND((I693*(1-I692))+((1-I693)*(1-I692)*I694)+I692,7)</f>
        <v>0.24925120000000001</v>
      </c>
      <c r="J565" s="332">
        <f>ROUND((J693*(1-J692))+((1-J693)*(1-J692)*J694)+J692,5)</f>
        <v>0.24925</v>
      </c>
      <c r="L565" s="332">
        <f>ROUND((K693*(1-K692))+((1-K693)*(1-K692)*K694)+K692,5)</f>
        <v>0.24925</v>
      </c>
    </row>
    <row r="566" spans="1:12">
      <c r="B566" s="343"/>
      <c r="C566" s="196"/>
      <c r="D566" s="344"/>
      <c r="E566" s="196"/>
      <c r="G566" s="342"/>
      <c r="H566" s="342"/>
      <c r="I566" s="196"/>
      <c r="J566" s="344"/>
      <c r="K566" s="196"/>
      <c r="L566" s="196"/>
    </row>
    <row r="567" spans="1:12">
      <c r="A567" s="343" t="str">
        <f>co_name</f>
        <v>DUKE ENERGY KENTUCKY, INC.</v>
      </c>
      <c r="C567" s="196"/>
      <c r="D567" s="344"/>
      <c r="E567" s="196"/>
      <c r="F567" s="344"/>
      <c r="G567" s="342"/>
      <c r="H567" s="342"/>
      <c r="I567" s="196"/>
      <c r="K567" s="361" t="str">
        <f>$K$1</f>
        <v>FR-16(7)(v)-6</v>
      </c>
      <c r="L567" s="196"/>
    </row>
    <row r="568" spans="1:12">
      <c r="A568" s="343" t="str">
        <f>$A$2</f>
        <v>DISTRIBUTION CUSTOMER ALLOCATED - GAS COST OF SERVICE</v>
      </c>
      <c r="C568" s="196"/>
      <c r="D568" s="344"/>
      <c r="E568" s="196"/>
      <c r="F568" s="344"/>
      <c r="G568" s="342"/>
      <c r="H568" s="342"/>
      <c r="I568" s="196"/>
      <c r="K568" s="361" t="str">
        <f>$K$2</f>
        <v>WITNESS RESPONSIBLE:</v>
      </c>
      <c r="L568" s="196"/>
    </row>
    <row r="569" spans="1:12">
      <c r="A569" s="343" t="str">
        <f>case_name</f>
        <v>CASE NO: 2018-00261</v>
      </c>
      <c r="C569" s="196"/>
      <c r="D569" s="344"/>
      <c r="E569" s="196"/>
      <c r="F569" s="344"/>
      <c r="G569" s="342"/>
      <c r="H569" s="342"/>
      <c r="I569" s="196"/>
      <c r="K569" s="361" t="str">
        <f>Witness</f>
        <v>JAMES E. ZIOLKOWSKI</v>
      </c>
      <c r="L569" s="196"/>
    </row>
    <row r="570" spans="1:12">
      <c r="A570" s="343" t="str">
        <f>data_filing</f>
        <v>DATA: 12 MONTH FORECASTED PERIOD</v>
      </c>
      <c r="C570" s="196"/>
      <c r="D570" s="344"/>
      <c r="E570" s="196"/>
      <c r="F570" s="344"/>
      <c r="G570" s="342"/>
      <c r="H570" s="342"/>
      <c r="I570" s="196"/>
      <c r="K570" s="361" t="str">
        <f>"PAGE "&amp;Pages-5&amp;" OF "&amp;Pages</f>
        <v>PAGE 13 OF 18</v>
      </c>
      <c r="L570" s="196"/>
    </row>
    <row r="571" spans="1:12">
      <c r="A571" s="343" t="str">
        <f>type</f>
        <v xml:space="preserve">TYPE OF FILING: "X" ORIGINAL   UPDATED    REVISED  </v>
      </c>
      <c r="C571" s="196"/>
      <c r="D571" s="344"/>
      <c r="E571" s="196"/>
      <c r="F571" s="344"/>
      <c r="G571" s="342"/>
      <c r="H571" s="342"/>
      <c r="I571" s="196"/>
      <c r="J571" s="344"/>
      <c r="K571" s="196"/>
      <c r="L571" s="196"/>
    </row>
    <row r="573" spans="1:12">
      <c r="F573" s="344" t="str">
        <f>$F$7</f>
        <v>TOTAL</v>
      </c>
      <c r="G573" s="196"/>
      <c r="H573" s="196"/>
      <c r="I573" s="196"/>
      <c r="J573" s="344"/>
      <c r="K573" s="196"/>
      <c r="L573" s="196"/>
    </row>
    <row r="574" spans="1:12">
      <c r="A574" s="344" t="s">
        <v>914</v>
      </c>
      <c r="B574" s="1392"/>
      <c r="C574" s="1091"/>
      <c r="D574" s="1091"/>
      <c r="E574" s="342"/>
      <c r="F574" s="344" t="str">
        <f>$F$8</f>
        <v>DISTRIBUTION</v>
      </c>
      <c r="G574" s="344" t="s">
        <v>418</v>
      </c>
      <c r="H574" s="344" t="s">
        <v>864</v>
      </c>
      <c r="I574" s="344" t="s">
        <v>865</v>
      </c>
      <c r="J574" s="344" t="s">
        <v>549</v>
      </c>
      <c r="K574" s="344" t="s">
        <v>229</v>
      </c>
      <c r="L574" s="344" t="s">
        <v>342</v>
      </c>
    </row>
    <row r="575" spans="1:12">
      <c r="A575" s="346" t="s">
        <v>915</v>
      </c>
      <c r="B575" s="1394" t="s">
        <v>1453</v>
      </c>
      <c r="C575" s="1395"/>
      <c r="D575" s="1396" t="s">
        <v>1454</v>
      </c>
      <c r="E575" s="1397"/>
      <c r="F575" s="344" t="str">
        <f>$F$9</f>
        <v>CUSTOMER</v>
      </c>
      <c r="G575" s="346" t="s">
        <v>338</v>
      </c>
      <c r="H575" s="346" t="s">
        <v>405</v>
      </c>
      <c r="I575" s="346" t="s">
        <v>405</v>
      </c>
      <c r="J575" s="346" t="s">
        <v>550</v>
      </c>
      <c r="K575" s="346" t="s">
        <v>341</v>
      </c>
      <c r="L575" s="346" t="s">
        <v>340</v>
      </c>
    </row>
    <row r="576" spans="1:12" ht="15">
      <c r="A576" s="1398"/>
      <c r="B576" s="1399"/>
      <c r="C576" s="1400" t="s">
        <v>1455</v>
      </c>
      <c r="D576" s="1401"/>
      <c r="E576" s="342"/>
      <c r="F576" s="761"/>
      <c r="G576" s="633">
        <f>$G$10</f>
        <v>3</v>
      </c>
      <c r="H576" s="633">
        <f>$H$10</f>
        <v>4</v>
      </c>
      <c r="I576" s="633">
        <f>$I$10</f>
        <v>5</v>
      </c>
      <c r="J576" s="633">
        <f>$J$10</f>
        <v>6</v>
      </c>
    </row>
    <row r="577" spans="1:12">
      <c r="A577" s="968">
        <v>1</v>
      </c>
      <c r="B577" s="1405" t="s">
        <v>1456</v>
      </c>
      <c r="C577" s="1392"/>
      <c r="D577" s="1392"/>
      <c r="E577" s="342"/>
    </row>
    <row r="578" spans="1:12">
      <c r="A578" s="968">
        <v>2</v>
      </c>
      <c r="B578" s="1409" t="s">
        <v>1457</v>
      </c>
      <c r="C578" s="1392"/>
      <c r="D578" s="1410" t="s">
        <v>315</v>
      </c>
      <c r="E578" s="342"/>
      <c r="F578" s="335">
        <f>'FR-16(7)(v)-4 DISTR Classified'!I578</f>
        <v>2554648</v>
      </c>
      <c r="G578" s="349">
        <f>F578-SUM(H578:J578)</f>
        <v>2197968</v>
      </c>
      <c r="H578" s="347">
        <f>ROUND($F578*VLOOKUP($D578,ALLOCTABLE_DISTR_CUSTOMER,$H$10,FALSE),0)</f>
        <v>337699</v>
      </c>
      <c r="I578" s="347">
        <f>ROUND(F578*VLOOKUP(D578,ALLOCTABLE_DISTR_CUSTOMER,$I$10,FALSE),0)</f>
        <v>9401</v>
      </c>
      <c r="J578" s="347">
        <f>ROUND(F578*VLOOKUP(D578,ALLOCTABLE_DISTR_CUSTOMER,$J$10,FALSE),0)</f>
        <v>9580</v>
      </c>
      <c r="K578" s="347">
        <f>SUM(G578:J578)</f>
        <v>2554648</v>
      </c>
      <c r="L578" s="347">
        <f>F578-K578</f>
        <v>0</v>
      </c>
    </row>
    <row r="579" spans="1:12">
      <c r="A579" s="968">
        <v>3</v>
      </c>
      <c r="B579" s="1409" t="s">
        <v>1171</v>
      </c>
      <c r="C579" s="1411"/>
      <c r="D579" s="1410" t="s">
        <v>315</v>
      </c>
      <c r="E579" s="342"/>
      <c r="F579" s="1498">
        <f>'FR-16(7)(v)-4 DISTR Classified'!G579</f>
        <v>0</v>
      </c>
      <c r="G579" s="1491">
        <f>F579-SUM(H579:J579)</f>
        <v>0</v>
      </c>
      <c r="H579" s="1491">
        <f>ROUND($F579*VLOOKUP($D579,ALLOCTABLE_DISTR_CUSTOMER,$H$10,FALSE),0)</f>
        <v>0</v>
      </c>
      <c r="I579" s="1492">
        <f>ROUND(F579*VLOOKUP(D579,ALLOCTABLE_DISTR_CUSTOMER,$I$10,FALSE),0)</f>
        <v>0</v>
      </c>
      <c r="J579" s="1491">
        <f>ROUND(F579*VLOOKUP(D579,ALLOCTABLE_DISTR_CUSTOMER,$J$10,FALSE),0)</f>
        <v>0</v>
      </c>
      <c r="K579" s="1491">
        <f>SUM(G579:J579)</f>
        <v>0</v>
      </c>
      <c r="L579" s="1491">
        <f>F579-K579</f>
        <v>0</v>
      </c>
    </row>
    <row r="580" spans="1:12">
      <c r="A580" s="968">
        <v>4</v>
      </c>
      <c r="B580" s="1413" t="s">
        <v>1458</v>
      </c>
      <c r="C580" s="1392"/>
      <c r="D580" s="1414"/>
      <c r="E580" s="342"/>
      <c r="F580" s="335">
        <f>SUM(F578:F579)</f>
        <v>2554648</v>
      </c>
      <c r="G580" s="335">
        <f t="shared" ref="G580:L580" si="162">SUM(G578:G579)</f>
        <v>2197968</v>
      </c>
      <c r="H580" s="335">
        <f t="shared" si="162"/>
        <v>337699</v>
      </c>
      <c r="I580" s="335">
        <f t="shared" si="162"/>
        <v>9401</v>
      </c>
      <c r="J580" s="335">
        <f t="shared" si="162"/>
        <v>9580</v>
      </c>
      <c r="K580" s="335">
        <f t="shared" si="162"/>
        <v>2554648</v>
      </c>
      <c r="L580" s="335">
        <f t="shared" si="162"/>
        <v>0</v>
      </c>
    </row>
    <row r="581" spans="1:12" ht="15">
      <c r="A581" s="968">
        <v>5</v>
      </c>
      <c r="B581" s="1398"/>
      <c r="C581" s="1401"/>
      <c r="D581" s="1415"/>
      <c r="E581" s="342"/>
    </row>
    <row r="582" spans="1:12">
      <c r="A582" s="968">
        <v>6</v>
      </c>
      <c r="B582" s="1416" t="s">
        <v>1459</v>
      </c>
      <c r="C582" s="1392"/>
      <c r="D582" s="1414"/>
      <c r="E582" s="342"/>
    </row>
    <row r="583" spans="1:12">
      <c r="A583" s="968">
        <v>7</v>
      </c>
      <c r="B583" s="1417" t="s">
        <v>1460</v>
      </c>
      <c r="C583" s="1392"/>
      <c r="D583" s="1414"/>
      <c r="E583" s="342"/>
    </row>
    <row r="584" spans="1:12">
      <c r="A584" s="968">
        <v>8</v>
      </c>
      <c r="B584" s="1418" t="s">
        <v>1461</v>
      </c>
      <c r="C584" s="1411"/>
      <c r="D584" s="1410" t="s">
        <v>315</v>
      </c>
      <c r="E584" s="342"/>
      <c r="F584" s="1498">
        <f>'FR-16(7)(v)-4 DISTR Classified'!I584</f>
        <v>202786</v>
      </c>
      <c r="G584" s="1499">
        <f>F584-SUM(H584:J584)</f>
        <v>174474</v>
      </c>
      <c r="H584" s="1499">
        <f>ROUND($F584*VLOOKUP($D584,ALLOCTABLE_DISTR_CUSTOMER,$H$10,FALSE),0)</f>
        <v>26806</v>
      </c>
      <c r="I584" s="1500">
        <f>ROUND(F584*VLOOKUP(D584,ALLOCTABLE_DISTR_CUSTOMER,$I$10,FALSE),0)</f>
        <v>746</v>
      </c>
      <c r="J584" s="1499">
        <f>ROUND(F584*VLOOKUP(D584,ALLOCTABLE_DISTR_CUSTOMER,$J$10,FALSE),0)</f>
        <v>760</v>
      </c>
      <c r="K584" s="1499">
        <f>SUM(G584:J584)</f>
        <v>202786</v>
      </c>
      <c r="L584" s="1499">
        <f>F584-K584</f>
        <v>0</v>
      </c>
    </row>
    <row r="585" spans="1:12">
      <c r="A585" s="968">
        <v>9</v>
      </c>
      <c r="B585" s="1413" t="s">
        <v>1463</v>
      </c>
      <c r="C585" s="1392"/>
      <c r="D585" s="1414"/>
      <c r="E585" s="342"/>
      <c r="F585" s="335">
        <f>SUM(F584)</f>
        <v>202786</v>
      </c>
      <c r="G585" s="335">
        <f t="shared" ref="G585:L585" si="163">SUM(G584)</f>
        <v>174474</v>
      </c>
      <c r="H585" s="335">
        <f t="shared" si="163"/>
        <v>26806</v>
      </c>
      <c r="I585" s="335">
        <f t="shared" si="163"/>
        <v>746</v>
      </c>
      <c r="J585" s="335">
        <f t="shared" si="163"/>
        <v>760</v>
      </c>
      <c r="K585" s="335">
        <f t="shared" si="163"/>
        <v>202786</v>
      </c>
      <c r="L585" s="335">
        <f t="shared" si="163"/>
        <v>0</v>
      </c>
    </row>
    <row r="586" spans="1:12">
      <c r="A586" s="968">
        <v>10</v>
      </c>
      <c r="B586" s="1090"/>
      <c r="C586" s="1392"/>
      <c r="D586" s="1414"/>
      <c r="E586" s="342"/>
    </row>
    <row r="587" spans="1:12">
      <c r="A587" s="968">
        <v>11</v>
      </c>
      <c r="B587" s="1419" t="s">
        <v>1464</v>
      </c>
      <c r="C587" s="1420"/>
      <c r="D587" s="1421"/>
      <c r="E587" s="342"/>
    </row>
    <row r="588" spans="1:12">
      <c r="A588" s="968">
        <v>12</v>
      </c>
      <c r="B588" s="1409" t="s">
        <v>1465</v>
      </c>
      <c r="C588" s="1411"/>
      <c r="D588" s="1410" t="s">
        <v>315</v>
      </c>
      <c r="E588" s="342"/>
      <c r="F588" s="1494">
        <f>'FR-16(7)(v)-4 DISTR Classified'!I588</f>
        <v>0</v>
      </c>
      <c r="G588" s="1493">
        <f>F588-SUM(H588:J588)</f>
        <v>0</v>
      </c>
      <c r="H588" s="1493">
        <f>ROUND($F588*VLOOKUP($D588,ALLOCTABLE_DISTR_CUSTOMER,$H$10,FALSE),0)</f>
        <v>0</v>
      </c>
      <c r="I588" s="1494">
        <f>ROUND(F588*VLOOKUP(D588,ALLOCTABLE_DISTR_CUSTOMER,$I$10,FALSE),0)</f>
        <v>0</v>
      </c>
      <c r="J588" s="1494">
        <f>ROUND(F588*VLOOKUP(D588,ALLOCTABLE_DISTR_CUSTOMER,$J$10,FALSE),0)</f>
        <v>0</v>
      </c>
      <c r="K588" s="1494">
        <f>SUM(G588:J588)</f>
        <v>0</v>
      </c>
      <c r="L588" s="1494">
        <f>F588-K588</f>
        <v>0</v>
      </c>
    </row>
    <row r="589" spans="1:12">
      <c r="A589" s="968">
        <v>13</v>
      </c>
      <c r="B589" s="1413" t="s">
        <v>1466</v>
      </c>
      <c r="C589" s="1392"/>
      <c r="D589" s="1414"/>
      <c r="E589" s="342"/>
      <c r="F589" s="335">
        <f>SUM(F588)</f>
        <v>0</v>
      </c>
      <c r="G589" s="335">
        <f t="shared" ref="G589:L589" si="164">SUM(G588)</f>
        <v>0</v>
      </c>
      <c r="H589" s="335">
        <f t="shared" si="164"/>
        <v>0</v>
      </c>
      <c r="I589" s="335">
        <f t="shared" si="164"/>
        <v>0</v>
      </c>
      <c r="J589" s="335">
        <f t="shared" si="164"/>
        <v>0</v>
      </c>
      <c r="K589" s="335">
        <f t="shared" si="164"/>
        <v>0</v>
      </c>
      <c r="L589" s="335">
        <f t="shared" si="164"/>
        <v>0</v>
      </c>
    </row>
    <row r="590" spans="1:12">
      <c r="A590" s="968">
        <v>14</v>
      </c>
      <c r="B590" s="1392"/>
      <c r="C590" s="1392"/>
      <c r="D590" s="1414"/>
      <c r="E590" s="342"/>
    </row>
    <row r="591" spans="1:12">
      <c r="A591" s="968">
        <v>15</v>
      </c>
      <c r="B591" s="1392" t="s">
        <v>1467</v>
      </c>
      <c r="C591" s="1392"/>
      <c r="D591" s="1414"/>
      <c r="E591" s="342"/>
      <c r="F591" s="1291">
        <f>F589+F585</f>
        <v>202786</v>
      </c>
      <c r="G591" s="1291">
        <f t="shared" ref="G591:L591" si="165">G589+G585</f>
        <v>174474</v>
      </c>
      <c r="H591" s="1291">
        <f t="shared" si="165"/>
        <v>26806</v>
      </c>
      <c r="I591" s="1291">
        <f t="shared" si="165"/>
        <v>746</v>
      </c>
      <c r="J591" s="1291">
        <f t="shared" si="165"/>
        <v>760</v>
      </c>
      <c r="K591" s="1291">
        <f t="shared" si="165"/>
        <v>202786</v>
      </c>
      <c r="L591" s="1291">
        <f t="shared" si="165"/>
        <v>0</v>
      </c>
    </row>
    <row r="592" spans="1:12">
      <c r="A592" s="968">
        <v>16</v>
      </c>
      <c r="B592" s="1392"/>
      <c r="C592" s="1392"/>
      <c r="D592" s="1414"/>
      <c r="E592" s="342"/>
    </row>
    <row r="593" spans="1:12">
      <c r="A593" s="968">
        <v>17</v>
      </c>
      <c r="B593" s="1422" t="s">
        <v>68</v>
      </c>
      <c r="C593" s="1423"/>
      <c r="D593" s="968"/>
      <c r="E593" s="342"/>
    </row>
    <row r="594" spans="1:12">
      <c r="A594" s="968">
        <v>18</v>
      </c>
      <c r="B594" s="1417" t="s">
        <v>1468</v>
      </c>
      <c r="C594" s="1392"/>
      <c r="D594" s="1414"/>
      <c r="E594" s="342"/>
    </row>
    <row r="595" spans="1:12">
      <c r="A595" s="968">
        <v>19</v>
      </c>
      <c r="B595" s="1392" t="s">
        <v>43</v>
      </c>
      <c r="C595" s="1392"/>
      <c r="D595" s="1414"/>
      <c r="E595" s="342"/>
      <c r="F595" s="479">
        <f>F334</f>
        <v>9825836</v>
      </c>
      <c r="G595" s="479">
        <f t="shared" ref="G595:L595" si="166">G334</f>
        <v>8457618</v>
      </c>
      <c r="H595" s="479">
        <f t="shared" si="166"/>
        <v>1296738</v>
      </c>
      <c r="I595" s="479">
        <f t="shared" si="166"/>
        <v>34356</v>
      </c>
      <c r="J595" s="479">
        <f t="shared" si="166"/>
        <v>37124</v>
      </c>
      <c r="K595" s="479">
        <f t="shared" si="166"/>
        <v>9825836</v>
      </c>
      <c r="L595" s="479">
        <f t="shared" si="166"/>
        <v>0</v>
      </c>
    </row>
    <row r="596" spans="1:12">
      <c r="A596" s="968">
        <v>20</v>
      </c>
      <c r="B596" s="1392" t="s">
        <v>199</v>
      </c>
      <c r="C596" s="1392"/>
      <c r="D596" s="1414"/>
      <c r="E596" s="342"/>
      <c r="F596" s="479">
        <f>F557</f>
        <v>981475</v>
      </c>
      <c r="G596" s="479">
        <f t="shared" ref="G596:L596" si="167">G557</f>
        <v>840659</v>
      </c>
      <c r="H596" s="479">
        <f t="shared" si="167"/>
        <v>134043</v>
      </c>
      <c r="I596" s="479">
        <f t="shared" si="167"/>
        <v>2797</v>
      </c>
      <c r="J596" s="479">
        <f t="shared" si="167"/>
        <v>3977</v>
      </c>
      <c r="K596" s="479">
        <f t="shared" si="167"/>
        <v>981476</v>
      </c>
      <c r="L596" s="479">
        <f t="shared" si="167"/>
        <v>0</v>
      </c>
    </row>
    <row r="597" spans="1:12">
      <c r="A597" s="968">
        <v>21</v>
      </c>
      <c r="B597" s="1392" t="s">
        <v>1469</v>
      </c>
      <c r="C597" s="1392"/>
      <c r="D597" s="1414"/>
      <c r="E597" s="342"/>
      <c r="F597" s="479">
        <f>-F524</f>
        <v>-5943210</v>
      </c>
      <c r="G597" s="479">
        <f t="shared" ref="G597:L597" si="168">-G524</f>
        <v>-5113114</v>
      </c>
      <c r="H597" s="479">
        <f t="shared" si="168"/>
        <v>-783731</v>
      </c>
      <c r="I597" s="479">
        <f t="shared" si="168"/>
        <v>-23960</v>
      </c>
      <c r="J597" s="479">
        <f t="shared" si="168"/>
        <v>-22405</v>
      </c>
      <c r="K597" s="479">
        <f t="shared" si="168"/>
        <v>-5943210</v>
      </c>
      <c r="L597" s="479">
        <f t="shared" si="168"/>
        <v>0</v>
      </c>
    </row>
    <row r="598" spans="1:12">
      <c r="A598" s="968">
        <v>22</v>
      </c>
      <c r="B598" s="1392" t="s">
        <v>1470</v>
      </c>
      <c r="C598" s="1392"/>
      <c r="D598" s="1414"/>
      <c r="E598" s="342"/>
      <c r="F598" s="479">
        <f>-F580</f>
        <v>-2554648</v>
      </c>
      <c r="G598" s="479">
        <f t="shared" ref="G598:L598" si="169">-G580</f>
        <v>-2197968</v>
      </c>
      <c r="H598" s="479">
        <f t="shared" si="169"/>
        <v>-337699</v>
      </c>
      <c r="I598" s="479">
        <f t="shared" si="169"/>
        <v>-9401</v>
      </c>
      <c r="J598" s="479">
        <f t="shared" si="169"/>
        <v>-9580</v>
      </c>
      <c r="K598" s="479">
        <f t="shared" si="169"/>
        <v>-2554648</v>
      </c>
      <c r="L598" s="479">
        <f t="shared" si="169"/>
        <v>0</v>
      </c>
    </row>
    <row r="599" spans="1:12">
      <c r="A599" s="968">
        <v>23</v>
      </c>
      <c r="B599" s="1411" t="s">
        <v>1471</v>
      </c>
      <c r="C599" s="1411"/>
      <c r="D599" s="1414"/>
      <c r="E599" s="342"/>
      <c r="F599" s="1495">
        <f>F591</f>
        <v>202786</v>
      </c>
      <c r="G599" s="1495">
        <f t="shared" ref="G599:L599" si="170">G591</f>
        <v>174474</v>
      </c>
      <c r="H599" s="1495">
        <f t="shared" si="170"/>
        <v>26806</v>
      </c>
      <c r="I599" s="1495">
        <f t="shared" si="170"/>
        <v>746</v>
      </c>
      <c r="J599" s="1495">
        <f t="shared" si="170"/>
        <v>760</v>
      </c>
      <c r="K599" s="1495">
        <f t="shared" si="170"/>
        <v>202786</v>
      </c>
      <c r="L599" s="1495">
        <f t="shared" si="170"/>
        <v>0</v>
      </c>
    </row>
    <row r="600" spans="1:12">
      <c r="A600" s="968">
        <v>24</v>
      </c>
      <c r="B600" s="1090" t="s">
        <v>1472</v>
      </c>
      <c r="C600" s="1392"/>
      <c r="D600" s="1414"/>
      <c r="E600" s="342"/>
      <c r="F600" s="1291">
        <f t="shared" ref="F600:L600" si="171">SUM(F595:F599)</f>
        <v>2512239</v>
      </c>
      <c r="G600" s="1291">
        <f t="shared" si="171"/>
        <v>2161669</v>
      </c>
      <c r="H600" s="1291">
        <f t="shared" si="171"/>
        <v>336157</v>
      </c>
      <c r="I600" s="1291">
        <f t="shared" si="171"/>
        <v>4538</v>
      </c>
      <c r="J600" s="1291">
        <f t="shared" si="171"/>
        <v>9876</v>
      </c>
      <c r="K600" s="1291">
        <f t="shared" si="171"/>
        <v>2512240</v>
      </c>
      <c r="L600" s="1291">
        <f t="shared" si="171"/>
        <v>0</v>
      </c>
    </row>
    <row r="601" spans="1:12">
      <c r="A601" s="968">
        <v>25</v>
      </c>
      <c r="B601" s="1392"/>
      <c r="C601" s="1392"/>
      <c r="D601" s="1414"/>
      <c r="E601" s="342"/>
    </row>
    <row r="602" spans="1:12">
      <c r="A602" s="968">
        <v>26</v>
      </c>
      <c r="B602" s="1392" t="s">
        <v>1473</v>
      </c>
      <c r="C602" s="1392"/>
      <c r="D602" s="1414"/>
      <c r="E602" s="342"/>
      <c r="F602" s="1429">
        <f t="shared" ref="F602:L602" si="172">ROUND(SIT/(1-SIT),8)</f>
        <v>5.2282660000000002E-2</v>
      </c>
      <c r="G602" s="1429">
        <f t="shared" si="172"/>
        <v>5.2282660000000002E-2</v>
      </c>
      <c r="H602" s="1429">
        <f t="shared" si="172"/>
        <v>5.2282660000000002E-2</v>
      </c>
      <c r="I602" s="1429">
        <f t="shared" si="172"/>
        <v>5.2282660000000002E-2</v>
      </c>
      <c r="J602" s="1429">
        <f t="shared" si="172"/>
        <v>5.2282660000000002E-2</v>
      </c>
      <c r="K602" s="1429">
        <f t="shared" si="172"/>
        <v>5.2282660000000002E-2</v>
      </c>
      <c r="L602" s="1429">
        <f t="shared" si="172"/>
        <v>5.2282660000000002E-2</v>
      </c>
    </row>
    <row r="603" spans="1:12">
      <c r="A603" s="968">
        <v>27</v>
      </c>
      <c r="B603" s="1392" t="s">
        <v>1474</v>
      </c>
      <c r="C603" s="1392"/>
      <c r="D603" s="1433" t="s">
        <v>1475</v>
      </c>
      <c r="E603" s="342"/>
      <c r="F603" s="1434">
        <f t="shared" ref="F603:L603" si="173">ROUND(F600*F602,0)</f>
        <v>131347</v>
      </c>
      <c r="G603" s="1434">
        <f t="shared" si="173"/>
        <v>113018</v>
      </c>
      <c r="H603" s="1434">
        <f t="shared" si="173"/>
        <v>17575</v>
      </c>
      <c r="I603" s="1434">
        <f t="shared" si="173"/>
        <v>237</v>
      </c>
      <c r="J603" s="1434">
        <f t="shared" si="173"/>
        <v>516</v>
      </c>
      <c r="K603" s="1434">
        <f t="shared" si="173"/>
        <v>131347</v>
      </c>
      <c r="L603" s="1434">
        <f t="shared" si="173"/>
        <v>0</v>
      </c>
    </row>
    <row r="604" spans="1:12">
      <c r="A604" s="968">
        <v>28</v>
      </c>
      <c r="B604" s="1411" t="s">
        <v>1476</v>
      </c>
      <c r="C604" s="1411"/>
      <c r="D604" s="1414"/>
      <c r="E604" s="1435"/>
      <c r="F604" s="1434">
        <f t="shared" ref="F604:L604" si="174">F591</f>
        <v>202786</v>
      </c>
      <c r="G604" s="1434">
        <f t="shared" si="174"/>
        <v>174474</v>
      </c>
      <c r="H604" s="1434">
        <f t="shared" si="174"/>
        <v>26806</v>
      </c>
      <c r="I604" s="1434">
        <f t="shared" si="174"/>
        <v>746</v>
      </c>
      <c r="J604" s="1434">
        <f t="shared" si="174"/>
        <v>760</v>
      </c>
      <c r="K604" s="1434">
        <f t="shared" si="174"/>
        <v>202786</v>
      </c>
      <c r="L604" s="1434">
        <f t="shared" si="174"/>
        <v>0</v>
      </c>
    </row>
    <row r="605" spans="1:12">
      <c r="A605" s="968">
        <v>29</v>
      </c>
      <c r="B605" s="1090" t="s">
        <v>1477</v>
      </c>
      <c r="C605" s="1392"/>
      <c r="D605" s="1414"/>
      <c r="E605" s="342"/>
      <c r="F605" s="1439">
        <f t="shared" ref="F605:L605" si="175">F604+F603</f>
        <v>334133</v>
      </c>
      <c r="G605" s="1439">
        <f t="shared" si="175"/>
        <v>287492</v>
      </c>
      <c r="H605" s="1439">
        <f t="shared" si="175"/>
        <v>44381</v>
      </c>
      <c r="I605" s="1439">
        <f t="shared" si="175"/>
        <v>983</v>
      </c>
      <c r="J605" s="1439">
        <f t="shared" si="175"/>
        <v>1276</v>
      </c>
      <c r="K605" s="1439">
        <f t="shared" si="175"/>
        <v>334133</v>
      </c>
      <c r="L605" s="1439">
        <f t="shared" si="175"/>
        <v>0</v>
      </c>
    </row>
    <row r="606" spans="1:12">
      <c r="A606" s="968">
        <v>30</v>
      </c>
      <c r="B606" s="1392"/>
      <c r="C606" s="1392"/>
      <c r="D606" s="1414"/>
      <c r="E606" s="342"/>
    </row>
    <row r="607" spans="1:12">
      <c r="A607" s="968">
        <v>31</v>
      </c>
      <c r="B607" s="1392" t="s">
        <v>1478</v>
      </c>
      <c r="C607" s="1392"/>
      <c r="D607" s="1414"/>
      <c r="E607" s="342"/>
    </row>
    <row r="608" spans="1:12">
      <c r="A608" s="968">
        <v>32</v>
      </c>
      <c r="B608" s="1392" t="s">
        <v>1474</v>
      </c>
      <c r="C608" s="1392"/>
      <c r="D608" s="1414"/>
      <c r="E608" s="342"/>
      <c r="F608" s="1434">
        <f t="shared" ref="F608:L608" si="176">F603</f>
        <v>131347</v>
      </c>
      <c r="G608" s="1434">
        <f t="shared" si="176"/>
        <v>113018</v>
      </c>
      <c r="H608" s="1434">
        <f t="shared" si="176"/>
        <v>17575</v>
      </c>
      <c r="I608" s="1434">
        <f t="shared" si="176"/>
        <v>237</v>
      </c>
      <c r="J608" s="1434">
        <f t="shared" si="176"/>
        <v>516</v>
      </c>
      <c r="K608" s="1434">
        <f t="shared" si="176"/>
        <v>131347</v>
      </c>
      <c r="L608" s="1434">
        <f t="shared" si="176"/>
        <v>0</v>
      </c>
    </row>
    <row r="609" spans="1:12">
      <c r="A609" s="968">
        <v>33</v>
      </c>
      <c r="B609" s="1411" t="s">
        <v>1464</v>
      </c>
      <c r="C609" s="1411"/>
      <c r="D609" s="1414"/>
      <c r="E609" s="342"/>
      <c r="F609" s="1434">
        <f t="shared" ref="F609:L609" si="177">F589</f>
        <v>0</v>
      </c>
      <c r="G609" s="1434">
        <f t="shared" si="177"/>
        <v>0</v>
      </c>
      <c r="H609" s="1434">
        <f t="shared" si="177"/>
        <v>0</v>
      </c>
      <c r="I609" s="1434">
        <f t="shared" si="177"/>
        <v>0</v>
      </c>
      <c r="J609" s="1434">
        <f t="shared" si="177"/>
        <v>0</v>
      </c>
      <c r="K609" s="1434">
        <f t="shared" si="177"/>
        <v>0</v>
      </c>
      <c r="L609" s="1434">
        <f t="shared" si="177"/>
        <v>0</v>
      </c>
    </row>
    <row r="610" spans="1:12">
      <c r="A610" s="968">
        <v>34</v>
      </c>
      <c r="B610" s="1090" t="s">
        <v>1479</v>
      </c>
      <c r="C610" s="1392"/>
      <c r="D610" s="1414"/>
      <c r="E610" s="342"/>
      <c r="F610" s="1439">
        <f t="shared" ref="F610:L610" si="178">F608+F609</f>
        <v>131347</v>
      </c>
      <c r="G610" s="1439">
        <f t="shared" si="178"/>
        <v>113018</v>
      </c>
      <c r="H610" s="1439">
        <f t="shared" si="178"/>
        <v>17575</v>
      </c>
      <c r="I610" s="1439">
        <f t="shared" si="178"/>
        <v>237</v>
      </c>
      <c r="J610" s="1439">
        <f t="shared" si="178"/>
        <v>516</v>
      </c>
      <c r="K610" s="1439">
        <f t="shared" si="178"/>
        <v>131347</v>
      </c>
      <c r="L610" s="1439">
        <f t="shared" si="178"/>
        <v>0</v>
      </c>
    </row>
    <row r="611" spans="1:12">
      <c r="A611" s="968">
        <v>35</v>
      </c>
      <c r="B611" s="1392"/>
      <c r="C611" s="1392"/>
      <c r="D611" s="1392"/>
      <c r="E611" s="342"/>
    </row>
    <row r="612" spans="1:12">
      <c r="A612" s="968">
        <v>36</v>
      </c>
      <c r="B612" s="1392" t="s">
        <v>76</v>
      </c>
      <c r="C612" s="1392"/>
      <c r="D612" s="1392"/>
      <c r="E612" s="342"/>
      <c r="F612" s="1443">
        <f t="shared" ref="F612:L612" si="179">(SIT*(1-FIT))+((1-SIT)*(1-FIT)*RevTax)+FIT</f>
        <v>0.24925115</v>
      </c>
      <c r="G612" s="1443">
        <f t="shared" si="179"/>
        <v>0.24925115</v>
      </c>
      <c r="H612" s="1443">
        <f t="shared" si="179"/>
        <v>0.24925115</v>
      </c>
      <c r="I612" s="1443">
        <f t="shared" si="179"/>
        <v>0.24925115</v>
      </c>
      <c r="J612" s="1443">
        <f t="shared" si="179"/>
        <v>0.24925115</v>
      </c>
      <c r="K612" s="1443">
        <f t="shared" si="179"/>
        <v>0.24925115</v>
      </c>
      <c r="L612" s="1443">
        <f t="shared" si="179"/>
        <v>0.24925115</v>
      </c>
    </row>
    <row r="614" spans="1:12">
      <c r="A614" s="343" t="str">
        <f>co_name</f>
        <v>DUKE ENERGY KENTUCKY, INC.</v>
      </c>
      <c r="C614" s="196"/>
      <c r="D614" s="344"/>
      <c r="E614" s="196"/>
      <c r="F614" s="344"/>
      <c r="G614" s="342"/>
      <c r="H614" s="342"/>
      <c r="I614" s="196"/>
      <c r="K614" s="361" t="str">
        <f>$K$1</f>
        <v>FR-16(7)(v)-6</v>
      </c>
      <c r="L614" s="196"/>
    </row>
    <row r="615" spans="1:12">
      <c r="A615" s="343" t="str">
        <f>$A$2</f>
        <v>DISTRIBUTION CUSTOMER ALLOCATED - GAS COST OF SERVICE</v>
      </c>
      <c r="C615" s="196"/>
      <c r="D615" s="344"/>
      <c r="E615" s="196"/>
      <c r="F615" s="344"/>
      <c r="G615" s="342"/>
      <c r="H615" s="342"/>
      <c r="I615" s="196"/>
      <c r="K615" s="361" t="str">
        <f>$K$2</f>
        <v>WITNESS RESPONSIBLE:</v>
      </c>
      <c r="L615" s="196"/>
    </row>
    <row r="616" spans="1:12">
      <c r="A616" s="343" t="str">
        <f>case_name</f>
        <v>CASE NO: 2018-00261</v>
      </c>
      <c r="C616" s="196"/>
      <c r="D616" s="344"/>
      <c r="E616" s="196"/>
      <c r="F616" s="344"/>
      <c r="G616" s="342"/>
      <c r="H616" s="342"/>
      <c r="I616" s="196"/>
      <c r="K616" s="361" t="str">
        <f>Witness</f>
        <v>JAMES E. ZIOLKOWSKI</v>
      </c>
      <c r="L616" s="196"/>
    </row>
    <row r="617" spans="1:12">
      <c r="A617" s="343" t="str">
        <f>data_filing</f>
        <v>DATA: 12 MONTH FORECASTED PERIOD</v>
      </c>
      <c r="C617" s="196"/>
      <c r="D617" s="344"/>
      <c r="E617" s="196"/>
      <c r="F617" s="344"/>
      <c r="G617" s="342"/>
      <c r="H617" s="342"/>
      <c r="I617" s="196"/>
      <c r="K617" s="361" t="str">
        <f>"PAGE "&amp;Pages-4&amp;" OF "&amp;Pages</f>
        <v>PAGE 14 OF 18</v>
      </c>
      <c r="L617" s="196"/>
    </row>
    <row r="618" spans="1:12">
      <c r="A618" s="343" t="str">
        <f>type</f>
        <v xml:space="preserve">TYPE OF FILING: "X" ORIGINAL   UPDATED    REVISED  </v>
      </c>
      <c r="C618" s="196"/>
      <c r="D618" s="344"/>
      <c r="E618" s="196"/>
      <c r="F618" s="344"/>
      <c r="G618" s="342"/>
      <c r="H618" s="342"/>
      <c r="I618" s="196"/>
      <c r="J618" s="344"/>
      <c r="K618" s="196"/>
      <c r="L618" s="196"/>
    </row>
    <row r="619" spans="1:12">
      <c r="B619" s="343"/>
      <c r="C619" s="196"/>
      <c r="D619" s="344"/>
      <c r="E619" s="196"/>
      <c r="F619" s="344"/>
      <c r="G619" s="342"/>
      <c r="H619" s="342"/>
      <c r="I619" s="196"/>
      <c r="J619" s="344"/>
      <c r="K619" s="196"/>
      <c r="L619" s="196"/>
    </row>
    <row r="620" spans="1:12">
      <c r="B620" s="343"/>
      <c r="C620" s="196"/>
      <c r="D620" s="344"/>
      <c r="E620" s="196"/>
      <c r="F620" s="344" t="str">
        <f>$F$7</f>
        <v>TOTAL</v>
      </c>
      <c r="G620" s="342"/>
      <c r="H620" s="342"/>
      <c r="I620" s="196"/>
      <c r="J620" s="344"/>
      <c r="K620" s="196"/>
      <c r="L620" s="196"/>
    </row>
    <row r="621" spans="1:12">
      <c r="A621" s="344" t="s">
        <v>914</v>
      </c>
      <c r="B621" s="196"/>
      <c r="C621" s="196"/>
      <c r="D621" s="344"/>
      <c r="E621" s="196"/>
      <c r="F621" s="344" t="str">
        <f>$F$8</f>
        <v>DISTRIBUTION</v>
      </c>
      <c r="G621" s="354" t="str">
        <f>$G$8</f>
        <v>RS</v>
      </c>
      <c r="H621" s="354" t="str">
        <f>$H$8</f>
        <v>GS</v>
      </c>
      <c r="I621" s="344" t="str">
        <f>$I$8</f>
        <v>FT-L</v>
      </c>
      <c r="J621" s="344" t="str">
        <f>$J$8</f>
        <v>INTERUPT</v>
      </c>
      <c r="K621" s="344" t="s">
        <v>229</v>
      </c>
      <c r="L621" s="344" t="s">
        <v>342</v>
      </c>
    </row>
    <row r="622" spans="1:12">
      <c r="A622" s="346" t="s">
        <v>915</v>
      </c>
      <c r="B622" s="345" t="s">
        <v>77</v>
      </c>
      <c r="C622" s="345"/>
      <c r="D622" s="346" t="s">
        <v>337</v>
      </c>
      <c r="E622" s="345"/>
      <c r="F622" s="344" t="str">
        <f>$F$9</f>
        <v>CUSTOMER</v>
      </c>
      <c r="G622" s="355" t="str">
        <f>$G$9</f>
        <v>RESIDENTIAL</v>
      </c>
      <c r="H622" s="355" t="str">
        <f>$H$9</f>
        <v>GEN SERV</v>
      </c>
      <c r="I622" s="346" t="str">
        <f>$I$9</f>
        <v>FIRM TRANS</v>
      </c>
      <c r="J622" s="346" t="str">
        <f>$J$9</f>
        <v>TRANS</v>
      </c>
      <c r="K622" s="346" t="s">
        <v>341</v>
      </c>
      <c r="L622" s="346" t="s">
        <v>340</v>
      </c>
    </row>
    <row r="623" spans="1:12">
      <c r="C623" s="578" t="s">
        <v>352</v>
      </c>
      <c r="D623" s="344"/>
      <c r="E623" s="196"/>
      <c r="F623" s="761"/>
      <c r="G623" s="633">
        <f>$G$10</f>
        <v>3</v>
      </c>
      <c r="H623" s="633">
        <f>$H$10</f>
        <v>4</v>
      </c>
      <c r="I623" s="633">
        <f>$I$10</f>
        <v>5</v>
      </c>
      <c r="J623" s="633">
        <f>$J$10</f>
        <v>6</v>
      </c>
    </row>
    <row r="624" spans="1:12">
      <c r="A624" s="333">
        <v>1</v>
      </c>
      <c r="B624" s="332" t="s">
        <v>78</v>
      </c>
      <c r="D624" s="344"/>
      <c r="E624" s="196"/>
      <c r="I624" s="332"/>
    </row>
    <row r="625" spans="1:12">
      <c r="A625" s="333">
        <v>2</v>
      </c>
      <c r="C625" s="332" t="str">
        <f>'FR-16(7)(v)-1 Functional'!C625</f>
        <v>MISC SERVICE REVENUE</v>
      </c>
      <c r="D625" s="344" t="str">
        <f>'FR-16(7)(v)-1 Functional'!D625</f>
        <v>K401</v>
      </c>
      <c r="E625" s="196"/>
      <c r="F625" s="479">
        <f>'FR-16(7)(v)-4 DISTR Classified'!I625</f>
        <v>50100</v>
      </c>
      <c r="G625" s="349">
        <f>F625-SUM(H625:J625)</f>
        <v>46506</v>
      </c>
      <c r="H625" s="347">
        <f>ROUND($F$625*VLOOKUP($D$625,ALLOCTABLE_DISTR_CUSTOMER,$H$10,FALSE),0)</f>
        <v>3534</v>
      </c>
      <c r="I625" s="347">
        <f>ROUND(F625*VLOOKUP(D625,ALLOCTABLE_DISTR_CUSTOMER,$I$10,FALSE),0)</f>
        <v>49</v>
      </c>
      <c r="J625" s="347">
        <f>ROUND(F625*VLOOKUP(D625,ALLOCTABLE_DISTR_CUSTOMER,$J$10,FALSE),0)</f>
        <v>11</v>
      </c>
      <c r="K625" s="347">
        <f>SUM($G$625:$J$625)</f>
        <v>50100</v>
      </c>
      <c r="L625" s="347">
        <f>F625-$K$625</f>
        <v>0</v>
      </c>
    </row>
    <row r="626" spans="1:12">
      <c r="A626" s="333">
        <v>3</v>
      </c>
      <c r="C626" s="332" t="str">
        <f>'FR-16(7)(v)-1 Functional'!C626</f>
        <v>INTERDEPARTMENTAL</v>
      </c>
      <c r="D626" s="344" t="str">
        <f>'FR-16(7)(v)-1 Functional'!D626</f>
        <v>AG39</v>
      </c>
      <c r="E626" s="196"/>
      <c r="F626" s="479">
        <f>'FR-16(7)(v)-4 DISTR Classified'!I626</f>
        <v>14922</v>
      </c>
      <c r="G626" s="349">
        <f>F626-SUM(H626:J626)</f>
        <v>12786</v>
      </c>
      <c r="H626" s="347">
        <f>ROUND($F$626*VLOOKUP($D$626,ALLOCTABLE_DISTR_CUSTOMER,$H$10,FALSE),0)</f>
        <v>1923</v>
      </c>
      <c r="I626" s="347">
        <f>ROUND(F626*VLOOKUP(D626,ALLOCTABLE_DISTR_CUSTOMER,$I$10,FALSE),0)</f>
        <v>157</v>
      </c>
      <c r="J626" s="347">
        <f>ROUND(F626*VLOOKUP(D626,ALLOCTABLE_DISTR_CUSTOMER,$J$10,FALSE),0)</f>
        <v>56</v>
      </c>
      <c r="K626" s="347">
        <f>SUM($G$626:$J$626)</f>
        <v>14922</v>
      </c>
      <c r="L626" s="347">
        <f>F626-$K$626</f>
        <v>0</v>
      </c>
    </row>
    <row r="627" spans="1:12">
      <c r="A627" s="333">
        <v>4</v>
      </c>
      <c r="C627" s="332" t="str">
        <f>'FR-16(7)(v)-1 Functional'!C627</f>
        <v>OTH MISC REVENUE</v>
      </c>
      <c r="D627" s="344" t="str">
        <f>'FR-16(7)(v)-1 Functional'!D627</f>
        <v>K401</v>
      </c>
      <c r="E627" s="196"/>
      <c r="F627" s="479">
        <f>'FR-16(7)(v)-4 DISTR Classified'!I627</f>
        <v>1896</v>
      </c>
      <c r="G627" s="349">
        <f>F627-SUM(H627:J627)</f>
        <v>1760</v>
      </c>
      <c r="H627" s="347">
        <f>ROUND($F$627*VLOOKUP($D$627,ALLOCTABLE_DISTR_CUSTOMER,$H$10,FALSE),0)</f>
        <v>134</v>
      </c>
      <c r="I627" s="347">
        <f>ROUND(F627*VLOOKUP(D627,ALLOCTABLE_DISTR_CUSTOMER,$I$10,FALSE),0)</f>
        <v>2</v>
      </c>
      <c r="J627" s="347">
        <f>ROUND(F627*VLOOKUP(D627,ALLOCTABLE_DISTR_CUSTOMER,$J$10,FALSE),0)</f>
        <v>0</v>
      </c>
      <c r="K627" s="347">
        <f>SUM($G$627:$J$627)</f>
        <v>1896</v>
      </c>
      <c r="L627" s="347">
        <f>F627-$K$627</f>
        <v>0</v>
      </c>
    </row>
    <row r="628" spans="1:12">
      <c r="A628" s="333">
        <v>5</v>
      </c>
      <c r="C628" s="332" t="str">
        <f>'FR-16(7)(v)-1 Functional'!C628</f>
        <v>RENTS</v>
      </c>
      <c r="D628" s="344" t="str">
        <f>'FR-16(7)(v)-1 Functional'!D628</f>
        <v>D249</v>
      </c>
      <c r="E628" s="196"/>
      <c r="F628" s="479">
        <f>'FR-16(7)(v)-4 DISTR Classified'!I628</f>
        <v>6481</v>
      </c>
      <c r="G628" s="349">
        <f>F628-SUM(H628:J628)</f>
        <v>5578</v>
      </c>
      <c r="H628" s="347">
        <f>ROUND($F$628*VLOOKUP($D$628,ALLOCTABLE_DISTR_CUSTOMER,$H$10,FALSE),0)</f>
        <v>858</v>
      </c>
      <c r="I628" s="347">
        <f>ROUND(F628*VLOOKUP(D628,ALLOCTABLE_DISTR_CUSTOMER,$I$10,FALSE),0)</f>
        <v>21</v>
      </c>
      <c r="J628" s="347">
        <f>ROUND(F628*VLOOKUP(D628,ALLOCTABLE_DISTR_CUSTOMER,$J$10,FALSE),0)</f>
        <v>24</v>
      </c>
      <c r="K628" s="347">
        <f>SUM($G$628:$J$628)</f>
        <v>6481</v>
      </c>
      <c r="L628" s="347">
        <f>F628-$K$628</f>
        <v>0</v>
      </c>
    </row>
    <row r="629" spans="1:12">
      <c r="A629" s="333">
        <v>6</v>
      </c>
      <c r="C629" s="359" t="str">
        <f>'FR-16(7)(v)-1 Functional'!C629</f>
        <v>IT TRANSPORT SPECIAL CONTRACTS</v>
      </c>
      <c r="D629" s="344" t="str">
        <f>'FR-16(7)(v)-1 Functional'!D629</f>
        <v>AG39</v>
      </c>
      <c r="E629" s="196"/>
      <c r="F629" s="479">
        <f>'FR-16(7)(v)-4 DISTR Classified'!I629</f>
        <v>0</v>
      </c>
      <c r="G629" s="349">
        <f>F629-SUM(H629:J629)</f>
        <v>0</v>
      </c>
      <c r="H629" s="347">
        <f>ROUND($F$629*VLOOKUP($D$629,ALLOCTABLE_DISTR_CUSTOMER,$H$10,FALSE),0)</f>
        <v>0</v>
      </c>
      <c r="I629" s="347">
        <f>ROUND(F629*VLOOKUP(D629,ALLOCTABLE_DISTR_CUSTOMER,$I$10,FALSE),0)</f>
        <v>0</v>
      </c>
      <c r="J629" s="347">
        <f>ROUND(F629*VLOOKUP(D629,ALLOCTABLE_DISTR_CUSTOMER,$J$10,FALSE),0)</f>
        <v>0</v>
      </c>
      <c r="K629" s="347">
        <f>SUM($G$629:$J$629)</f>
        <v>0</v>
      </c>
      <c r="L629" s="347">
        <f>F629-$K$629</f>
        <v>0</v>
      </c>
    </row>
    <row r="630" spans="1:12">
      <c r="A630" s="333">
        <v>7</v>
      </c>
      <c r="C630" s="332" t="str">
        <f>'FR-16(7)(v)-1 Functional'!C630</f>
        <v xml:space="preserve">  TOTAL OTHER OPERATING REVS</v>
      </c>
      <c r="D630" s="344"/>
      <c r="E630" s="196"/>
      <c r="F630" s="348">
        <f>SUM(F625:F629)</f>
        <v>73399</v>
      </c>
      <c r="G630" s="348">
        <f>SUM($G$625:$G$629)</f>
        <v>66630</v>
      </c>
      <c r="H630" s="348">
        <f>SUM($H$625:$H$629)</f>
        <v>6449</v>
      </c>
      <c r="I630" s="348">
        <f>SUM($I$625:$I$629)</f>
        <v>229</v>
      </c>
      <c r="J630" s="348">
        <f>SUM($J$625:$J$629)</f>
        <v>91</v>
      </c>
      <c r="K630" s="348">
        <f>SUM($K$625:$K$629)</f>
        <v>73399</v>
      </c>
      <c r="L630" s="348">
        <f>SUM($L$625:$L$629)</f>
        <v>0</v>
      </c>
    </row>
    <row r="631" spans="1:12">
      <c r="A631" s="333">
        <v>8</v>
      </c>
      <c r="D631" s="344"/>
      <c r="E631" s="196"/>
      <c r="I631" s="332"/>
    </row>
    <row r="632" spans="1:12">
      <c r="A632" s="333">
        <v>9</v>
      </c>
      <c r="B632" s="332" t="s">
        <v>77</v>
      </c>
      <c r="D632" s="344"/>
      <c r="E632" s="196"/>
      <c r="I632" s="332"/>
    </row>
    <row r="633" spans="1:12">
      <c r="A633" s="333">
        <v>10</v>
      </c>
      <c r="C633" s="332" t="str">
        <f>'FR-16(7)(v)-1 Functional'!C633</f>
        <v>TOTAL OP EXP EXC INC &amp; REV TAX</v>
      </c>
      <c r="D633" s="344"/>
      <c r="E633" s="196"/>
      <c r="F633" s="347">
        <f>F501</f>
        <v>20969865</v>
      </c>
      <c r="G633" s="347">
        <f>$G$501</f>
        <v>17804100</v>
      </c>
      <c r="H633" s="347">
        <f>$H$501</f>
        <v>2880800</v>
      </c>
      <c r="I633" s="347">
        <f>$I$501</f>
        <v>196408</v>
      </c>
      <c r="J633" s="347">
        <f>$J$501</f>
        <v>88557</v>
      </c>
      <c r="K633" s="347">
        <f>$K$501</f>
        <v>20969865</v>
      </c>
      <c r="L633" s="347">
        <f>$L$501</f>
        <v>0</v>
      </c>
    </row>
    <row r="634" spans="1:12">
      <c r="A634" s="333">
        <v>11</v>
      </c>
      <c r="C634" s="332" t="str">
        <f>'FR-16(7)(v)-1 Functional'!C634</f>
        <v>RETURN ON RATE BASE</v>
      </c>
      <c r="D634" s="344"/>
      <c r="E634" s="196"/>
      <c r="F634" s="347">
        <f t="shared" ref="F634:L634" si="180">F334</f>
        <v>9825836</v>
      </c>
      <c r="G634" s="347">
        <f t="shared" si="180"/>
        <v>8457618</v>
      </c>
      <c r="H634" s="347">
        <f t="shared" si="180"/>
        <v>1296738</v>
      </c>
      <c r="I634" s="347">
        <f t="shared" si="180"/>
        <v>34356</v>
      </c>
      <c r="J634" s="347">
        <f t="shared" si="180"/>
        <v>37124</v>
      </c>
      <c r="K634" s="347">
        <f t="shared" si="180"/>
        <v>9825836</v>
      </c>
      <c r="L634" s="347">
        <f t="shared" si="180"/>
        <v>0</v>
      </c>
    </row>
    <row r="635" spans="1:12">
      <c r="A635" s="333">
        <v>12</v>
      </c>
      <c r="C635" s="332" t="str">
        <f>'FR-16(7)(v)-1 Functional'!C635</f>
        <v>NET FED INCOME TAX ALLOWABLE</v>
      </c>
      <c r="D635" s="344"/>
      <c r="E635" s="196"/>
      <c r="F635" s="347">
        <f>F557</f>
        <v>981475</v>
      </c>
      <c r="G635" s="347">
        <f>$G$557</f>
        <v>840659</v>
      </c>
      <c r="H635" s="347">
        <f>$H$557</f>
        <v>134043</v>
      </c>
      <c r="I635" s="347">
        <f>$I$557</f>
        <v>2797</v>
      </c>
      <c r="J635" s="347">
        <f>$J$557</f>
        <v>3977</v>
      </c>
      <c r="K635" s="347">
        <f>$K$557</f>
        <v>981476</v>
      </c>
      <c r="L635" s="347">
        <f>$L$557</f>
        <v>0</v>
      </c>
    </row>
    <row r="636" spans="1:12">
      <c r="A636" s="333">
        <v>13</v>
      </c>
      <c r="C636" s="359" t="str">
        <f>'FR-16(7)(v)-1 Functional'!C636</f>
        <v>TOTAL OTHER OPERATING REVENUES</v>
      </c>
      <c r="D636" s="344"/>
      <c r="E636" s="196"/>
      <c r="F636" s="347">
        <f>-F630</f>
        <v>-73399</v>
      </c>
      <c r="G636" s="347">
        <f>-$G$630</f>
        <v>-66630</v>
      </c>
      <c r="H636" s="347">
        <f>-$H$630</f>
        <v>-6449</v>
      </c>
      <c r="I636" s="347">
        <f>-$I$630</f>
        <v>-229</v>
      </c>
      <c r="J636" s="347">
        <f>-$J$630</f>
        <v>-91</v>
      </c>
      <c r="K636" s="347">
        <f>-$K$630</f>
        <v>-73399</v>
      </c>
      <c r="L636" s="347">
        <f>-$L$630</f>
        <v>0</v>
      </c>
    </row>
    <row r="637" spans="1:12">
      <c r="A637" s="333">
        <v>14</v>
      </c>
      <c r="C637" s="332" t="str">
        <f>'FR-16(7)(v)-1 Functional'!C637</f>
        <v xml:space="preserve">  SUBTOTAL B</v>
      </c>
      <c r="D637" s="344"/>
      <c r="E637" s="196"/>
      <c r="F637" s="348">
        <f>SUM(F632:F636)</f>
        <v>31703777</v>
      </c>
      <c r="G637" s="348">
        <f>SUM($G$632:$G$636)</f>
        <v>27035747</v>
      </c>
      <c r="H637" s="348">
        <f>SUM($H$632:$H$636)</f>
        <v>4305132</v>
      </c>
      <c r="I637" s="348">
        <f>SUM($I$632:$I$636)</f>
        <v>233332</v>
      </c>
      <c r="J637" s="348">
        <f>SUM($J$632:$J$636)</f>
        <v>129567</v>
      </c>
      <c r="K637" s="348">
        <f>SUM($K$632:$K$636)</f>
        <v>31703778</v>
      </c>
      <c r="L637" s="348">
        <f>$K$637-F637</f>
        <v>1</v>
      </c>
    </row>
    <row r="638" spans="1:12">
      <c r="A638" s="333">
        <v>15</v>
      </c>
      <c r="D638" s="344"/>
      <c r="E638" s="196"/>
      <c r="I638" s="332"/>
    </row>
    <row r="639" spans="1:12">
      <c r="A639" s="333">
        <v>16</v>
      </c>
      <c r="C639" s="332" t="str">
        <f>'FR-16(7)(v)-1 Functional'!C639</f>
        <v>TOTAL OTHER OPERATING REVENUES</v>
      </c>
      <c r="D639" s="344"/>
      <c r="E639" s="196"/>
      <c r="F639" s="347">
        <f>-F636</f>
        <v>73399</v>
      </c>
      <c r="G639" s="347">
        <f>-$G$636</f>
        <v>66630</v>
      </c>
      <c r="H639" s="347">
        <f>-$H$636</f>
        <v>6449</v>
      </c>
      <c r="I639" s="347">
        <f>-$I$636</f>
        <v>229</v>
      </c>
      <c r="J639" s="347">
        <f>-$J$636</f>
        <v>91</v>
      </c>
      <c r="K639" s="347">
        <f>-$K$636</f>
        <v>73399</v>
      </c>
      <c r="L639" s="347">
        <f>-$L$636</f>
        <v>0</v>
      </c>
    </row>
    <row r="640" spans="1:12">
      <c r="A640" s="333">
        <v>17</v>
      </c>
      <c r="C640" s="359" t="str">
        <f>'FR-16(7)(v)-1 Functional'!C640</f>
        <v>LESS: REVS EXCL FROM REV TAX CALC</v>
      </c>
      <c r="D640" s="344"/>
      <c r="E640" s="196"/>
      <c r="F640" s="514">
        <f t="shared" ref="F640:L640" si="181">F855</f>
        <v>0</v>
      </c>
      <c r="G640" s="515">
        <f>G855</f>
        <v>0</v>
      </c>
      <c r="H640" s="515">
        <f t="shared" si="181"/>
        <v>0</v>
      </c>
      <c r="I640" s="515">
        <f t="shared" si="181"/>
        <v>0</v>
      </c>
      <c r="J640" s="515">
        <f t="shared" si="181"/>
        <v>0</v>
      </c>
      <c r="K640" s="515">
        <f t="shared" si="181"/>
        <v>0</v>
      </c>
      <c r="L640" s="515">
        <f t="shared" si="181"/>
        <v>0</v>
      </c>
    </row>
    <row r="641" spans="1:12">
      <c r="A641" s="333">
        <v>18</v>
      </c>
      <c r="C641" s="332" t="str">
        <f>'FR-16(7)(v)-1 Functional'!C641</f>
        <v>OTHER OPERATING REVS TO BE TAXED</v>
      </c>
      <c r="D641" s="344"/>
      <c r="E641" s="196"/>
      <c r="F641" s="348">
        <f>F639-F640</f>
        <v>73399</v>
      </c>
      <c r="G641" s="348">
        <f>G639-G640</f>
        <v>66630</v>
      </c>
      <c r="H641" s="348">
        <f>H639-H640</f>
        <v>6449</v>
      </c>
      <c r="I641" s="348">
        <f>$I$639-I640</f>
        <v>229</v>
      </c>
      <c r="J641" s="348">
        <f>$J$639-J640</f>
        <v>91</v>
      </c>
      <c r="K641" s="348">
        <f>$K$639-K640</f>
        <v>73399</v>
      </c>
      <c r="L641" s="348">
        <f>$L$639-L640</f>
        <v>0</v>
      </c>
    </row>
    <row r="642" spans="1:12">
      <c r="A642" s="333">
        <v>19</v>
      </c>
      <c r="D642" s="344"/>
      <c r="E642" s="196"/>
      <c r="I642" s="332"/>
    </row>
    <row r="643" spans="1:12">
      <c r="A643" s="333">
        <v>20</v>
      </c>
      <c r="C643" s="332" t="str">
        <f>'FR-16(7)(v)-1 Functional'!C643</f>
        <v>REVENUE TAX FACTOR</v>
      </c>
      <c r="D643" s="344"/>
      <c r="E643" s="196"/>
      <c r="F643" s="350">
        <f t="shared" ref="F643:L643" si="182">ROUND(F694/(1-F694),8)</f>
        <v>0</v>
      </c>
      <c r="G643" s="350">
        <f t="shared" si="182"/>
        <v>0</v>
      </c>
      <c r="H643" s="350">
        <f t="shared" si="182"/>
        <v>0</v>
      </c>
      <c r="I643" s="350">
        <f t="shared" si="182"/>
        <v>0</v>
      </c>
      <c r="J643" s="350">
        <f t="shared" si="182"/>
        <v>0</v>
      </c>
      <c r="K643" s="350">
        <f t="shared" si="182"/>
        <v>0</v>
      </c>
      <c r="L643" s="350">
        <f t="shared" si="182"/>
        <v>0</v>
      </c>
    </row>
    <row r="644" spans="1:12">
      <c r="A644" s="333">
        <v>21</v>
      </c>
      <c r="C644" s="332" t="str">
        <f>'FR-16(7)(v)-1 Functional'!C644</f>
        <v>REVENUE TAX ON OTHER OPER. REVS</v>
      </c>
      <c r="D644" s="344"/>
      <c r="E644" s="196"/>
      <c r="F644" s="347">
        <f>ROUND(F643*F641,0)</f>
        <v>0</v>
      </c>
      <c r="G644" s="347">
        <f>ROUND(G643*G641,0)</f>
        <v>0</v>
      </c>
      <c r="H644" s="347">
        <f>ROUND(H643*H641,0)</f>
        <v>0</v>
      </c>
      <c r="I644" s="347">
        <f>ROUND(I643*I641,0)</f>
        <v>0</v>
      </c>
      <c r="J644" s="347">
        <f>ROUND(J643*J641,0)</f>
        <v>0</v>
      </c>
      <c r="K644" s="347">
        <f>SUM(G644:J644)</f>
        <v>0</v>
      </c>
      <c r="L644" s="347">
        <f>ROUND(L643*L641,0)</f>
        <v>0</v>
      </c>
    </row>
    <row r="645" spans="1:12">
      <c r="A645" s="333">
        <v>22</v>
      </c>
      <c r="C645" s="332" t="str">
        <f>'FR-16(7)(v)-1 Functional'!C645</f>
        <v>REVENUE TAX ON COST OF SERVICE</v>
      </c>
      <c r="D645" s="344"/>
      <c r="E645" s="196"/>
      <c r="F645" s="512">
        <f>ROUND(F643*F637,0)</f>
        <v>0</v>
      </c>
      <c r="G645" s="512">
        <f>ROUND(G643*$G$637,0)</f>
        <v>0</v>
      </c>
      <c r="H645" s="512">
        <f>ROUND(H643*$H$637,0)</f>
        <v>0</v>
      </c>
      <c r="I645" s="512">
        <f>ROUND(I643*$I$637,0)</f>
        <v>0</v>
      </c>
      <c r="J645" s="512">
        <f>ROUND(J643*$J$637,0)</f>
        <v>0</v>
      </c>
      <c r="K645" s="347">
        <f>SUM(G645:J645)</f>
        <v>0</v>
      </c>
      <c r="L645" s="512">
        <f>ROUND(L643*$L$637,0)</f>
        <v>0</v>
      </c>
    </row>
    <row r="646" spans="1:12">
      <c r="A646" s="333">
        <v>23</v>
      </c>
      <c r="C646" s="359" t="str">
        <f>'FR-16(7)(v)-1 Functional'!C646</f>
        <v>TOTAL REVENUE TAX</v>
      </c>
      <c r="D646" s="344"/>
      <c r="E646" s="196"/>
      <c r="F646" s="510">
        <f>F645+F644</f>
        <v>0</v>
      </c>
      <c r="G646" s="510">
        <f>G645+G644</f>
        <v>0</v>
      </c>
      <c r="H646" s="510">
        <f>H645+H644</f>
        <v>0</v>
      </c>
      <c r="I646" s="510">
        <f>I645+I644</f>
        <v>0</v>
      </c>
      <c r="J646" s="510">
        <f>J645+J644</f>
        <v>0</v>
      </c>
      <c r="K646" s="347">
        <f>SUM(G646:J646)</f>
        <v>0</v>
      </c>
      <c r="L646" s="510">
        <f>L645+L644</f>
        <v>0</v>
      </c>
    </row>
    <row r="647" spans="1:12">
      <c r="A647" s="333">
        <v>24</v>
      </c>
      <c r="C647" s="332" t="str">
        <f>'FR-16(7)(v)-1 Functional'!C647</f>
        <v xml:space="preserve">  TOTAL GAS COST OF SERVICE</v>
      </c>
      <c r="D647" s="344"/>
      <c r="E647" s="196"/>
      <c r="F647" s="348">
        <f>F646+F637</f>
        <v>31703777</v>
      </c>
      <c r="G647" s="348">
        <f>G646+$G$637</f>
        <v>27035747</v>
      </c>
      <c r="H647" s="348">
        <f>H646+$H$637</f>
        <v>4305132</v>
      </c>
      <c r="I647" s="348">
        <f>I646+$I$637</f>
        <v>233332</v>
      </c>
      <c r="J647" s="348">
        <f>J646+$J$637</f>
        <v>129567</v>
      </c>
      <c r="K647" s="348">
        <f>K646+$K$637</f>
        <v>31703778</v>
      </c>
      <c r="L647" s="348">
        <f>L646+$L$637</f>
        <v>1</v>
      </c>
    </row>
    <row r="648" spans="1:12">
      <c r="A648" s="333">
        <v>25</v>
      </c>
      <c r="D648" s="344"/>
      <c r="E648" s="196"/>
      <c r="I648" s="332"/>
    </row>
    <row r="649" spans="1:12">
      <c r="A649" s="333">
        <v>26</v>
      </c>
      <c r="B649" s="332" t="s">
        <v>850</v>
      </c>
      <c r="D649" s="344"/>
      <c r="E649" s="196"/>
      <c r="F649" s="349">
        <f t="shared" ref="F649:L649" si="183">F745</f>
        <v>28771426</v>
      </c>
      <c r="G649" s="347">
        <f>G745</f>
        <v>19784063</v>
      </c>
      <c r="H649" s="347">
        <f t="shared" si="183"/>
        <v>7004529</v>
      </c>
      <c r="I649" s="347">
        <f t="shared" si="183"/>
        <v>1522599</v>
      </c>
      <c r="J649" s="347">
        <f t="shared" si="183"/>
        <v>460235</v>
      </c>
      <c r="K649" s="347">
        <f t="shared" si="183"/>
        <v>28771426</v>
      </c>
      <c r="L649" s="347">
        <f t="shared" si="183"/>
        <v>0</v>
      </c>
    </row>
    <row r="650" spans="1:12">
      <c r="A650" s="333">
        <v>27</v>
      </c>
      <c r="B650" s="332" t="s">
        <v>79</v>
      </c>
      <c r="D650" s="344"/>
      <c r="E650" s="196"/>
      <c r="F650" s="347">
        <f t="shared" ref="F650:L650" si="184">-F647</f>
        <v>-31703777</v>
      </c>
      <c r="G650" s="347">
        <f>-G647</f>
        <v>-27035747</v>
      </c>
      <c r="H650" s="347">
        <f t="shared" si="184"/>
        <v>-4305132</v>
      </c>
      <c r="I650" s="347">
        <f t="shared" si="184"/>
        <v>-233332</v>
      </c>
      <c r="J650" s="347">
        <f t="shared" si="184"/>
        <v>-129567</v>
      </c>
      <c r="K650" s="347">
        <f t="shared" si="184"/>
        <v>-31703778</v>
      </c>
      <c r="L650" s="347">
        <f t="shared" si="184"/>
        <v>-1</v>
      </c>
    </row>
    <row r="651" spans="1:12">
      <c r="A651" s="333">
        <v>28</v>
      </c>
      <c r="B651" s="332" t="s">
        <v>80</v>
      </c>
      <c r="D651" s="344"/>
      <c r="E651" s="196"/>
      <c r="F651" s="347">
        <f>F650+F649</f>
        <v>-2932351</v>
      </c>
      <c r="G651" s="347">
        <f>G650+G649</f>
        <v>-7251684</v>
      </c>
      <c r="H651" s="347">
        <f>H650+H649</f>
        <v>2699397</v>
      </c>
      <c r="I651" s="347">
        <f>I650+I649</f>
        <v>1289267</v>
      </c>
      <c r="J651" s="347">
        <f>J650+J649</f>
        <v>330668</v>
      </c>
      <c r="K651" s="347">
        <f>SUM(G651:J651)</f>
        <v>-2932352</v>
      </c>
      <c r="L651" s="347">
        <f>L650+L649</f>
        <v>-1</v>
      </c>
    </row>
    <row r="652" spans="1:12">
      <c r="A652" s="333">
        <v>29</v>
      </c>
      <c r="B652" s="332" t="s">
        <v>76</v>
      </c>
      <c r="D652" s="344"/>
      <c r="E652" s="196"/>
      <c r="F652" s="350">
        <f>F565</f>
        <v>0.24925</v>
      </c>
      <c r="G652" s="350">
        <f>$G$565</f>
        <v>0.24925</v>
      </c>
      <c r="H652" s="350">
        <f>$H$565</f>
        <v>0.24925</v>
      </c>
      <c r="I652" s="350">
        <f>$I$565</f>
        <v>0.24925120000000001</v>
      </c>
      <c r="J652" s="350">
        <f>$J$565</f>
        <v>0.24925</v>
      </c>
      <c r="K652" s="350">
        <f>$L$565</f>
        <v>0.24925</v>
      </c>
      <c r="L652" s="350">
        <f>$L$565</f>
        <v>0.24925</v>
      </c>
    </row>
    <row r="653" spans="1:12">
      <c r="A653" s="333">
        <v>30</v>
      </c>
      <c r="B653" s="332" t="s">
        <v>81</v>
      </c>
      <c r="D653" s="344"/>
      <c r="E653" s="196"/>
      <c r="F653" s="347">
        <f>ROUND(F652*F651,0)</f>
        <v>-730888</v>
      </c>
      <c r="G653" s="347">
        <f>ROUND(G652*G651,0)</f>
        <v>-1807482</v>
      </c>
      <c r="H653" s="347">
        <f>ROUND(H652*H651,0)</f>
        <v>672825</v>
      </c>
      <c r="I653" s="347">
        <f>ROUND(I652*I651,0)</f>
        <v>321351</v>
      </c>
      <c r="J653" s="347">
        <f>ROUND(J652*J651,0)</f>
        <v>82419</v>
      </c>
      <c r="K653" s="347">
        <f>SUM(G653:J653)</f>
        <v>-730887</v>
      </c>
      <c r="L653" s="347">
        <f>ROUND(L652*L651,0)</f>
        <v>0</v>
      </c>
    </row>
    <row r="654" spans="1:12">
      <c r="A654" s="333">
        <v>31</v>
      </c>
      <c r="B654" s="332" t="s">
        <v>82</v>
      </c>
      <c r="D654" s="344"/>
      <c r="E654" s="196"/>
      <c r="F654" s="347">
        <f>F651-F653</f>
        <v>-2201463</v>
      </c>
      <c r="G654" s="347">
        <f>G651-G653</f>
        <v>-5444202</v>
      </c>
      <c r="H654" s="347">
        <f>H651-H653</f>
        <v>2026572</v>
      </c>
      <c r="I654" s="347">
        <f>I651-I653</f>
        <v>967916</v>
      </c>
      <c r="J654" s="347">
        <f>J651-J653</f>
        <v>248249</v>
      </c>
      <c r="K654" s="347">
        <f>SUM(G654:J654)</f>
        <v>-2201465</v>
      </c>
      <c r="L654" s="347">
        <f>L651-L653</f>
        <v>-1</v>
      </c>
    </row>
    <row r="655" spans="1:12">
      <c r="A655" s="532"/>
      <c r="B655" s="584"/>
      <c r="C655" s="584"/>
      <c r="D655" s="736"/>
      <c r="E655" s="584"/>
      <c r="F655" s="532"/>
      <c r="G655" s="532"/>
      <c r="H655" s="532"/>
      <c r="I655" s="532"/>
      <c r="J655" s="532"/>
      <c r="K655" s="532"/>
      <c r="L655" s="532"/>
    </row>
    <row r="656" spans="1:12">
      <c r="A656" s="343" t="str">
        <f>co_name</f>
        <v>DUKE ENERGY KENTUCKY, INC.</v>
      </c>
      <c r="C656" s="196"/>
      <c r="D656" s="344"/>
      <c r="E656" s="196"/>
      <c r="F656" s="344"/>
      <c r="G656" s="342"/>
      <c r="H656" s="342"/>
      <c r="I656" s="196"/>
      <c r="K656" s="361" t="str">
        <f>$K$1</f>
        <v>FR-16(7)(v)-6</v>
      </c>
      <c r="L656" s="196"/>
    </row>
    <row r="657" spans="1:12">
      <c r="A657" s="343" t="str">
        <f>$A$2</f>
        <v>DISTRIBUTION CUSTOMER ALLOCATED - GAS COST OF SERVICE</v>
      </c>
      <c r="C657" s="196"/>
      <c r="D657" s="344"/>
      <c r="E657" s="196"/>
      <c r="F657" s="344"/>
      <c r="G657" s="342"/>
      <c r="H657" s="342"/>
      <c r="I657" s="196"/>
      <c r="K657" s="361" t="str">
        <f>$K$2</f>
        <v>WITNESS RESPONSIBLE:</v>
      </c>
      <c r="L657" s="196"/>
    </row>
    <row r="658" spans="1:12">
      <c r="A658" s="343" t="str">
        <f>case_name</f>
        <v>CASE NO: 2018-00261</v>
      </c>
      <c r="C658" s="196"/>
      <c r="D658" s="344"/>
      <c r="E658" s="196"/>
      <c r="F658" s="344"/>
      <c r="G658" s="342"/>
      <c r="H658" s="342"/>
      <c r="I658" s="196"/>
      <c r="K658" s="361" t="str">
        <f>Witness</f>
        <v>JAMES E. ZIOLKOWSKI</v>
      </c>
      <c r="L658" s="196"/>
    </row>
    <row r="659" spans="1:12">
      <c r="A659" s="343" t="str">
        <f>data_filing</f>
        <v>DATA: 12 MONTH FORECASTED PERIOD</v>
      </c>
      <c r="C659" s="196"/>
      <c r="D659" s="344"/>
      <c r="E659" s="196"/>
      <c r="F659" s="344"/>
      <c r="G659" s="342"/>
      <c r="H659" s="342"/>
      <c r="I659" s="196"/>
      <c r="K659" s="361" t="str">
        <f>"PAGE "&amp;Pages-3&amp;" OF "&amp;Pages</f>
        <v>PAGE 15 OF 18</v>
      </c>
      <c r="L659" s="196"/>
    </row>
    <row r="660" spans="1:12">
      <c r="A660" s="343" t="str">
        <f>type</f>
        <v xml:space="preserve">TYPE OF FILING: "X" ORIGINAL   UPDATED    REVISED  </v>
      </c>
      <c r="C660" s="196"/>
      <c r="D660" s="344"/>
      <c r="E660" s="196"/>
      <c r="F660" s="344"/>
      <c r="G660" s="342"/>
      <c r="H660" s="342"/>
      <c r="I660" s="196"/>
      <c r="J660" s="344"/>
      <c r="K660" s="196"/>
      <c r="L660" s="196"/>
    </row>
    <row r="661" spans="1:12">
      <c r="B661" s="343"/>
      <c r="C661" s="196"/>
      <c r="D661" s="344"/>
      <c r="E661" s="196"/>
      <c r="F661" s="344"/>
      <c r="G661" s="342"/>
      <c r="H661" s="342"/>
      <c r="I661" s="196"/>
      <c r="J661" s="344"/>
      <c r="K661" s="196"/>
      <c r="L661" s="196"/>
    </row>
    <row r="662" spans="1:12">
      <c r="B662" s="343"/>
      <c r="C662" s="196"/>
      <c r="D662" s="344"/>
      <c r="E662" s="196"/>
      <c r="F662" s="344" t="s">
        <v>229</v>
      </c>
      <c r="G662" s="342"/>
      <c r="H662" s="342"/>
      <c r="I662" s="196"/>
      <c r="J662" s="344"/>
      <c r="K662" s="196"/>
      <c r="L662" s="196"/>
    </row>
    <row r="663" spans="1:12">
      <c r="A663" s="344" t="s">
        <v>914</v>
      </c>
      <c r="B663" s="196"/>
      <c r="C663" s="196"/>
      <c r="D663" s="344"/>
      <c r="E663" s="196"/>
      <c r="F663" s="344" t="str">
        <f>$F$8</f>
        <v>DISTRIBUTION</v>
      </c>
      <c r="G663" s="354" t="str">
        <f>$G$8</f>
        <v>RS</v>
      </c>
      <c r="H663" s="354" t="str">
        <f>$H$8</f>
        <v>GS</v>
      </c>
      <c r="I663" s="344" t="str">
        <f>$I$8</f>
        <v>FT-L</v>
      </c>
      <c r="J663" s="344" t="str">
        <f>$J$8</f>
        <v>INTERUPT</v>
      </c>
      <c r="K663" s="344" t="s">
        <v>229</v>
      </c>
      <c r="L663" s="344" t="s">
        <v>342</v>
      </c>
    </row>
    <row r="664" spans="1:12">
      <c r="A664" s="346" t="s">
        <v>915</v>
      </c>
      <c r="B664" s="345" t="s">
        <v>83</v>
      </c>
      <c r="C664" s="345"/>
      <c r="D664" s="346" t="s">
        <v>337</v>
      </c>
      <c r="E664" s="345"/>
      <c r="F664" s="344" t="str">
        <f>$F$9</f>
        <v>CUSTOMER</v>
      </c>
      <c r="G664" s="355" t="str">
        <f>$G$9</f>
        <v>RESIDENTIAL</v>
      </c>
      <c r="H664" s="355" t="str">
        <f>$H$9</f>
        <v>GEN SERV</v>
      </c>
      <c r="I664" s="346" t="str">
        <f>$I$9</f>
        <v>FIRM TRANS</v>
      </c>
      <c r="J664" s="346" t="str">
        <f>$J$9</f>
        <v>TRANS</v>
      </c>
      <c r="K664" s="346" t="s">
        <v>341</v>
      </c>
      <c r="L664" s="346" t="s">
        <v>340</v>
      </c>
    </row>
    <row r="665" spans="1:12">
      <c r="C665" s="578" t="s">
        <v>353</v>
      </c>
      <c r="D665" s="344"/>
      <c r="E665" s="196"/>
      <c r="F665" s="761"/>
      <c r="G665" s="633">
        <f>$G$10</f>
        <v>3</v>
      </c>
      <c r="H665" s="633">
        <f>$H$10</f>
        <v>4</v>
      </c>
      <c r="I665" s="633">
        <f>$I$10</f>
        <v>5</v>
      </c>
      <c r="J665" s="633">
        <f>$J$10</f>
        <v>6</v>
      </c>
    </row>
    <row r="666" spans="1:12">
      <c r="A666" s="333">
        <v>1</v>
      </c>
      <c r="B666" s="332" t="s">
        <v>84</v>
      </c>
      <c r="D666" s="344"/>
      <c r="E666" s="196"/>
      <c r="I666" s="332"/>
    </row>
    <row r="667" spans="1:12">
      <c r="A667" s="333">
        <v>2</v>
      </c>
      <c r="B667" s="332" t="s">
        <v>85</v>
      </c>
      <c r="D667" s="344"/>
      <c r="E667" s="196"/>
      <c r="G667" s="519" t="s">
        <v>339</v>
      </c>
      <c r="I667" s="332"/>
    </row>
    <row r="668" spans="1:12">
      <c r="A668" s="333">
        <v>3</v>
      </c>
      <c r="C668" s="332" t="str">
        <f>'FR-16(7)(v)-1 Functional'!C668</f>
        <v>LONG TERM DEBT</v>
      </c>
      <c r="D668" s="344"/>
      <c r="E668" s="196"/>
      <c r="F668" s="479">
        <f>'FR-16(7)(v)-1 Functional'!$F$668</f>
        <v>518128763</v>
      </c>
      <c r="G668" s="350">
        <f>IF($F$673=0,0,ROUND(F668/$F$673,5))</f>
        <v>0.42338999999999999</v>
      </c>
      <c r="I668" s="332"/>
    </row>
    <row r="669" spans="1:12">
      <c r="A669" s="333">
        <v>4</v>
      </c>
      <c r="C669" s="332" t="str">
        <f>'FR-16(7)(v)-1 Functional'!C669</f>
        <v>PREFERRED STOCK</v>
      </c>
      <c r="D669" s="344"/>
      <c r="E669" s="196"/>
      <c r="F669" s="479">
        <f>'FR-16(7)(v)-1 Functional'!$F$669</f>
        <v>0</v>
      </c>
      <c r="G669" s="350">
        <f>IF($F$673=0,0,ROUND(F669/$F$673,5))</f>
        <v>0</v>
      </c>
      <c r="I669" s="332"/>
    </row>
    <row r="670" spans="1:12">
      <c r="A670" s="333">
        <v>5</v>
      </c>
      <c r="C670" s="332" t="str">
        <f>'FR-16(7)(v)-1 Functional'!C670</f>
        <v>COMMON STOCK</v>
      </c>
      <c r="D670" s="344"/>
      <c r="E670" s="196"/>
      <c r="F670" s="479">
        <f>'FR-16(7)(v)-1 Functional'!$F$670</f>
        <v>621113054</v>
      </c>
      <c r="G670" s="350">
        <f>1-G668-G669-G671-G672</f>
        <v>0.50755000000000006</v>
      </c>
      <c r="I670" s="332"/>
    </row>
    <row r="671" spans="1:12">
      <c r="A671" s="333">
        <v>6</v>
      </c>
      <c r="C671" s="332" t="str">
        <f>'FR-16(7)(v)-1 Functional'!C671</f>
        <v>SHORT TERM DEBT</v>
      </c>
      <c r="D671" s="344"/>
      <c r="E671" s="196"/>
      <c r="F671" s="479">
        <f>'FR-16(7)(v)-1 Functional'!$F$671</f>
        <v>84508435</v>
      </c>
      <c r="G671" s="350">
        <f>IF($F$673=0,0,ROUND(F671/$F$673,5))</f>
        <v>6.9059999999999996E-2</v>
      </c>
      <c r="I671" s="332"/>
    </row>
    <row r="672" spans="1:12">
      <c r="A672" s="333">
        <v>7</v>
      </c>
      <c r="C672" s="332" t="str">
        <f>'FR-16(7)(v)-1 Functional'!C672</f>
        <v>UNAMORTIZED DISCOUNT</v>
      </c>
      <c r="D672" s="344"/>
      <c r="E672" s="196"/>
      <c r="F672" s="479">
        <f>'FR-16(7)(v)-1 Functional'!$F$672</f>
        <v>0</v>
      </c>
      <c r="G672" s="350">
        <f>IF($F$673=0,0,ROUND(F672/$F$673,5))</f>
        <v>0</v>
      </c>
      <c r="I672" s="332"/>
    </row>
    <row r="673" spans="1:9">
      <c r="A673" s="333">
        <v>8</v>
      </c>
      <c r="C673" s="332" t="str">
        <f>'FR-16(7)(v)-1 Functional'!C673</f>
        <v xml:space="preserve">  TOTAL</v>
      </c>
      <c r="D673" s="344"/>
      <c r="E673" s="196"/>
      <c r="F673" s="480">
        <f>SUM(F667:F672)</f>
        <v>1223750252</v>
      </c>
      <c r="G673" s="521">
        <f>SUM(G668:G672)</f>
        <v>1</v>
      </c>
      <c r="I673" s="332"/>
    </row>
    <row r="674" spans="1:9">
      <c r="A674" s="333">
        <v>9</v>
      </c>
      <c r="D674" s="344"/>
      <c r="E674" s="196"/>
      <c r="I674" s="332"/>
    </row>
    <row r="675" spans="1:9">
      <c r="A675" s="333">
        <v>10</v>
      </c>
      <c r="B675" s="332" t="s">
        <v>86</v>
      </c>
      <c r="D675" s="344"/>
      <c r="E675" s="196"/>
      <c r="I675" s="332"/>
    </row>
    <row r="676" spans="1:9">
      <c r="A676" s="333">
        <v>11</v>
      </c>
      <c r="C676" s="332" t="str">
        <f>'FR-16(7)(v)-1 Functional'!C676</f>
        <v>LONG TERM DEBT</v>
      </c>
      <c r="D676" s="344"/>
      <c r="E676" s="196"/>
      <c r="F676" s="586">
        <f>'FR-16(7)(v)-1 Functional'!$F$676</f>
        <v>4.3979999999999998E-2</v>
      </c>
      <c r="G676" s="522"/>
      <c r="I676" s="332"/>
    </row>
    <row r="677" spans="1:9">
      <c r="A677" s="333">
        <v>12</v>
      </c>
      <c r="C677" s="332" t="str">
        <f>'FR-16(7)(v)-1 Functional'!C677</f>
        <v>PREFERRED STOCK</v>
      </c>
      <c r="D677" s="344"/>
      <c r="E677" s="196"/>
      <c r="F677" s="586">
        <f>'FR-16(7)(v)-1 Functional'!$F$677</f>
        <v>0</v>
      </c>
      <c r="G677" s="522"/>
      <c r="I677" s="332"/>
    </row>
    <row r="678" spans="1:9">
      <c r="A678" s="333">
        <v>13</v>
      </c>
      <c r="C678" s="332" t="str">
        <f>'FR-16(7)(v)-1 Functional'!C678</f>
        <v>COMMON STOCK</v>
      </c>
      <c r="D678" s="344"/>
      <c r="E678" s="196"/>
      <c r="F678" s="586">
        <f>'FR-16(7)(v)-1 Functional'!$F$678</f>
        <v>9.9000000000000005E-2</v>
      </c>
      <c r="G678" s="522"/>
      <c r="I678" s="332"/>
    </row>
    <row r="679" spans="1:9">
      <c r="A679" s="333">
        <v>14</v>
      </c>
      <c r="C679" s="332" t="str">
        <f>'FR-16(7)(v)-1 Functional'!C679</f>
        <v>SHORT TERM DEBT</v>
      </c>
      <c r="D679" s="344"/>
      <c r="E679" s="196"/>
      <c r="F679" s="586">
        <f>'FR-16(7)(v)-1 Functional'!$F$679</f>
        <v>4.2500000000000003E-2</v>
      </c>
      <c r="G679" s="522"/>
      <c r="I679" s="332"/>
    </row>
    <row r="680" spans="1:9">
      <c r="A680" s="333">
        <v>15</v>
      </c>
      <c r="C680" s="332" t="str">
        <f>'FR-16(7)(v)-1 Functional'!C680</f>
        <v>UNAMORTIZED DISCOUNT</v>
      </c>
      <c r="D680" s="344"/>
      <c r="E680" s="196"/>
      <c r="F680" s="586">
        <f>'FR-16(7)(v)-1 Functional'!$F$680</f>
        <v>0</v>
      </c>
      <c r="G680" s="522"/>
      <c r="I680" s="332"/>
    </row>
    <row r="681" spans="1:9">
      <c r="A681" s="333">
        <v>16</v>
      </c>
      <c r="D681" s="344"/>
      <c r="E681" s="196"/>
      <c r="I681" s="332"/>
    </row>
    <row r="682" spans="1:9">
      <c r="A682" s="333">
        <v>17</v>
      </c>
      <c r="B682" s="332" t="s">
        <v>87</v>
      </c>
      <c r="D682" s="344"/>
      <c r="E682" s="196"/>
      <c r="I682" s="332"/>
    </row>
    <row r="683" spans="1:9">
      <c r="A683" s="333">
        <v>18</v>
      </c>
      <c r="C683" s="332" t="str">
        <f>'FR-16(7)(v)-1 Functional'!C683</f>
        <v>LONG TERM DEBT</v>
      </c>
      <c r="D683" s="344"/>
      <c r="E683" s="196"/>
      <c r="F683" s="350">
        <f>ROUND(G668*F676,5)</f>
        <v>1.8620000000000001E-2</v>
      </c>
      <c r="G683" s="520"/>
      <c r="I683" s="332"/>
    </row>
    <row r="684" spans="1:9">
      <c r="A684" s="333">
        <v>19</v>
      </c>
      <c r="C684" s="332" t="str">
        <f>'FR-16(7)(v)-1 Functional'!C684</f>
        <v>PREFERRED STOCK</v>
      </c>
      <c r="D684" s="344"/>
      <c r="E684" s="196"/>
      <c r="F684" s="350">
        <f>ROUND(G669*F677,5)</f>
        <v>0</v>
      </c>
      <c r="G684" s="520"/>
      <c r="I684" s="332"/>
    </row>
    <row r="685" spans="1:9">
      <c r="A685" s="333">
        <v>20</v>
      </c>
      <c r="C685" s="332" t="str">
        <f>'FR-16(7)(v)-1 Functional'!C685</f>
        <v>COMMON STOCK</v>
      </c>
      <c r="D685" s="344"/>
      <c r="E685" s="196"/>
      <c r="F685" s="350">
        <f>ROUND(G670*F678,5)</f>
        <v>5.0250000000000003E-2</v>
      </c>
      <c r="G685" s="520"/>
      <c r="I685" s="332"/>
    </row>
    <row r="686" spans="1:9">
      <c r="A686" s="333">
        <v>21</v>
      </c>
      <c r="C686" s="332" t="str">
        <f>'FR-16(7)(v)-1 Functional'!C686</f>
        <v>SHORT TERM DEBT</v>
      </c>
      <c r="D686" s="344"/>
      <c r="E686" s="196"/>
      <c r="F686" s="350">
        <f>ROUND(G671*F679,5)</f>
        <v>2.9399999999999999E-3</v>
      </c>
      <c r="G686" s="520"/>
      <c r="I686" s="332"/>
    </row>
    <row r="687" spans="1:9">
      <c r="A687" s="333">
        <v>22</v>
      </c>
      <c r="C687" s="332" t="str">
        <f>'FR-16(7)(v)-1 Functional'!C687</f>
        <v>UNAMORTIZED DISCOUNT</v>
      </c>
      <c r="D687" s="344"/>
      <c r="E687" s="196"/>
      <c r="F687" s="350">
        <f>ROUND(G672*F680,5)</f>
        <v>0</v>
      </c>
      <c r="G687" s="520"/>
      <c r="H687" s="353"/>
      <c r="I687" s="332"/>
    </row>
    <row r="688" spans="1:9">
      <c r="A688" s="333">
        <v>23</v>
      </c>
      <c r="C688" s="332" t="str">
        <f>'FR-16(7)(v)-1 Functional'!C688</f>
        <v xml:space="preserve">  TOT RATE OF RETURN ALLOWABLE</v>
      </c>
      <c r="D688" s="344"/>
      <c r="E688" s="196"/>
      <c r="F688" s="1487">
        <f>SUM(F683:F687)</f>
        <v>7.1809999999999999E-2</v>
      </c>
      <c r="G688" s="524"/>
      <c r="H688" s="353"/>
      <c r="I688" s="332"/>
    </row>
    <row r="689" spans="1:17">
      <c r="A689" s="333">
        <v>24</v>
      </c>
      <c r="D689" s="344"/>
      <c r="E689" s="196"/>
      <c r="H689" s="353"/>
      <c r="I689" s="332"/>
    </row>
    <row r="690" spans="1:17">
      <c r="A690" s="333">
        <v>25</v>
      </c>
      <c r="B690" s="332" t="s">
        <v>88</v>
      </c>
      <c r="D690" s="344"/>
      <c r="E690" s="196"/>
      <c r="H690" s="353"/>
      <c r="I690" s="332"/>
    </row>
    <row r="691" spans="1:17">
      <c r="A691" s="333">
        <v>26</v>
      </c>
      <c r="C691" s="332" t="str">
        <f>'FR-16(7)(v)-1 Functional'!C691</f>
        <v>SHORT TERM DEBT COST</v>
      </c>
      <c r="D691" s="344"/>
      <c r="E691" s="196"/>
      <c r="F691" s="766">
        <v>0</v>
      </c>
      <c r="G691" s="525">
        <f t="shared" ref="G691:L691" si="185">$F$691</f>
        <v>0</v>
      </c>
      <c r="H691" s="525">
        <f t="shared" si="185"/>
        <v>0</v>
      </c>
      <c r="I691" s="525">
        <f t="shared" si="185"/>
        <v>0</v>
      </c>
      <c r="J691" s="525">
        <f t="shared" si="185"/>
        <v>0</v>
      </c>
      <c r="K691" s="525">
        <f t="shared" si="185"/>
        <v>0</v>
      </c>
      <c r="L691" s="525">
        <f t="shared" si="185"/>
        <v>0</v>
      </c>
    </row>
    <row r="692" spans="1:17">
      <c r="A692" s="333">
        <v>27</v>
      </c>
      <c r="C692" s="332" t="str">
        <f>'FR-16(7)(v)-1 Functional'!C692</f>
        <v>FEDERAL INCOME TAX RATE</v>
      </c>
      <c r="D692" s="344"/>
      <c r="E692" s="196"/>
      <c r="F692" s="525">
        <f t="shared" ref="F692:L692" si="186">FIT</f>
        <v>0.21</v>
      </c>
      <c r="G692" s="525">
        <f t="shared" si="186"/>
        <v>0.21</v>
      </c>
      <c r="H692" s="525">
        <f t="shared" si="186"/>
        <v>0.21</v>
      </c>
      <c r="I692" s="525">
        <f t="shared" si="186"/>
        <v>0.21</v>
      </c>
      <c r="J692" s="525">
        <f t="shared" si="186"/>
        <v>0.21</v>
      </c>
      <c r="K692" s="525">
        <f t="shared" si="186"/>
        <v>0.21</v>
      </c>
      <c r="L692" s="525">
        <f t="shared" si="186"/>
        <v>0.21</v>
      </c>
    </row>
    <row r="693" spans="1:17">
      <c r="A693" s="333">
        <v>28</v>
      </c>
      <c r="C693" s="332" t="str">
        <f>'FR-16(7)(v)-1 Functional'!C693</f>
        <v>STATE INCOME TAX RATE</v>
      </c>
      <c r="D693" s="344"/>
      <c r="E693" s="196"/>
      <c r="F693" s="525">
        <f t="shared" ref="F693:L693" si="187">SIT</f>
        <v>4.9685000000000007E-2</v>
      </c>
      <c r="G693" s="525">
        <f t="shared" si="187"/>
        <v>4.9685000000000007E-2</v>
      </c>
      <c r="H693" s="525">
        <f t="shared" si="187"/>
        <v>4.9685000000000007E-2</v>
      </c>
      <c r="I693" s="525">
        <f t="shared" si="187"/>
        <v>4.9685000000000007E-2</v>
      </c>
      <c r="J693" s="525">
        <f t="shared" si="187"/>
        <v>4.9685000000000007E-2</v>
      </c>
      <c r="K693" s="525">
        <f t="shared" si="187"/>
        <v>4.9685000000000007E-2</v>
      </c>
      <c r="L693" s="525">
        <f t="shared" si="187"/>
        <v>4.9685000000000007E-2</v>
      </c>
    </row>
    <row r="694" spans="1:17">
      <c r="A694" s="333">
        <v>29</v>
      </c>
      <c r="C694" s="332" t="str">
        <f>'FR-16(7)(v)-1 Functional'!C694</f>
        <v>REVENUE TAX RATE</v>
      </c>
      <c r="D694" s="344"/>
      <c r="E694" s="196"/>
      <c r="F694" s="522">
        <v>0</v>
      </c>
      <c r="G694" s="525">
        <f t="shared" ref="G694:L694" si="188">RevTax</f>
        <v>0</v>
      </c>
      <c r="H694" s="525">
        <f t="shared" si="188"/>
        <v>0</v>
      </c>
      <c r="I694" s="525">
        <f t="shared" si="188"/>
        <v>0</v>
      </c>
      <c r="J694" s="525">
        <f t="shared" si="188"/>
        <v>0</v>
      </c>
      <c r="K694" s="525">
        <f t="shared" si="188"/>
        <v>0</v>
      </c>
      <c r="L694" s="525">
        <f t="shared" si="188"/>
        <v>0</v>
      </c>
    </row>
    <row r="695" spans="1:17">
      <c r="A695" s="196"/>
      <c r="B695" s="196"/>
      <c r="C695" s="196"/>
      <c r="D695" s="344"/>
      <c r="E695" s="344"/>
      <c r="G695" s="342"/>
      <c r="H695" s="342"/>
      <c r="I695" s="196"/>
      <c r="J695" s="344"/>
      <c r="K695" s="196"/>
      <c r="M695" s="196"/>
      <c r="N695" s="196"/>
      <c r="O695" s="196"/>
      <c r="P695" s="196"/>
      <c r="Q695" s="196"/>
    </row>
    <row r="696" spans="1:17">
      <c r="A696" s="343" t="str">
        <f>co_name</f>
        <v>DUKE ENERGY KENTUCKY, INC.</v>
      </c>
      <c r="C696" s="196"/>
      <c r="D696" s="344"/>
      <c r="E696" s="196"/>
      <c r="F696" s="344"/>
      <c r="G696" s="342"/>
      <c r="H696" s="342"/>
      <c r="I696" s="196"/>
      <c r="K696" s="361" t="str">
        <f>$K$1</f>
        <v>FR-16(7)(v)-6</v>
      </c>
      <c r="M696" s="196"/>
      <c r="N696" s="196"/>
      <c r="O696" s="196"/>
      <c r="P696" s="196"/>
      <c r="Q696" s="196"/>
    </row>
    <row r="697" spans="1:17">
      <c r="A697" s="343" t="str">
        <f>$A$2</f>
        <v>DISTRIBUTION CUSTOMER ALLOCATED - GAS COST OF SERVICE</v>
      </c>
      <c r="C697" s="196"/>
      <c r="D697" s="344"/>
      <c r="E697" s="196"/>
      <c r="F697" s="344"/>
      <c r="G697" s="342"/>
      <c r="H697" s="342"/>
      <c r="I697" s="196"/>
      <c r="K697" s="361" t="str">
        <f>$K$2</f>
        <v>WITNESS RESPONSIBLE:</v>
      </c>
      <c r="M697" s="196"/>
      <c r="N697" s="196"/>
      <c r="O697" s="196"/>
      <c r="P697" s="196"/>
      <c r="Q697" s="196"/>
    </row>
    <row r="698" spans="1:17">
      <c r="A698" s="343" t="str">
        <f>case_name</f>
        <v>CASE NO: 2018-00261</v>
      </c>
      <c r="C698" s="196"/>
      <c r="D698" s="344"/>
      <c r="E698" s="196"/>
      <c r="F698" s="344"/>
      <c r="G698" s="342"/>
      <c r="H698" s="342"/>
      <c r="I698" s="196"/>
      <c r="K698" s="361" t="str">
        <f>Witness</f>
        <v>JAMES E. ZIOLKOWSKI</v>
      </c>
      <c r="M698" s="196"/>
      <c r="N698" s="196"/>
      <c r="O698" s="196"/>
      <c r="P698" s="196"/>
      <c r="Q698" s="196"/>
    </row>
    <row r="699" spans="1:17">
      <c r="A699" s="343" t="str">
        <f>data_filing</f>
        <v>DATA: 12 MONTH FORECASTED PERIOD</v>
      </c>
      <c r="C699" s="196"/>
      <c r="D699" s="344"/>
      <c r="E699" s="196"/>
      <c r="F699" s="344"/>
      <c r="G699" s="342"/>
      <c r="H699" s="342"/>
      <c r="I699" s="196"/>
      <c r="K699" s="361" t="str">
        <f>"PAGE "&amp;Pages-2&amp;" OF "&amp;Pages</f>
        <v>PAGE 16 OF 18</v>
      </c>
      <c r="M699" s="196"/>
      <c r="N699" s="196"/>
      <c r="O699" s="196"/>
      <c r="P699" s="196"/>
      <c r="Q699" s="196"/>
    </row>
    <row r="700" spans="1:17">
      <c r="A700" s="343" t="str">
        <f>type</f>
        <v xml:space="preserve">TYPE OF FILING: "X" ORIGINAL   UPDATED    REVISED  </v>
      </c>
      <c r="C700" s="196"/>
      <c r="D700" s="344"/>
      <c r="E700" s="196"/>
      <c r="F700" s="344"/>
      <c r="G700" s="342"/>
      <c r="H700" s="342"/>
      <c r="I700" s="196"/>
      <c r="J700" s="344"/>
      <c r="K700" s="196"/>
      <c r="M700" s="196"/>
      <c r="N700" s="196"/>
      <c r="O700" s="196"/>
      <c r="P700" s="196"/>
      <c r="Q700" s="196"/>
    </row>
    <row r="701" spans="1:17">
      <c r="A701" s="196"/>
      <c r="B701" s="196"/>
      <c r="C701" s="196"/>
      <c r="D701" s="344"/>
      <c r="E701" s="344"/>
      <c r="F701" s="344"/>
      <c r="G701" s="342"/>
      <c r="H701" s="342"/>
      <c r="I701" s="196"/>
      <c r="J701" s="344"/>
      <c r="K701" s="196"/>
      <c r="M701" s="196"/>
      <c r="N701" s="196"/>
      <c r="O701" s="196"/>
      <c r="P701" s="196"/>
      <c r="Q701" s="196"/>
    </row>
    <row r="702" spans="1:17" ht="13.5" thickBot="1">
      <c r="A702" s="196"/>
      <c r="B702" s="196"/>
      <c r="C702" s="196"/>
      <c r="D702" s="344"/>
      <c r="E702" s="344"/>
      <c r="F702" s="344" t="str">
        <f>$F$7</f>
        <v>TOTAL</v>
      </c>
      <c r="G702" s="342"/>
      <c r="H702" s="342"/>
      <c r="I702" s="196"/>
      <c r="J702" s="344"/>
      <c r="K702" s="196"/>
      <c r="M702" s="196"/>
      <c r="N702" s="196"/>
      <c r="O702" s="196"/>
      <c r="P702" s="196"/>
      <c r="Q702" s="196"/>
    </row>
    <row r="703" spans="1:17">
      <c r="A703" s="344" t="s">
        <v>914</v>
      </c>
      <c r="B703" s="196"/>
      <c r="C703" s="196"/>
      <c r="D703" s="344"/>
      <c r="E703" s="344"/>
      <c r="F703" s="344" t="str">
        <f>$F$8</f>
        <v>DISTRIBUTION</v>
      </c>
      <c r="G703" s="354" t="str">
        <f>$G$8</f>
        <v>RS</v>
      </c>
      <c r="H703" s="354" t="str">
        <f>$H$8</f>
        <v>GS</v>
      </c>
      <c r="I703" s="344" t="str">
        <f>$I$8</f>
        <v>FT-L</v>
      </c>
      <c r="J703" s="344" t="str">
        <f>$J$8</f>
        <v>INTERUPT</v>
      </c>
      <c r="K703" s="344" t="s">
        <v>229</v>
      </c>
      <c r="L703" s="589" t="s">
        <v>342</v>
      </c>
      <c r="M703" s="196"/>
      <c r="N703" s="196"/>
      <c r="P703" s="661" t="s">
        <v>1009</v>
      </c>
      <c r="Q703" s="196"/>
    </row>
    <row r="704" spans="1:17">
      <c r="A704" s="346" t="s">
        <v>915</v>
      </c>
      <c r="B704" s="590" t="s">
        <v>89</v>
      </c>
      <c r="C704" s="345"/>
      <c r="D704" s="591" t="s">
        <v>1011</v>
      </c>
      <c r="E704" s="591" t="s">
        <v>337</v>
      </c>
      <c r="F704" s="344" t="str">
        <f>$F$9</f>
        <v>CUSTOMER</v>
      </c>
      <c r="G704" s="355" t="str">
        <f>$G$9</f>
        <v>RESIDENTIAL</v>
      </c>
      <c r="H704" s="355" t="str">
        <f>$H$9</f>
        <v>GEN SERV</v>
      </c>
      <c r="I704" s="346" t="str">
        <f>$I$9</f>
        <v>FIRM TRANS</v>
      </c>
      <c r="J704" s="346" t="str">
        <f>$J$9</f>
        <v>TRANS</v>
      </c>
      <c r="K704" s="346" t="s">
        <v>341</v>
      </c>
      <c r="L704" s="592" t="s">
        <v>340</v>
      </c>
      <c r="M704" s="196"/>
      <c r="N704" s="196"/>
      <c r="P704" s="662" t="s">
        <v>1008</v>
      </c>
      <c r="Q704" s="196"/>
    </row>
    <row r="705" spans="1:17">
      <c r="A705" s="196"/>
      <c r="B705" s="594"/>
      <c r="C705" s="845" t="s">
        <v>561</v>
      </c>
      <c r="D705" s="718"/>
      <c r="E705" s="786">
        <v>1</v>
      </c>
      <c r="F705" s="830">
        <v>2</v>
      </c>
      <c r="G705" s="633">
        <v>3</v>
      </c>
      <c r="H705" s="633">
        <v>4</v>
      </c>
      <c r="I705" s="633">
        <v>5</v>
      </c>
      <c r="J705" s="633">
        <v>6</v>
      </c>
      <c r="K705" s="595"/>
      <c r="L705" s="596"/>
      <c r="M705" s="368"/>
      <c r="N705" s="196"/>
      <c r="P705" s="663"/>
      <c r="Q705" s="368"/>
    </row>
    <row r="706" spans="1:17">
      <c r="A706" s="344">
        <v>1</v>
      </c>
      <c r="B706" s="597" t="s">
        <v>90</v>
      </c>
      <c r="C706" s="490"/>
      <c r="D706" s="712"/>
      <c r="E706" s="712"/>
      <c r="F706" s="510"/>
      <c r="G706" s="510"/>
      <c r="H706" s="490"/>
      <c r="I706" s="510"/>
      <c r="J706" s="510"/>
      <c r="K706" s="510"/>
      <c r="L706" s="510"/>
      <c r="N706" s="196"/>
      <c r="P706" s="664"/>
    </row>
    <row r="707" spans="1:17">
      <c r="A707" s="344">
        <v>2</v>
      </c>
      <c r="C707" s="598" t="s">
        <v>221</v>
      </c>
      <c r="D707" s="723" t="s">
        <v>1012</v>
      </c>
      <c r="E707" s="713"/>
      <c r="F707" s="479">
        <f>'Alloc Factors Summary'!$D$16</f>
        <v>10485450</v>
      </c>
      <c r="G707" s="479">
        <f>'Alloc Factors Summary'!$D12</f>
        <v>5314682</v>
      </c>
      <c r="H707" s="479">
        <f>'Alloc Factors Summary'!$D13</f>
        <v>3027396</v>
      </c>
      <c r="I707" s="479">
        <f>'Alloc Factors Summary'!D14</f>
        <v>2143372</v>
      </c>
      <c r="J707" s="479">
        <f>'Alloc Factors Summary'!D15</f>
        <v>0</v>
      </c>
      <c r="K707" s="349">
        <f t="shared" ref="K707:K742" si="189">SUM(G707:J707)</f>
        <v>10485450</v>
      </c>
      <c r="L707" s="349">
        <f t="shared" ref="L707:L742" si="190">F707-K707</f>
        <v>0</v>
      </c>
      <c r="M707" s="196"/>
      <c r="N707" s="196"/>
      <c r="P707" s="663"/>
      <c r="Q707" s="196"/>
    </row>
    <row r="708" spans="1:17">
      <c r="A708" s="344">
        <v>3</v>
      </c>
      <c r="B708" s="196"/>
      <c r="C708" s="497" t="s">
        <v>355</v>
      </c>
      <c r="D708" s="589"/>
      <c r="E708" s="714" t="str">
        <f>'FR-16(7)(v)-1 Functional'!$E$708</f>
        <v>K201</v>
      </c>
      <c r="F708" s="649">
        <v>1</v>
      </c>
      <c r="G708" s="356">
        <f>IF($L707=0,F708-SUM(H708:J708),ROUND(G707/$F707,5))</f>
        <v>0.50687000000000004</v>
      </c>
      <c r="H708" s="356">
        <f>IF($F707=0,0,ROUND(H707/$F707,5))</f>
        <v>0.28871999999999998</v>
      </c>
      <c r="I708" s="356">
        <f>IF(F707=0,0,ROUND(I707/F707,5))</f>
        <v>0.20441000000000001</v>
      </c>
      <c r="J708" s="356">
        <f>IF(G707=0,0,ROUND(J707/F707,5))</f>
        <v>0</v>
      </c>
      <c r="K708" s="356">
        <f t="shared" si="189"/>
        <v>1</v>
      </c>
      <c r="L708" s="356">
        <f t="shared" si="190"/>
        <v>0</v>
      </c>
      <c r="M708" s="196"/>
      <c r="N708" s="196"/>
      <c r="P708" s="665">
        <f>K708</f>
        <v>1</v>
      </c>
      <c r="Q708" s="196"/>
    </row>
    <row r="709" spans="1:17">
      <c r="A709" s="344">
        <v>4</v>
      </c>
      <c r="C709" s="598" t="s">
        <v>862</v>
      </c>
      <c r="D709" s="723" t="s">
        <v>1012</v>
      </c>
      <c r="E709" s="729"/>
      <c r="F709" s="604">
        <v>100</v>
      </c>
      <c r="G709" s="586">
        <f>ROUND('Alloc Factors Summary'!$D$21*100,3)</f>
        <v>56.466999999999999</v>
      </c>
      <c r="H709" s="586">
        <f>ROUND('Alloc Factors Summary'!$D$22*100,3)</f>
        <v>29.523</v>
      </c>
      <c r="I709" s="586">
        <f>ROUND('Alloc Factors Summary'!D23*100,3)</f>
        <v>10.913</v>
      </c>
      <c r="J709" s="586">
        <f>ROUND('Alloc Factors Summary'!D24*100,3)</f>
        <v>3.097</v>
      </c>
      <c r="K709" s="356">
        <f t="shared" si="189"/>
        <v>99.999999999999986</v>
      </c>
      <c r="L709" s="356">
        <f t="shared" si="190"/>
        <v>0</v>
      </c>
      <c r="N709" s="196"/>
      <c r="P709" s="664"/>
    </row>
    <row r="710" spans="1:17">
      <c r="A710" s="344">
        <v>5</v>
      </c>
      <c r="B710" s="196"/>
      <c r="C710" s="497" t="s">
        <v>355</v>
      </c>
      <c r="D710" s="589"/>
      <c r="E710" s="714" t="str">
        <f>'FR-16(7)(v)-1 Functional'!$E$710</f>
        <v>K203</v>
      </c>
      <c r="F710" s="649">
        <v>1</v>
      </c>
      <c r="G710" s="356">
        <f>IF($L709=0,F710-SUM(H710:J710),ROUND(G709/$F709,5))</f>
        <v>0.56467000000000001</v>
      </c>
      <c r="H710" s="356">
        <f>IF($F709=0,0,ROUND(H709/$F709,5))</f>
        <v>0.29522999999999999</v>
      </c>
      <c r="I710" s="356">
        <f>IF(F709=0,0,ROUND(I709/F709,5))</f>
        <v>0.10913</v>
      </c>
      <c r="J710" s="356">
        <f>IF(G709=0,0,ROUND(J709/F709,5))</f>
        <v>3.0970000000000001E-2</v>
      </c>
      <c r="K710" s="356">
        <f t="shared" si="189"/>
        <v>1</v>
      </c>
      <c r="L710" s="356">
        <f t="shared" si="190"/>
        <v>0</v>
      </c>
      <c r="M710" s="196"/>
      <c r="N710" s="196"/>
      <c r="P710" s="665">
        <f>K710</f>
        <v>1</v>
      </c>
      <c r="Q710" s="196"/>
    </row>
    <row r="711" spans="1:17">
      <c r="A711" s="344">
        <v>6</v>
      </c>
      <c r="C711" s="598" t="s">
        <v>863</v>
      </c>
      <c r="D711" s="723" t="s">
        <v>1012</v>
      </c>
      <c r="E711" s="729"/>
      <c r="F711" s="604">
        <v>100</v>
      </c>
      <c r="G711" s="586">
        <f>ROUND('Alloc Factors Summary'!$E21*100,3)</f>
        <v>58.337000000000003</v>
      </c>
      <c r="H711" s="586">
        <f>ROUND('Alloc Factors Summary'!$E22*100,3)</f>
        <v>30.48</v>
      </c>
      <c r="I711" s="586">
        <f>ROUND('Alloc Factors Summary'!E23*100,3)</f>
        <v>11.183</v>
      </c>
      <c r="J711" s="586">
        <f>ROUND('Alloc Factors Summary'!E24*100,3)</f>
        <v>0</v>
      </c>
      <c r="K711" s="356">
        <f t="shared" si="189"/>
        <v>100</v>
      </c>
      <c r="L711" s="356">
        <f t="shared" si="190"/>
        <v>0</v>
      </c>
      <c r="N711" s="196"/>
      <c r="P711" s="664"/>
    </row>
    <row r="712" spans="1:17">
      <c r="A712" s="344">
        <v>7</v>
      </c>
      <c r="B712" s="196"/>
      <c r="C712" s="497" t="s">
        <v>355</v>
      </c>
      <c r="D712" s="589"/>
      <c r="E712" s="714" t="str">
        <f>'FR-16(7)(v)-1 Functional'!$E$712</f>
        <v>K205</v>
      </c>
      <c r="F712" s="649">
        <v>1</v>
      </c>
      <c r="G712" s="356">
        <f>IF($L711=0,F712-SUM(H712:J712),ROUND(G711/$F711,5))</f>
        <v>0.58336999999999994</v>
      </c>
      <c r="H712" s="356">
        <f>IF($F711=0,0,ROUND(H711/$F711,5))</f>
        <v>0.30480000000000002</v>
      </c>
      <c r="I712" s="356">
        <f>IF(F711=0,0,ROUND(I711/F711,5))</f>
        <v>0.11183</v>
      </c>
      <c r="J712" s="356">
        <f>IF(G711=0,0,ROUND(J711/F711,5))</f>
        <v>0</v>
      </c>
      <c r="K712" s="356">
        <f t="shared" si="189"/>
        <v>0.99999999999999989</v>
      </c>
      <c r="L712" s="356">
        <f t="shared" si="190"/>
        <v>0</v>
      </c>
      <c r="M712" s="196"/>
      <c r="N712" s="196"/>
      <c r="P712" s="665">
        <f>K712</f>
        <v>0.99999999999999989</v>
      </c>
      <c r="Q712" s="196"/>
    </row>
    <row r="713" spans="1:17">
      <c r="A713" s="344">
        <v>8</v>
      </c>
      <c r="B713" s="196"/>
      <c r="C713" s="598" t="s">
        <v>406</v>
      </c>
      <c r="D713" s="723" t="s">
        <v>1012</v>
      </c>
      <c r="E713" s="729"/>
      <c r="F713" s="479">
        <f>'Alloc Factors Summary'!$D$34</f>
        <v>12030761</v>
      </c>
      <c r="G713" s="479">
        <f>'Alloc Factors Summary'!$D30</f>
        <v>5314682</v>
      </c>
      <c r="H713" s="479">
        <f>'Alloc Factors Summary'!$D31</f>
        <v>3027396</v>
      </c>
      <c r="I713" s="479">
        <f>'Alloc Factors Summary'!D32</f>
        <v>2143372</v>
      </c>
      <c r="J713" s="479">
        <f>'Alloc Factors Summary'!D33</f>
        <v>1545311</v>
      </c>
      <c r="K713" s="349">
        <f t="shared" si="189"/>
        <v>12030761</v>
      </c>
      <c r="L713" s="349">
        <f t="shared" si="190"/>
        <v>0</v>
      </c>
      <c r="M713" s="196"/>
      <c r="N713" s="196"/>
      <c r="P713" s="663"/>
      <c r="Q713" s="196"/>
    </row>
    <row r="714" spans="1:17">
      <c r="A714" s="344">
        <v>9</v>
      </c>
      <c r="B714" s="196"/>
      <c r="C714" s="497" t="s">
        <v>355</v>
      </c>
      <c r="D714" s="589"/>
      <c r="E714" s="714" t="str">
        <f>'FR-16(7)(v)-1 Functional'!$E$714</f>
        <v>K300</v>
      </c>
      <c r="F714" s="649">
        <v>1</v>
      </c>
      <c r="G714" s="356">
        <f>IF($L713=0,F714-SUM(H714:J714),ROUND(G713/$F713,5))</f>
        <v>0.44175000000000009</v>
      </c>
      <c r="H714" s="356">
        <f>IF($F713=0,0,ROUND(H713/$F713,5))</f>
        <v>0.25163999999999997</v>
      </c>
      <c r="I714" s="356">
        <f>IF(F713=0,0,ROUND(I713/F713,5))</f>
        <v>0.17816000000000001</v>
      </c>
      <c r="J714" s="356">
        <f>IF(G713=0,0,ROUND(J713/F713,5))</f>
        <v>0.12845000000000001</v>
      </c>
      <c r="K714" s="356">
        <f t="shared" si="189"/>
        <v>1</v>
      </c>
      <c r="L714" s="356">
        <f t="shared" si="190"/>
        <v>0</v>
      </c>
      <c r="M714" s="196"/>
      <c r="N714" s="196"/>
      <c r="P714" s="665">
        <f>K714</f>
        <v>1</v>
      </c>
      <c r="Q714" s="196"/>
    </row>
    <row r="715" spans="1:17">
      <c r="A715" s="344">
        <v>10</v>
      </c>
      <c r="C715" s="598" t="s">
        <v>375</v>
      </c>
      <c r="D715" s="723" t="s">
        <v>1012</v>
      </c>
      <c r="E715" s="729"/>
      <c r="F715" s="479">
        <f>'Alloc Factors Summary'!$D$43</f>
        <v>10485450</v>
      </c>
      <c r="G715" s="479">
        <f>'Alloc Factors Summary'!D39</f>
        <v>5314682</v>
      </c>
      <c r="H715" s="479">
        <f>'Alloc Factors Summary'!D40</f>
        <v>3027396</v>
      </c>
      <c r="I715" s="479">
        <f>'Alloc Factors Summary'!D41</f>
        <v>2143372</v>
      </c>
      <c r="J715" s="479">
        <f>'Alloc Factors Summary'!D42</f>
        <v>0</v>
      </c>
      <c r="K715" s="349">
        <f t="shared" si="189"/>
        <v>10485450</v>
      </c>
      <c r="L715" s="349">
        <f t="shared" si="190"/>
        <v>0</v>
      </c>
      <c r="N715" s="196"/>
      <c r="P715" s="664"/>
    </row>
    <row r="716" spans="1:17">
      <c r="A716" s="344">
        <v>11</v>
      </c>
      <c r="B716" s="196"/>
      <c r="C716" s="497" t="s">
        <v>355</v>
      </c>
      <c r="D716" s="589"/>
      <c r="E716" s="714" t="str">
        <f>'FR-16(7)(v)-1 Functional'!$E$716</f>
        <v>K301</v>
      </c>
      <c r="F716" s="649">
        <v>1</v>
      </c>
      <c r="G716" s="356">
        <f>IF($L715=0,F716-SUM(H716:J716),ROUND(G715/$F715,5))</f>
        <v>0.50687000000000004</v>
      </c>
      <c r="H716" s="356">
        <f>IF($F715=0,0,ROUND(H715/$F715,5))</f>
        <v>0.28871999999999998</v>
      </c>
      <c r="I716" s="356">
        <f>IF(F715=0,0,ROUND(I715/F715,5))</f>
        <v>0.20441000000000001</v>
      </c>
      <c r="J716" s="356">
        <f>IF(G715=0,0,ROUND(J715/F715,5))</f>
        <v>0</v>
      </c>
      <c r="K716" s="356">
        <f t="shared" si="189"/>
        <v>1</v>
      </c>
      <c r="L716" s="356">
        <f t="shared" si="190"/>
        <v>0</v>
      </c>
      <c r="M716" s="196"/>
      <c r="N716" s="196"/>
      <c r="P716" s="665">
        <f>K716</f>
        <v>1</v>
      </c>
      <c r="Q716" s="196"/>
    </row>
    <row r="717" spans="1:17">
      <c r="A717" s="344">
        <v>12</v>
      </c>
      <c r="C717" s="598" t="s">
        <v>222</v>
      </c>
      <c r="D717" s="723" t="s">
        <v>1012</v>
      </c>
      <c r="E717" s="729"/>
      <c r="F717" s="479">
        <f>'Alloc Factors Summary'!$D$64</f>
        <v>98442</v>
      </c>
      <c r="G717" s="479">
        <f>'Alloc Factors Summary'!D60</f>
        <v>91382</v>
      </c>
      <c r="H717" s="479">
        <f>'Alloc Factors Summary'!D61</f>
        <v>6943</v>
      </c>
      <c r="I717" s="479">
        <f>'Alloc Factors Summary'!D62</f>
        <v>95</v>
      </c>
      <c r="J717" s="479">
        <f>'Alloc Factors Summary'!D63</f>
        <v>22</v>
      </c>
      <c r="K717" s="349">
        <f t="shared" si="189"/>
        <v>98442</v>
      </c>
      <c r="L717" s="349">
        <f t="shared" si="190"/>
        <v>0</v>
      </c>
      <c r="N717" s="196"/>
      <c r="P717" s="664"/>
    </row>
    <row r="718" spans="1:17">
      <c r="A718" s="344">
        <v>13</v>
      </c>
      <c r="B718" s="196"/>
      <c r="C718" s="497" t="s">
        <v>355</v>
      </c>
      <c r="D718" s="589"/>
      <c r="E718" s="714" t="str">
        <f>'FR-16(7)(v)-1 Functional'!$E$718</f>
        <v>K401</v>
      </c>
      <c r="F718" s="649">
        <v>1</v>
      </c>
      <c r="G718" s="356">
        <f>IF($L717=0,F718-SUM(H718:J718),ROUND(G717/$F717,5))</f>
        <v>0.92827999999999999</v>
      </c>
      <c r="H718" s="356">
        <f>IF($F717=0,0,ROUND(H717/$F717,5))</f>
        <v>7.0529999999999995E-2</v>
      </c>
      <c r="I718" s="356">
        <f>IF(F717=0,0,ROUND(I717/F717,5))</f>
        <v>9.7000000000000005E-4</v>
      </c>
      <c r="J718" s="356">
        <f>IF(G717=0,0,ROUND(J717/F717,5))</f>
        <v>2.2000000000000001E-4</v>
      </c>
      <c r="K718" s="356">
        <f t="shared" si="189"/>
        <v>1</v>
      </c>
      <c r="L718" s="356">
        <f t="shared" si="190"/>
        <v>0</v>
      </c>
      <c r="M718" s="196"/>
      <c r="N718" s="196"/>
      <c r="P718" s="665">
        <f>K718</f>
        <v>1</v>
      </c>
      <c r="Q718" s="196"/>
    </row>
    <row r="719" spans="1:17">
      <c r="A719" s="344">
        <v>14</v>
      </c>
      <c r="C719" s="598" t="s">
        <v>223</v>
      </c>
      <c r="D719" s="723" t="s">
        <v>1012</v>
      </c>
      <c r="E719" s="729"/>
      <c r="F719" s="479">
        <f>'Alloc Factors Summary'!$F$76</f>
        <v>104676</v>
      </c>
      <c r="G719" s="479">
        <f>'Alloc Factors Summary'!F72</f>
        <v>91382</v>
      </c>
      <c r="H719" s="479">
        <f>'Alloc Factors Summary'!F73</f>
        <v>12541</v>
      </c>
      <c r="I719" s="479">
        <f>'Alloc Factors Summary'!F74</f>
        <v>256</v>
      </c>
      <c r="J719" s="479">
        <f>'Alloc Factors Summary'!F75</f>
        <v>497</v>
      </c>
      <c r="K719" s="349">
        <f t="shared" si="189"/>
        <v>104676</v>
      </c>
      <c r="L719" s="349">
        <f t="shared" si="190"/>
        <v>0</v>
      </c>
      <c r="M719" s="599"/>
      <c r="N719" s="196"/>
      <c r="P719" s="664"/>
    </row>
    <row r="720" spans="1:17">
      <c r="A720" s="344">
        <v>15</v>
      </c>
      <c r="B720" s="196"/>
      <c r="C720" s="497" t="s">
        <v>355</v>
      </c>
      <c r="D720" s="589"/>
      <c r="E720" s="714" t="str">
        <f>'FR-16(7)(v)-1 Functional'!$E$720</f>
        <v>K403</v>
      </c>
      <c r="F720" s="649">
        <v>1</v>
      </c>
      <c r="G720" s="356">
        <f>IF($L719=0,F720-SUM(H720:J720),ROUND(G719/$F719,5))</f>
        <v>0.87299000000000004</v>
      </c>
      <c r="H720" s="356">
        <f>IF($F719=0,0,ROUND(H719/$F719,5))</f>
        <v>0.11981</v>
      </c>
      <c r="I720" s="356">
        <f>IF(F719=0,0,ROUND(I719/F719,5))</f>
        <v>2.4499999999999999E-3</v>
      </c>
      <c r="J720" s="356">
        <f>IF(G719=0,0,ROUND(J719/F719,5))</f>
        <v>4.7499999999999999E-3</v>
      </c>
      <c r="K720" s="356">
        <f t="shared" si="189"/>
        <v>1</v>
      </c>
      <c r="L720" s="356">
        <f t="shared" si="190"/>
        <v>0</v>
      </c>
      <c r="M720" s="196"/>
      <c r="N720" s="196"/>
      <c r="P720" s="665">
        <f>K720</f>
        <v>1</v>
      </c>
      <c r="Q720" s="196"/>
    </row>
    <row r="721" spans="1:17">
      <c r="A721" s="344">
        <v>16</v>
      </c>
      <c r="C721" s="598" t="s">
        <v>385</v>
      </c>
      <c r="D721" s="723" t="s">
        <v>1012</v>
      </c>
      <c r="E721" s="729"/>
      <c r="F721" s="479">
        <f>'Alloc Factors Summary'!$G$88</f>
        <v>3624077</v>
      </c>
      <c r="G721" s="479">
        <f>'Alloc Factors Summary'!G84</f>
        <v>3364167.778123159</v>
      </c>
      <c r="H721" s="479">
        <f>'Alloc Factors Summary'!G85</f>
        <v>255601.94440381139</v>
      </c>
      <c r="I721" s="479">
        <f>'Alloc Factors Summary'!G86</f>
        <v>3497.3620507506957</v>
      </c>
      <c r="J721" s="479">
        <f>'Alloc Factors Summary'!G87</f>
        <v>809.9154222791085</v>
      </c>
      <c r="K721" s="349">
        <f t="shared" si="189"/>
        <v>3624077</v>
      </c>
      <c r="L721" s="349">
        <f t="shared" si="190"/>
        <v>0</v>
      </c>
      <c r="M721" s="599"/>
      <c r="N721" s="196"/>
      <c r="P721" s="664"/>
    </row>
    <row r="722" spans="1:17">
      <c r="A722" s="344">
        <v>17</v>
      </c>
      <c r="B722" s="196"/>
      <c r="C722" s="497" t="s">
        <v>355</v>
      </c>
      <c r="D722" s="589"/>
      <c r="E722" s="714" t="str">
        <f>'FR-16(7)(v)-1 Functional'!$E$722</f>
        <v>K405</v>
      </c>
      <c r="F722" s="649">
        <v>1</v>
      </c>
      <c r="G722" s="356">
        <f>IF($L721=0,F722-SUM(H722:J722),ROUND(G721/$F721,5))</f>
        <v>0.92827999999999999</v>
      </c>
      <c r="H722" s="356">
        <f>IF($F721=0,0,ROUND(H721/$F721,5))</f>
        <v>7.0529999999999995E-2</v>
      </c>
      <c r="I722" s="356">
        <f>IF(F721=0,0,ROUND(I721/F721,5))</f>
        <v>9.7000000000000005E-4</v>
      </c>
      <c r="J722" s="356">
        <f>IF(G721=0,0,ROUND(J721/F721,5))</f>
        <v>2.2000000000000001E-4</v>
      </c>
      <c r="K722" s="356">
        <f t="shared" si="189"/>
        <v>1</v>
      </c>
      <c r="L722" s="356">
        <f t="shared" si="190"/>
        <v>0</v>
      </c>
      <c r="M722" s="196"/>
      <c r="N722" s="196"/>
      <c r="P722" s="665">
        <f>K722</f>
        <v>1</v>
      </c>
      <c r="Q722" s="196"/>
    </row>
    <row r="723" spans="1:17">
      <c r="A723" s="344">
        <v>18</v>
      </c>
      <c r="C723" s="598" t="s">
        <v>373</v>
      </c>
      <c r="D723" s="723" t="s">
        <v>1012</v>
      </c>
      <c r="E723" s="729"/>
      <c r="F723" s="479">
        <f>'Alloc Factors Summary'!$D$98</f>
        <v>3920</v>
      </c>
      <c r="G723" s="479">
        <f>'Alloc Factors Summary'!D94</f>
        <v>3638.8679628613804</v>
      </c>
      <c r="H723" s="479">
        <f>'Alloc Factors Summary'!D95</f>
        <v>276.47305012088339</v>
      </c>
      <c r="I723" s="479">
        <f>'Alloc Factors Summary'!D96</f>
        <v>3.7829381767944579</v>
      </c>
      <c r="J723" s="479">
        <f>'Alloc Factors Summary'!D97</f>
        <v>0.8760488409418743</v>
      </c>
      <c r="K723" s="349">
        <f t="shared" si="189"/>
        <v>3920</v>
      </c>
      <c r="L723" s="349">
        <f t="shared" si="190"/>
        <v>0</v>
      </c>
      <c r="M723" s="599"/>
      <c r="N723" s="196"/>
      <c r="P723" s="664"/>
    </row>
    <row r="724" spans="1:17">
      <c r="A724" s="344">
        <v>19</v>
      </c>
      <c r="B724" s="196"/>
      <c r="C724" s="497" t="s">
        <v>355</v>
      </c>
      <c r="D724" s="589"/>
      <c r="E724" s="714" t="str">
        <f>'FR-16(7)(v)-1 Functional'!$E$724</f>
        <v>K406</v>
      </c>
      <c r="F724" s="649">
        <v>1</v>
      </c>
      <c r="G724" s="356">
        <f>IF($L723=0,F724-SUM(H724:J724),ROUND(G723/$F723,5))</f>
        <v>0.92827999999999999</v>
      </c>
      <c r="H724" s="356">
        <f>IF($F723=0,0,ROUND(H723/$F723,5))</f>
        <v>7.0529999999999995E-2</v>
      </c>
      <c r="I724" s="356">
        <f>IF(F723=0,0,ROUND(I723/F723,5))</f>
        <v>9.7000000000000005E-4</v>
      </c>
      <c r="J724" s="356">
        <f>IF(G723=0,0,ROUND(J723/F723,5))</f>
        <v>2.2000000000000001E-4</v>
      </c>
      <c r="K724" s="356">
        <f t="shared" si="189"/>
        <v>1</v>
      </c>
      <c r="L724" s="356">
        <f t="shared" si="190"/>
        <v>0</v>
      </c>
      <c r="M724" s="196"/>
      <c r="N724" s="196"/>
      <c r="P724" s="665">
        <f>K724</f>
        <v>1</v>
      </c>
      <c r="Q724" s="196"/>
    </row>
    <row r="725" spans="1:17">
      <c r="A725" s="344">
        <v>20</v>
      </c>
      <c r="C725" s="598" t="s">
        <v>1035</v>
      </c>
      <c r="D725" s="723" t="s">
        <v>1012</v>
      </c>
      <c r="E725" s="729"/>
      <c r="F725" s="479">
        <f>'Alloc Factors Summary'!$G$108</f>
        <v>140653.00000000003</v>
      </c>
      <c r="G725" s="479">
        <f>'Alloc Factors Summary'!G104</f>
        <v>130565.73866845452</v>
      </c>
      <c r="H725" s="479">
        <f>'Alloc Factors Summary'!G105</f>
        <v>9920.0928363909716</v>
      </c>
      <c r="I725" s="479">
        <f>'Alloc Factors Summary'!G106</f>
        <v>135.73510290323236</v>
      </c>
      <c r="J725" s="479">
        <f>'Alloc Factors Summary'!G107</f>
        <v>31.43339225127486</v>
      </c>
      <c r="K725" s="349">
        <f t="shared" si="189"/>
        <v>140653.00000000003</v>
      </c>
      <c r="L725" s="349">
        <f t="shared" si="190"/>
        <v>0</v>
      </c>
      <c r="M725" s="599"/>
      <c r="N725" s="196"/>
      <c r="P725" s="664"/>
    </row>
    <row r="726" spans="1:17">
      <c r="A726" s="344">
        <v>21</v>
      </c>
      <c r="B726" s="196"/>
      <c r="C726" s="497" t="s">
        <v>355</v>
      </c>
      <c r="D726" s="589"/>
      <c r="E726" s="714" t="str">
        <f>'FR-16(7)(v)-1 Functional'!$E$726</f>
        <v>K407</v>
      </c>
      <c r="F726" s="649">
        <v>1</v>
      </c>
      <c r="G726" s="356">
        <f>IF($L725=0,F726-SUM(H726:J726),ROUND(G725/$F725,5))</f>
        <v>0.92827999999999999</v>
      </c>
      <c r="H726" s="356">
        <f>IF($F725=0,0,ROUND(H725/$F725,5))</f>
        <v>7.0529999999999995E-2</v>
      </c>
      <c r="I726" s="356">
        <f>IF(F725=0,0,ROUND(I725/F725,5))</f>
        <v>9.7000000000000005E-4</v>
      </c>
      <c r="J726" s="356">
        <f>IF(G725=0,0,ROUND(J725/F725,5))</f>
        <v>2.2000000000000001E-4</v>
      </c>
      <c r="K726" s="356">
        <f t="shared" si="189"/>
        <v>1</v>
      </c>
      <c r="L726" s="356">
        <f t="shared" si="190"/>
        <v>0</v>
      </c>
      <c r="M726" s="196"/>
      <c r="N726" s="196"/>
      <c r="P726" s="665">
        <f>K726</f>
        <v>1</v>
      </c>
      <c r="Q726" s="196"/>
    </row>
    <row r="727" spans="1:17">
      <c r="A727" s="344">
        <v>22</v>
      </c>
      <c r="C727" s="598" t="s">
        <v>1036</v>
      </c>
      <c r="D727" s="723" t="s">
        <v>1012</v>
      </c>
      <c r="E727" s="729"/>
      <c r="F727" s="479">
        <f>'Alloc Factors Summary'!$F$118</f>
        <v>7322</v>
      </c>
      <c r="G727" s="479">
        <f>'Alloc Factors Summary'!F114</f>
        <v>6797</v>
      </c>
      <c r="H727" s="479">
        <f>'Alloc Factors Summary'!F115</f>
        <v>516</v>
      </c>
      <c r="I727" s="479">
        <f>'Alloc Factors Summary'!F116</f>
        <v>7</v>
      </c>
      <c r="J727" s="479">
        <f>'Alloc Factors Summary'!F117</f>
        <v>2</v>
      </c>
      <c r="K727" s="349">
        <f t="shared" si="189"/>
        <v>7322</v>
      </c>
      <c r="L727" s="349">
        <f t="shared" si="190"/>
        <v>0</v>
      </c>
      <c r="M727" s="599"/>
      <c r="N727" s="196"/>
      <c r="P727" s="664"/>
    </row>
    <row r="728" spans="1:17">
      <c r="A728" s="344">
        <v>23</v>
      </c>
      <c r="B728" s="196"/>
      <c r="C728" s="497" t="s">
        <v>355</v>
      </c>
      <c r="D728" s="589"/>
      <c r="E728" s="714" t="str">
        <f>'FR-16(7)(v)-1 Functional'!$E$728</f>
        <v>K408</v>
      </c>
      <c r="F728" s="649">
        <v>1</v>
      </c>
      <c r="G728" s="356">
        <f>IF($L727=0,F728-SUM(H728:J728),ROUND(G727/$F727,5))</f>
        <v>0.92830000000000001</v>
      </c>
      <c r="H728" s="356">
        <f>IF($F727=0,0,ROUND(H727/$F727,5))</f>
        <v>7.0470000000000005E-2</v>
      </c>
      <c r="I728" s="356">
        <f>IF(F727=0,0,ROUND(I727/F727,5))</f>
        <v>9.6000000000000002E-4</v>
      </c>
      <c r="J728" s="356">
        <f>IF(G727=0,0,ROUND(J727/F727,5))</f>
        <v>2.7E-4</v>
      </c>
      <c r="K728" s="356">
        <f t="shared" si="189"/>
        <v>1</v>
      </c>
      <c r="L728" s="356">
        <f t="shared" si="190"/>
        <v>0</v>
      </c>
      <c r="M728" s="196"/>
      <c r="N728" s="196"/>
      <c r="P728" s="665">
        <f>K728</f>
        <v>1</v>
      </c>
      <c r="Q728" s="196"/>
    </row>
    <row r="729" spans="1:17">
      <c r="A729" s="344">
        <v>24</v>
      </c>
      <c r="C729" s="598" t="s">
        <v>224</v>
      </c>
      <c r="D729" s="723" t="s">
        <v>1012</v>
      </c>
      <c r="E729" s="729"/>
      <c r="F729" s="479">
        <f>'Alloc Factors Summary'!$D$141</f>
        <v>22926071</v>
      </c>
      <c r="G729" s="479">
        <f>'Alloc Factors Summary'!D137</f>
        <v>18152038</v>
      </c>
      <c r="H729" s="479">
        <f>'Alloc Factors Summary'!D138</f>
        <v>4499288</v>
      </c>
      <c r="I729" s="479">
        <f>'Alloc Factors Summary'!D139</f>
        <v>184982</v>
      </c>
      <c r="J729" s="479">
        <f>'Alloc Factors Summary'!D140</f>
        <v>89763</v>
      </c>
      <c r="K729" s="607">
        <f t="shared" si="189"/>
        <v>22926071</v>
      </c>
      <c r="L729" s="349">
        <f t="shared" si="190"/>
        <v>0</v>
      </c>
      <c r="N729" s="196"/>
      <c r="P729" s="664"/>
    </row>
    <row r="730" spans="1:17">
      <c r="A730" s="344">
        <v>25</v>
      </c>
      <c r="B730" s="196"/>
      <c r="C730" s="497" t="s">
        <v>355</v>
      </c>
      <c r="D730" s="589"/>
      <c r="E730" s="714" t="str">
        <f>'FR-16(7)(v)-1 Functional'!$E$730</f>
        <v>K413</v>
      </c>
      <c r="F730" s="649">
        <v>1</v>
      </c>
      <c r="G730" s="356">
        <f>IF($L729=0,F730-SUM(H730:J730),ROUND(G729/$F729,5))</f>
        <v>0.79176000000000002</v>
      </c>
      <c r="H730" s="356">
        <f>IF($F729=0,0,ROUND(H729/$F729,5))</f>
        <v>0.19625000000000001</v>
      </c>
      <c r="I730" s="356">
        <f>IF(F729=0,0,ROUND(I729/F729,5))</f>
        <v>8.0700000000000008E-3</v>
      </c>
      <c r="J730" s="356">
        <f>IF(G729=0,0,ROUND(J729/F729,5))</f>
        <v>3.9199999999999999E-3</v>
      </c>
      <c r="K730" s="356">
        <f t="shared" si="189"/>
        <v>1</v>
      </c>
      <c r="L730" s="356">
        <f t="shared" si="190"/>
        <v>0</v>
      </c>
      <c r="M730" s="196"/>
      <c r="N730" s="196"/>
      <c r="P730" s="665">
        <f>K730</f>
        <v>1</v>
      </c>
      <c r="Q730" s="196"/>
    </row>
    <row r="731" spans="1:17">
      <c r="A731" s="344">
        <v>26</v>
      </c>
      <c r="C731" s="669" t="s">
        <v>1014</v>
      </c>
      <c r="D731" s="723" t="s">
        <v>1012</v>
      </c>
      <c r="E731" s="729"/>
      <c r="F731" s="609">
        <f>ROUND('Alloc Factors Summary'!H171*100,0)</f>
        <v>100</v>
      </c>
      <c r="G731" s="609">
        <f>'Alloc Factors Summary'!H167*100</f>
        <v>62.194000000000003</v>
      </c>
      <c r="H731" s="609">
        <f>'Alloc Factors Summary'!H168*100</f>
        <v>25.984999999999996</v>
      </c>
      <c r="I731" s="609">
        <f>'Alloc Factors Summary'!H169*100</f>
        <v>9.2089999999999996</v>
      </c>
      <c r="J731" s="609">
        <f>'Alloc Factors Summary'!H170*100</f>
        <v>2.6119999999999997</v>
      </c>
      <c r="K731" s="610">
        <f t="shared" si="189"/>
        <v>100</v>
      </c>
      <c r="L731" s="610">
        <f t="shared" si="190"/>
        <v>0</v>
      </c>
      <c r="N731" s="196"/>
      <c r="P731" s="664"/>
    </row>
    <row r="732" spans="1:17">
      <c r="A732" s="344">
        <v>27</v>
      </c>
      <c r="B732" s="196"/>
      <c r="C732" s="497" t="s">
        <v>355</v>
      </c>
      <c r="D732" s="589"/>
      <c r="E732" s="714" t="str">
        <f>'FR-16(7)(v)-1 Functional'!$E$732</f>
        <v>K415</v>
      </c>
      <c r="F732" s="649">
        <v>1</v>
      </c>
      <c r="G732" s="356">
        <f>IF($L731=0,F732-SUM(H732:J732),ROUND(G731/$F731,5))</f>
        <v>0.62193999999999994</v>
      </c>
      <c r="H732" s="356">
        <f>IF($F731=0,0,ROUND(H731/$F731,5))</f>
        <v>0.25985000000000003</v>
      </c>
      <c r="I732" s="356">
        <f>IF(F731=0,0,ROUND(I731/F731,5))</f>
        <v>9.2090000000000005E-2</v>
      </c>
      <c r="J732" s="356">
        <f>IF(G731=0,0,ROUND(J731/F731,5))</f>
        <v>2.6120000000000001E-2</v>
      </c>
      <c r="K732" s="356">
        <f t="shared" si="189"/>
        <v>1</v>
      </c>
      <c r="L732" s="356">
        <f t="shared" si="190"/>
        <v>0</v>
      </c>
      <c r="M732" s="196"/>
      <c r="N732" s="196"/>
      <c r="P732" s="665">
        <f>K732</f>
        <v>1</v>
      </c>
      <c r="Q732" s="196"/>
    </row>
    <row r="733" spans="1:17">
      <c r="A733" s="344">
        <v>28</v>
      </c>
      <c r="C733" s="598" t="s">
        <v>376</v>
      </c>
      <c r="D733" s="723" t="s">
        <v>1012</v>
      </c>
      <c r="E733" s="729"/>
      <c r="F733" s="479">
        <f>'Alloc Factors Summary'!$D$151</f>
        <v>138304</v>
      </c>
      <c r="G733" s="479">
        <f>'Alloc Factors Summary'!D147</f>
        <v>91382</v>
      </c>
      <c r="H733" s="479">
        <f>'Alloc Factors Summary'!D148</f>
        <v>45530</v>
      </c>
      <c r="I733" s="479">
        <f>'Alloc Factors Summary'!D149</f>
        <v>1130</v>
      </c>
      <c r="J733" s="479">
        <f>'Alloc Factors Summary'!D150</f>
        <v>262</v>
      </c>
      <c r="K733" s="349">
        <f t="shared" si="189"/>
        <v>138304</v>
      </c>
      <c r="L733" s="349">
        <f t="shared" si="190"/>
        <v>0</v>
      </c>
      <c r="N733" s="196"/>
      <c r="P733" s="664"/>
    </row>
    <row r="734" spans="1:17">
      <c r="A734" s="344">
        <v>29</v>
      </c>
      <c r="B734" s="196"/>
      <c r="C734" s="497" t="s">
        <v>355</v>
      </c>
      <c r="D734" s="589"/>
      <c r="E734" s="714" t="str">
        <f>'FR-16(7)(v)-1 Functional'!$E$734</f>
        <v>K417</v>
      </c>
      <c r="F734" s="649">
        <v>1</v>
      </c>
      <c r="G734" s="356">
        <f>IF($L733=0,F734-SUM(H734:J734),ROUND(G733/$F733,5))</f>
        <v>0.66073999999999999</v>
      </c>
      <c r="H734" s="356">
        <f>IF($F733=0,0,ROUND(H733/$F733,5))</f>
        <v>0.32919999999999999</v>
      </c>
      <c r="I734" s="356">
        <f>IF(F733=0,0,ROUND(I733/F733,5))</f>
        <v>8.1700000000000002E-3</v>
      </c>
      <c r="J734" s="356">
        <f>IF(G733=0,0,ROUND(J733/F733,5))</f>
        <v>1.89E-3</v>
      </c>
      <c r="K734" s="356">
        <f t="shared" si="189"/>
        <v>1</v>
      </c>
      <c r="L734" s="356">
        <f t="shared" si="190"/>
        <v>0</v>
      </c>
      <c r="M734" s="196"/>
      <c r="N734" s="196"/>
      <c r="P734" s="665">
        <f>K734</f>
        <v>1</v>
      </c>
      <c r="Q734" s="196"/>
    </row>
    <row r="735" spans="1:17">
      <c r="A735" s="344">
        <v>30</v>
      </c>
      <c r="B735" s="491"/>
      <c r="C735" s="598" t="s">
        <v>226</v>
      </c>
      <c r="D735" s="723" t="s">
        <v>1012</v>
      </c>
      <c r="E735" s="745"/>
      <c r="F735" s="349">
        <f>'Alloc Factors Summary'!$D$62+'Alloc Factors Summary'!$D$63</f>
        <v>117</v>
      </c>
      <c r="G735" s="614">
        <v>0</v>
      </c>
      <c r="H735" s="614">
        <v>0</v>
      </c>
      <c r="I735" s="349">
        <f>'Alloc Factors Summary'!D62</f>
        <v>95</v>
      </c>
      <c r="J735" s="349">
        <f>'Alloc Factors Summary'!D63</f>
        <v>22</v>
      </c>
      <c r="K735" s="349">
        <f t="shared" si="189"/>
        <v>117</v>
      </c>
      <c r="L735" s="349">
        <f t="shared" si="190"/>
        <v>0</v>
      </c>
      <c r="M735" s="606"/>
      <c r="N735" s="196"/>
      <c r="P735" s="666"/>
      <c r="Q735" s="606"/>
    </row>
    <row r="736" spans="1:17">
      <c r="A736" s="344">
        <v>31</v>
      </c>
      <c r="B736" s="196"/>
      <c r="C736" s="497" t="str">
        <f>C734</f>
        <v>RATIO TO TOTAL GAS</v>
      </c>
      <c r="D736" s="589"/>
      <c r="E736" s="714" t="str">
        <f>'FR-16(7)(v)-1 Functional'!$E$736</f>
        <v>K431</v>
      </c>
      <c r="F736" s="350">
        <v>1</v>
      </c>
      <c r="G736" s="356">
        <f>IF($L735=0,F736-SUM(H736:J736),ROUND(G735/$F735,5))</f>
        <v>0</v>
      </c>
      <c r="H736" s="356">
        <f>IF($F735=0,0,ROUND(H735/$F735,5))</f>
        <v>0</v>
      </c>
      <c r="I736" s="356">
        <f>IF(F735=0,0,ROUND(I735/F735,5))</f>
        <v>0.81196999999999997</v>
      </c>
      <c r="J736" s="356">
        <f>IF(F735=0,0,ROUND(J735/F735,5))</f>
        <v>0.18803</v>
      </c>
      <c r="K736" s="356">
        <f t="shared" si="189"/>
        <v>1</v>
      </c>
      <c r="L736" s="350">
        <f t="shared" si="190"/>
        <v>0</v>
      </c>
      <c r="M736" s="196"/>
      <c r="N736" s="196"/>
      <c r="P736" s="665">
        <f>K736</f>
        <v>1</v>
      </c>
      <c r="Q736" s="196"/>
    </row>
    <row r="737" spans="1:17">
      <c r="A737" s="344">
        <v>32</v>
      </c>
      <c r="C737" s="608" t="s">
        <v>407</v>
      </c>
      <c r="D737" s="723" t="s">
        <v>1012</v>
      </c>
      <c r="E737" s="729"/>
      <c r="F737" s="479">
        <f>'Alloc Factors Summary'!$D$159</f>
        <v>3688683</v>
      </c>
      <c r="G737" s="492">
        <v>0</v>
      </c>
      <c r="H737" s="492">
        <v>0</v>
      </c>
      <c r="I737" s="479">
        <f>'Alloc Factors Summary'!D157</f>
        <v>2143372</v>
      </c>
      <c r="J737" s="479">
        <f>'Alloc Factors Summary'!D158</f>
        <v>1545311</v>
      </c>
      <c r="K737" s="349">
        <f t="shared" si="189"/>
        <v>3688683</v>
      </c>
      <c r="L737" s="349">
        <f t="shared" si="190"/>
        <v>0</v>
      </c>
      <c r="N737" s="196"/>
      <c r="P737" s="664"/>
    </row>
    <row r="738" spans="1:17">
      <c r="A738" s="344">
        <v>33</v>
      </c>
      <c r="B738" s="196"/>
      <c r="C738" s="497" t="s">
        <v>355</v>
      </c>
      <c r="D738" s="589"/>
      <c r="E738" s="714" t="str">
        <f>'FR-16(7)(v)-1 Functional'!$E$738</f>
        <v>K595</v>
      </c>
      <c r="F738" s="649">
        <v>1</v>
      </c>
      <c r="G738" s="356">
        <f>IF($L737=0,F738-SUM(H738:J738),ROUND(G737/$F737,5))</f>
        <v>0</v>
      </c>
      <c r="H738" s="356">
        <f>IF($F737=0,0,ROUND(H737/$F737,5))</f>
        <v>0</v>
      </c>
      <c r="I738" s="356">
        <f>IF(F737=0,0,ROUND(I737/F737,5))</f>
        <v>0.58106999999999998</v>
      </c>
      <c r="J738" s="356">
        <f>IF(F737=0,0,ROUND(J737/F737,5))</f>
        <v>0.41893000000000002</v>
      </c>
      <c r="K738" s="356">
        <f t="shared" si="189"/>
        <v>1</v>
      </c>
      <c r="L738" s="350">
        <f t="shared" si="190"/>
        <v>0</v>
      </c>
      <c r="M738" s="196"/>
      <c r="N738" s="196"/>
      <c r="P738" s="665">
        <f>K738</f>
        <v>1</v>
      </c>
      <c r="Q738" s="196"/>
    </row>
    <row r="739" spans="1:17">
      <c r="A739" s="344">
        <v>34</v>
      </c>
      <c r="B739" s="599"/>
      <c r="C739" s="598" t="s">
        <v>225</v>
      </c>
      <c r="D739" s="723" t="s">
        <v>1012</v>
      </c>
      <c r="E739" s="729"/>
      <c r="F739" s="476">
        <v>1</v>
      </c>
      <c r="G739" s="476">
        <v>0</v>
      </c>
      <c r="H739" s="476">
        <v>1</v>
      </c>
      <c r="I739" s="476">
        <v>0</v>
      </c>
      <c r="J739" s="476">
        <v>0</v>
      </c>
      <c r="K739" s="349">
        <f t="shared" si="189"/>
        <v>1</v>
      </c>
      <c r="L739" s="349">
        <f t="shared" si="190"/>
        <v>0</v>
      </c>
      <c r="M739" s="599"/>
      <c r="N739" s="196"/>
      <c r="P739" s="668"/>
      <c r="Q739" s="599"/>
    </row>
    <row r="740" spans="1:17">
      <c r="A740" s="344">
        <v>35</v>
      </c>
      <c r="B740" s="196"/>
      <c r="C740" s="497" t="s">
        <v>355</v>
      </c>
      <c r="D740" s="589"/>
      <c r="E740" s="714" t="str">
        <f>'FR-16(7)(v)-1 Functional'!$E$740</f>
        <v>K597</v>
      </c>
      <c r="F740" s="649">
        <v>1</v>
      </c>
      <c r="G740" s="356">
        <f>IF($L739=0,F740-SUM(H740:J740),ROUND(G739/$F739,5))</f>
        <v>0</v>
      </c>
      <c r="H740" s="356">
        <f>IF($F739=0,0,ROUND(H739/$F739,5))</f>
        <v>1</v>
      </c>
      <c r="I740" s="356">
        <f>IF(F739=0,0,ROUND(I739/F739,5))</f>
        <v>0</v>
      </c>
      <c r="J740" s="356">
        <f>IF(G739=0,0,ROUND(J739/F739,5))</f>
        <v>0</v>
      </c>
      <c r="K740" s="356">
        <f t="shared" si="189"/>
        <v>1</v>
      </c>
      <c r="L740" s="356">
        <f t="shared" si="190"/>
        <v>0</v>
      </c>
      <c r="M740" s="196"/>
      <c r="N740" s="196"/>
      <c r="P740" s="665">
        <f>K740</f>
        <v>1</v>
      </c>
      <c r="Q740" s="196"/>
    </row>
    <row r="741" spans="1:17">
      <c r="A741" s="344">
        <v>36</v>
      </c>
      <c r="C741" s="598" t="s">
        <v>433</v>
      </c>
      <c r="D741" s="627"/>
      <c r="E741" s="746"/>
      <c r="F741" s="494">
        <v>1</v>
      </c>
      <c r="G741" s="477">
        <v>1</v>
      </c>
      <c r="H741" s="476">
        <v>0</v>
      </c>
      <c r="I741" s="476">
        <v>0</v>
      </c>
      <c r="J741" s="476">
        <v>0</v>
      </c>
      <c r="K741" s="349">
        <f t="shared" si="189"/>
        <v>1</v>
      </c>
      <c r="L741" s="347">
        <f t="shared" si="190"/>
        <v>0</v>
      </c>
      <c r="N741" s="196"/>
      <c r="P741" s="664"/>
    </row>
    <row r="742" spans="1:17">
      <c r="A742" s="344">
        <v>37</v>
      </c>
      <c r="C742" s="497" t="s">
        <v>355</v>
      </c>
      <c r="D742" s="589"/>
      <c r="E742" s="714" t="str">
        <f>'FR-16(7)(v)-1 Functional'!$E$742</f>
        <v>K903</v>
      </c>
      <c r="F742" s="648">
        <v>1</v>
      </c>
      <c r="G742" s="356">
        <f>IF($L741=0,F742-SUM(H742:J742),ROUND(G741/$F741,5))</f>
        <v>1</v>
      </c>
      <c r="H742" s="356">
        <f>IF($F741=0,0,ROUND(H741/$F741,5))</f>
        <v>0</v>
      </c>
      <c r="I742" s="356">
        <f>IF(F741=0,0,ROUND(I741/F741,5))</f>
        <v>0</v>
      </c>
      <c r="J742" s="356">
        <f>IF(G741=0,0,ROUND(J741/F741,5))</f>
        <v>0</v>
      </c>
      <c r="K742" s="356">
        <f t="shared" si="189"/>
        <v>1</v>
      </c>
      <c r="L742" s="350">
        <f t="shared" si="190"/>
        <v>0</v>
      </c>
      <c r="N742" s="196"/>
      <c r="P742" s="665">
        <f>K742</f>
        <v>1</v>
      </c>
    </row>
    <row r="743" spans="1:17">
      <c r="A743" s="344">
        <v>38</v>
      </c>
      <c r="B743" s="365"/>
      <c r="C743" s="365"/>
      <c r="D743" s="724"/>
      <c r="E743" s="333"/>
      <c r="H743" s="353"/>
      <c r="J743" s="353"/>
      <c r="K743" s="353"/>
      <c r="N743" s="196"/>
    </row>
    <row r="744" spans="1:17">
      <c r="A744" s="344">
        <v>39</v>
      </c>
      <c r="C744" s="598" t="s">
        <v>108</v>
      </c>
      <c r="D744" s="344" t="str">
        <f>'FR-16(7)(v)-3 PROD Comm Alloc'!D744</f>
        <v>K901</v>
      </c>
      <c r="E744" s="714" t="str">
        <f>'FR-16(7)(v)-1 Functional'!$E$744</f>
        <v>R600</v>
      </c>
      <c r="F744" s="479">
        <f>'FR-16(7)(v)-4 DISTR Classified'!I744</f>
        <v>28771426</v>
      </c>
      <c r="G744" s="347">
        <f>F744-SUM(H744:J744)</f>
        <v>19784063</v>
      </c>
      <c r="H744" s="347">
        <f>ROUND($F$744*VLOOKUP($D$744,ALLOCTABLE_DISTR_CUSTOMER,$H$10,FALSE),0)</f>
        <v>7004529</v>
      </c>
      <c r="I744" s="347">
        <f>ROUND(F744*VLOOKUP(D744,ALLOCTABLE_DISTR_CUSTOMER,$I$10,FALSE),0)</f>
        <v>1522599</v>
      </c>
      <c r="J744" s="347">
        <f>ROUND(F744*VLOOKUP(D744,ALLOCTABLE_DISTR_CUSTOMER,$J$10,FALSE),0)</f>
        <v>460235</v>
      </c>
      <c r="K744" s="347">
        <f>SUM(G744:J744)</f>
        <v>28771426</v>
      </c>
      <c r="L744" s="349">
        <f>F744-K744</f>
        <v>0</v>
      </c>
      <c r="N744" s="196"/>
      <c r="P744" s="664"/>
    </row>
    <row r="745" spans="1:17">
      <c r="A745" s="344">
        <v>40</v>
      </c>
      <c r="C745" s="598" t="s">
        <v>850</v>
      </c>
      <c r="D745" s="344" t="str">
        <f>'FR-16(7)(v)-3 PROD Comm Alloc'!D745</f>
        <v>K902</v>
      </c>
      <c r="E745" s="714" t="str">
        <f>'FR-16(7)(v)-1 Functional'!$E$745</f>
        <v>R602</v>
      </c>
      <c r="F745" s="479">
        <f>'FR-16(7)(v)-4 DISTR Classified'!I745</f>
        <v>28771426</v>
      </c>
      <c r="G745" s="347">
        <f>F745-SUM(H745:J745)</f>
        <v>19784063</v>
      </c>
      <c r="H745" s="347">
        <f>ROUND($F$745*VLOOKUP($D$745,ALLOCTABLE_DISTR_CUSTOMER,$H$10,FALSE),0)</f>
        <v>7004529</v>
      </c>
      <c r="I745" s="347">
        <f>ROUND(F745*VLOOKUP(D745,ALLOCTABLE_DISTR_CUSTOMER,$I$10,FALSE),0)</f>
        <v>1522599</v>
      </c>
      <c r="J745" s="347">
        <f>ROUND(F745*VLOOKUP(D745,ALLOCTABLE_DISTR_CUSTOMER,$J$10,FALSE),0)</f>
        <v>460235</v>
      </c>
      <c r="K745" s="347">
        <f>SUM(G745:J745)</f>
        <v>28771426</v>
      </c>
      <c r="L745" s="349">
        <f>F745-K745</f>
        <v>0</v>
      </c>
      <c r="N745" s="196"/>
      <c r="P745" s="664"/>
    </row>
    <row r="746" spans="1:17">
      <c r="E746" s="333"/>
      <c r="H746" s="353"/>
      <c r="J746" s="353"/>
      <c r="K746" s="353"/>
      <c r="N746" s="196"/>
      <c r="P746" s="664"/>
    </row>
    <row r="747" spans="1:17">
      <c r="A747" s="343" t="str">
        <f>co_name</f>
        <v>DUKE ENERGY KENTUCKY, INC.</v>
      </c>
      <c r="C747" s="196"/>
      <c r="D747" s="344"/>
      <c r="E747" s="196"/>
      <c r="F747" s="344"/>
      <c r="G747" s="342"/>
      <c r="H747" s="342"/>
      <c r="I747" s="196"/>
      <c r="K747" s="361" t="str">
        <f>$K$1</f>
        <v>FR-16(7)(v)-6</v>
      </c>
      <c r="N747" s="196"/>
      <c r="P747" s="664"/>
    </row>
    <row r="748" spans="1:17">
      <c r="A748" s="343" t="str">
        <f>$A$2</f>
        <v>DISTRIBUTION CUSTOMER ALLOCATED - GAS COST OF SERVICE</v>
      </c>
      <c r="C748" s="196"/>
      <c r="D748" s="344"/>
      <c r="E748" s="196"/>
      <c r="F748" s="344"/>
      <c r="G748" s="342"/>
      <c r="H748" s="342"/>
      <c r="I748" s="196"/>
      <c r="K748" s="361" t="str">
        <f>$K$2</f>
        <v>WITNESS RESPONSIBLE:</v>
      </c>
      <c r="N748" s="196"/>
      <c r="P748" s="664"/>
    </row>
    <row r="749" spans="1:17">
      <c r="A749" s="343" t="str">
        <f>case_name</f>
        <v>CASE NO: 2018-00261</v>
      </c>
      <c r="C749" s="196"/>
      <c r="D749" s="344"/>
      <c r="E749" s="196"/>
      <c r="F749" s="344"/>
      <c r="G749" s="342"/>
      <c r="H749" s="342"/>
      <c r="I749" s="196"/>
      <c r="K749" s="361" t="str">
        <f>Witness</f>
        <v>JAMES E. ZIOLKOWSKI</v>
      </c>
      <c r="N749" s="196"/>
      <c r="P749" s="664"/>
    </row>
    <row r="750" spans="1:17">
      <c r="A750" s="343" t="str">
        <f>data_filing</f>
        <v>DATA: 12 MONTH FORECASTED PERIOD</v>
      </c>
      <c r="C750" s="196"/>
      <c r="D750" s="344"/>
      <c r="E750" s="196"/>
      <c r="F750" s="344"/>
      <c r="G750" s="342"/>
      <c r="H750" s="342"/>
      <c r="I750" s="196"/>
      <c r="K750" s="361" t="str">
        <f>"PAGE "&amp;Pages-1&amp;" OF "&amp;Pages</f>
        <v>PAGE 17 OF 18</v>
      </c>
      <c r="N750" s="196"/>
      <c r="P750" s="664"/>
    </row>
    <row r="751" spans="1:17">
      <c r="A751" s="343" t="str">
        <f>type</f>
        <v xml:space="preserve">TYPE OF FILING: "X" ORIGINAL   UPDATED    REVISED  </v>
      </c>
      <c r="C751" s="196"/>
      <c r="D751" s="344"/>
      <c r="E751" s="196"/>
      <c r="F751" s="344"/>
      <c r="G751" s="342"/>
      <c r="H751" s="342"/>
      <c r="I751" s="196"/>
      <c r="J751" s="344"/>
      <c r="K751" s="196"/>
      <c r="N751" s="196"/>
      <c r="P751" s="664"/>
    </row>
    <row r="752" spans="1:17">
      <c r="B752" s="196"/>
      <c r="E752" s="333"/>
      <c r="F752" s="344"/>
      <c r="G752" s="342"/>
      <c r="H752" s="342"/>
      <c r="I752" s="196"/>
      <c r="J752" s="344"/>
      <c r="K752" s="196"/>
      <c r="N752" s="196"/>
      <c r="P752" s="664"/>
    </row>
    <row r="753" spans="1:17">
      <c r="B753" s="196"/>
      <c r="E753" s="333"/>
      <c r="F753" s="344" t="s">
        <v>229</v>
      </c>
      <c r="G753" s="342"/>
      <c r="H753" s="342"/>
      <c r="I753" s="196"/>
      <c r="J753" s="344"/>
      <c r="K753" s="196"/>
      <c r="N753" s="196"/>
      <c r="P753" s="664"/>
    </row>
    <row r="754" spans="1:17">
      <c r="A754" s="344" t="s">
        <v>914</v>
      </c>
      <c r="B754" s="196"/>
      <c r="C754" s="196"/>
      <c r="D754" s="344"/>
      <c r="E754" s="344"/>
      <c r="F754" s="344" t="str">
        <f>$F$8</f>
        <v>DISTRIBUTION</v>
      </c>
      <c r="G754" s="354" t="str">
        <f>$G$8</f>
        <v>RS</v>
      </c>
      <c r="H754" s="354" t="str">
        <f>$H$8</f>
        <v>GS</v>
      </c>
      <c r="I754" s="344" t="str">
        <f>$I$8</f>
        <v>FT-L</v>
      </c>
      <c r="J754" s="344" t="str">
        <f>$J$8</f>
        <v>INTERUPT</v>
      </c>
      <c r="K754" s="344" t="s">
        <v>229</v>
      </c>
      <c r="L754" s="589" t="s">
        <v>342</v>
      </c>
      <c r="M754" s="196"/>
      <c r="N754" s="196"/>
      <c r="P754" s="663"/>
      <c r="Q754" s="196"/>
    </row>
    <row r="755" spans="1:17">
      <c r="A755" s="346" t="s">
        <v>915</v>
      </c>
      <c r="B755" s="590" t="s">
        <v>89</v>
      </c>
      <c r="C755" s="345"/>
      <c r="D755" s="591" t="s">
        <v>1011</v>
      </c>
      <c r="E755" s="591" t="s">
        <v>337</v>
      </c>
      <c r="F755" s="344" t="str">
        <f>$F$9</f>
        <v>CUSTOMER</v>
      </c>
      <c r="G755" s="355" t="str">
        <f>$G$9</f>
        <v>RESIDENTIAL</v>
      </c>
      <c r="H755" s="355" t="str">
        <f>$H$9</f>
        <v>GEN SERV</v>
      </c>
      <c r="I755" s="346" t="str">
        <f>$I$9</f>
        <v>FIRM TRANS</v>
      </c>
      <c r="J755" s="346" t="str">
        <f>$J$9</f>
        <v>TRANS</v>
      </c>
      <c r="K755" s="346" t="s">
        <v>341</v>
      </c>
      <c r="L755" s="592" t="s">
        <v>340</v>
      </c>
      <c r="M755" s="196"/>
      <c r="N755" s="196"/>
      <c r="P755" s="663"/>
      <c r="Q755" s="196"/>
    </row>
    <row r="756" spans="1:17">
      <c r="C756" s="846" t="s">
        <v>562</v>
      </c>
      <c r="E756" s="633">
        <v>1</v>
      </c>
      <c r="F756" s="820">
        <v>2</v>
      </c>
      <c r="G756" s="633">
        <v>3</v>
      </c>
      <c r="H756" s="633">
        <v>4</v>
      </c>
      <c r="I756" s="633">
        <v>5</v>
      </c>
      <c r="J756" s="633">
        <v>6</v>
      </c>
      <c r="K756" s="353"/>
      <c r="M756" s="196"/>
      <c r="N756" s="196"/>
      <c r="P756" s="664"/>
    </row>
    <row r="757" spans="1:17">
      <c r="A757" s="344">
        <v>1</v>
      </c>
      <c r="B757" s="605"/>
      <c r="C757" s="660" t="s">
        <v>1022</v>
      </c>
      <c r="D757" s="725" t="s">
        <v>1013</v>
      </c>
      <c r="E757" s="716"/>
      <c r="F757" s="349">
        <f t="shared" ref="F757:K757" si="191">F771</f>
        <v>137525457</v>
      </c>
      <c r="G757" s="349">
        <f t="shared" si="191"/>
        <v>121621329</v>
      </c>
      <c r="H757" s="349">
        <f t="shared" si="191"/>
        <v>15083840</v>
      </c>
      <c r="I757" s="349">
        <f t="shared" si="191"/>
        <v>295100</v>
      </c>
      <c r="J757" s="349">
        <f t="shared" si="191"/>
        <v>525188</v>
      </c>
      <c r="K757" s="349">
        <f t="shared" si="191"/>
        <v>137525457</v>
      </c>
      <c r="L757" s="349">
        <f t="shared" ref="L757:L764" si="192">F757-K757</f>
        <v>0</v>
      </c>
      <c r="M757" s="196"/>
      <c r="N757" s="196"/>
      <c r="P757" s="667"/>
      <c r="Q757" s="605"/>
    </row>
    <row r="758" spans="1:17">
      <c r="A758" s="344">
        <v>2</v>
      </c>
      <c r="B758" s="196"/>
      <c r="C758" s="497" t="s">
        <v>355</v>
      </c>
      <c r="D758" s="589"/>
      <c r="E758" s="714" t="str">
        <f>'FR-16(7)(v)-1 Functional'!$E$758</f>
        <v>K667</v>
      </c>
      <c r="F758" s="649">
        <v>1</v>
      </c>
      <c r="G758" s="356">
        <f>IF($L757=0,F758-SUM(H758:J758),ROUND(G757/$F757,5))</f>
        <v>0.88434999999999997</v>
      </c>
      <c r="H758" s="356">
        <f>IF($F757=0,0,ROUND(H757/$F757,5))</f>
        <v>0.10968</v>
      </c>
      <c r="I758" s="356">
        <f>IF($F757=0,0,ROUND(I757/$F757,5))</f>
        <v>2.15E-3</v>
      </c>
      <c r="J758" s="356">
        <f>IF($F757=0,0,ROUND(J757/$F757,5))</f>
        <v>3.82E-3</v>
      </c>
      <c r="K758" s="356">
        <f>SUM(G758:J758)</f>
        <v>1</v>
      </c>
      <c r="L758" s="356">
        <f t="shared" si="192"/>
        <v>0</v>
      </c>
      <c r="M758" s="196"/>
      <c r="N758" s="196"/>
      <c r="P758" s="665">
        <f>K758</f>
        <v>1</v>
      </c>
      <c r="Q758" s="196"/>
    </row>
    <row r="759" spans="1:17">
      <c r="A759" s="344">
        <v>3</v>
      </c>
      <c r="B759" s="605"/>
      <c r="C759" s="660" t="s">
        <v>1031</v>
      </c>
      <c r="D759" s="725" t="s">
        <v>1013</v>
      </c>
      <c r="E759" s="729"/>
      <c r="F759" s="349">
        <f t="shared" ref="F759:K759" si="193">F778</f>
        <v>33539867</v>
      </c>
      <c r="G759" s="349">
        <f t="shared" si="193"/>
        <v>25590691</v>
      </c>
      <c r="H759" s="349">
        <f t="shared" si="193"/>
        <v>7561246</v>
      </c>
      <c r="I759" s="349">
        <f t="shared" si="193"/>
        <v>271403</v>
      </c>
      <c r="J759" s="349">
        <f t="shared" si="193"/>
        <v>116527</v>
      </c>
      <c r="K759" s="349">
        <f t="shared" si="193"/>
        <v>33539867</v>
      </c>
      <c r="L759" s="349">
        <f t="shared" si="192"/>
        <v>0</v>
      </c>
      <c r="M759" s="196"/>
      <c r="N759" s="196"/>
      <c r="P759" s="667"/>
      <c r="Q759" s="605"/>
    </row>
    <row r="760" spans="1:17">
      <c r="A760" s="344">
        <v>4</v>
      </c>
      <c r="B760" s="196"/>
      <c r="C760" s="497" t="s">
        <v>355</v>
      </c>
      <c r="D760" s="589"/>
      <c r="E760" s="714" t="str">
        <f>'FR-16(7)(v)-1 Functional'!$E$760</f>
        <v>K697</v>
      </c>
      <c r="F760" s="649">
        <v>1</v>
      </c>
      <c r="G760" s="356">
        <f>IF($L759=0,F760-SUM(H760:J760),ROUND(G759/$F759,5))</f>
        <v>0.76300000000000001</v>
      </c>
      <c r="H760" s="356">
        <f>IF($F759=0,0,ROUND(H759/$F759,5))</f>
        <v>0.22544</v>
      </c>
      <c r="I760" s="356">
        <f>IF($F759=0,0,ROUND(I759/$F759,5))</f>
        <v>8.09E-3</v>
      </c>
      <c r="J760" s="356">
        <f>IF($F759=0,0,ROUND(J759/$F759,5))</f>
        <v>3.47E-3</v>
      </c>
      <c r="K760" s="356">
        <f>SUM(G760:J760)</f>
        <v>1</v>
      </c>
      <c r="L760" s="356">
        <f t="shared" si="192"/>
        <v>0</v>
      </c>
      <c r="M760" s="196"/>
      <c r="N760" s="196"/>
      <c r="P760" s="665">
        <f>K760</f>
        <v>1</v>
      </c>
      <c r="Q760" s="196"/>
    </row>
    <row r="761" spans="1:17">
      <c r="A761" s="344">
        <v>5</v>
      </c>
      <c r="B761" s="606"/>
      <c r="C761" s="660" t="s">
        <v>108</v>
      </c>
      <c r="D761" s="725" t="s">
        <v>1013</v>
      </c>
      <c r="E761" s="729"/>
      <c r="F761" s="349">
        <f>'FR-16(7)(v)-3 PROD Comm Alloc'!F761</f>
        <v>95287873</v>
      </c>
      <c r="G761" s="349">
        <f>'FR-16(7)(v)-3 PROD Comm Alloc'!G761</f>
        <v>65522695</v>
      </c>
      <c r="H761" s="349">
        <f>'FR-16(7)(v)-3 PROD Comm Alloc'!H761</f>
        <v>23198247</v>
      </c>
      <c r="I761" s="349">
        <f>'FR-16(7)(v)-3 PROD Comm Alloc'!I761</f>
        <v>5042683</v>
      </c>
      <c r="J761" s="349">
        <f>'FR-16(7)(v)-3 PROD Comm Alloc'!J761</f>
        <v>1524248</v>
      </c>
      <c r="K761" s="347">
        <f>SUM(G761:J761)</f>
        <v>95287873</v>
      </c>
      <c r="L761" s="349">
        <f t="shared" si="192"/>
        <v>0</v>
      </c>
      <c r="M761" s="196"/>
      <c r="N761" s="196"/>
      <c r="P761" s="666"/>
      <c r="Q761" s="606"/>
    </row>
    <row r="762" spans="1:17">
      <c r="A762" s="344">
        <v>6</v>
      </c>
      <c r="B762" s="196"/>
      <c r="C762" s="497" t="s">
        <v>355</v>
      </c>
      <c r="D762" s="589"/>
      <c r="E762" s="714" t="str">
        <f>'FR-16(7)(v)-1 Functional'!$E$762</f>
        <v>K901</v>
      </c>
      <c r="F762" s="649">
        <v>1</v>
      </c>
      <c r="G762" s="356">
        <f>IF($L761=0,F762-SUM(H762:J762),ROUND(G761/$F761,5))</f>
        <v>0.68762889699999996</v>
      </c>
      <c r="H762" s="356">
        <f>IF($F761=0,0,ROUND(H761/$F761,9))</f>
        <v>0.24345434799999999</v>
      </c>
      <c r="I762" s="356">
        <f>IF($F761=0,0,ROUND(I761/$F761,9))</f>
        <v>5.2920512000000003E-2</v>
      </c>
      <c r="J762" s="356">
        <f>IF($F761=0,0,ROUND(J761/$F761,9))</f>
        <v>1.5996243E-2</v>
      </c>
      <c r="K762" s="356">
        <f>SUM(G762:J762)</f>
        <v>1</v>
      </c>
      <c r="L762" s="356">
        <f t="shared" si="192"/>
        <v>0</v>
      </c>
      <c r="M762" s="196"/>
      <c r="N762" s="196"/>
      <c r="P762" s="665">
        <f>K762</f>
        <v>1</v>
      </c>
      <c r="Q762" s="196"/>
    </row>
    <row r="763" spans="1:17">
      <c r="A763" s="344">
        <v>7</v>
      </c>
      <c r="C763" s="660" t="s">
        <v>850</v>
      </c>
      <c r="D763" s="725" t="s">
        <v>1013</v>
      </c>
      <c r="E763" s="729"/>
      <c r="F763" s="349">
        <f>'FR-16(7)(v)-3 PROD Comm Alloc'!F763</f>
        <v>95287873</v>
      </c>
      <c r="G763" s="349">
        <f>'FR-16(7)(v)-3 PROD Comm Alloc'!G763</f>
        <v>65522695</v>
      </c>
      <c r="H763" s="349">
        <f>'FR-16(7)(v)-3 PROD Comm Alloc'!H763</f>
        <v>23198247</v>
      </c>
      <c r="I763" s="349">
        <f>'FR-16(7)(v)-3 PROD Comm Alloc'!I763</f>
        <v>5042683</v>
      </c>
      <c r="J763" s="349">
        <f>'FR-16(7)(v)-3 PROD Comm Alloc'!J763</f>
        <v>1524248</v>
      </c>
      <c r="K763" s="347">
        <f>SUM(G763:J763)</f>
        <v>95287873</v>
      </c>
      <c r="L763" s="349">
        <f t="shared" si="192"/>
        <v>0</v>
      </c>
      <c r="M763" s="196"/>
      <c r="N763" s="196"/>
    </row>
    <row r="764" spans="1:17">
      <c r="A764" s="344">
        <v>8</v>
      </c>
      <c r="C764" s="497" t="s">
        <v>355</v>
      </c>
      <c r="D764" s="589"/>
      <c r="E764" s="714" t="s">
        <v>1201</v>
      </c>
      <c r="F764" s="649">
        <v>1</v>
      </c>
      <c r="G764" s="356">
        <f>IF($L763=0,F764-SUM(H764:J764),ROUND(G763/$F763,5))</f>
        <v>0.68762889699999996</v>
      </c>
      <c r="H764" s="356">
        <f>IF($F763=0,0,ROUND(H763/$F763,9))</f>
        <v>0.24345434799999999</v>
      </c>
      <c r="I764" s="356">
        <f>IF($F763=0,0,ROUND(I763/$F763,9))</f>
        <v>5.2920512000000003E-2</v>
      </c>
      <c r="J764" s="356">
        <f>IF($F763=0,0,ROUND(J763/$F763,9))</f>
        <v>1.5996243E-2</v>
      </c>
      <c r="K764" s="356">
        <f>SUM(G764:J764)</f>
        <v>1</v>
      </c>
      <c r="L764" s="356">
        <f t="shared" si="192"/>
        <v>0</v>
      </c>
      <c r="M764" s="196"/>
      <c r="N764" s="196"/>
    </row>
    <row r="765" spans="1:17">
      <c r="A765" s="344">
        <v>9</v>
      </c>
      <c r="E765" s="746"/>
      <c r="F765" s="353"/>
      <c r="G765" s="353"/>
      <c r="H765" s="353"/>
      <c r="J765" s="353"/>
      <c r="K765" s="353"/>
      <c r="L765" s="353"/>
      <c r="M765" s="196"/>
      <c r="N765" s="196"/>
    </row>
    <row r="766" spans="1:17">
      <c r="A766" s="344">
        <v>10</v>
      </c>
      <c r="B766" s="708" t="s">
        <v>92</v>
      </c>
      <c r="C766" s="709"/>
      <c r="D766" s="726"/>
      <c r="E766" s="729"/>
      <c r="F766" s="625"/>
      <c r="G766" s="625"/>
      <c r="H766" s="625"/>
      <c r="I766" s="625"/>
      <c r="J766" s="625"/>
      <c r="K766" s="625"/>
      <c r="L766" s="625"/>
      <c r="M766" s="196"/>
      <c r="N766" s="196"/>
      <c r="P766" s="668"/>
      <c r="Q766" s="599"/>
    </row>
    <row r="767" spans="1:17">
      <c r="A767" s="344">
        <v>11</v>
      </c>
      <c r="B767" s="659"/>
      <c r="C767" s="660" t="s">
        <v>1025</v>
      </c>
      <c r="D767" s="725"/>
      <c r="E767" s="729"/>
      <c r="F767" s="349">
        <f>'FR-16(7)(v)-4 DISTR Classified'!$I$71</f>
        <v>45351465</v>
      </c>
      <c r="G767" s="349">
        <f t="shared" ref="G767:K768" si="194">G71</f>
        <v>42098858</v>
      </c>
      <c r="H767" s="349">
        <f t="shared" si="194"/>
        <v>3198639</v>
      </c>
      <c r="I767" s="349">
        <f t="shared" si="194"/>
        <v>43991</v>
      </c>
      <c r="J767" s="349">
        <f t="shared" si="194"/>
        <v>9977</v>
      </c>
      <c r="K767" s="349">
        <f t="shared" si="194"/>
        <v>45351465</v>
      </c>
      <c r="L767" s="349">
        <f>F767-K767</f>
        <v>0</v>
      </c>
      <c r="M767" s="196"/>
      <c r="N767" s="196"/>
      <c r="P767" s="668"/>
      <c r="Q767" s="599"/>
    </row>
    <row r="768" spans="1:17">
      <c r="A768" s="344">
        <v>12</v>
      </c>
      <c r="B768" s="659"/>
      <c r="C768" s="660" t="s">
        <v>1026</v>
      </c>
      <c r="D768" s="725"/>
      <c r="E768" s="713"/>
      <c r="F768" s="349">
        <f>'FR-16(7)(v)-4 DISTR Classified'!$I$72</f>
        <v>163028490</v>
      </c>
      <c r="G768" s="349">
        <f t="shared" si="194"/>
        <v>142322242</v>
      </c>
      <c r="H768" s="349">
        <f t="shared" si="194"/>
        <v>19532443</v>
      </c>
      <c r="I768" s="349">
        <f t="shared" si="194"/>
        <v>399420</v>
      </c>
      <c r="J768" s="349">
        <f t="shared" si="194"/>
        <v>774385</v>
      </c>
      <c r="K768" s="349">
        <f t="shared" si="194"/>
        <v>163028490</v>
      </c>
      <c r="L768" s="349">
        <f>F768-K768</f>
        <v>0</v>
      </c>
      <c r="M768" s="599"/>
      <c r="N768" s="196"/>
      <c r="P768" s="668"/>
      <c r="Q768" s="599"/>
    </row>
    <row r="769" spans="1:17">
      <c r="A769" s="344">
        <v>13</v>
      </c>
      <c r="B769" s="659"/>
      <c r="C769" s="660" t="s">
        <v>1023</v>
      </c>
      <c r="D769" s="725"/>
      <c r="E769" s="713"/>
      <c r="F769" s="349">
        <f>-'FR-16(7)(v)-4 DISTR Classified'!$I$125</f>
        <v>-17082681</v>
      </c>
      <c r="G769" s="349">
        <f t="shared" ref="G769:K770" si="195">-G125</f>
        <v>-15857512</v>
      </c>
      <c r="H769" s="349">
        <f t="shared" si="195"/>
        <v>-1204841</v>
      </c>
      <c r="I769" s="349">
        <f t="shared" si="195"/>
        <v>-16570</v>
      </c>
      <c r="J769" s="349">
        <f t="shared" si="195"/>
        <v>-3758</v>
      </c>
      <c r="K769" s="349">
        <f t="shared" si="195"/>
        <v>-17082681</v>
      </c>
      <c r="L769" s="349">
        <f>F769-K769</f>
        <v>0</v>
      </c>
      <c r="M769" s="599"/>
      <c r="N769" s="196"/>
      <c r="P769" s="668"/>
      <c r="Q769" s="599"/>
    </row>
    <row r="770" spans="1:17">
      <c r="A770" s="344">
        <v>14</v>
      </c>
      <c r="B770" s="659"/>
      <c r="C770" s="660" t="s">
        <v>1024</v>
      </c>
      <c r="D770" s="725"/>
      <c r="E770" s="717"/>
      <c r="F770" s="349">
        <f>-'FR-16(7)(v)-4 DISTR Classified'!$I$126</f>
        <v>-53771817</v>
      </c>
      <c r="G770" s="670">
        <f t="shared" si="195"/>
        <v>-46942259</v>
      </c>
      <c r="H770" s="670">
        <f t="shared" si="195"/>
        <v>-6442401</v>
      </c>
      <c r="I770" s="670">
        <f t="shared" si="195"/>
        <v>-131741</v>
      </c>
      <c r="J770" s="670">
        <f t="shared" si="195"/>
        <v>-255416</v>
      </c>
      <c r="K770" s="670">
        <f t="shared" si="195"/>
        <v>-53771817</v>
      </c>
      <c r="L770" s="349">
        <f>F770-K770</f>
        <v>0</v>
      </c>
      <c r="M770" s="599"/>
      <c r="N770" s="196"/>
      <c r="P770" s="668"/>
      <c r="Q770" s="599"/>
    </row>
    <row r="771" spans="1:17">
      <c r="A771" s="344">
        <v>15</v>
      </c>
      <c r="B771" s="659"/>
      <c r="C771" s="710" t="s">
        <v>1033</v>
      </c>
      <c r="D771" s="725"/>
      <c r="E771" s="713"/>
      <c r="F771" s="765">
        <f t="shared" ref="F771:L771" si="196">SUM(F767:F770)</f>
        <v>137525457</v>
      </c>
      <c r="G771" s="765">
        <f t="shared" si="196"/>
        <v>121621329</v>
      </c>
      <c r="H771" s="765">
        <f t="shared" si="196"/>
        <v>15083840</v>
      </c>
      <c r="I771" s="765">
        <f t="shared" si="196"/>
        <v>295100</v>
      </c>
      <c r="J771" s="765">
        <f t="shared" si="196"/>
        <v>525188</v>
      </c>
      <c r="K771" s="765">
        <f t="shared" si="196"/>
        <v>137525457</v>
      </c>
      <c r="L771" s="765">
        <f t="shared" si="196"/>
        <v>0</v>
      </c>
      <c r="M771" s="599"/>
      <c r="N771" s="196"/>
      <c r="P771" s="668"/>
      <c r="Q771" s="599"/>
    </row>
    <row r="772" spans="1:17">
      <c r="A772" s="344">
        <v>16</v>
      </c>
      <c r="B772" s="659"/>
      <c r="C772" s="659"/>
      <c r="D772" s="713"/>
      <c r="E772" s="713"/>
      <c r="F772" s="353"/>
      <c r="G772" s="353"/>
      <c r="H772" s="353"/>
      <c r="J772" s="353"/>
      <c r="K772" s="353"/>
      <c r="L772" s="353"/>
      <c r="M772" s="599"/>
      <c r="N772" s="196"/>
      <c r="P772" s="668"/>
      <c r="Q772" s="599"/>
    </row>
    <row r="773" spans="1:17">
      <c r="A773" s="344">
        <v>17</v>
      </c>
      <c r="B773" s="711" t="s">
        <v>93</v>
      </c>
      <c r="C773" s="616"/>
      <c r="D773" s="713"/>
      <c r="E773" s="713"/>
      <c r="F773" s="353"/>
      <c r="G773" s="353"/>
      <c r="H773" s="353"/>
      <c r="J773" s="353"/>
      <c r="K773" s="353"/>
      <c r="L773" s="353"/>
      <c r="M773" s="599"/>
      <c r="N773" s="196"/>
      <c r="P773" s="668"/>
      <c r="Q773" s="599"/>
    </row>
    <row r="774" spans="1:17">
      <c r="A774" s="344">
        <v>18</v>
      </c>
      <c r="B774" s="659"/>
      <c r="C774" s="660" t="s">
        <v>1027</v>
      </c>
      <c r="D774" s="713"/>
      <c r="E774" s="713"/>
      <c r="F774" s="349">
        <f>'FR-16(7)(v)-4 DISTR Classified'!$I$73</f>
        <v>23257250</v>
      </c>
      <c r="G774" s="349">
        <f>G73</f>
        <v>18414161</v>
      </c>
      <c r="H774" s="349">
        <f>H73</f>
        <v>4564235</v>
      </c>
      <c r="I774" s="349">
        <f>I73</f>
        <v>187686</v>
      </c>
      <c r="J774" s="349">
        <f>J73</f>
        <v>91168</v>
      </c>
      <c r="K774" s="349">
        <f>K73</f>
        <v>23257250</v>
      </c>
      <c r="L774" s="349">
        <f>F774-K774</f>
        <v>0</v>
      </c>
      <c r="M774" s="599"/>
      <c r="N774" s="196"/>
      <c r="P774" s="668"/>
      <c r="Q774" s="599"/>
    </row>
    <row r="775" spans="1:17">
      <c r="A775" s="344">
        <v>19</v>
      </c>
      <c r="B775" s="659"/>
      <c r="C775" s="660" t="s">
        <v>1028</v>
      </c>
      <c r="D775" s="713"/>
      <c r="E775" s="713"/>
      <c r="F775" s="349">
        <f>'FR-16(7)(v)-4 DISTR Classified'!$I$75</f>
        <v>12497082</v>
      </c>
      <c r="G775" s="349">
        <f>G75</f>
        <v>8257323</v>
      </c>
      <c r="H775" s="349">
        <f>H75</f>
        <v>4114039</v>
      </c>
      <c r="I775" s="349">
        <f>I75</f>
        <v>102101</v>
      </c>
      <c r="J775" s="349">
        <f>J75</f>
        <v>23619</v>
      </c>
      <c r="K775" s="349">
        <f>K75</f>
        <v>12497082</v>
      </c>
      <c r="L775" s="349">
        <f>F775-K775</f>
        <v>0</v>
      </c>
      <c r="M775" s="599"/>
      <c r="N775" s="196"/>
      <c r="P775" s="668"/>
      <c r="Q775" s="599"/>
    </row>
    <row r="776" spans="1:17">
      <c r="A776" s="344">
        <v>20</v>
      </c>
      <c r="B776" s="659"/>
      <c r="C776" s="660" t="s">
        <v>1029</v>
      </c>
      <c r="D776" s="713"/>
      <c r="E776" s="713"/>
      <c r="F776" s="349">
        <f>-'FR-16(7)(v)-4 DISTR Classified'!$I$127</f>
        <v>2918585</v>
      </c>
      <c r="G776" s="349">
        <f>-G127</f>
        <v>2310819</v>
      </c>
      <c r="H776" s="349">
        <f>-H127</f>
        <v>572772</v>
      </c>
      <c r="I776" s="349">
        <f>-I127</f>
        <v>23553</v>
      </c>
      <c r="J776" s="349">
        <f>-J127</f>
        <v>11441</v>
      </c>
      <c r="K776" s="349">
        <f>-K127</f>
        <v>2918585</v>
      </c>
      <c r="L776" s="349">
        <f>F776-K776</f>
        <v>0</v>
      </c>
      <c r="M776" s="599"/>
      <c r="N776" s="196"/>
      <c r="P776" s="668"/>
      <c r="Q776" s="599"/>
    </row>
    <row r="777" spans="1:17">
      <c r="A777" s="344">
        <v>21</v>
      </c>
      <c r="B777" s="659"/>
      <c r="C777" s="660" t="s">
        <v>1030</v>
      </c>
      <c r="D777" s="713"/>
      <c r="E777" s="713"/>
      <c r="F777" s="349">
        <f>-'FR-16(7)(v)-4 DISTR Classified'!$I$129</f>
        <v>-5133050</v>
      </c>
      <c r="G777" s="670">
        <f>-G129</f>
        <v>-3391612</v>
      </c>
      <c r="H777" s="670">
        <f>-H129</f>
        <v>-1689800</v>
      </c>
      <c r="I777" s="670">
        <f>-I129</f>
        <v>-41937</v>
      </c>
      <c r="J777" s="670">
        <f>-J129</f>
        <v>-9701</v>
      </c>
      <c r="K777" s="670">
        <f>-K129</f>
        <v>-5133050</v>
      </c>
      <c r="L777" s="349">
        <f>F777-K777</f>
        <v>0</v>
      </c>
      <c r="M777" s="599"/>
      <c r="N777" s="196"/>
      <c r="P777" s="668"/>
      <c r="Q777" s="599"/>
    </row>
    <row r="778" spans="1:17">
      <c r="A778" s="344">
        <v>22</v>
      </c>
      <c r="B778" s="659"/>
      <c r="C778" s="710" t="s">
        <v>1034</v>
      </c>
      <c r="D778" s="713"/>
      <c r="E778" s="713"/>
      <c r="F778" s="764">
        <f t="shared" ref="F778:L778" si="197">SUM(F774:F777)</f>
        <v>33539867</v>
      </c>
      <c r="G778" s="764">
        <f t="shared" si="197"/>
        <v>25590691</v>
      </c>
      <c r="H778" s="765">
        <f t="shared" si="197"/>
        <v>7561246</v>
      </c>
      <c r="I778" s="765">
        <f t="shared" si="197"/>
        <v>271403</v>
      </c>
      <c r="J778" s="765">
        <f t="shared" si="197"/>
        <v>116527</v>
      </c>
      <c r="K778" s="765">
        <f t="shared" si="197"/>
        <v>33539867</v>
      </c>
      <c r="L778" s="764">
        <f t="shared" si="197"/>
        <v>0</v>
      </c>
      <c r="M778" s="599"/>
      <c r="N778" s="196"/>
      <c r="P778" s="668"/>
      <c r="Q778" s="599"/>
    </row>
    <row r="779" spans="1:17">
      <c r="A779" s="344">
        <v>23</v>
      </c>
      <c r="E779" s="333"/>
      <c r="H779" s="353"/>
      <c r="J779" s="353"/>
      <c r="K779" s="353"/>
      <c r="N779" s="196"/>
    </row>
    <row r="780" spans="1:17">
      <c r="A780" s="344">
        <v>24</v>
      </c>
      <c r="B780" s="631" t="s">
        <v>94</v>
      </c>
      <c r="C780" s="196"/>
      <c r="D780" s="718"/>
      <c r="E780" s="718"/>
      <c r="F780" s="632"/>
      <c r="G780" s="632"/>
      <c r="H780" s="633"/>
      <c r="I780" s="633"/>
      <c r="J780" s="633"/>
      <c r="K780" s="633"/>
      <c r="L780" s="632"/>
      <c r="M780" s="196"/>
      <c r="N780" s="196"/>
      <c r="P780" s="663"/>
      <c r="Q780" s="196"/>
    </row>
    <row r="781" spans="1:17">
      <c r="A781" s="344">
        <v>25</v>
      </c>
      <c r="B781" s="597" t="s">
        <v>95</v>
      </c>
      <c r="C781" s="634"/>
      <c r="D781" s="719"/>
      <c r="E781" s="719"/>
      <c r="F781" s="510"/>
      <c r="G781" s="510"/>
      <c r="H781" s="490"/>
      <c r="I781" s="490"/>
      <c r="J781" s="510"/>
      <c r="K781" s="510"/>
      <c r="L781" s="510"/>
      <c r="M781" s="196"/>
      <c r="N781" s="196"/>
      <c r="P781" s="663"/>
      <c r="Q781" s="196"/>
    </row>
    <row r="782" spans="1:17">
      <c r="A782" s="344">
        <v>26</v>
      </c>
      <c r="B782" s="196"/>
      <c r="C782" s="587" t="s">
        <v>230</v>
      </c>
      <c r="D782" s="725" t="s">
        <v>1013</v>
      </c>
      <c r="E782" s="714" t="str">
        <f>'FR-16(7)(v)-1 Functional'!$E$782</f>
        <v>P129</v>
      </c>
      <c r="F782" s="1083">
        <v>0</v>
      </c>
      <c r="G782" s="1082">
        <f>F782-SUM(H782:J782)</f>
        <v>0</v>
      </c>
      <c r="H782" s="1082">
        <f>ROUND(IF($F$59=0,0,$H$59/$F$59),5)</f>
        <v>0</v>
      </c>
      <c r="I782" s="1082">
        <f>ROUND(IF($F$59=0,0,$I$59/$F$59),5)</f>
        <v>0</v>
      </c>
      <c r="J782" s="1082">
        <f>ROUND(IF($F$59=0,0,$J$59/$F$59),5)</f>
        <v>0</v>
      </c>
      <c r="K782" s="1082">
        <f t="shared" ref="K782:K789" si="198">SUM(G782:J782)</f>
        <v>0</v>
      </c>
      <c r="L782" s="1082">
        <f t="shared" ref="L782:L789" si="199">F782-K782</f>
        <v>0</v>
      </c>
      <c r="M782" s="196"/>
      <c r="N782" s="196"/>
      <c r="P782" s="665">
        <f t="shared" ref="P782:P789" si="200">K782</f>
        <v>0</v>
      </c>
      <c r="Q782" s="196"/>
    </row>
    <row r="783" spans="1:17">
      <c r="A783" s="344">
        <v>27</v>
      </c>
      <c r="B783" s="196"/>
      <c r="C783" s="587" t="s">
        <v>231</v>
      </c>
      <c r="D783" s="725" t="s">
        <v>1013</v>
      </c>
      <c r="E783" s="714" t="str">
        <f>'FR-16(7)(v)-1 Functional'!$E$783</f>
        <v>D149</v>
      </c>
      <c r="F783" s="648">
        <v>1</v>
      </c>
      <c r="G783" s="356">
        <f>F783-SUM(H783:J783)</f>
        <v>0.86465999999999998</v>
      </c>
      <c r="H783" s="356">
        <f>ROUND(IF($F$78=0,0,H78/$F$78),5)</f>
        <v>0.12866</v>
      </c>
      <c r="I783" s="356">
        <f>ROUND(IF($F$78=0,0,I78/$F$78),5)</f>
        <v>3.0000000000000001E-3</v>
      </c>
      <c r="J783" s="356">
        <f>ROUND(IF($F$78=0,0,J78/$F$78),5)</f>
        <v>3.6800000000000001E-3</v>
      </c>
      <c r="K783" s="356">
        <f t="shared" si="198"/>
        <v>1</v>
      </c>
      <c r="L783" s="350">
        <f t="shared" si="199"/>
        <v>0</v>
      </c>
      <c r="M783" s="196"/>
      <c r="N783" s="196"/>
      <c r="P783" s="665">
        <f t="shared" si="200"/>
        <v>1</v>
      </c>
      <c r="Q783" s="196"/>
    </row>
    <row r="784" spans="1:17">
      <c r="A784" s="344">
        <v>28</v>
      </c>
      <c r="B784" s="196"/>
      <c r="C784" s="587" t="s">
        <v>232</v>
      </c>
      <c r="D784" s="725" t="s">
        <v>1013</v>
      </c>
      <c r="E784" s="714" t="str">
        <f>'FR-16(7)(v)-1 Functional'!$E$784</f>
        <v>PD29</v>
      </c>
      <c r="F784" s="648">
        <v>1</v>
      </c>
      <c r="G784" s="356">
        <f t="shared" ref="G784:G789" si="201">F784-SUM(H784:J784)</f>
        <v>0.86465999999999998</v>
      </c>
      <c r="H784" s="356">
        <f>ROUND(IF($F$81=0,0,H81/$F$81),5)</f>
        <v>0.12866</v>
      </c>
      <c r="I784" s="356">
        <f>ROUND(IF($F$81=0,0,I81/$F$81),5)</f>
        <v>3.0000000000000001E-3</v>
      </c>
      <c r="J784" s="356">
        <f>ROUND(IF($F$81=0,0,J81/$F$81),5)</f>
        <v>3.6800000000000001E-3</v>
      </c>
      <c r="K784" s="356">
        <f t="shared" si="198"/>
        <v>1</v>
      </c>
      <c r="L784" s="350">
        <f t="shared" si="199"/>
        <v>0</v>
      </c>
      <c r="M784" s="196"/>
      <c r="N784" s="196"/>
      <c r="P784" s="665">
        <f t="shared" si="200"/>
        <v>1</v>
      </c>
      <c r="Q784" s="196"/>
    </row>
    <row r="785" spans="1:17">
      <c r="A785" s="344">
        <v>29</v>
      </c>
      <c r="B785" s="196"/>
      <c r="C785" s="587" t="s">
        <v>233</v>
      </c>
      <c r="D785" s="725" t="s">
        <v>1013</v>
      </c>
      <c r="E785" s="714" t="str">
        <f>'FR-16(7)(v)-1 Functional'!$E$785</f>
        <v>G129</v>
      </c>
      <c r="F785" s="648">
        <v>1</v>
      </c>
      <c r="G785" s="356">
        <f t="shared" si="201"/>
        <v>0.85687000000000002</v>
      </c>
      <c r="H785" s="356">
        <f>ROUND(IF($F$90=0,0,H90/$F$90),5)</f>
        <v>0.12884000000000001</v>
      </c>
      <c r="I785" s="356">
        <f>ROUND(IF($F$90=0,0,I90/$F$90),5)</f>
        <v>1.051E-2</v>
      </c>
      <c r="J785" s="356">
        <f>ROUND(IF($F$90=0,0,J90/$F$90),5)</f>
        <v>3.7799999999999999E-3</v>
      </c>
      <c r="K785" s="356">
        <f t="shared" si="198"/>
        <v>1</v>
      </c>
      <c r="L785" s="350">
        <f t="shared" si="199"/>
        <v>0</v>
      </c>
      <c r="M785" s="196"/>
      <c r="N785" s="196"/>
      <c r="P785" s="665">
        <f t="shared" si="200"/>
        <v>1</v>
      </c>
      <c r="Q785" s="196"/>
    </row>
    <row r="786" spans="1:17">
      <c r="A786" s="344">
        <v>30</v>
      </c>
      <c r="B786" s="196"/>
      <c r="C786" s="587" t="s">
        <v>234</v>
      </c>
      <c r="D786" s="725" t="s">
        <v>1013</v>
      </c>
      <c r="E786" s="714" t="str">
        <f>'FR-16(7)(v)-1 Functional'!$E$786</f>
        <v>C129</v>
      </c>
      <c r="F786" s="648">
        <v>1</v>
      </c>
      <c r="G786" s="356">
        <f t="shared" si="201"/>
        <v>0.85687000000000002</v>
      </c>
      <c r="H786" s="356">
        <f>ROUND(IF($F$99=0,0,H99/$F$99),5)</f>
        <v>0.12884000000000001</v>
      </c>
      <c r="I786" s="356">
        <f>ROUND(IF($F$99=0,0,I99/$F$99),5)</f>
        <v>1.051E-2</v>
      </c>
      <c r="J786" s="356">
        <f>ROUND(IF($F$99=0,0,J99/$F$99),5)</f>
        <v>3.7799999999999999E-3</v>
      </c>
      <c r="K786" s="356">
        <f t="shared" si="198"/>
        <v>1</v>
      </c>
      <c r="L786" s="350">
        <f t="shared" si="199"/>
        <v>0</v>
      </c>
      <c r="M786" s="196"/>
      <c r="N786" s="196"/>
      <c r="P786" s="665">
        <f t="shared" si="200"/>
        <v>1</v>
      </c>
      <c r="Q786" s="196"/>
    </row>
    <row r="787" spans="1:17">
      <c r="A787" s="344">
        <v>31</v>
      </c>
      <c r="B787" s="196"/>
      <c r="C787" s="587" t="s">
        <v>235</v>
      </c>
      <c r="D787" s="725" t="s">
        <v>1013</v>
      </c>
      <c r="E787" s="714" t="str">
        <f>'FR-16(7)(v)-1 Functional'!$E$787</f>
        <v>GP19</v>
      </c>
      <c r="F787" s="648">
        <v>1</v>
      </c>
      <c r="G787" s="356">
        <f t="shared" si="201"/>
        <v>0.86407</v>
      </c>
      <c r="H787" s="356">
        <f>ROUND(IF($F$101=0,0,H101/$F$101),5)</f>
        <v>0.12867000000000001</v>
      </c>
      <c r="I787" s="356">
        <f>ROUND(IF($F$101=0,0,I101/$F$101),5)</f>
        <v>3.5699999999999998E-3</v>
      </c>
      <c r="J787" s="356">
        <f>ROUND(IF($F$101=0,0,J101/$F$101),5)</f>
        <v>3.6900000000000001E-3</v>
      </c>
      <c r="K787" s="356">
        <f t="shared" si="198"/>
        <v>0.99999999999999989</v>
      </c>
      <c r="L787" s="350">
        <f t="shared" si="199"/>
        <v>0</v>
      </c>
      <c r="M787" s="196"/>
      <c r="N787" s="196"/>
      <c r="P787" s="665">
        <f t="shared" si="200"/>
        <v>0.99999999999999989</v>
      </c>
      <c r="Q787" s="196"/>
    </row>
    <row r="788" spans="1:17">
      <c r="A788" s="344">
        <v>32</v>
      </c>
      <c r="B788" s="196"/>
      <c r="C788" s="587" t="s">
        <v>236</v>
      </c>
      <c r="D788" s="725" t="s">
        <v>1013</v>
      </c>
      <c r="E788" s="714" t="str">
        <f>'FR-16(7)(v)-1 Functional'!$E$788</f>
        <v>D199</v>
      </c>
      <c r="F788" s="648">
        <v>1</v>
      </c>
      <c r="G788" s="356">
        <f t="shared" si="201"/>
        <v>0.87424999999999997</v>
      </c>
      <c r="H788" s="356">
        <f>ROUND(IF($F$131=0,0,H131/$F$131),5)</f>
        <v>0.11995</v>
      </c>
      <c r="I788" s="356">
        <f>ROUND(IF($F$131=0,0,I131/$F$131),5)</f>
        <v>2.2799999999999999E-3</v>
      </c>
      <c r="J788" s="356">
        <f>ROUND(IF($F$131=0,0,J131/$F$131),5)</f>
        <v>3.5200000000000001E-3</v>
      </c>
      <c r="K788" s="356">
        <f t="shared" si="198"/>
        <v>0.99999999999999989</v>
      </c>
      <c r="L788" s="350">
        <f t="shared" si="199"/>
        <v>0</v>
      </c>
      <c r="M788" s="196"/>
      <c r="N788" s="196"/>
      <c r="P788" s="665">
        <f t="shared" si="200"/>
        <v>0.99999999999999989</v>
      </c>
      <c r="Q788" s="196"/>
    </row>
    <row r="789" spans="1:17">
      <c r="A789" s="344">
        <v>33</v>
      </c>
      <c r="B789" s="196"/>
      <c r="C789" s="587" t="s">
        <v>237</v>
      </c>
      <c r="D789" s="725" t="s">
        <v>1013</v>
      </c>
      <c r="E789" s="714" t="str">
        <f>'FR-16(7)(v)-1 Functional'!$E$789</f>
        <v>DR19</v>
      </c>
      <c r="F789" s="648">
        <v>1</v>
      </c>
      <c r="G789" s="356">
        <f t="shared" si="201"/>
        <v>0.87200999999999995</v>
      </c>
      <c r="H789" s="356">
        <f>ROUND(IF($F$151=0,0,H151/$F$151),5)</f>
        <v>0.12109</v>
      </c>
      <c r="I789" s="356">
        <f>ROUND(IF($F$151=0,0,I151/$F$151),5)</f>
        <v>3.3400000000000001E-3</v>
      </c>
      <c r="J789" s="356">
        <f>ROUND(IF($F$151=0,0,J151/$F$151),5)</f>
        <v>3.5599999999999998E-3</v>
      </c>
      <c r="K789" s="356">
        <f t="shared" si="198"/>
        <v>1</v>
      </c>
      <c r="L789" s="350">
        <f t="shared" si="199"/>
        <v>0</v>
      </c>
      <c r="M789" s="196"/>
      <c r="N789" s="196"/>
      <c r="P789" s="665">
        <f t="shared" si="200"/>
        <v>1</v>
      </c>
      <c r="Q789" s="196"/>
    </row>
    <row r="790" spans="1:17">
      <c r="A790" s="344">
        <v>34</v>
      </c>
      <c r="B790" s="196"/>
      <c r="C790" s="196"/>
      <c r="D790" s="344"/>
      <c r="E790" s="729"/>
      <c r="F790" s="648"/>
      <c r="G790" s="356"/>
      <c r="H790" s="356"/>
      <c r="I790" s="356"/>
      <c r="J790" s="356"/>
      <c r="K790" s="356"/>
      <c r="M790" s="196"/>
      <c r="N790" s="196"/>
      <c r="P790" s="663"/>
      <c r="Q790" s="196"/>
    </row>
    <row r="791" spans="1:17">
      <c r="A791" s="344">
        <v>35</v>
      </c>
      <c r="B791" s="587" t="s">
        <v>96</v>
      </c>
      <c r="C791" s="196"/>
      <c r="D791" s="344"/>
      <c r="E791" s="729"/>
      <c r="F791" s="648"/>
      <c r="G791" s="356"/>
      <c r="H791" s="356"/>
      <c r="I791" s="356"/>
      <c r="J791" s="356"/>
      <c r="K791" s="356"/>
      <c r="M791" s="196"/>
      <c r="N791" s="196"/>
      <c r="P791" s="663"/>
      <c r="Q791" s="196"/>
    </row>
    <row r="792" spans="1:17">
      <c r="A792" s="344">
        <v>36</v>
      </c>
      <c r="B792" s="196"/>
      <c r="C792" s="587" t="s">
        <v>238</v>
      </c>
      <c r="D792" s="725" t="s">
        <v>1013</v>
      </c>
      <c r="E792" s="714" t="str">
        <f>'FR-16(7)(v)-1 Functional'!$E$792</f>
        <v>P229</v>
      </c>
      <c r="F792" s="1083">
        <v>0</v>
      </c>
      <c r="G792" s="1082">
        <f>F792-SUM(H792:J792)</f>
        <v>0</v>
      </c>
      <c r="H792" s="1082">
        <f>ROUND(IF($F$166=0,0,H166/$F$166),5)</f>
        <v>0</v>
      </c>
      <c r="I792" s="1082">
        <f>ROUND(IF($F$166=0,0,I166/$F$166),5)</f>
        <v>0</v>
      </c>
      <c r="J792" s="1082">
        <f>ROUND(IF($F$166=0,0,J166/$F$166),5)</f>
        <v>0</v>
      </c>
      <c r="K792" s="1082">
        <f>SUM(G792:J792)</f>
        <v>0</v>
      </c>
      <c r="L792" s="1082">
        <f>F792-K792</f>
        <v>0</v>
      </c>
      <c r="M792" s="196"/>
      <c r="N792" s="196"/>
      <c r="P792" s="665">
        <f>K792</f>
        <v>0</v>
      </c>
      <c r="Q792" s="196"/>
    </row>
    <row r="793" spans="1:17">
      <c r="A793" s="344">
        <v>37</v>
      </c>
      <c r="B793" s="196"/>
      <c r="C793" s="587" t="s">
        <v>239</v>
      </c>
      <c r="D793" s="725" t="s">
        <v>1013</v>
      </c>
      <c r="E793" s="714" t="str">
        <f>'FR-16(7)(v)-1 Functional'!$E$793</f>
        <v>D249</v>
      </c>
      <c r="F793" s="648">
        <v>1</v>
      </c>
      <c r="G793" s="356">
        <f>F793-SUM(H793:J793)</f>
        <v>0.86055999999999999</v>
      </c>
      <c r="H793" s="356">
        <f>ROUND(IF($F$176=0,0,H176/$F$176),5)</f>
        <v>0.13238</v>
      </c>
      <c r="I793" s="356">
        <f>ROUND(IF($F$176=0,0,I176/$F$176),5)</f>
        <v>3.31E-3</v>
      </c>
      <c r="J793" s="356">
        <f>ROUND(IF($F$176=0,0,J176/$F$176),5)</f>
        <v>3.7499999999999999E-3</v>
      </c>
      <c r="K793" s="356">
        <f>SUM(G793:J793)</f>
        <v>1</v>
      </c>
      <c r="L793" s="350">
        <f>F793-K793</f>
        <v>0</v>
      </c>
      <c r="M793" s="196"/>
      <c r="N793" s="196"/>
      <c r="P793" s="665">
        <f>K793</f>
        <v>1</v>
      </c>
      <c r="Q793" s="196"/>
    </row>
    <row r="794" spans="1:17">
      <c r="A794" s="344">
        <v>38</v>
      </c>
      <c r="B794" s="196"/>
      <c r="C794" s="587" t="s">
        <v>240</v>
      </c>
      <c r="D794" s="725" t="s">
        <v>1013</v>
      </c>
      <c r="E794" s="714" t="str">
        <f>'FR-16(7)(v)-1 Functional'!$E$794</f>
        <v>G229</v>
      </c>
      <c r="F794" s="648">
        <v>1</v>
      </c>
      <c r="G794" s="356">
        <f>F794-SUM(H794:J794)</f>
        <v>0.85687000000000002</v>
      </c>
      <c r="H794" s="356">
        <f>ROUND(IF($F$184=0,0,H184/$F$184),5)</f>
        <v>0.12884000000000001</v>
      </c>
      <c r="I794" s="356">
        <f>ROUND(IF($F$184=0,0,I184/$F$184),5)</f>
        <v>1.051E-2</v>
      </c>
      <c r="J794" s="356">
        <f>ROUND(IF($F$184=0,0,J184/$F$184),5)</f>
        <v>3.7799999999999999E-3</v>
      </c>
      <c r="K794" s="356">
        <f>SUM(G794:J794)</f>
        <v>1</v>
      </c>
      <c r="L794" s="350">
        <f>F794-K794</f>
        <v>0</v>
      </c>
      <c r="M794" s="196"/>
      <c r="N794" s="196"/>
      <c r="P794" s="665">
        <f>K794</f>
        <v>1</v>
      </c>
      <c r="Q794" s="196"/>
    </row>
    <row r="795" spans="1:17">
      <c r="A795" s="344">
        <v>39</v>
      </c>
      <c r="B795" s="196"/>
      <c r="C795" s="587" t="s">
        <v>241</v>
      </c>
      <c r="D795" s="725" t="s">
        <v>1013</v>
      </c>
      <c r="E795" s="714" t="str">
        <f>'FR-16(7)(v)-1 Functional'!$E$795</f>
        <v>C229</v>
      </c>
      <c r="F795" s="648">
        <v>1</v>
      </c>
      <c r="G795" s="356">
        <f>F795-SUM(H795:J795)</f>
        <v>0.85687000000000002</v>
      </c>
      <c r="H795" s="356">
        <f>ROUND(IF($F$189=0,0,H189/$F$189),5)</f>
        <v>0.12884000000000001</v>
      </c>
      <c r="I795" s="356">
        <f>ROUND(IF($F$189=0,0,I189/$F$189),5)</f>
        <v>1.051E-2</v>
      </c>
      <c r="J795" s="356">
        <f>ROUND(IF($F$189=0,0,J189/$F$189),5)</f>
        <v>3.7799999999999999E-3</v>
      </c>
      <c r="K795" s="356">
        <f>SUM(G795:J795)</f>
        <v>1</v>
      </c>
      <c r="L795" s="350">
        <f>F795-K795</f>
        <v>0</v>
      </c>
      <c r="M795" s="196"/>
      <c r="N795" s="196"/>
      <c r="P795" s="665">
        <f>K795</f>
        <v>1</v>
      </c>
      <c r="Q795" s="196"/>
    </row>
    <row r="796" spans="1:17">
      <c r="A796" s="344">
        <v>40</v>
      </c>
      <c r="B796" s="196"/>
      <c r="C796" s="587" t="s">
        <v>242</v>
      </c>
      <c r="D796" s="725" t="s">
        <v>1013</v>
      </c>
      <c r="E796" s="714" t="str">
        <f>'FR-16(7)(v)-1 Functional'!$E$796</f>
        <v>NP29</v>
      </c>
      <c r="F796" s="648">
        <v>1</v>
      </c>
      <c r="G796" s="356">
        <f>F796-SUM(H796:J796)</f>
        <v>0.86038000000000003</v>
      </c>
      <c r="H796" s="356">
        <f>ROUND(IF($F$191=0,0,H191/$F$191),5)</f>
        <v>0.13219</v>
      </c>
      <c r="I796" s="356">
        <f>ROUND(IF($F$191=0,0,I191/$F$191),5)</f>
        <v>3.6800000000000001E-3</v>
      </c>
      <c r="J796" s="356">
        <f>ROUND(IF($F$191=0,0,J191/$F$191),5)</f>
        <v>3.7499999999999999E-3</v>
      </c>
      <c r="K796" s="356">
        <f>SUM(G796:J796)</f>
        <v>1</v>
      </c>
      <c r="L796" s="350">
        <f>F796-K796</f>
        <v>0</v>
      </c>
      <c r="M796" s="196"/>
      <c r="N796" s="196"/>
      <c r="P796" s="663"/>
      <c r="Q796" s="196"/>
    </row>
    <row r="797" spans="1:17">
      <c r="A797" s="344">
        <v>41</v>
      </c>
      <c r="B797" s="196"/>
      <c r="C797" s="587"/>
      <c r="D797" s="714"/>
      <c r="E797" s="734"/>
      <c r="F797" s="350"/>
      <c r="G797" s="356"/>
      <c r="H797" s="356"/>
      <c r="I797" s="356"/>
      <c r="J797" s="356"/>
      <c r="K797" s="356"/>
      <c r="L797" s="350"/>
      <c r="M797" s="196"/>
      <c r="N797" s="196"/>
      <c r="P797" s="663"/>
      <c r="Q797" s="196"/>
    </row>
    <row r="798" spans="1:17">
      <c r="A798" s="344">
        <v>42</v>
      </c>
      <c r="B798" s="587" t="s">
        <v>32</v>
      </c>
      <c r="C798" s="196"/>
      <c r="D798" s="344"/>
      <c r="E798" s="729"/>
      <c r="F798" s="350"/>
      <c r="G798" s="356"/>
      <c r="H798" s="356"/>
      <c r="I798" s="356"/>
      <c r="J798" s="356"/>
      <c r="K798" s="356"/>
      <c r="M798" s="196"/>
      <c r="N798" s="196"/>
      <c r="P798" s="663"/>
      <c r="Q798" s="196"/>
    </row>
    <row r="799" spans="1:17">
      <c r="A799" s="344">
        <v>43</v>
      </c>
      <c r="B799" s="196"/>
      <c r="C799" s="587" t="s">
        <v>243</v>
      </c>
      <c r="D799" s="725" t="s">
        <v>1013</v>
      </c>
      <c r="E799" s="714" t="str">
        <f>'FR-16(7)(v)-1 Functional'!$E$799</f>
        <v>W669</v>
      </c>
      <c r="F799" s="648">
        <v>1</v>
      </c>
      <c r="G799" s="356">
        <f>F799-SUM(H799:J799)</f>
        <v>0.86038000000000003</v>
      </c>
      <c r="H799" s="356">
        <f>ROUND(IF($F$304=0,0,H304/$F$304),5)</f>
        <v>0.13219</v>
      </c>
      <c r="I799" s="356">
        <f>ROUND(IF($F$304=0,0,I304/$F$304),5)</f>
        <v>3.6800000000000001E-3</v>
      </c>
      <c r="J799" s="356">
        <f>ROUND(IF($F$304=0,0,J304/$F$304),5)</f>
        <v>3.7499999999999999E-3</v>
      </c>
      <c r="K799" s="356">
        <f>SUM(G799:J799)</f>
        <v>1</v>
      </c>
      <c r="L799" s="350">
        <f>F799-K799</f>
        <v>0</v>
      </c>
      <c r="M799" s="196"/>
      <c r="N799" s="196"/>
      <c r="P799" s="665">
        <f>K799</f>
        <v>1</v>
      </c>
      <c r="Q799" s="196"/>
    </row>
    <row r="800" spans="1:17">
      <c r="A800" s="344">
        <v>44</v>
      </c>
      <c r="B800" s="196"/>
      <c r="C800" s="587" t="s">
        <v>244</v>
      </c>
      <c r="D800" s="725" t="s">
        <v>1013</v>
      </c>
      <c r="E800" s="714" t="str">
        <f>'FR-16(7)(v)-1 Functional'!$E$800</f>
        <v>W689</v>
      </c>
      <c r="F800" s="648">
        <v>1</v>
      </c>
      <c r="G800" s="356">
        <f>IF(F310=0,0,F800-SUM(H800:J800))</f>
        <v>0.84158999999999995</v>
      </c>
      <c r="H800" s="356">
        <f>ROUND(IF($F$310=0,0,H310/$F$310),5)</f>
        <v>0.14136000000000001</v>
      </c>
      <c r="I800" s="356">
        <f>ROUND(IF($F$310=0,0,I310/$F$310),5)</f>
        <v>1.2529999999999999E-2</v>
      </c>
      <c r="J800" s="356">
        <f>ROUND(IF($F$310=0,0,J310/$F$310),5)</f>
        <v>4.5199999999999997E-3</v>
      </c>
      <c r="K800" s="356">
        <f>SUM(G800:J800)</f>
        <v>1</v>
      </c>
      <c r="L800" s="350">
        <f>F800-K800</f>
        <v>0</v>
      </c>
      <c r="M800" s="196"/>
      <c r="N800" s="196"/>
      <c r="P800" s="665">
        <f>K800</f>
        <v>1</v>
      </c>
      <c r="Q800" s="196"/>
    </row>
    <row r="801" spans="1:17">
      <c r="A801" s="344">
        <v>45</v>
      </c>
      <c r="B801" s="196"/>
      <c r="C801" s="587" t="s">
        <v>245</v>
      </c>
      <c r="D801" s="725" t="s">
        <v>1013</v>
      </c>
      <c r="E801" s="714" t="str">
        <f>'FR-16(7)(v)-1 Functional'!$E$801</f>
        <v>W729</v>
      </c>
      <c r="F801" s="648">
        <v>1</v>
      </c>
      <c r="G801" s="356">
        <f>IF(F313=0,0,F801-SUM(H801:J801))</f>
        <v>0.84157999999999999</v>
      </c>
      <c r="H801" s="356">
        <f>ROUND(IF($F$313=0,0,H313/$F$313),5)</f>
        <v>0.14132</v>
      </c>
      <c r="I801" s="356">
        <f>ROUND(IF($F$313=0,0,I313/$F$313),5)</f>
        <v>1.255E-2</v>
      </c>
      <c r="J801" s="356">
        <f>ROUND(IF($F$313=0,0,J313/$F$313),5)</f>
        <v>4.5500000000000002E-3</v>
      </c>
      <c r="K801" s="356">
        <f>SUM(G801:J801)</f>
        <v>1</v>
      </c>
      <c r="L801" s="350">
        <f>F801-K801</f>
        <v>0</v>
      </c>
      <c r="M801" s="196"/>
      <c r="N801" s="196"/>
      <c r="P801" s="665">
        <f>K801</f>
        <v>1</v>
      </c>
      <c r="Q801" s="196"/>
    </row>
    <row r="802" spans="1:17">
      <c r="A802" s="344">
        <v>46</v>
      </c>
      <c r="B802" s="196"/>
      <c r="C802" s="587" t="s">
        <v>246</v>
      </c>
      <c r="D802" s="725" t="s">
        <v>1013</v>
      </c>
      <c r="E802" s="714" t="str">
        <f>'FR-16(7)(v)-1 Functional'!$E$802</f>
        <v>W749</v>
      </c>
      <c r="F802" s="648">
        <v>1</v>
      </c>
      <c r="G802" s="356">
        <f>IF(F319=0,0,F802-SUM(H802:J802))</f>
        <v>0</v>
      </c>
      <c r="H802" s="356">
        <f>ROUND(IF($F$319=0,0,H319/$F$319),5)</f>
        <v>0</v>
      </c>
      <c r="I802" s="356">
        <f>ROUND(IF($F$319=0,0,I319/$F$319),5)</f>
        <v>0</v>
      </c>
      <c r="J802" s="356">
        <f>ROUND(IF($F$319=0,0,J319/$F$319),5)</f>
        <v>0</v>
      </c>
      <c r="K802" s="356">
        <f>SUM(G802:J802)</f>
        <v>0</v>
      </c>
      <c r="L802" s="350">
        <f>F802-K802</f>
        <v>1</v>
      </c>
      <c r="M802" s="196"/>
      <c r="N802" s="196"/>
      <c r="P802" s="665">
        <f>K802</f>
        <v>0</v>
      </c>
      <c r="Q802" s="196"/>
    </row>
    <row r="803" spans="1:17">
      <c r="A803" s="344">
        <v>47</v>
      </c>
      <c r="B803" s="196"/>
      <c r="C803" s="587" t="s">
        <v>247</v>
      </c>
      <c r="D803" s="725" t="s">
        <v>1013</v>
      </c>
      <c r="E803" s="714" t="str">
        <f>'FR-16(7)(v)-1 Functional'!$E$803</f>
        <v>WC79</v>
      </c>
      <c r="F803" s="648">
        <v>1</v>
      </c>
      <c r="G803" s="356">
        <f>F803-SUM(H803:J803)</f>
        <v>0.84623999999999999</v>
      </c>
      <c r="H803" s="356">
        <f>ROUND(IF($F$321=0,0,H321/$F$321),5)</f>
        <v>0.13905999999999999</v>
      </c>
      <c r="I803" s="356">
        <f>ROUND(IF($F$321=0,0,I321/$F$321),5)</f>
        <v>1.035E-2</v>
      </c>
      <c r="J803" s="356">
        <f>ROUND(IF($F$321=0,0,J321/$F$321),5)</f>
        <v>4.3499999999999997E-3</v>
      </c>
      <c r="K803" s="356">
        <f>SUM(G803:J803)</f>
        <v>0.99999999999999989</v>
      </c>
      <c r="L803" s="350">
        <f>F803-K803</f>
        <v>0</v>
      </c>
      <c r="M803" s="196"/>
      <c r="N803" s="196"/>
      <c r="P803" s="665">
        <f>K803</f>
        <v>0.99999999999999989</v>
      </c>
      <c r="Q803" s="196"/>
    </row>
    <row r="804" spans="1:17">
      <c r="A804" s="344"/>
      <c r="B804" s="196"/>
      <c r="C804" s="196"/>
      <c r="D804" s="344"/>
      <c r="E804" s="729"/>
      <c r="F804" s="648"/>
      <c r="G804" s="350"/>
      <c r="H804" s="356"/>
      <c r="I804" s="356"/>
      <c r="J804" s="356"/>
      <c r="K804" s="356"/>
      <c r="M804" s="196"/>
      <c r="N804" s="196"/>
      <c r="P804" s="663"/>
      <c r="Q804" s="196"/>
    </row>
    <row r="805" spans="1:17">
      <c r="A805" s="343" t="str">
        <f>co_name</f>
        <v>DUKE ENERGY KENTUCKY, INC.</v>
      </c>
      <c r="C805" s="196"/>
      <c r="D805" s="344"/>
      <c r="E805" s="196"/>
      <c r="F805" s="344"/>
      <c r="G805" s="342"/>
      <c r="H805" s="342"/>
      <c r="I805" s="196"/>
      <c r="K805" s="361" t="str">
        <f>$K$1</f>
        <v>FR-16(7)(v)-6</v>
      </c>
      <c r="N805" s="196"/>
      <c r="P805" s="664"/>
    </row>
    <row r="806" spans="1:17">
      <c r="A806" s="343" t="str">
        <f>$A$2</f>
        <v>DISTRIBUTION CUSTOMER ALLOCATED - GAS COST OF SERVICE</v>
      </c>
      <c r="C806" s="196"/>
      <c r="D806" s="344"/>
      <c r="E806" s="196"/>
      <c r="F806" s="344"/>
      <c r="G806" s="342"/>
      <c r="H806" s="342"/>
      <c r="I806" s="196"/>
      <c r="K806" s="361" t="str">
        <f>$K$2</f>
        <v>WITNESS RESPONSIBLE:</v>
      </c>
      <c r="N806" s="196"/>
      <c r="P806" s="664"/>
    </row>
    <row r="807" spans="1:17">
      <c r="A807" s="343" t="str">
        <f>case_name</f>
        <v>CASE NO: 2018-00261</v>
      </c>
      <c r="C807" s="196"/>
      <c r="D807" s="344"/>
      <c r="E807" s="196"/>
      <c r="F807" s="344"/>
      <c r="G807" s="342"/>
      <c r="H807" s="342"/>
      <c r="I807" s="196"/>
      <c r="K807" s="361" t="str">
        <f>Witness</f>
        <v>JAMES E. ZIOLKOWSKI</v>
      </c>
      <c r="N807" s="196"/>
      <c r="P807" s="664"/>
    </row>
    <row r="808" spans="1:17">
      <c r="A808" s="343" t="str">
        <f>data_filing</f>
        <v>DATA: 12 MONTH FORECASTED PERIOD</v>
      </c>
      <c r="C808" s="196"/>
      <c r="D808" s="344"/>
      <c r="E808" s="196"/>
      <c r="F808" s="344"/>
      <c r="G808" s="342"/>
      <c r="H808" s="342"/>
      <c r="I808" s="196"/>
      <c r="K808" s="361" t="str">
        <f>"PAGE "&amp;Pages&amp;" OF "&amp;Pages</f>
        <v>PAGE 18 OF 18</v>
      </c>
      <c r="N808" s="196"/>
      <c r="P808" s="664"/>
    </row>
    <row r="809" spans="1:17">
      <c r="A809" s="343" t="str">
        <f>type</f>
        <v xml:space="preserve">TYPE OF FILING: "X" ORIGINAL   UPDATED    REVISED  </v>
      </c>
      <c r="C809" s="196"/>
      <c r="D809" s="344"/>
      <c r="E809" s="196"/>
      <c r="F809" s="344"/>
      <c r="G809" s="342"/>
      <c r="H809" s="342"/>
      <c r="I809" s="196"/>
      <c r="J809" s="344"/>
      <c r="K809" s="196"/>
      <c r="N809" s="196"/>
      <c r="P809" s="664"/>
    </row>
    <row r="810" spans="1:17">
      <c r="B810" s="196"/>
      <c r="E810" s="333"/>
      <c r="F810" s="344"/>
      <c r="G810" s="342"/>
      <c r="H810" s="342"/>
      <c r="I810" s="196"/>
      <c r="J810" s="344"/>
      <c r="K810" s="196"/>
      <c r="N810" s="196"/>
      <c r="P810" s="664"/>
    </row>
    <row r="811" spans="1:17">
      <c r="B811" s="196"/>
      <c r="E811" s="333"/>
      <c r="F811" s="344" t="s">
        <v>229</v>
      </c>
      <c r="G811" s="342"/>
      <c r="H811" s="342"/>
      <c r="I811" s="196"/>
      <c r="J811" s="344"/>
      <c r="K811" s="196"/>
      <c r="N811" s="196"/>
      <c r="P811" s="664"/>
    </row>
    <row r="812" spans="1:17">
      <c r="A812" s="344" t="s">
        <v>914</v>
      </c>
      <c r="B812" s="196"/>
      <c r="C812" s="196"/>
      <c r="D812" s="344"/>
      <c r="E812" s="344"/>
      <c r="F812" s="344" t="str">
        <f>$F$8</f>
        <v>DISTRIBUTION</v>
      </c>
      <c r="G812" s="354" t="str">
        <f>$G$8</f>
        <v>RS</v>
      </c>
      <c r="H812" s="354" t="str">
        <f>$H$8</f>
        <v>GS</v>
      </c>
      <c r="I812" s="344" t="str">
        <f>$I$8</f>
        <v>FT-L</v>
      </c>
      <c r="J812" s="344" t="str">
        <f>$J$8</f>
        <v>INTERUPT</v>
      </c>
      <c r="K812" s="344" t="s">
        <v>229</v>
      </c>
      <c r="L812" s="589" t="s">
        <v>342</v>
      </c>
      <c r="M812" s="196"/>
      <c r="N812" s="196"/>
      <c r="P812" s="663"/>
      <c r="Q812" s="196"/>
    </row>
    <row r="813" spans="1:17">
      <c r="A813" s="346" t="s">
        <v>915</v>
      </c>
      <c r="B813" s="590" t="s">
        <v>89</v>
      </c>
      <c r="C813" s="345"/>
      <c r="D813" s="591" t="s">
        <v>1011</v>
      </c>
      <c r="E813" s="591" t="s">
        <v>337</v>
      </c>
      <c r="F813" s="344" t="str">
        <f>$F$9</f>
        <v>CUSTOMER</v>
      </c>
      <c r="G813" s="355" t="str">
        <f>$G$9</f>
        <v>RESIDENTIAL</v>
      </c>
      <c r="H813" s="355" t="str">
        <f>$H$9</f>
        <v>GEN SERV</v>
      </c>
      <c r="I813" s="346" t="str">
        <f>$I$9</f>
        <v>FIRM TRANS</v>
      </c>
      <c r="J813" s="346" t="str">
        <f>$J$9</f>
        <v>TRANS</v>
      </c>
      <c r="K813" s="346" t="s">
        <v>341</v>
      </c>
      <c r="L813" s="592" t="s">
        <v>340</v>
      </c>
      <c r="M813" s="196"/>
      <c r="N813" s="196"/>
      <c r="P813" s="663"/>
      <c r="Q813" s="196"/>
    </row>
    <row r="814" spans="1:17">
      <c r="C814" s="846" t="s">
        <v>1055</v>
      </c>
      <c r="E814" s="633">
        <v>1</v>
      </c>
      <c r="F814" s="820">
        <v>2</v>
      </c>
      <c r="G814" s="633">
        <v>3</v>
      </c>
      <c r="H814" s="633">
        <v>4</v>
      </c>
      <c r="I814" s="633">
        <v>5</v>
      </c>
      <c r="J814" s="633">
        <v>6</v>
      </c>
      <c r="K814" s="353"/>
      <c r="N814" s="196"/>
      <c r="P814" s="664"/>
    </row>
    <row r="815" spans="1:17">
      <c r="A815" s="344">
        <v>1</v>
      </c>
      <c r="B815" s="587" t="s">
        <v>25</v>
      </c>
      <c r="C815" s="196"/>
      <c r="D815" s="344"/>
      <c r="E815" s="729"/>
      <c r="F815" s="648"/>
      <c r="G815" s="350"/>
      <c r="H815" s="356"/>
      <c r="I815" s="356"/>
      <c r="J815" s="356"/>
      <c r="K815" s="356"/>
      <c r="M815" s="196"/>
      <c r="N815" s="196"/>
      <c r="P815" s="663"/>
      <c r="Q815" s="196"/>
    </row>
    <row r="816" spans="1:17">
      <c r="A816" s="344">
        <v>2</v>
      </c>
      <c r="B816" s="196"/>
      <c r="C816" s="587" t="s">
        <v>248</v>
      </c>
      <c r="D816" s="725" t="s">
        <v>1013</v>
      </c>
      <c r="E816" s="714" t="str">
        <f>'FR-16(7)(v)-1 Functional'!$E$816</f>
        <v>RB29</v>
      </c>
      <c r="F816" s="648">
        <v>1</v>
      </c>
      <c r="G816" s="356">
        <f>F816-SUM(H816:J816)</f>
        <v>0.86097999999999997</v>
      </c>
      <c r="H816" s="356">
        <f>ROUND(IF($F$296=0,0,H296/$F$296),5)</f>
        <v>0.13186</v>
      </c>
      <c r="I816" s="356">
        <f>ROUND(IF($F$296=0,0,I296/$F$296),5)</f>
        <v>3.3899999999999998E-3</v>
      </c>
      <c r="J816" s="356">
        <f>ROUND(IF($F$296=0,0,J296/$F$296),5)</f>
        <v>3.7699999999999999E-3</v>
      </c>
      <c r="K816" s="356">
        <f>SUM(G816:J816)</f>
        <v>1</v>
      </c>
      <c r="L816" s="350">
        <f>F816-K816</f>
        <v>0</v>
      </c>
      <c r="M816" s="196"/>
      <c r="N816" s="196"/>
      <c r="P816" s="665">
        <f>K816</f>
        <v>1</v>
      </c>
      <c r="Q816" s="196"/>
    </row>
    <row r="817" spans="1:17">
      <c r="A817" s="344">
        <v>3</v>
      </c>
      <c r="B817" s="196"/>
      <c r="C817" s="587" t="s">
        <v>249</v>
      </c>
      <c r="D817" s="725" t="s">
        <v>1013</v>
      </c>
      <c r="E817" s="714" t="str">
        <f>'FR-16(7)(v)-1 Functional'!$E$817</f>
        <v>RB99</v>
      </c>
      <c r="F817" s="648">
        <v>1</v>
      </c>
      <c r="G817" s="356">
        <f>F817-SUM(H817:J817)</f>
        <v>0.86075000000000002</v>
      </c>
      <c r="H817" s="356">
        <f>ROUND(IF($F$331=0,0,H331/$F$331),5)</f>
        <v>0.13197</v>
      </c>
      <c r="I817" s="356">
        <f>ROUND(IF($F$331=0,0,I331/$F$331),5)</f>
        <v>3.5000000000000001E-3</v>
      </c>
      <c r="J817" s="356">
        <f>ROUND(IF($F$331=0,0,J331/$F$331),5)</f>
        <v>3.7799999999999999E-3</v>
      </c>
      <c r="K817" s="356">
        <f>SUM(G817:J817)</f>
        <v>1</v>
      </c>
      <c r="L817" s="350">
        <f>F817-K817</f>
        <v>0</v>
      </c>
      <c r="M817" s="196"/>
      <c r="N817" s="196"/>
      <c r="P817" s="665">
        <f>K817</f>
        <v>1</v>
      </c>
      <c r="Q817" s="196"/>
    </row>
    <row r="818" spans="1:17">
      <c r="A818" s="344">
        <v>4</v>
      </c>
      <c r="B818" s="196"/>
      <c r="C818" s="587" t="s">
        <v>383</v>
      </c>
      <c r="D818" s="725" t="s">
        <v>1013</v>
      </c>
      <c r="E818" s="714" t="str">
        <f>'FR-16(7)(v)-1 Functional'!$E$818</f>
        <v>CW29</v>
      </c>
      <c r="F818" s="648">
        <v>0</v>
      </c>
      <c r="G818" s="356">
        <f>F818-SUM(H818:J818)</f>
        <v>0</v>
      </c>
      <c r="H818" s="649">
        <v>0</v>
      </c>
      <c r="I818" s="649">
        <v>0</v>
      </c>
      <c r="J818" s="649">
        <v>0</v>
      </c>
      <c r="K818" s="649">
        <v>0</v>
      </c>
      <c r="L818" s="350">
        <f>F818-K818</f>
        <v>0</v>
      </c>
      <c r="M818" s="196"/>
      <c r="N818" s="196"/>
      <c r="P818" s="665">
        <f>K818</f>
        <v>0</v>
      </c>
      <c r="Q818" s="196"/>
    </row>
    <row r="819" spans="1:17">
      <c r="A819" s="344">
        <v>5</v>
      </c>
      <c r="B819" s="635"/>
      <c r="C819" s="368"/>
      <c r="D819" s="585"/>
      <c r="E819" s="749"/>
      <c r="F819" s="650"/>
      <c r="G819" s="637"/>
      <c r="H819" s="637"/>
      <c r="I819" s="637"/>
      <c r="J819" s="637"/>
      <c r="K819" s="637"/>
      <c r="L819" s="636"/>
      <c r="M819" s="368"/>
      <c r="N819" s="196"/>
      <c r="P819" s="663"/>
      <c r="Q819" s="368"/>
    </row>
    <row r="820" spans="1:17">
      <c r="A820" s="344">
        <v>6</v>
      </c>
      <c r="B820" s="597" t="s">
        <v>1021</v>
      </c>
      <c r="C820" s="634"/>
      <c r="D820" s="719"/>
      <c r="E820" s="745"/>
      <c r="F820" s="651"/>
      <c r="G820" s="641"/>
      <c r="H820" s="641"/>
      <c r="I820" s="641"/>
      <c r="J820" s="641"/>
      <c r="K820" s="641"/>
      <c r="L820" s="641"/>
      <c r="M820" s="196"/>
      <c r="N820" s="196"/>
      <c r="P820" s="663"/>
      <c r="Q820" s="196"/>
    </row>
    <row r="821" spans="1:17">
      <c r="A821" s="344">
        <v>7</v>
      </c>
      <c r="B821" s="196"/>
      <c r="C821" s="587" t="s">
        <v>1016</v>
      </c>
      <c r="D821" s="725" t="s">
        <v>1013</v>
      </c>
      <c r="E821" s="714" t="str">
        <f>'FR-16(7)(v)-1 Functional'!$E$821</f>
        <v>P349</v>
      </c>
      <c r="F821" s="1083">
        <v>0</v>
      </c>
      <c r="G821" s="1082">
        <f t="shared" ref="G821:G828" si="202">F821-SUM(H821:J821)</f>
        <v>0</v>
      </c>
      <c r="H821" s="1082">
        <f>ROUND(IF($F$350=0,0,H350/$F$350),5)</f>
        <v>0</v>
      </c>
      <c r="I821" s="1082">
        <f>ROUND(IF($F$350=0,0,I350/$F$350),5)</f>
        <v>0</v>
      </c>
      <c r="J821" s="1082">
        <f>ROUND(IF($F$350=0,0,J350/$F$350),5)</f>
        <v>0</v>
      </c>
      <c r="K821" s="1082">
        <f t="shared" ref="K821:K828" si="203">SUM(G821:J821)</f>
        <v>0</v>
      </c>
      <c r="L821" s="1082">
        <f t="shared" ref="L821:L828" si="204">F821-K821</f>
        <v>0</v>
      </c>
      <c r="M821" s="196"/>
      <c r="N821" s="196"/>
      <c r="P821" s="665">
        <f>K821</f>
        <v>0</v>
      </c>
      <c r="Q821" s="196"/>
    </row>
    <row r="822" spans="1:17">
      <c r="A822" s="344">
        <v>8</v>
      </c>
      <c r="B822" s="196"/>
      <c r="C822" s="587" t="s">
        <v>264</v>
      </c>
      <c r="D822" s="725" t="s">
        <v>1013</v>
      </c>
      <c r="E822" s="714" t="str">
        <f>'FR-16(7)(v)-1 Functional'!$E$822</f>
        <v>P459</v>
      </c>
      <c r="F822" s="1083">
        <v>0</v>
      </c>
      <c r="G822" s="1082">
        <f t="shared" si="202"/>
        <v>0</v>
      </c>
      <c r="H822" s="1082">
        <f>ROUND(IF($F$360=0,0,H360/$F$360),5)</f>
        <v>0</v>
      </c>
      <c r="I822" s="1082">
        <f>ROUND(IF($F$360=0,0,I360/$F$360),5)</f>
        <v>0</v>
      </c>
      <c r="J822" s="1082">
        <f>ROUND(IF($F$360=0,0,J360/$F$360),5)</f>
        <v>0</v>
      </c>
      <c r="K822" s="1082">
        <f t="shared" si="203"/>
        <v>0</v>
      </c>
      <c r="L822" s="1082">
        <f t="shared" si="204"/>
        <v>0</v>
      </c>
      <c r="M822" s="196"/>
      <c r="N822" s="196"/>
      <c r="P822" s="665">
        <f>K822</f>
        <v>0</v>
      </c>
      <c r="Q822" s="196"/>
    </row>
    <row r="823" spans="1:17">
      <c r="A823" s="344">
        <v>9</v>
      </c>
      <c r="B823" s="196"/>
      <c r="C823" s="587" t="s">
        <v>250</v>
      </c>
      <c r="D823" s="725" t="s">
        <v>1013</v>
      </c>
      <c r="E823" s="714" t="str">
        <f>'FR-16(7)(v)-1 Functional'!$E$823</f>
        <v>D349</v>
      </c>
      <c r="F823" s="648">
        <v>1</v>
      </c>
      <c r="G823" s="356">
        <f t="shared" si="202"/>
        <v>0.77788000000000002</v>
      </c>
      <c r="H823" s="356">
        <f>ROUND(IF($F$378=0,0,H378/$F$378),5)</f>
        <v>0.19334000000000001</v>
      </c>
      <c r="I823" s="356">
        <f>ROUND(IF($F$378=0,0,I378/$F$378),5)</f>
        <v>2.1059999999999999E-2</v>
      </c>
      <c r="J823" s="356">
        <f>ROUND(IF($F$378=0,0,J378/$F$378),5)</f>
        <v>7.7200000000000003E-3</v>
      </c>
      <c r="K823" s="356">
        <f t="shared" si="203"/>
        <v>0.99999999999999989</v>
      </c>
      <c r="L823" s="350">
        <f t="shared" si="204"/>
        <v>0</v>
      </c>
      <c r="M823" s="196"/>
      <c r="N823" s="196"/>
      <c r="P823" s="665">
        <f>K823</f>
        <v>0.99999999999999989</v>
      </c>
      <c r="Q823" s="196"/>
    </row>
    <row r="824" spans="1:17">
      <c r="A824" s="344">
        <v>10</v>
      </c>
      <c r="B824" s="196"/>
      <c r="C824" s="587" t="s">
        <v>251</v>
      </c>
      <c r="D824" s="725" t="s">
        <v>1013</v>
      </c>
      <c r="E824" s="714" t="str">
        <f>'FR-16(7)(v)-1 Functional'!$E$824</f>
        <v>CA19</v>
      </c>
      <c r="F824" s="648">
        <v>1</v>
      </c>
      <c r="G824" s="356">
        <f t="shared" si="202"/>
        <v>0.92827999999999999</v>
      </c>
      <c r="H824" s="356">
        <f>ROUND(IF($F$389=0,0,H389/$F$389),5)</f>
        <v>7.0529999999999995E-2</v>
      </c>
      <c r="I824" s="356">
        <f>ROUND(IF($F$389=0,0,I389/$F$389),5)</f>
        <v>9.7000000000000005E-4</v>
      </c>
      <c r="J824" s="356">
        <f>ROUND(IF($F$389=0,0,J389/$F$389),5)</f>
        <v>2.2000000000000001E-4</v>
      </c>
      <c r="K824" s="356">
        <f t="shared" si="203"/>
        <v>1</v>
      </c>
      <c r="L824" s="350">
        <f t="shared" si="204"/>
        <v>0</v>
      </c>
      <c r="M824" s="196"/>
      <c r="N824" s="196"/>
      <c r="P824" s="665">
        <f>K824</f>
        <v>1</v>
      </c>
      <c r="Q824" s="196"/>
    </row>
    <row r="825" spans="1:17">
      <c r="A825" s="344">
        <v>11</v>
      </c>
      <c r="B825" s="196"/>
      <c r="C825" s="587" t="s">
        <v>1019</v>
      </c>
      <c r="D825" s="725" t="s">
        <v>1013</v>
      </c>
      <c r="E825" s="714" t="str">
        <f>'FR-16(7)(v)-1 Functional'!$E$825</f>
        <v>CS19</v>
      </c>
      <c r="F825" s="648">
        <v>1</v>
      </c>
      <c r="G825" s="356">
        <f t="shared" si="202"/>
        <v>0.92827999999999999</v>
      </c>
      <c r="H825" s="356">
        <f>ROUND(IF($F$403=0,0,H403/$F$403),5)</f>
        <v>7.0529999999999995E-2</v>
      </c>
      <c r="I825" s="356">
        <f>ROUND(IF($F$403=0,0,I403/$F$403),5)</f>
        <v>9.7000000000000005E-4</v>
      </c>
      <c r="J825" s="356">
        <f>ROUND(IF($F$403=0,0,J403/$F$403),5)</f>
        <v>2.2000000000000001E-4</v>
      </c>
      <c r="K825" s="356">
        <f t="shared" si="203"/>
        <v>1</v>
      </c>
      <c r="L825" s="350">
        <f t="shared" si="204"/>
        <v>0</v>
      </c>
      <c r="M825" s="196"/>
      <c r="N825" s="196"/>
      <c r="P825" s="665"/>
      <c r="Q825" s="196"/>
    </row>
    <row r="826" spans="1:17">
      <c r="A826" s="344">
        <v>12</v>
      </c>
      <c r="B826" s="196"/>
      <c r="C826" s="587" t="s">
        <v>252</v>
      </c>
      <c r="D826" s="725" t="s">
        <v>1013</v>
      </c>
      <c r="E826" s="714" t="str">
        <f>'FR-16(7)(v)-1 Functional'!$E$826</f>
        <v>SE19</v>
      </c>
      <c r="F826" s="648">
        <v>1</v>
      </c>
      <c r="G826" s="356">
        <f t="shared" si="202"/>
        <v>0.92830000000000001</v>
      </c>
      <c r="H826" s="356">
        <f>ROUND(IF($F$407=0,0,H407/$F$407),5)</f>
        <v>7.0470000000000005E-2</v>
      </c>
      <c r="I826" s="356">
        <f>ROUND(IF($F$407=0,0,I407/$F$407),5)</f>
        <v>9.6000000000000002E-4</v>
      </c>
      <c r="J826" s="356">
        <f>ROUND(IF($F$407=0,0,J407/$F$407),5)</f>
        <v>2.7E-4</v>
      </c>
      <c r="K826" s="356">
        <f t="shared" si="203"/>
        <v>1</v>
      </c>
      <c r="L826" s="350">
        <f t="shared" si="204"/>
        <v>0</v>
      </c>
      <c r="M826" s="196"/>
      <c r="N826" s="196"/>
      <c r="P826" s="665">
        <f>K826</f>
        <v>1</v>
      </c>
      <c r="Q826" s="196"/>
    </row>
    <row r="827" spans="1:17">
      <c r="A827" s="344">
        <v>13</v>
      </c>
      <c r="B827" s="196"/>
      <c r="C827" s="587" t="s">
        <v>253</v>
      </c>
      <c r="D827" s="725" t="s">
        <v>1013</v>
      </c>
      <c r="E827" s="714" t="str">
        <f>'FR-16(7)(v)-1 Functional'!$E$827</f>
        <v>AG39</v>
      </c>
      <c r="F827" s="648">
        <v>1</v>
      </c>
      <c r="G827" s="356">
        <f t="shared" si="202"/>
        <v>0.85687000000000002</v>
      </c>
      <c r="H827" s="356">
        <f>ROUND(IF($F$416=0,0,H416/$F$416),5)</f>
        <v>0.12884000000000001</v>
      </c>
      <c r="I827" s="356">
        <f>ROUND(IF($F$416=0,0,I416/$F$416),5)</f>
        <v>1.051E-2</v>
      </c>
      <c r="J827" s="356">
        <f>ROUND(IF($F$416=0,0,J416/$F$416),5)</f>
        <v>3.7799999999999999E-3</v>
      </c>
      <c r="K827" s="356">
        <f t="shared" si="203"/>
        <v>1</v>
      </c>
      <c r="L827" s="350">
        <f t="shared" si="204"/>
        <v>0</v>
      </c>
      <c r="M827" s="196"/>
      <c r="N827" s="196"/>
      <c r="P827" s="665">
        <f>K827</f>
        <v>1</v>
      </c>
      <c r="Q827" s="196"/>
    </row>
    <row r="828" spans="1:17">
      <c r="A828" s="344">
        <v>14</v>
      </c>
      <c r="B828" s="196"/>
      <c r="C828" s="587" t="s">
        <v>254</v>
      </c>
      <c r="D828" s="725" t="s">
        <v>1013</v>
      </c>
      <c r="E828" s="714" t="str">
        <f>'FR-16(7)(v)-1 Functional'!$E$828</f>
        <v>OM39</v>
      </c>
      <c r="F828" s="648">
        <v>1</v>
      </c>
      <c r="G828" s="356">
        <f t="shared" si="202"/>
        <v>0.84157999999999999</v>
      </c>
      <c r="H828" s="356">
        <f>ROUND(IF($F$433=0,0,H433/$F$433),5)</f>
        <v>0.14132</v>
      </c>
      <c r="I828" s="356">
        <f>ROUND(IF($F$433=0,0,I433/$F$433),5)</f>
        <v>1.255E-2</v>
      </c>
      <c r="J828" s="356">
        <f>ROUND(IF($F$433=0,0,J433/$F$433),5)</f>
        <v>4.5500000000000002E-3</v>
      </c>
      <c r="K828" s="356">
        <f t="shared" si="203"/>
        <v>1</v>
      </c>
      <c r="L828" s="350">
        <f t="shared" si="204"/>
        <v>0</v>
      </c>
      <c r="M828" s="196"/>
      <c r="N828" s="196"/>
      <c r="P828" s="665">
        <f>K828</f>
        <v>1</v>
      </c>
      <c r="Q828" s="196"/>
    </row>
    <row r="829" spans="1:17">
      <c r="A829" s="344">
        <v>15</v>
      </c>
      <c r="B829" s="196"/>
      <c r="C829" s="196"/>
      <c r="D829" s="344"/>
      <c r="E829" s="729"/>
      <c r="F829" s="648"/>
      <c r="G829" s="356"/>
      <c r="H829" s="356"/>
      <c r="I829" s="356"/>
      <c r="J829" s="356"/>
      <c r="K829" s="356"/>
      <c r="L829" s="350"/>
      <c r="M829" s="196"/>
      <c r="N829" s="196"/>
      <c r="P829" s="663"/>
      <c r="Q829" s="196"/>
    </row>
    <row r="830" spans="1:17">
      <c r="A830" s="344">
        <v>16</v>
      </c>
      <c r="B830" s="587" t="s">
        <v>97</v>
      </c>
      <c r="C830" s="196"/>
      <c r="D830" s="344"/>
      <c r="E830" s="729"/>
      <c r="F830" s="648"/>
      <c r="G830" s="356"/>
      <c r="H830" s="356"/>
      <c r="I830" s="356"/>
      <c r="J830" s="356"/>
      <c r="K830" s="356"/>
      <c r="L830" s="350"/>
      <c r="M830" s="196"/>
      <c r="N830" s="196"/>
      <c r="P830" s="663"/>
      <c r="Q830" s="196"/>
    </row>
    <row r="831" spans="1:17">
      <c r="A831" s="344">
        <v>17</v>
      </c>
      <c r="B831" s="196"/>
      <c r="C831" s="587" t="s">
        <v>255</v>
      </c>
      <c r="D831" s="725" t="s">
        <v>1013</v>
      </c>
      <c r="E831" s="714" t="str">
        <f>'FR-16(7)(v)-1 Functional'!$E$831</f>
        <v>P489</v>
      </c>
      <c r="F831" s="1083">
        <v>0</v>
      </c>
      <c r="G831" s="1082">
        <f>F831-SUM(H831:J831)</f>
        <v>0</v>
      </c>
      <c r="H831" s="1082">
        <f>ROUND(IF($F$447=0,0,H447/$F$447),5)</f>
        <v>0</v>
      </c>
      <c r="I831" s="1082">
        <f>ROUND(IF($F$447=0,0,I447/$F$447),5)</f>
        <v>0</v>
      </c>
      <c r="J831" s="1082">
        <f>ROUND(IF($F$447=0,0,J447/$F$447),5)</f>
        <v>0</v>
      </c>
      <c r="K831" s="1082">
        <f>SUM(G831:J831)</f>
        <v>0</v>
      </c>
      <c r="L831" s="1082">
        <f>F831-K831</f>
        <v>0</v>
      </c>
      <c r="M831" s="196"/>
      <c r="N831" s="196"/>
      <c r="P831" s="665">
        <f>K831</f>
        <v>0</v>
      </c>
      <c r="Q831" s="196"/>
    </row>
    <row r="832" spans="1:17">
      <c r="A832" s="344">
        <v>18</v>
      </c>
      <c r="B832" s="196"/>
      <c r="C832" s="587" t="s">
        <v>256</v>
      </c>
      <c r="D832" s="725" t="s">
        <v>1013</v>
      </c>
      <c r="E832" s="714" t="str">
        <f>'FR-16(7)(v)-1 Functional'!$E$832</f>
        <v>D489</v>
      </c>
      <c r="F832" s="648">
        <v>1</v>
      </c>
      <c r="G832" s="356">
        <f>F832-SUM(H832:J832)</f>
        <v>0.86055999999999999</v>
      </c>
      <c r="H832" s="356">
        <f>ROUND(IF($F$454=0,0,H454/$F$454),5)</f>
        <v>0.13238</v>
      </c>
      <c r="I832" s="356">
        <f>ROUND(IF($F$454=0,0,I454/$F$454),5)</f>
        <v>3.31E-3</v>
      </c>
      <c r="J832" s="356">
        <f>ROUND(IF($F$454=0,0,J454/$F$454),5)</f>
        <v>3.7499999999999999E-3</v>
      </c>
      <c r="K832" s="356">
        <f>SUM(G832:J832)</f>
        <v>1</v>
      </c>
      <c r="L832" s="350">
        <f>F832-K832</f>
        <v>0</v>
      </c>
      <c r="M832" s="196"/>
      <c r="N832" s="196"/>
      <c r="P832" s="665">
        <f>K832</f>
        <v>1</v>
      </c>
      <c r="Q832" s="196"/>
    </row>
    <row r="833" spans="1:17">
      <c r="A833" s="344">
        <v>19</v>
      </c>
      <c r="B833" s="196"/>
      <c r="C833" s="587" t="s">
        <v>257</v>
      </c>
      <c r="D833" s="725" t="s">
        <v>1013</v>
      </c>
      <c r="E833" s="714" t="str">
        <f>'FR-16(7)(v)-1 Functional'!$E$833</f>
        <v>G489</v>
      </c>
      <c r="F833" s="648">
        <v>1</v>
      </c>
      <c r="G833" s="356">
        <f>F833-SUM(H833:J833)</f>
        <v>0.85687000000000002</v>
      </c>
      <c r="H833" s="356">
        <f>ROUND(IF($F$458=0,0,H458/$F$458),5)</f>
        <v>0.12884000000000001</v>
      </c>
      <c r="I833" s="356">
        <f>ROUND(IF($F$458=0,0,I458/$F$458),5)</f>
        <v>1.051E-2</v>
      </c>
      <c r="J833" s="356">
        <f>ROUND(IF($F$458=0,0,J458/$F$458),5)</f>
        <v>3.7799999999999999E-3</v>
      </c>
      <c r="K833" s="356">
        <f>SUM(G833:J833)</f>
        <v>1</v>
      </c>
      <c r="L833" s="350">
        <f>F833-K833</f>
        <v>0</v>
      </c>
      <c r="M833" s="196"/>
      <c r="N833" s="196"/>
      <c r="P833" s="665">
        <f>K833</f>
        <v>1</v>
      </c>
      <c r="Q833" s="196"/>
    </row>
    <row r="834" spans="1:17">
      <c r="A834" s="344">
        <v>20</v>
      </c>
      <c r="B834" s="196"/>
      <c r="C834" s="587" t="s">
        <v>258</v>
      </c>
      <c r="D834" s="725" t="s">
        <v>1013</v>
      </c>
      <c r="E834" s="714" t="str">
        <f>'FR-16(7)(v)-1 Functional'!$E$834</f>
        <v>C489</v>
      </c>
      <c r="F834" s="648">
        <v>1</v>
      </c>
      <c r="G834" s="356">
        <f>F834-SUM(H834:J834)</f>
        <v>0.85687999999999998</v>
      </c>
      <c r="H834" s="356">
        <f>ROUND(IF($F$462=0,0,H462/$F$462),5)</f>
        <v>0.12883</v>
      </c>
      <c r="I834" s="356">
        <f>ROUND(IF($F$462=0,0,I462/$F$462),5)</f>
        <v>1.051E-2</v>
      </c>
      <c r="J834" s="356">
        <f>ROUND(IF($F$462=0,0,J462/$F$462),5)</f>
        <v>3.7799999999999999E-3</v>
      </c>
      <c r="K834" s="356">
        <f>SUM(G834:J834)</f>
        <v>1</v>
      </c>
      <c r="L834" s="350">
        <f>F834-K834</f>
        <v>0</v>
      </c>
      <c r="M834" s="196"/>
      <c r="N834" s="196"/>
      <c r="P834" s="665">
        <f>K834</f>
        <v>1</v>
      </c>
      <c r="Q834" s="196"/>
    </row>
    <row r="835" spans="1:17">
      <c r="A835" s="344">
        <v>21</v>
      </c>
      <c r="B835" s="196"/>
      <c r="C835" s="587" t="s">
        <v>259</v>
      </c>
      <c r="D835" s="725" t="s">
        <v>1013</v>
      </c>
      <c r="E835" s="714" t="str">
        <f>'FR-16(7)(v)-1 Functional'!$E$835</f>
        <v>DE49</v>
      </c>
      <c r="F835" s="648">
        <v>1</v>
      </c>
      <c r="G835" s="356">
        <f>F835-SUM(H835:J835)</f>
        <v>0.85985999999999996</v>
      </c>
      <c r="H835" s="356">
        <f>ROUND(IF($F$465=0,0,H465/$F$465),5)</f>
        <v>0.13172</v>
      </c>
      <c r="I835" s="356">
        <f>ROUND(IF($F$465=0,0,I465/$F$465),5)</f>
        <v>4.6600000000000001E-3</v>
      </c>
      <c r="J835" s="356">
        <f>ROUND(IF($F$465=0,0,J465/$F$465),5)</f>
        <v>3.7599999999999999E-3</v>
      </c>
      <c r="K835" s="356">
        <f>SUM(G835:J835)</f>
        <v>0.99999999999999989</v>
      </c>
      <c r="L835" s="350">
        <f>F835-K835</f>
        <v>0</v>
      </c>
      <c r="M835" s="196"/>
      <c r="N835" s="196"/>
      <c r="P835" s="665">
        <f>K835</f>
        <v>0.99999999999999989</v>
      </c>
      <c r="Q835" s="196"/>
    </row>
    <row r="836" spans="1:17">
      <c r="A836" s="344">
        <v>22</v>
      </c>
      <c r="B836" s="196"/>
      <c r="C836" s="196"/>
      <c r="D836" s="344"/>
      <c r="E836" s="729"/>
      <c r="F836" s="652"/>
      <c r="G836" s="353"/>
      <c r="H836" s="353"/>
      <c r="J836" s="353"/>
      <c r="K836" s="353"/>
      <c r="M836" s="196"/>
      <c r="N836" s="196"/>
      <c r="P836" s="663"/>
      <c r="Q836" s="196"/>
    </row>
    <row r="837" spans="1:17">
      <c r="A837" s="344">
        <v>23</v>
      </c>
      <c r="B837" s="587" t="s">
        <v>62</v>
      </c>
      <c r="C837" s="196"/>
      <c r="D837" s="344"/>
      <c r="E837" s="729"/>
      <c r="F837" s="493"/>
      <c r="G837" s="353"/>
      <c r="H837" s="353"/>
      <c r="J837" s="353"/>
      <c r="K837" s="349"/>
      <c r="L837" s="347"/>
      <c r="M837" s="196"/>
      <c r="N837" s="196"/>
      <c r="P837" s="663"/>
      <c r="Q837" s="196"/>
    </row>
    <row r="838" spans="1:17">
      <c r="A838" s="344">
        <v>24</v>
      </c>
      <c r="B838" s="196"/>
      <c r="C838" s="587" t="s">
        <v>260</v>
      </c>
      <c r="D838" s="725" t="s">
        <v>1013</v>
      </c>
      <c r="E838" s="714" t="str">
        <f>'FR-16(7)(v)-1 Functional'!$E$838</f>
        <v>L529</v>
      </c>
      <c r="F838" s="648">
        <v>1</v>
      </c>
      <c r="G838" s="356">
        <f>F838-SUM(H838:J838)</f>
        <v>0.86038000000000003</v>
      </c>
      <c r="H838" s="356">
        <f>ROUND(IF($F$481=0,0,$H$481/$F$481),5)</f>
        <v>0.13219</v>
      </c>
      <c r="I838" s="356">
        <f>ROUND(IF($F$481=0,0,$I$481/$F$481),5)</f>
        <v>3.6800000000000001E-3</v>
      </c>
      <c r="J838" s="356">
        <f>ROUND(IF($F$481=0,0,$J$481/$F$481),5)</f>
        <v>3.7499999999999999E-3</v>
      </c>
      <c r="K838" s="356">
        <f>SUM(G838:J838)</f>
        <v>1</v>
      </c>
      <c r="L838" s="350">
        <f>F838-K838</f>
        <v>0</v>
      </c>
      <c r="M838" s="196"/>
      <c r="N838" s="196"/>
      <c r="P838" s="665">
        <f>K838</f>
        <v>1</v>
      </c>
      <c r="Q838" s="196"/>
    </row>
    <row r="839" spans="1:17">
      <c r="A839" s="344">
        <v>25</v>
      </c>
      <c r="B839" s="196"/>
      <c r="C839" s="587" t="s">
        <v>261</v>
      </c>
      <c r="D839" s="725" t="s">
        <v>1013</v>
      </c>
      <c r="E839" s="714" t="str">
        <f>'FR-16(7)(v)-1 Functional'!$E$839</f>
        <v>L589</v>
      </c>
      <c r="F839" s="648">
        <v>1</v>
      </c>
      <c r="G839" s="356">
        <f>F839-SUM(H839:J839)</f>
        <v>0.85687000000000002</v>
      </c>
      <c r="H839" s="356">
        <f>ROUND(IF($F$488=0,0,$H$488/$F$488),5)</f>
        <v>0.12884000000000001</v>
      </c>
      <c r="I839" s="356">
        <f>ROUND(IF($F$488=0,0,$I$488/$F$488),5)</f>
        <v>1.051E-2</v>
      </c>
      <c r="J839" s="356">
        <f>ROUND(IF($F$488=0,0,$J$488/$F$488),5)</f>
        <v>3.7799999999999999E-3</v>
      </c>
      <c r="K839" s="356">
        <f>SUM(G839:J839)</f>
        <v>1</v>
      </c>
      <c r="L839" s="350">
        <f>F839-K839</f>
        <v>0</v>
      </c>
      <c r="M839" s="196"/>
      <c r="N839" s="196"/>
      <c r="P839" s="665">
        <f>K839</f>
        <v>1</v>
      </c>
      <c r="Q839" s="196"/>
    </row>
    <row r="840" spans="1:17">
      <c r="A840" s="344">
        <v>26</v>
      </c>
      <c r="B840" s="196"/>
      <c r="C840" s="587" t="s">
        <v>262</v>
      </c>
      <c r="D840" s="725" t="s">
        <v>1013</v>
      </c>
      <c r="E840" s="714" t="str">
        <f>'FR-16(7)(v)-1 Functional'!$E$840</f>
        <v>L599</v>
      </c>
      <c r="F840" s="648">
        <v>1</v>
      </c>
      <c r="G840" s="356">
        <f>F840-SUM(H840:J840)</f>
        <v>0.85965999999999998</v>
      </c>
      <c r="H840" s="356">
        <f>ROUND(IF($F$500=0,0,$H$500/$F$500),5)</f>
        <v>0.13150000000000001</v>
      </c>
      <c r="I840" s="356">
        <f>ROUND(IF($F$500=0,0,$I$500/$F$500),5)</f>
        <v>5.0800000000000003E-3</v>
      </c>
      <c r="J840" s="356">
        <f>ROUND(IF($F$500=0,0,$J$500/$F$500),5)</f>
        <v>3.7599999999999999E-3</v>
      </c>
      <c r="K840" s="356">
        <f>SUM(G840:J840)</f>
        <v>1</v>
      </c>
      <c r="L840" s="350">
        <f>F840-K840</f>
        <v>0</v>
      </c>
      <c r="M840" s="196"/>
      <c r="N840" s="196"/>
      <c r="P840" s="665">
        <f>K840</f>
        <v>1</v>
      </c>
      <c r="Q840" s="196"/>
    </row>
    <row r="841" spans="1:17">
      <c r="A841" s="344">
        <v>27</v>
      </c>
      <c r="B841" s="196"/>
      <c r="C841" s="587" t="s">
        <v>263</v>
      </c>
      <c r="D841" s="725" t="s">
        <v>1013</v>
      </c>
      <c r="E841" s="714" t="str">
        <f>'FR-16(7)(v)-1 Functional'!$E$841</f>
        <v>OP69</v>
      </c>
      <c r="F841" s="648">
        <v>1</v>
      </c>
      <c r="G841" s="356">
        <f>F841-SUM(H841:J841)</f>
        <v>0.84902999999999995</v>
      </c>
      <c r="H841" s="356">
        <f>ROUND(IF($F$501=0,0,$H$501/$F$501),5)</f>
        <v>0.13738</v>
      </c>
      <c r="I841" s="356">
        <f>ROUND(IF($F$501=0,0,$I$501/$F$501),5)</f>
        <v>9.3699999999999999E-3</v>
      </c>
      <c r="J841" s="356">
        <f>ROUND(IF($F$501=0,0,$J$501/$F$501),5)</f>
        <v>4.2199999999999998E-3</v>
      </c>
      <c r="K841" s="356">
        <f>SUM(G841:J841)</f>
        <v>1</v>
      </c>
      <c r="L841" s="350">
        <f>F841-K841</f>
        <v>0</v>
      </c>
      <c r="M841" s="196"/>
      <c r="N841" s="196"/>
      <c r="P841" s="665">
        <f>K841</f>
        <v>1</v>
      </c>
      <c r="Q841" s="196"/>
    </row>
    <row r="842" spans="1:17">
      <c r="A842" s="344">
        <v>28</v>
      </c>
      <c r="B842" s="196"/>
      <c r="C842" s="196"/>
      <c r="D842" s="344"/>
      <c r="E842" s="729"/>
      <c r="F842" s="648"/>
      <c r="G842" s="356"/>
      <c r="H842" s="356"/>
      <c r="I842" s="356"/>
      <c r="J842" s="356"/>
      <c r="K842" s="356"/>
      <c r="L842" s="350"/>
      <c r="M842" s="196"/>
      <c r="N842" s="196"/>
      <c r="P842" s="663"/>
      <c r="Q842" s="196"/>
    </row>
    <row r="843" spans="1:17">
      <c r="A843" s="344">
        <v>29</v>
      </c>
      <c r="B843" s="587" t="s">
        <v>1176</v>
      </c>
      <c r="C843" s="196"/>
      <c r="D843" s="344"/>
      <c r="E843" s="729"/>
      <c r="F843" s="648"/>
      <c r="G843" s="356"/>
      <c r="H843" s="356"/>
      <c r="I843" s="356"/>
      <c r="J843" s="356"/>
      <c r="K843" s="356"/>
      <c r="L843" s="350"/>
      <c r="M843" s="196"/>
      <c r="N843" s="196"/>
      <c r="P843" s="663"/>
      <c r="Q843" s="196"/>
    </row>
    <row r="844" spans="1:17">
      <c r="A844" s="344">
        <v>30</v>
      </c>
      <c r="B844" s="196"/>
      <c r="C844" s="587" t="s">
        <v>1041</v>
      </c>
      <c r="D844" s="725" t="s">
        <v>1013</v>
      </c>
      <c r="E844" s="714" t="str">
        <f>'FR-16(7)(v)-1 Functional'!$E$844</f>
        <v>CS09</v>
      </c>
      <c r="F844" s="648">
        <v>1</v>
      </c>
      <c r="G844" s="356">
        <f>F844-SUM(H844:J844)</f>
        <v>0.85275999999999996</v>
      </c>
      <c r="H844" s="356">
        <f>ROUND(IF($F$647=0,0,H647/$F$647),5)</f>
        <v>0.13578999999999999</v>
      </c>
      <c r="I844" s="356">
        <f>ROUND(IF($F$647=0,0,I647/$F$647),5)</f>
        <v>7.3600000000000002E-3</v>
      </c>
      <c r="J844" s="356">
        <f>ROUND(IF($F$647=0,0,J647/$F$647),5)</f>
        <v>4.0899999999999999E-3</v>
      </c>
      <c r="K844" s="356">
        <f>SUM(G844:J844)</f>
        <v>1</v>
      </c>
      <c r="L844" s="350">
        <f>F844-K844</f>
        <v>0</v>
      </c>
      <c r="M844" s="196"/>
      <c r="N844" s="196"/>
      <c r="P844" s="665">
        <f>K844</f>
        <v>1</v>
      </c>
      <c r="Q844" s="196"/>
    </row>
    <row r="845" spans="1:17">
      <c r="H845" s="353"/>
      <c r="J845" s="353"/>
      <c r="K845" s="353"/>
      <c r="N845" s="196"/>
    </row>
    <row r="846" spans="1:17">
      <c r="A846" s="196"/>
      <c r="B846" s="196"/>
      <c r="C846" s="196"/>
      <c r="D846" s="344"/>
      <c r="F846" s="642"/>
      <c r="G846" s="642"/>
      <c r="H846" s="643"/>
      <c r="I846" s="643"/>
      <c r="J846" s="643"/>
      <c r="K846" s="643"/>
      <c r="L846" s="642"/>
      <c r="M846" s="196"/>
      <c r="N846" s="196"/>
      <c r="O846" s="196"/>
      <c r="P846" s="196"/>
      <c r="Q846" s="196"/>
    </row>
    <row r="847" spans="1:17">
      <c r="H847" s="353"/>
      <c r="J847" s="353"/>
      <c r="K847" s="353"/>
    </row>
    <row r="848" spans="1:17">
      <c r="A848" s="344">
        <v>1</v>
      </c>
      <c r="B848" s="617" t="s">
        <v>91</v>
      </c>
      <c r="C848" s="618"/>
      <c r="D848" s="727"/>
      <c r="E848" s="720"/>
      <c r="F848" s="350"/>
      <c r="G848" s="347"/>
      <c r="H848" s="349"/>
      <c r="I848" s="349"/>
      <c r="J848" s="349"/>
      <c r="K848" s="356"/>
      <c r="L848" s="350"/>
    </row>
    <row r="849" spans="1:12">
      <c r="A849" s="344">
        <v>2</v>
      </c>
      <c r="B849" s="619"/>
      <c r="C849" s="620" t="s">
        <v>227</v>
      </c>
      <c r="D849" s="728"/>
      <c r="E849" s="714" t="str">
        <f>'FR-16(7)(v)-1 Functional'!$E$849</f>
        <v>K597</v>
      </c>
      <c r="F849" s="477">
        <f>ROUND(0.06889*0,0)</f>
        <v>0</v>
      </c>
      <c r="G849" s="615">
        <f>ROUND($F$849*VLOOKUP($E$849,ALLOCTABLE_DISTR_CUSTOMER,$G$10,FALSE),0)</f>
        <v>0</v>
      </c>
      <c r="H849" s="615">
        <f>ROUND($F$849*VLOOKUP($E$849,ALLOCTABLE_DISTR_CUSTOMER,$H$10,FALSE),0)</f>
        <v>0</v>
      </c>
      <c r="I849" s="615">
        <f t="shared" ref="I849:I854" si="205">ROUND(F849*VLOOKUP(E849,ALLOCTABLE_DISTR_CUSTOMER,$I$10,FALSE),0)</f>
        <v>0</v>
      </c>
      <c r="J849" s="615">
        <f>ROUND($F$849*VLOOKUP($E$849,ALLOCTABLE_DISTR_CUSTOMER,$J$10,FALSE),0)</f>
        <v>0</v>
      </c>
      <c r="K849" s="349">
        <f t="shared" ref="K849:K854" si="206">SUM(G849:J849)</f>
        <v>0</v>
      </c>
      <c r="L849" s="347">
        <f t="shared" ref="L849:L854" si="207">F849-K849</f>
        <v>0</v>
      </c>
    </row>
    <row r="850" spans="1:12">
      <c r="A850" s="344">
        <v>3</v>
      </c>
      <c r="B850" s="618"/>
      <c r="C850" s="293" t="s">
        <v>228</v>
      </c>
      <c r="D850" s="722"/>
      <c r="E850" s="714" t="str">
        <f>'FR-16(7)(v)-1 Functional'!$E$850</f>
        <v>AG39</v>
      </c>
      <c r="F850" s="494">
        <v>0</v>
      </c>
      <c r="G850" s="615">
        <f>ROUND($F$850*VLOOKUP($E$850,ALLOCTABLE_DISTR_CUSTOMER,$G$10,FALSE),0)</f>
        <v>0</v>
      </c>
      <c r="H850" s="615">
        <f>ROUND($F$850*VLOOKUP($E$850,ALLOCTABLE_DISTR_CUSTOMER,$H$10,FALSE),0)</f>
        <v>0</v>
      </c>
      <c r="I850" s="615">
        <f t="shared" si="205"/>
        <v>0</v>
      </c>
      <c r="J850" s="615">
        <f>ROUND($F$850*VLOOKUP($E$850,ALLOCTABLE_DISTR_CUSTOMER,$J$10,FALSE),0)</f>
        <v>0</v>
      </c>
      <c r="K850" s="349">
        <f t="shared" si="206"/>
        <v>0</v>
      </c>
      <c r="L850" s="347">
        <f t="shared" si="207"/>
        <v>0</v>
      </c>
    </row>
    <row r="851" spans="1:12">
      <c r="A851" s="344">
        <v>4</v>
      </c>
      <c r="B851" s="618"/>
      <c r="C851" s="293" t="s">
        <v>428</v>
      </c>
      <c r="D851" s="722"/>
      <c r="E851" s="714" t="str">
        <f>'FR-16(7)(v)-1 Functional'!$E$851</f>
        <v>AG39</v>
      </c>
      <c r="F851" s="494">
        <v>0</v>
      </c>
      <c r="G851" s="615">
        <f>ROUND($F$851*VLOOKUP($E$851,ALLOCTABLE_DISTR_CUSTOMER,$G$10,FALSE),0)</f>
        <v>0</v>
      </c>
      <c r="H851" s="615">
        <f>ROUND($F$851*VLOOKUP($E$851,ALLOCTABLE_DISTR_CUSTOMER,$H$10,FALSE),0)</f>
        <v>0</v>
      </c>
      <c r="I851" s="615">
        <f t="shared" si="205"/>
        <v>0</v>
      </c>
      <c r="J851" s="615">
        <f>ROUND($F$851*VLOOKUP($E$851,ALLOCTABLE_DISTR_CUSTOMER,$J$10,FALSE),0)</f>
        <v>0</v>
      </c>
      <c r="K851" s="349">
        <f t="shared" si="206"/>
        <v>0</v>
      </c>
      <c r="L851" s="347">
        <f t="shared" si="207"/>
        <v>0</v>
      </c>
    </row>
    <row r="852" spans="1:12">
      <c r="A852" s="344">
        <v>5</v>
      </c>
      <c r="B852" s="618"/>
      <c r="C852" s="293" t="s">
        <v>423</v>
      </c>
      <c r="D852" s="722" t="s">
        <v>343</v>
      </c>
      <c r="E852" s="714" t="str">
        <f>'FR-16(7)(v)-1 Functional'!$E$852</f>
        <v>K301</v>
      </c>
      <c r="F852" s="494">
        <v>0</v>
      </c>
      <c r="G852" s="615">
        <f>ROUND($F$852*VLOOKUP($E$852,ALLOCTABLE_DISTR_CUSTOMER,$G$10,FALSE),0)</f>
        <v>0</v>
      </c>
      <c r="H852" s="615">
        <f>ROUND($F$852*VLOOKUP($E$852,ALLOCTABLE_DISTR_CUSTOMER,$H$10,FALSE),0)</f>
        <v>0</v>
      </c>
      <c r="I852" s="615">
        <f t="shared" si="205"/>
        <v>0</v>
      </c>
      <c r="J852" s="615">
        <f>ROUND($F$852*VLOOKUP($E$852,ALLOCTABLE_DISTR_CUSTOMER,$J$10,FALSE),0)</f>
        <v>0</v>
      </c>
      <c r="K852" s="349">
        <f t="shared" si="206"/>
        <v>0</v>
      </c>
      <c r="L852" s="347">
        <f t="shared" si="207"/>
        <v>0</v>
      </c>
    </row>
    <row r="853" spans="1:12">
      <c r="A853" s="344">
        <v>6</v>
      </c>
      <c r="B853" s="618"/>
      <c r="C853" s="293" t="s">
        <v>409</v>
      </c>
      <c r="D853" s="722"/>
      <c r="E853" s="714" t="str">
        <f>'FR-16(7)(v)-1 Functional'!$E$853</f>
        <v>K415</v>
      </c>
      <c r="F853" s="494">
        <v>0</v>
      </c>
      <c r="G853" s="615">
        <f>ROUND($F$853*VLOOKUP($E$853,ALLOCTABLE_DISTR_CUSTOMER,$G$10,FALSE),0)</f>
        <v>0</v>
      </c>
      <c r="H853" s="615">
        <f>ROUND($F$853*VLOOKUP($E$853,ALLOCTABLE_DISTR_CUSTOMER,$H$10,FALSE),0)</f>
        <v>0</v>
      </c>
      <c r="I853" s="615">
        <f t="shared" si="205"/>
        <v>0</v>
      </c>
      <c r="J853" s="615">
        <f>ROUND($F$853*VLOOKUP($E$853,ALLOCTABLE_DISTR_CUSTOMER,$J$10,FALSE),0)</f>
        <v>0</v>
      </c>
      <c r="K853" s="349">
        <f t="shared" si="206"/>
        <v>0</v>
      </c>
      <c r="L853" s="347">
        <f t="shared" si="207"/>
        <v>0</v>
      </c>
    </row>
    <row r="854" spans="1:12">
      <c r="A854" s="344">
        <v>7</v>
      </c>
      <c r="B854" s="618"/>
      <c r="C854" s="293" t="s">
        <v>424</v>
      </c>
      <c r="D854" s="722" t="s">
        <v>343</v>
      </c>
      <c r="E854" s="714" t="str">
        <f>'FR-16(7)(v)-1 Functional'!$E$854</f>
        <v>NP29</v>
      </c>
      <c r="F854" s="494">
        <v>0</v>
      </c>
      <c r="G854" s="615">
        <f>ROUND($F$854*VLOOKUP($E$854,ALLOCTABLE_DISTR_CUSTOMER,$G$10,FALSE),0)</f>
        <v>0</v>
      </c>
      <c r="H854" s="615">
        <f>ROUND($F$854*VLOOKUP($E$854,ALLOCTABLE_DISTR_CUSTOMER,$H$10,FALSE),0)</f>
        <v>0</v>
      </c>
      <c r="I854" s="615">
        <f t="shared" si="205"/>
        <v>0</v>
      </c>
      <c r="J854" s="615">
        <f>ROUND($F$854*VLOOKUP($E$854,ALLOCTABLE_DISTR_CUSTOMER,$J$10,FALSE),0)</f>
        <v>0</v>
      </c>
      <c r="K854" s="349">
        <f t="shared" si="206"/>
        <v>0</v>
      </c>
      <c r="L854" s="347">
        <f t="shared" si="207"/>
        <v>0</v>
      </c>
    </row>
    <row r="855" spans="1:12">
      <c r="A855" s="344">
        <v>8</v>
      </c>
      <c r="C855" s="488" t="s">
        <v>229</v>
      </c>
      <c r="D855" s="589" t="s">
        <v>285</v>
      </c>
      <c r="E855" s="333"/>
      <c r="F855" s="348">
        <f t="shared" ref="F855:L855" si="208">SUM(F848:F854)</f>
        <v>0</v>
      </c>
      <c r="G855" s="348">
        <f t="shared" si="208"/>
        <v>0</v>
      </c>
      <c r="H855" s="348">
        <f t="shared" si="208"/>
        <v>0</v>
      </c>
      <c r="I855" s="348">
        <f t="shared" si="208"/>
        <v>0</v>
      </c>
      <c r="J855" s="348">
        <f t="shared" si="208"/>
        <v>0</v>
      </c>
      <c r="K855" s="348">
        <f t="shared" si="208"/>
        <v>0</v>
      </c>
      <c r="L855" s="348">
        <f t="shared" si="208"/>
        <v>0</v>
      </c>
    </row>
    <row r="861" spans="1:12" ht="20.25">
      <c r="A861" s="1192" t="s">
        <v>1215</v>
      </c>
    </row>
    <row r="862" spans="1:12">
      <c r="F862" s="344" t="s">
        <v>229</v>
      </c>
    </row>
    <row r="863" spans="1:12">
      <c r="A863" s="344" t="s">
        <v>914</v>
      </c>
      <c r="B863" s="196"/>
      <c r="C863" s="196"/>
      <c r="D863" s="344"/>
      <c r="E863" s="196"/>
      <c r="F863" s="344" t="str">
        <f>$F$8</f>
        <v>DISTRIBUTION</v>
      </c>
      <c r="G863" s="354" t="str">
        <f>$G$8</f>
        <v>RS</v>
      </c>
      <c r="H863" s="354" t="str">
        <f>$H$8</f>
        <v>GS</v>
      </c>
      <c r="I863" s="344" t="str">
        <f>$I$8</f>
        <v>FT-L</v>
      </c>
      <c r="J863" s="344" t="str">
        <f>$J$8</f>
        <v>INTERUPT</v>
      </c>
      <c r="K863" s="344" t="s">
        <v>229</v>
      </c>
      <c r="L863" s="344" t="s">
        <v>342</v>
      </c>
    </row>
    <row r="864" spans="1:12">
      <c r="A864" s="346" t="s">
        <v>915</v>
      </c>
      <c r="B864" s="345" t="s">
        <v>99</v>
      </c>
      <c r="C864" s="345"/>
      <c r="D864" s="346" t="s">
        <v>337</v>
      </c>
      <c r="E864" s="345"/>
      <c r="F864" s="344" t="str">
        <f>$F$9</f>
        <v>CUSTOMER</v>
      </c>
      <c r="G864" s="355" t="str">
        <f>$G$9</f>
        <v>RESIDENTIAL</v>
      </c>
      <c r="H864" s="355" t="str">
        <f>$H$9</f>
        <v>GEN SERV</v>
      </c>
      <c r="I864" s="346" t="str">
        <f>$I$9</f>
        <v>FIRM TRANS</v>
      </c>
      <c r="J864" s="346" t="str">
        <f>$J$9</f>
        <v>TRANS</v>
      </c>
      <c r="K864" s="346" t="s">
        <v>341</v>
      </c>
      <c r="L864" s="346" t="s">
        <v>340</v>
      </c>
    </row>
    <row r="865" spans="1:12">
      <c r="B865" s="196"/>
      <c r="C865" s="578" t="s">
        <v>4</v>
      </c>
      <c r="D865" s="344"/>
      <c r="E865" s="196"/>
      <c r="F865" s="761"/>
      <c r="G865" s="633">
        <f>$G$10</f>
        <v>3</v>
      </c>
      <c r="H865" s="633">
        <f>$H$10</f>
        <v>4</v>
      </c>
      <c r="I865" s="633">
        <f>$I$10</f>
        <v>5</v>
      </c>
      <c r="J865" s="633">
        <f>$J$10</f>
        <v>6</v>
      </c>
    </row>
    <row r="866" spans="1:12">
      <c r="A866" s="333">
        <v>1</v>
      </c>
      <c r="B866" s="332" t="s">
        <v>100</v>
      </c>
      <c r="D866" s="344"/>
      <c r="E866" s="196"/>
      <c r="I866" s="332"/>
    </row>
    <row r="867" spans="1:12">
      <c r="A867" s="333">
        <v>2</v>
      </c>
      <c r="C867" s="332" t="str">
        <f>'FR-16(7)(v)-1 Functional'!C867</f>
        <v>TOTAL GAS COST OF SERVICE</v>
      </c>
      <c r="D867" s="344"/>
      <c r="E867" s="196"/>
      <c r="F867" s="347">
        <f t="shared" ref="F867:L867" si="209">F647</f>
        <v>31703777</v>
      </c>
      <c r="G867" s="347">
        <f t="shared" si="209"/>
        <v>27035747</v>
      </c>
      <c r="H867" s="347">
        <f t="shared" si="209"/>
        <v>4305132</v>
      </c>
      <c r="I867" s="347">
        <f t="shared" si="209"/>
        <v>233332</v>
      </c>
      <c r="J867" s="347">
        <f t="shared" si="209"/>
        <v>129567</v>
      </c>
      <c r="K867" s="347">
        <f t="shared" si="209"/>
        <v>31703778</v>
      </c>
      <c r="L867" s="347">
        <f t="shared" si="209"/>
        <v>1</v>
      </c>
    </row>
    <row r="868" spans="1:12">
      <c r="A868" s="333">
        <v>3</v>
      </c>
      <c r="C868" s="359" t="str">
        <f>'FR-16(7)(v)-1 Functional'!C868</f>
        <v>TOTAL OTHER OPERATING REVENUES</v>
      </c>
      <c r="D868" s="344"/>
      <c r="E868" s="196"/>
      <c r="F868" s="347">
        <f>F630</f>
        <v>73399</v>
      </c>
      <c r="G868" s="347">
        <f>$G$630</f>
        <v>66630</v>
      </c>
      <c r="H868" s="347">
        <f>$H$630</f>
        <v>6449</v>
      </c>
      <c r="I868" s="347">
        <f>$I$630</f>
        <v>229</v>
      </c>
      <c r="J868" s="347">
        <f>$J$630</f>
        <v>91</v>
      </c>
      <c r="K868" s="347">
        <f>$K$630</f>
        <v>73399</v>
      </c>
      <c r="L868" s="347">
        <f>$L$630</f>
        <v>0</v>
      </c>
    </row>
    <row r="869" spans="1:12">
      <c r="A869" s="333">
        <v>4</v>
      </c>
      <c r="C869" s="332" t="str">
        <f>'FR-16(7)(v)-1 Functional'!C869</f>
        <v xml:space="preserve">  TOTAL GAS REVENUE</v>
      </c>
      <c r="D869" s="344"/>
      <c r="E869" s="196"/>
      <c r="F869" s="348">
        <f t="shared" ref="F869:L869" si="210">SUM(F866:F868)</f>
        <v>31777176</v>
      </c>
      <c r="G869" s="348">
        <f t="shared" si="210"/>
        <v>27102377</v>
      </c>
      <c r="H869" s="348">
        <f t="shared" si="210"/>
        <v>4311581</v>
      </c>
      <c r="I869" s="348">
        <f t="shared" si="210"/>
        <v>233561</v>
      </c>
      <c r="J869" s="348">
        <f t="shared" si="210"/>
        <v>129658</v>
      </c>
      <c r="K869" s="348">
        <f t="shared" si="210"/>
        <v>31777177</v>
      </c>
      <c r="L869" s="348">
        <f t="shared" si="210"/>
        <v>1</v>
      </c>
    </row>
    <row r="870" spans="1:12">
      <c r="A870" s="333">
        <v>5</v>
      </c>
      <c r="C870" s="332" t="str">
        <f>'FR-16(7)(v)-1 Functional'!C870</f>
        <v>TOTAL OP EXP EX INC &amp; REV TAX</v>
      </c>
      <c r="D870" s="344"/>
      <c r="E870" s="196"/>
      <c r="F870" s="347">
        <f>-F501</f>
        <v>-20969865</v>
      </c>
      <c r="G870" s="347">
        <f>-$G$501</f>
        <v>-17804100</v>
      </c>
      <c r="H870" s="347">
        <f>-$H$501</f>
        <v>-2880800</v>
      </c>
      <c r="I870" s="347">
        <f>-$I$501</f>
        <v>-196408</v>
      </c>
      <c r="J870" s="347">
        <f>-$J$501</f>
        <v>-88557</v>
      </c>
      <c r="K870" s="512">
        <f>-$K$501</f>
        <v>-20969865</v>
      </c>
      <c r="L870" s="347">
        <f>-$L$501</f>
        <v>0</v>
      </c>
    </row>
    <row r="871" spans="1:12">
      <c r="A871" s="333">
        <v>6</v>
      </c>
      <c r="C871" s="359" t="str">
        <f>'FR-16(7)(v)-1 Functional'!C871</f>
        <v>FIRM SERVICE REVENUE TAX</v>
      </c>
      <c r="D871" s="344"/>
      <c r="E871" s="196"/>
      <c r="F871" s="347">
        <f>-ROUND(F694*F867,0)</f>
        <v>0</v>
      </c>
      <c r="G871" s="347">
        <f>F871-SUM(H871:J871)</f>
        <v>0</v>
      </c>
      <c r="H871" s="347">
        <f>-ROUND(H694*H867,0)</f>
        <v>0</v>
      </c>
      <c r="I871" s="347">
        <f>-ROUND(I694*I867,0)</f>
        <v>0</v>
      </c>
      <c r="J871" s="347">
        <f>-ROUND(J694*J867,0)</f>
        <v>0</v>
      </c>
      <c r="K871" s="510">
        <f>SUM(G871:J871)</f>
        <v>0</v>
      </c>
      <c r="L871" s="347">
        <f>-ROUND('FR-16(7)(v)-1 Functional'!K694*L867,0)</f>
        <v>0</v>
      </c>
    </row>
    <row r="872" spans="1:12">
      <c r="A872" s="333">
        <v>7</v>
      </c>
      <c r="C872" s="332" t="str">
        <f>'FR-16(7)(v)-1 Functional'!C872</f>
        <v xml:space="preserve">  NET INCOME</v>
      </c>
      <c r="D872" s="344"/>
      <c r="E872" s="196"/>
      <c r="F872" s="348">
        <f>SUM(F869:F871)</f>
        <v>10807311</v>
      </c>
      <c r="G872" s="348">
        <f>SUM(G869:G871)</f>
        <v>9298277</v>
      </c>
      <c r="H872" s="348">
        <f>SUM(H869:H871)</f>
        <v>1430781</v>
      </c>
      <c r="I872" s="348">
        <f>SUM(I869:I871)</f>
        <v>37153</v>
      </c>
      <c r="J872" s="348">
        <f>SUM(J869:J871)</f>
        <v>41101</v>
      </c>
      <c r="K872" s="348">
        <f>SUM(G872:J872)</f>
        <v>10807312</v>
      </c>
      <c r="L872" s="348">
        <f>SUM(L869:L871)</f>
        <v>1</v>
      </c>
    </row>
    <row r="873" spans="1:12">
      <c r="A873" s="333">
        <v>8</v>
      </c>
      <c r="D873" s="344"/>
      <c r="E873" s="196"/>
      <c r="I873" s="332"/>
    </row>
    <row r="874" spans="1:12">
      <c r="A874" s="333">
        <v>9</v>
      </c>
      <c r="B874" s="332" t="s">
        <v>101</v>
      </c>
      <c r="D874" s="344"/>
      <c r="E874" s="196"/>
      <c r="I874" s="332"/>
    </row>
    <row r="875" spans="1:12">
      <c r="A875" s="333">
        <v>10</v>
      </c>
      <c r="C875" s="332" t="str">
        <f>'FR-16(7)(v)-1 Functional'!C875</f>
        <v>TOTAL INTEREST EXPENSE</v>
      </c>
      <c r="D875" s="344"/>
      <c r="E875" s="196"/>
      <c r="F875" s="347">
        <f>-F516</f>
        <v>-2949490</v>
      </c>
      <c r="G875" s="347">
        <f>-$G$516</f>
        <v>-2538774</v>
      </c>
      <c r="H875" s="347">
        <f>-$H$516</f>
        <v>-389244</v>
      </c>
      <c r="I875" s="347">
        <f>-$I$516</f>
        <v>-10323</v>
      </c>
      <c r="J875" s="347">
        <f>-$J$516</f>
        <v>-11149</v>
      </c>
      <c r="K875" s="347">
        <f>-$K$516</f>
        <v>-2949490</v>
      </c>
      <c r="L875" s="347">
        <f>-$L$516</f>
        <v>0</v>
      </c>
    </row>
    <row r="876" spans="1:12">
      <c r="A876" s="333">
        <v>11</v>
      </c>
      <c r="C876" s="359" t="str">
        <f>'FR-16(7)(v)-1 Functional'!C876</f>
        <v>TOTAL OTHER DEDUCTIONS</v>
      </c>
      <c r="D876" s="344"/>
      <c r="E876" s="196"/>
      <c r="F876" s="347">
        <f>-F522</f>
        <v>-2993720</v>
      </c>
      <c r="G876" s="347">
        <f>-$G$522</f>
        <v>-2574340</v>
      </c>
      <c r="H876" s="347">
        <f>-$H$522</f>
        <v>-394487</v>
      </c>
      <c r="I876" s="347">
        <f>-$I$522</f>
        <v>-13637</v>
      </c>
      <c r="J876" s="347">
        <f>-$J$522</f>
        <v>-11256</v>
      </c>
      <c r="K876" s="347">
        <f>-$K$522</f>
        <v>-2993720</v>
      </c>
      <c r="L876" s="347">
        <f>-$L$522</f>
        <v>0</v>
      </c>
    </row>
    <row r="877" spans="1:12">
      <c r="A877" s="333">
        <v>12</v>
      </c>
      <c r="C877" s="332" t="str">
        <f>'FR-16(7)(v)-1 Functional'!C877</f>
        <v xml:space="preserve">  PRELIMINARY TAXABLE INCOME</v>
      </c>
      <c r="D877" s="344"/>
      <c r="E877" s="196"/>
      <c r="F877" s="348">
        <f>SUM(F874:F876)+F872</f>
        <v>4864101</v>
      </c>
      <c r="G877" s="348">
        <f>SUM(G874:G876)+G872</f>
        <v>4185163</v>
      </c>
      <c r="H877" s="348">
        <f>SUM(H874:H876)+H872</f>
        <v>647050</v>
      </c>
      <c r="I877" s="348">
        <f>SUM(I874:I876)+I872</f>
        <v>13193</v>
      </c>
      <c r="J877" s="348">
        <f>SUM(J874:J876)+J872</f>
        <v>18696</v>
      </c>
      <c r="K877" s="348">
        <f>SUM(G877:J877)</f>
        <v>4864102</v>
      </c>
      <c r="L877" s="348">
        <f>SUM(L874:L876)+L872</f>
        <v>1</v>
      </c>
    </row>
    <row r="878" spans="1:12">
      <c r="A878" s="333">
        <v>13</v>
      </c>
      <c r="D878" s="344"/>
      <c r="E878" s="196"/>
      <c r="I878" s="332"/>
    </row>
    <row r="879" spans="1:12">
      <c r="A879" s="333">
        <v>14</v>
      </c>
      <c r="B879" s="332" t="s">
        <v>99</v>
      </c>
      <c r="D879" s="344"/>
      <c r="E879" s="196"/>
      <c r="I879" s="332"/>
    </row>
    <row r="880" spans="1:12">
      <c r="A880" s="333">
        <v>15</v>
      </c>
      <c r="B880" s="332" t="s">
        <v>74</v>
      </c>
      <c r="D880" s="344"/>
      <c r="E880" s="196"/>
      <c r="I880" s="332"/>
    </row>
    <row r="881" spans="1:12">
      <c r="A881" s="333">
        <v>16</v>
      </c>
      <c r="C881" s="332" t="str">
        <f>'FR-16(7)(v)-1 Functional'!C881</f>
        <v>PRELIMINARY TAXABLE INCOME</v>
      </c>
      <c r="D881" s="344"/>
      <c r="E881" s="196"/>
      <c r="F881" s="347">
        <f t="shared" ref="F881:L881" si="211">F877</f>
        <v>4864101</v>
      </c>
      <c r="G881" s="347">
        <f t="shared" si="211"/>
        <v>4185163</v>
      </c>
      <c r="H881" s="347">
        <f t="shared" si="211"/>
        <v>647050</v>
      </c>
      <c r="I881" s="347">
        <f t="shared" si="211"/>
        <v>13193</v>
      </c>
      <c r="J881" s="347">
        <f t="shared" si="211"/>
        <v>18696</v>
      </c>
      <c r="K881" s="347">
        <f t="shared" si="211"/>
        <v>4864102</v>
      </c>
      <c r="L881" s="347">
        <f t="shared" si="211"/>
        <v>1</v>
      </c>
    </row>
    <row r="882" spans="1:12">
      <c r="A882" s="333">
        <v>17</v>
      </c>
      <c r="C882" s="332" t="str">
        <f>'FR-16(7)(v)-1 Functional'!C882</f>
        <v xml:space="preserve">  NET FEDERAL TAXABLE INCOME</v>
      </c>
      <c r="D882" s="344"/>
      <c r="E882" s="196"/>
      <c r="F882" s="347">
        <f t="shared" ref="F882:L882" si="212">SUM(F881:F881)</f>
        <v>4864101</v>
      </c>
      <c r="G882" s="347">
        <f t="shared" si="212"/>
        <v>4185163</v>
      </c>
      <c r="H882" s="347">
        <f t="shared" si="212"/>
        <v>647050</v>
      </c>
      <c r="I882" s="347">
        <f t="shared" si="212"/>
        <v>13193</v>
      </c>
      <c r="J882" s="347">
        <f t="shared" si="212"/>
        <v>18696</v>
      </c>
      <c r="K882" s="347">
        <f t="shared" si="212"/>
        <v>4864102</v>
      </c>
      <c r="L882" s="347">
        <f t="shared" si="212"/>
        <v>1</v>
      </c>
    </row>
    <row r="883" spans="1:12">
      <c r="A883" s="333">
        <v>18</v>
      </c>
      <c r="C883" s="332" t="str">
        <f>'FR-16(7)(v)-1 Functional'!C883</f>
        <v xml:space="preserve">  FEDERAL INCOME TAX RATE</v>
      </c>
      <c r="D883" s="344"/>
      <c r="E883" s="196"/>
      <c r="F883" s="350">
        <f>F692</f>
        <v>0.21</v>
      </c>
      <c r="G883" s="350">
        <f>G692</f>
        <v>0.21</v>
      </c>
      <c r="H883" s="350">
        <f>H692</f>
        <v>0.21</v>
      </c>
      <c r="I883" s="350">
        <f>I692</f>
        <v>0.21</v>
      </c>
      <c r="J883" s="350">
        <f>J692</f>
        <v>0.21</v>
      </c>
      <c r="K883" s="350"/>
      <c r="L883" s="350">
        <f>'FR-16(7)(v)-1 Functional'!K692</f>
        <v>0.21</v>
      </c>
    </row>
    <row r="884" spans="1:12">
      <c r="A884" s="333">
        <v>19</v>
      </c>
      <c r="C884" s="332" t="str">
        <f>'FR-16(7)(v)-1 Functional'!C884</f>
        <v>PRELIMINARY FIT = FI01 * K190</v>
      </c>
      <c r="D884" s="344"/>
      <c r="E884" s="196"/>
      <c r="F884" s="347">
        <f>ROUND(F883*F882,0)</f>
        <v>1021461</v>
      </c>
      <c r="G884" s="347">
        <f>ROUND(G883*G882,0)</f>
        <v>878884</v>
      </c>
      <c r="H884" s="347">
        <f>ROUND(H883*H882,0)</f>
        <v>135881</v>
      </c>
      <c r="I884" s="347">
        <f>ROUND(I883*I882,0)</f>
        <v>2771</v>
      </c>
      <c r="J884" s="347">
        <f>ROUND(J883*J882,0)</f>
        <v>3926</v>
      </c>
      <c r="K884" s="347">
        <f>SUM(G884:J884)</f>
        <v>1021462</v>
      </c>
      <c r="L884" s="347">
        <f>ROUND(L883*L882,0)</f>
        <v>0</v>
      </c>
    </row>
    <row r="885" spans="1:12">
      <c r="A885" s="333">
        <v>20</v>
      </c>
      <c r="C885" s="332" t="str">
        <f>'FR-16(7)(v)-1 Functional'!C885</f>
        <v>TOTAL FED DEF IT (410 &amp; 411)</v>
      </c>
      <c r="D885" s="344"/>
      <c r="E885" s="196"/>
      <c r="F885" s="347">
        <f>F532</f>
        <v>-52868</v>
      </c>
      <c r="G885" s="347">
        <f>$G$532</f>
        <v>-49308</v>
      </c>
      <c r="H885" s="347">
        <f>$H$532</f>
        <v>-3541</v>
      </c>
      <c r="I885" s="347">
        <f>$I$532</f>
        <v>-21</v>
      </c>
      <c r="J885" s="347">
        <f>$J$532</f>
        <v>2</v>
      </c>
      <c r="K885" s="347">
        <f>$K$532</f>
        <v>-52868</v>
      </c>
      <c r="L885" s="347">
        <f>$L$532</f>
        <v>0</v>
      </c>
    </row>
    <row r="886" spans="1:12">
      <c r="A886" s="333">
        <v>21</v>
      </c>
      <c r="C886" s="359" t="str">
        <f>'FR-16(7)(v)-1 Functional'!C886</f>
        <v>TOTAL AMORTIZED ITC</v>
      </c>
      <c r="D886" s="344"/>
      <c r="E886" s="196"/>
      <c r="F886" s="347">
        <f>-F536</f>
        <v>-29703</v>
      </c>
      <c r="G886" s="347">
        <f>-$G$536</f>
        <v>-25557</v>
      </c>
      <c r="H886" s="347">
        <f>-$H$536</f>
        <v>-3926</v>
      </c>
      <c r="I886" s="347">
        <f>-$I$536</f>
        <v>-109</v>
      </c>
      <c r="J886" s="347">
        <f>-$J$536</f>
        <v>-111</v>
      </c>
      <c r="K886" s="347">
        <f>-$K$536</f>
        <v>-29703</v>
      </c>
      <c r="L886" s="347">
        <f>-$L$536</f>
        <v>0</v>
      </c>
    </row>
    <row r="887" spans="1:12">
      <c r="A887" s="333">
        <v>22</v>
      </c>
      <c r="C887" s="332" t="str">
        <f>'FR-16(7)(v)-1 Functional'!C887</f>
        <v xml:space="preserve">  NET FED INC TAX ALLOWABLE</v>
      </c>
      <c r="D887" s="344"/>
      <c r="E887" s="196"/>
      <c r="F887" s="348">
        <f t="shared" ref="F887:L887" si="213">SUM(F884:F886)</f>
        <v>938890</v>
      </c>
      <c r="G887" s="348">
        <f t="shared" si="213"/>
        <v>804019</v>
      </c>
      <c r="H887" s="348">
        <f t="shared" si="213"/>
        <v>128414</v>
      </c>
      <c r="I887" s="348">
        <f t="shared" si="213"/>
        <v>2641</v>
      </c>
      <c r="J887" s="348">
        <f t="shared" si="213"/>
        <v>3817</v>
      </c>
      <c r="K887" s="348">
        <f t="shared" si="213"/>
        <v>938891</v>
      </c>
      <c r="L887" s="348">
        <f t="shared" si="213"/>
        <v>0</v>
      </c>
    </row>
    <row r="888" spans="1:12">
      <c r="A888" s="333">
        <v>23</v>
      </c>
      <c r="D888" s="344"/>
      <c r="E888" s="196"/>
      <c r="I888" s="332"/>
    </row>
    <row r="889" spans="1:12">
      <c r="A889" s="333">
        <v>24</v>
      </c>
      <c r="B889" s="332" t="s">
        <v>75</v>
      </c>
      <c r="D889" s="344"/>
      <c r="E889" s="196"/>
      <c r="I889" s="332"/>
    </row>
    <row r="890" spans="1:12">
      <c r="A890" s="333">
        <v>25</v>
      </c>
      <c r="C890" s="332" t="str">
        <f>'FR-16(7)(v)-1 Functional'!C890</f>
        <v>PRELIM FIT</v>
      </c>
      <c r="D890" s="344"/>
      <c r="E890" s="196"/>
      <c r="F890" s="347">
        <f t="shared" ref="F890:L890" si="214">F884</f>
        <v>1021461</v>
      </c>
      <c r="G890" s="347">
        <f t="shared" si="214"/>
        <v>878884</v>
      </c>
      <c r="H890" s="347">
        <f t="shared" si="214"/>
        <v>135881</v>
      </c>
      <c r="I890" s="347">
        <f t="shared" si="214"/>
        <v>2771</v>
      </c>
      <c r="J890" s="347">
        <f t="shared" si="214"/>
        <v>3926</v>
      </c>
      <c r="K890" s="347">
        <f t="shared" si="214"/>
        <v>1021462</v>
      </c>
      <c r="L890" s="347">
        <f t="shared" si="214"/>
        <v>0</v>
      </c>
    </row>
    <row r="891" spans="1:12">
      <c r="A891" s="333">
        <v>26</v>
      </c>
      <c r="C891" s="359" t="str">
        <f>'FR-16(7)(v)-1 Functional'!C891</f>
        <v>TEST YEAR INV TAX CREDIT</v>
      </c>
      <c r="D891" s="344"/>
      <c r="E891" s="196"/>
      <c r="F891" s="347">
        <f>-F540</f>
        <v>0</v>
      </c>
      <c r="G891" s="626">
        <f>-$G$540</f>
        <v>0</v>
      </c>
      <c r="H891" s="626">
        <f>-$H$540</f>
        <v>0</v>
      </c>
      <c r="I891" s="347">
        <f>-$I$540</f>
        <v>0</v>
      </c>
      <c r="J891" s="347">
        <f>-$J$540</f>
        <v>0</v>
      </c>
      <c r="K891" s="347">
        <f>-$K$540</f>
        <v>0</v>
      </c>
      <c r="L891" s="347">
        <f>-$L$540</f>
        <v>0</v>
      </c>
    </row>
    <row r="892" spans="1:12">
      <c r="A892" s="333">
        <v>27</v>
      </c>
      <c r="C892" s="332" t="str">
        <f>'FR-16(7)(v)-1 Functional'!C892</f>
        <v xml:space="preserve">  FED INC TAX PAYABLE</v>
      </c>
      <c r="D892" s="344"/>
      <c r="E892" s="196"/>
      <c r="F892" s="348">
        <f t="shared" ref="F892:L892" si="215">SUM(F889:F891)</f>
        <v>1021461</v>
      </c>
      <c r="G892" s="348">
        <f t="shared" si="215"/>
        <v>878884</v>
      </c>
      <c r="H892" s="348">
        <f t="shared" si="215"/>
        <v>135881</v>
      </c>
      <c r="I892" s="348">
        <f t="shared" si="215"/>
        <v>2771</v>
      </c>
      <c r="J892" s="348">
        <f t="shared" si="215"/>
        <v>3926</v>
      </c>
      <c r="K892" s="348">
        <f t="shared" si="215"/>
        <v>1021462</v>
      </c>
      <c r="L892" s="348">
        <f t="shared" si="215"/>
        <v>0</v>
      </c>
    </row>
    <row r="893" spans="1:12">
      <c r="A893" s="333">
        <v>28</v>
      </c>
      <c r="D893" s="344"/>
      <c r="E893" s="196"/>
      <c r="I893" s="332"/>
    </row>
    <row r="894" spans="1:12">
      <c r="A894" s="333">
        <v>29</v>
      </c>
      <c r="B894" s="332" t="s">
        <v>40</v>
      </c>
      <c r="D894" s="344"/>
      <c r="E894" s="196"/>
      <c r="I894" s="332"/>
    </row>
    <row r="895" spans="1:12">
      <c r="A895" s="333">
        <v>30</v>
      </c>
      <c r="C895" s="332" t="str">
        <f>'FR-16(7)(v)-1 Functional'!C895</f>
        <v>NET INCOME</v>
      </c>
      <c r="D895" s="344"/>
      <c r="E895" s="196"/>
      <c r="F895" s="347">
        <f t="shared" ref="F895:L895" si="216">F872</f>
        <v>10807311</v>
      </c>
      <c r="G895" s="347">
        <f t="shared" si="216"/>
        <v>9298277</v>
      </c>
      <c r="H895" s="347">
        <f t="shared" si="216"/>
        <v>1430781</v>
      </c>
      <c r="I895" s="347">
        <f t="shared" si="216"/>
        <v>37153</v>
      </c>
      <c r="J895" s="347">
        <f t="shared" si="216"/>
        <v>41101</v>
      </c>
      <c r="K895" s="347">
        <f t="shared" si="216"/>
        <v>10807312</v>
      </c>
      <c r="L895" s="347">
        <f t="shared" si="216"/>
        <v>1</v>
      </c>
    </row>
    <row r="896" spans="1:12">
      <c r="A896" s="333">
        <v>31</v>
      </c>
      <c r="C896" s="359" t="str">
        <f>'FR-16(7)(v)-1 Functional'!C896</f>
        <v>NET FED INC TAX ALLOWABLE</v>
      </c>
      <c r="D896" s="344"/>
      <c r="E896" s="196"/>
      <c r="F896" s="347">
        <f t="shared" ref="F896:L896" si="217">-F887</f>
        <v>-938890</v>
      </c>
      <c r="G896" s="347">
        <f t="shared" si="217"/>
        <v>-804019</v>
      </c>
      <c r="H896" s="347">
        <f t="shared" si="217"/>
        <v>-128414</v>
      </c>
      <c r="I896" s="347">
        <f t="shared" si="217"/>
        <v>-2641</v>
      </c>
      <c r="J896" s="347">
        <f t="shared" si="217"/>
        <v>-3817</v>
      </c>
      <c r="K896" s="347">
        <f t="shared" si="217"/>
        <v>-938891</v>
      </c>
      <c r="L896" s="347">
        <f t="shared" si="217"/>
        <v>0</v>
      </c>
    </row>
    <row r="897" spans="1:14">
      <c r="A897" s="333">
        <v>32</v>
      </c>
      <c r="C897" s="332" t="str">
        <f>'FR-16(7)(v)-1 Functional'!C897</f>
        <v xml:space="preserve">  OVERALL RETURN EARNED</v>
      </c>
      <c r="D897" s="344"/>
      <c r="E897" s="196"/>
      <c r="F897" s="348">
        <f t="shared" ref="F897:L897" si="218">SUM(F894:F896)</f>
        <v>9868421</v>
      </c>
      <c r="G897" s="348">
        <f t="shared" si="218"/>
        <v>8494258</v>
      </c>
      <c r="H897" s="348">
        <f t="shared" si="218"/>
        <v>1302367</v>
      </c>
      <c r="I897" s="348">
        <f t="shared" si="218"/>
        <v>34512</v>
      </c>
      <c r="J897" s="348">
        <f t="shared" si="218"/>
        <v>37284</v>
      </c>
      <c r="K897" s="348">
        <f t="shared" si="218"/>
        <v>9868421</v>
      </c>
      <c r="L897" s="348">
        <f t="shared" si="218"/>
        <v>1</v>
      </c>
    </row>
    <row r="898" spans="1:14">
      <c r="A898" s="333">
        <v>33</v>
      </c>
      <c r="D898" s="344"/>
      <c r="E898" s="196"/>
      <c r="I898" s="332"/>
    </row>
    <row r="899" spans="1:14">
      <c r="A899" s="333">
        <v>34</v>
      </c>
      <c r="C899" s="332" t="str">
        <f>'FR-16(7)(v)-1 Functional'!C899</f>
        <v xml:space="preserve">  RATE OF RETURN EARNED</v>
      </c>
      <c r="D899" s="344"/>
      <c r="E899" s="196"/>
      <c r="F899" s="350">
        <f t="shared" ref="F899:L899" si="219">IF(F331=0,0,ROUND(F897/F331,5))</f>
        <v>7.2120000000000004E-2</v>
      </c>
      <c r="G899" s="350">
        <f t="shared" si="219"/>
        <v>7.2120000000000004E-2</v>
      </c>
      <c r="H899" s="350">
        <f t="shared" si="219"/>
        <v>7.2120000000000004E-2</v>
      </c>
      <c r="I899" s="350">
        <f t="shared" si="219"/>
        <v>7.2139999999999996E-2</v>
      </c>
      <c r="J899" s="350">
        <f t="shared" si="219"/>
        <v>7.2120000000000004E-2</v>
      </c>
      <c r="K899" s="350">
        <f t="shared" si="219"/>
        <v>7.2120000000000004E-2</v>
      </c>
      <c r="L899" s="350">
        <f t="shared" si="219"/>
        <v>0</v>
      </c>
    </row>
    <row r="900" spans="1:14">
      <c r="N900" s="196"/>
    </row>
  </sheetData>
  <conditionalFormatting sqref="P708:P742 P744:P762 P766:P778 P780:P844">
    <cfRule type="cellIs" dxfId="1" priority="1" operator="notEqual">
      <formula>1</formula>
    </cfRule>
  </conditionalFormatting>
  <pageMargins left="1" right="1" top="1" bottom="1" header="1" footer="0.5"/>
  <pageSetup scale="64" orientation="landscape" blackAndWhite="1" r:id="rId1"/>
  <headerFooter alignWithMargins="0"/>
  <rowBreaks count="16" manualBreakCount="16">
    <brk id="44" max="11" man="1"/>
    <brk id="101" max="11" man="1"/>
    <brk id="151" max="11" man="1"/>
    <brk id="191" max="11" man="1"/>
    <brk id="238" max="11" man="1"/>
    <brk id="283" max="11" man="1"/>
    <brk id="334" max="11" man="1"/>
    <brk id="389" max="11" man="1"/>
    <brk id="433" max="11" man="1"/>
    <brk id="465" max="11" man="1"/>
    <brk id="501" max="11" man="1"/>
    <brk id="565" max="11" man="1"/>
    <brk id="655" max="11" man="1"/>
    <brk id="694" max="11" man="1"/>
    <brk id="746" max="11" man="1"/>
    <brk id="803" max="11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tabColor rgb="FF0070C0"/>
  </sheetPr>
  <dimension ref="A1:O899"/>
  <sheetViews>
    <sheetView zoomScale="80" zoomScaleNormal="80" zoomScaleSheetLayoutView="80" workbookViewId="0"/>
  </sheetViews>
  <sheetFormatPr defaultColWidth="8.77734375" defaultRowHeight="12.75"/>
  <cols>
    <col min="1" max="1" width="6.44140625" style="332" customWidth="1"/>
    <col min="2" max="2" width="3.5546875" style="332" customWidth="1"/>
    <col min="3" max="3" width="35.88671875" style="332" customWidth="1"/>
    <col min="4" max="4" width="9.77734375" style="333" customWidth="1"/>
    <col min="5" max="5" width="8" style="332" customWidth="1"/>
    <col min="6" max="6" width="12.5546875" style="332" customWidth="1"/>
    <col min="7" max="8" width="11.88671875" style="332" customWidth="1"/>
    <col min="9" max="9" width="13.77734375" style="332" customWidth="1"/>
    <col min="10" max="11" width="11.88671875" style="332" customWidth="1"/>
    <col min="12" max="16384" width="8.77734375" style="332"/>
  </cols>
  <sheetData>
    <row r="1" spans="1:11">
      <c r="A1" s="343" t="str">
        <f>co_name</f>
        <v>DUKE ENERGY KENTUCKY, INC.</v>
      </c>
      <c r="C1" s="196"/>
      <c r="D1" s="344"/>
      <c r="E1" s="196"/>
      <c r="F1" s="196"/>
      <c r="G1" s="196"/>
      <c r="H1" s="196"/>
      <c r="I1" s="196"/>
      <c r="J1" s="583" t="s">
        <v>1544</v>
      </c>
      <c r="K1" s="196"/>
    </row>
    <row r="2" spans="1:11">
      <c r="A2" s="583" t="s">
        <v>1225</v>
      </c>
      <c r="C2" s="196"/>
      <c r="D2" s="344"/>
      <c r="E2" s="196"/>
      <c r="F2" s="196"/>
      <c r="G2" s="196"/>
      <c r="H2" s="196"/>
      <c r="I2" s="196"/>
      <c r="J2" s="583" t="s">
        <v>437</v>
      </c>
      <c r="K2" s="196"/>
    </row>
    <row r="3" spans="1:11">
      <c r="A3" s="343" t="str">
        <f>case_name</f>
        <v>CASE NO: 2018-00261</v>
      </c>
      <c r="C3" s="196"/>
      <c r="D3" s="344"/>
      <c r="E3" s="196"/>
      <c r="F3" s="196"/>
      <c r="G3" s="196"/>
      <c r="H3" s="196"/>
      <c r="I3" s="196"/>
      <c r="J3" s="196" t="str">
        <f>Witness</f>
        <v>JAMES E. ZIOLKOWSKI</v>
      </c>
      <c r="K3" s="196"/>
    </row>
    <row r="4" spans="1:11">
      <c r="A4" s="343" t="str">
        <f>data_filing</f>
        <v>DATA: 12 MONTH FORECASTED PERIOD</v>
      </c>
      <c r="C4" s="196"/>
      <c r="D4" s="344"/>
      <c r="E4" s="196"/>
      <c r="F4" s="196"/>
      <c r="G4" s="196"/>
      <c r="H4" s="196"/>
      <c r="I4" s="196"/>
      <c r="J4" s="196" t="str">
        <f>"PAGE "&amp;Pages2-14&amp;" OF "&amp;Pages2</f>
        <v>PAGE 1 OF 15</v>
      </c>
      <c r="K4" s="196"/>
    </row>
    <row r="5" spans="1:11">
      <c r="A5" s="343" t="str">
        <f>type</f>
        <v xml:space="preserve">TYPE OF FILING: "X" ORIGINAL   UPDATED    REVISED  </v>
      </c>
      <c r="C5" s="196"/>
      <c r="D5" s="344"/>
      <c r="E5" s="196"/>
      <c r="F5" s="196"/>
      <c r="G5" s="196"/>
      <c r="H5" s="196"/>
      <c r="I5" s="196"/>
      <c r="J5" s="196"/>
      <c r="K5" s="196"/>
    </row>
    <row r="6" spans="1:11">
      <c r="A6" s="343"/>
      <c r="C6" s="196"/>
      <c r="D6" s="344"/>
      <c r="E6" s="196"/>
      <c r="F6" s="196"/>
      <c r="G6" s="196"/>
      <c r="H6" s="196"/>
      <c r="I6" s="196"/>
      <c r="J6" s="196"/>
      <c r="K6" s="196"/>
    </row>
    <row r="7" spans="1:11">
      <c r="A7" s="343"/>
      <c r="C7" s="196"/>
      <c r="D7" s="344"/>
      <c r="E7" s="196"/>
      <c r="F7" s="196"/>
      <c r="G7" s="196"/>
      <c r="H7" s="196"/>
      <c r="I7" s="196"/>
      <c r="J7" s="196"/>
      <c r="K7" s="196"/>
    </row>
    <row r="8" spans="1:11">
      <c r="A8" s="344" t="s">
        <v>914</v>
      </c>
      <c r="B8" s="196"/>
      <c r="C8" s="196"/>
      <c r="D8" s="344"/>
      <c r="E8" s="196"/>
      <c r="F8" s="344" t="s">
        <v>229</v>
      </c>
      <c r="G8" s="545" t="s">
        <v>1005</v>
      </c>
      <c r="H8" s="533"/>
      <c r="I8" s="534"/>
      <c r="J8" s="344" t="s">
        <v>229</v>
      </c>
      <c r="K8" s="344" t="s">
        <v>342</v>
      </c>
    </row>
    <row r="9" spans="1:11">
      <c r="A9" s="346" t="s">
        <v>915</v>
      </c>
      <c r="B9" s="345" t="s">
        <v>102</v>
      </c>
      <c r="C9" s="345"/>
      <c r="D9" s="346" t="s">
        <v>337</v>
      </c>
      <c r="E9" s="345"/>
      <c r="F9" s="829" t="s">
        <v>980</v>
      </c>
      <c r="G9" s="546" t="s">
        <v>847</v>
      </c>
      <c r="H9" s="535" t="s">
        <v>848</v>
      </c>
      <c r="I9" s="536" t="s">
        <v>849</v>
      </c>
      <c r="J9" s="346" t="s">
        <v>341</v>
      </c>
      <c r="K9" s="346" t="s">
        <v>340</v>
      </c>
    </row>
    <row r="10" spans="1:11">
      <c r="C10" s="578" t="s">
        <v>354</v>
      </c>
      <c r="D10" s="344"/>
      <c r="E10" s="196"/>
      <c r="G10" s="785">
        <v>3</v>
      </c>
      <c r="H10" s="786">
        <v>4</v>
      </c>
      <c r="I10" s="787">
        <v>5</v>
      </c>
    </row>
    <row r="11" spans="1:11">
      <c r="A11" s="333">
        <v>1</v>
      </c>
      <c r="B11" s="332" t="s">
        <v>100</v>
      </c>
      <c r="D11" s="344"/>
      <c r="E11" s="196"/>
      <c r="G11" s="547"/>
      <c r="H11" s="537"/>
      <c r="I11" s="538"/>
    </row>
    <row r="12" spans="1:11">
      <c r="A12" s="333">
        <v>2</v>
      </c>
      <c r="C12" s="332" t="str">
        <f>'FR-16(7)(v)-1 Functional'!C12</f>
        <v>GROSS GAS PLANT IN SERVICE</v>
      </c>
      <c r="D12" s="344"/>
      <c r="E12" s="196"/>
      <c r="F12" s="347">
        <f t="shared" ref="F12:K12" si="0">F101</f>
        <v>0</v>
      </c>
      <c r="G12" s="548">
        <f t="shared" si="0"/>
        <v>0</v>
      </c>
      <c r="H12" s="539">
        <f t="shared" si="0"/>
        <v>0</v>
      </c>
      <c r="I12" s="540">
        <f t="shared" si="0"/>
        <v>0</v>
      </c>
      <c r="J12" s="347">
        <f t="shared" si="0"/>
        <v>0</v>
      </c>
      <c r="K12" s="347">
        <f t="shared" si="0"/>
        <v>0</v>
      </c>
    </row>
    <row r="13" spans="1:11">
      <c r="A13" s="333">
        <v>3</v>
      </c>
      <c r="C13" s="332" t="str">
        <f>'FR-16(7)(v)-1 Functional'!C13</f>
        <v>TOTAL DEPRECIATION RESERVE</v>
      </c>
      <c r="D13" s="344"/>
      <c r="E13" s="196"/>
      <c r="F13" s="347">
        <f t="shared" ref="F13:K13" si="1">-F151</f>
        <v>0</v>
      </c>
      <c r="G13" s="548">
        <f t="shared" si="1"/>
        <v>0</v>
      </c>
      <c r="H13" s="539">
        <f t="shared" si="1"/>
        <v>0</v>
      </c>
      <c r="I13" s="540">
        <f t="shared" si="1"/>
        <v>0</v>
      </c>
      <c r="J13" s="347">
        <f t="shared" si="1"/>
        <v>0</v>
      </c>
      <c r="K13" s="347">
        <f t="shared" si="1"/>
        <v>0</v>
      </c>
    </row>
    <row r="14" spans="1:11">
      <c r="A14" s="333">
        <v>4</v>
      </c>
      <c r="C14" s="359" t="str">
        <f>'FR-16(7)(v)-1 Functional'!C14</f>
        <v>TOTAL RATE BASE ADJUSTMENTS</v>
      </c>
      <c r="D14" s="344"/>
      <c r="E14" s="196"/>
      <c r="F14" s="347">
        <f t="shared" ref="F14:K14" si="2">F326</f>
        <v>0</v>
      </c>
      <c r="G14" s="548">
        <f t="shared" si="2"/>
        <v>0</v>
      </c>
      <c r="H14" s="539">
        <f t="shared" si="2"/>
        <v>0</v>
      </c>
      <c r="I14" s="540">
        <f t="shared" si="2"/>
        <v>0</v>
      </c>
      <c r="J14" s="347">
        <f t="shared" si="2"/>
        <v>0</v>
      </c>
      <c r="K14" s="347">
        <f t="shared" si="2"/>
        <v>0</v>
      </c>
    </row>
    <row r="15" spans="1:11">
      <c r="A15" s="333">
        <v>5</v>
      </c>
      <c r="C15" s="332" t="str">
        <f>'FR-16(7)(v)-1 Functional'!C15</f>
        <v xml:space="preserve">  TOTAL RATE BASE</v>
      </c>
      <c r="D15" s="344"/>
      <c r="E15" s="196"/>
      <c r="F15" s="348">
        <f t="shared" ref="F15:K15" si="3">SUM(F12:F14)</f>
        <v>0</v>
      </c>
      <c r="G15" s="549">
        <f t="shared" si="3"/>
        <v>0</v>
      </c>
      <c r="H15" s="541">
        <f t="shared" si="3"/>
        <v>0</v>
      </c>
      <c r="I15" s="542">
        <f t="shared" si="3"/>
        <v>0</v>
      </c>
      <c r="J15" s="348">
        <f t="shared" si="3"/>
        <v>0</v>
      </c>
      <c r="K15" s="348">
        <f t="shared" si="3"/>
        <v>0</v>
      </c>
    </row>
    <row r="16" spans="1:11">
      <c r="A16" s="333">
        <v>6</v>
      </c>
      <c r="D16" s="344"/>
      <c r="E16" s="196"/>
      <c r="G16" s="547"/>
      <c r="H16" s="537"/>
      <c r="I16" s="538"/>
    </row>
    <row r="17" spans="1:11">
      <c r="A17" s="333">
        <v>7</v>
      </c>
      <c r="B17" s="332" t="s">
        <v>98</v>
      </c>
      <c r="D17" s="344"/>
      <c r="E17" s="196"/>
      <c r="G17" s="547"/>
      <c r="H17" s="537"/>
      <c r="I17" s="538"/>
    </row>
    <row r="18" spans="1:11">
      <c r="A18" s="333">
        <v>8</v>
      </c>
      <c r="C18" s="332" t="str">
        <f>'FR-16(7)(v)-1 Functional'!C18</f>
        <v>TOTAL O&amp;M EXPENSE</v>
      </c>
      <c r="D18" s="344"/>
      <c r="E18" s="196"/>
      <c r="F18" s="347">
        <f t="shared" ref="F18:K18" si="4">F433</f>
        <v>0</v>
      </c>
      <c r="G18" s="548">
        <f t="shared" si="4"/>
        <v>0</v>
      </c>
      <c r="H18" s="539">
        <f t="shared" si="4"/>
        <v>0</v>
      </c>
      <c r="I18" s="540">
        <f t="shared" si="4"/>
        <v>0</v>
      </c>
      <c r="J18" s="347">
        <f t="shared" si="4"/>
        <v>0</v>
      </c>
      <c r="K18" s="347">
        <f t="shared" si="4"/>
        <v>0</v>
      </c>
    </row>
    <row r="19" spans="1:11">
      <c r="A19" s="333">
        <v>9</v>
      </c>
      <c r="C19" s="332" t="str">
        <f>'FR-16(7)(v)-1 Functional'!C19</f>
        <v>TOTAL DEPRECIATION EXPENSE</v>
      </c>
      <c r="D19" s="344"/>
      <c r="E19" s="196"/>
      <c r="F19" s="347">
        <f t="shared" ref="F19:K19" si="5">F465</f>
        <v>0</v>
      </c>
      <c r="G19" s="548">
        <f t="shared" si="5"/>
        <v>0</v>
      </c>
      <c r="H19" s="539">
        <f t="shared" si="5"/>
        <v>0</v>
      </c>
      <c r="I19" s="540">
        <f t="shared" si="5"/>
        <v>0</v>
      </c>
      <c r="J19" s="347">
        <f t="shared" si="5"/>
        <v>0</v>
      </c>
      <c r="K19" s="347">
        <f t="shared" si="5"/>
        <v>0</v>
      </c>
    </row>
    <row r="20" spans="1:11">
      <c r="A20" s="333">
        <v>10</v>
      </c>
      <c r="C20" s="359" t="str">
        <f>'FR-16(7)(v)-1 Functional'!C20</f>
        <v>TOTAL OTHER TAX &amp; MISC EXPENSE</v>
      </c>
      <c r="D20" s="344"/>
      <c r="E20" s="196"/>
      <c r="F20" s="347">
        <f>F495</f>
        <v>0</v>
      </c>
      <c r="G20" s="548">
        <f>$G$495</f>
        <v>0</v>
      </c>
      <c r="H20" s="539">
        <f>$H$495</f>
        <v>0</v>
      </c>
      <c r="I20" s="540">
        <f>$I$495</f>
        <v>0</v>
      </c>
      <c r="J20" s="347">
        <f>$J$495</f>
        <v>0</v>
      </c>
      <c r="K20" s="347">
        <f>$K$495</f>
        <v>0</v>
      </c>
    </row>
    <row r="21" spans="1:11">
      <c r="A21" s="333">
        <v>11</v>
      </c>
      <c r="C21" s="332" t="str">
        <f>'FR-16(7)(v)-1 Functional'!C21</f>
        <v xml:space="preserve">  TOTAL OP EXP EXCLUDING INC &amp; REV TAX</v>
      </c>
      <c r="D21" s="344"/>
      <c r="E21" s="196"/>
      <c r="F21" s="348">
        <f t="shared" ref="F21:K21" si="6">SUM(F17:F20)</f>
        <v>0</v>
      </c>
      <c r="G21" s="549">
        <f t="shared" si="6"/>
        <v>0</v>
      </c>
      <c r="H21" s="541">
        <f t="shared" si="6"/>
        <v>0</v>
      </c>
      <c r="I21" s="542">
        <f t="shared" si="6"/>
        <v>0</v>
      </c>
      <c r="J21" s="348">
        <f t="shared" si="6"/>
        <v>0</v>
      </c>
      <c r="K21" s="348">
        <f t="shared" si="6"/>
        <v>0</v>
      </c>
    </row>
    <row r="22" spans="1:11">
      <c r="A22" s="333">
        <v>12</v>
      </c>
      <c r="C22" s="332" t="str">
        <f>'FR-16(7)(v)-1 Functional'!C22</f>
        <v>NET FED INCOME TAX EXP ALLOWABLE</v>
      </c>
      <c r="D22" s="344"/>
      <c r="E22" s="196"/>
      <c r="F22" s="347">
        <f>F557</f>
        <v>242825</v>
      </c>
      <c r="G22" s="548" t="e">
        <f>$G$557</f>
        <v>#N/A</v>
      </c>
      <c r="H22" s="539" t="e">
        <f>$H$557</f>
        <v>#N/A</v>
      </c>
      <c r="I22" s="540" t="e">
        <f>$I$557</f>
        <v>#N/A</v>
      </c>
      <c r="J22" s="347" t="e">
        <f>$J$557</f>
        <v>#N/A</v>
      </c>
      <c r="K22" s="347" t="e">
        <f>$K$557</f>
        <v>#N/A</v>
      </c>
    </row>
    <row r="23" spans="1:11">
      <c r="A23" s="333">
        <v>13</v>
      </c>
      <c r="C23" s="359" t="str">
        <f>'FR-16(7)(v)-1 Functional'!C23</f>
        <v>NET STATE INCOME TAX EXP ALLOWABLE</v>
      </c>
      <c r="D23" s="344"/>
      <c r="E23" s="196"/>
      <c r="F23" s="347">
        <f>F605</f>
        <v>190210</v>
      </c>
      <c r="G23" s="548" t="e">
        <f>G605</f>
        <v>#N/A</v>
      </c>
      <c r="H23" s="539" t="e">
        <f>H605</f>
        <v>#N/A</v>
      </c>
      <c r="I23" s="540" t="e">
        <f>I605</f>
        <v>#N/A</v>
      </c>
      <c r="J23" s="347" t="e">
        <f>J605</f>
        <v>#N/A</v>
      </c>
      <c r="K23" s="347" t="e">
        <f t="shared" ref="K23" si="7">K646</f>
        <v>#N/A</v>
      </c>
    </row>
    <row r="24" spans="1:11">
      <c r="A24" s="333">
        <v>14</v>
      </c>
      <c r="C24" s="332" t="str">
        <f>'FR-16(7)(v)-1 Functional'!C24</f>
        <v xml:space="preserve">  TOTAL OPERATING EXPENSE</v>
      </c>
      <c r="D24" s="344"/>
      <c r="E24" s="196"/>
      <c r="F24" s="348">
        <f t="shared" ref="F24:K24" si="8">SUM(F21:F23)</f>
        <v>433035</v>
      </c>
      <c r="G24" s="549" t="e">
        <f t="shared" si="8"/>
        <v>#N/A</v>
      </c>
      <c r="H24" s="541" t="e">
        <f t="shared" si="8"/>
        <v>#N/A</v>
      </c>
      <c r="I24" s="542" t="e">
        <f t="shared" si="8"/>
        <v>#N/A</v>
      </c>
      <c r="J24" s="348" t="e">
        <f t="shared" si="8"/>
        <v>#N/A</v>
      </c>
      <c r="K24" s="348" t="e">
        <f t="shared" si="8"/>
        <v>#N/A</v>
      </c>
    </row>
    <row r="25" spans="1:11">
      <c r="A25" s="333">
        <v>15</v>
      </c>
      <c r="D25" s="344"/>
      <c r="E25" s="196"/>
      <c r="G25" s="547"/>
      <c r="H25" s="537"/>
      <c r="I25" s="538"/>
    </row>
    <row r="26" spans="1:11">
      <c r="A26" s="333">
        <v>16</v>
      </c>
      <c r="B26" s="332" t="s">
        <v>43</v>
      </c>
      <c r="D26" s="344"/>
      <c r="E26" s="196"/>
      <c r="F26" s="347">
        <f t="shared" ref="F26:K26" si="9">F334</f>
        <v>0</v>
      </c>
      <c r="G26" s="548">
        <f t="shared" si="9"/>
        <v>0</v>
      </c>
      <c r="H26" s="539">
        <f t="shared" si="9"/>
        <v>0</v>
      </c>
      <c r="I26" s="540">
        <f t="shared" si="9"/>
        <v>0</v>
      </c>
      <c r="J26" s="347">
        <f t="shared" si="9"/>
        <v>0</v>
      </c>
      <c r="K26" s="347">
        <f t="shared" si="9"/>
        <v>0</v>
      </c>
    </row>
    <row r="27" spans="1:11">
      <c r="A27" s="333">
        <v>17</v>
      </c>
      <c r="B27" s="359" t="s">
        <v>103</v>
      </c>
      <c r="C27" s="359"/>
      <c r="D27" s="344"/>
      <c r="E27" s="196"/>
      <c r="F27" s="347">
        <f>-F630</f>
        <v>0</v>
      </c>
      <c r="G27" s="548">
        <f>-$G$630</f>
        <v>0</v>
      </c>
      <c r="H27" s="539">
        <f>-$H$630</f>
        <v>0</v>
      </c>
      <c r="I27" s="540">
        <f>-$I$630</f>
        <v>0</v>
      </c>
      <c r="J27" s="347">
        <f>-$J$630</f>
        <v>0</v>
      </c>
      <c r="K27" s="347">
        <f>-$K$630</f>
        <v>0</v>
      </c>
    </row>
    <row r="28" spans="1:11">
      <c r="A28" s="1174">
        <v>18</v>
      </c>
      <c r="B28" s="353"/>
      <c r="C28" s="332" t="str">
        <f>'FR-16(7)(v)-1 Functional'!C28</f>
        <v>TOTAL GAS COST OF SERVICE</v>
      </c>
      <c r="D28" s="354"/>
      <c r="E28" s="342"/>
      <c r="F28" s="348">
        <f t="shared" ref="F28:K28" si="10">SUM(F24:F27)</f>
        <v>433035</v>
      </c>
      <c r="G28" s="1175" t="e">
        <f t="shared" si="10"/>
        <v>#N/A</v>
      </c>
      <c r="H28" s="1176" t="e">
        <f t="shared" si="10"/>
        <v>#N/A</v>
      </c>
      <c r="I28" s="1177" t="e">
        <f t="shared" si="10"/>
        <v>#N/A</v>
      </c>
      <c r="J28" s="348" t="e">
        <f t="shared" si="10"/>
        <v>#N/A</v>
      </c>
      <c r="K28" s="348" t="e">
        <f t="shared" si="10"/>
        <v>#N/A</v>
      </c>
    </row>
    <row r="29" spans="1:11">
      <c r="A29" s="1112">
        <v>19</v>
      </c>
      <c r="B29" s="1113" t="s">
        <v>1206</v>
      </c>
      <c r="C29" s="1114"/>
      <c r="D29" s="1115">
        <f>1-'WP FR-16(7)(v)Rate Incr (15.0%)'!I11</f>
        <v>0.85</v>
      </c>
      <c r="E29" s="1116"/>
      <c r="F29" s="1117">
        <f ca="1">'WP FR-16(7)(v)Rate Incr (15.0%)'!R20</f>
        <v>0</v>
      </c>
      <c r="G29" s="1166">
        <v>0</v>
      </c>
      <c r="H29" s="1167">
        <v>0</v>
      </c>
      <c r="I29" s="1168">
        <v>0</v>
      </c>
      <c r="J29" s="1117"/>
      <c r="K29" s="1120">
        <f>$K$495</f>
        <v>0</v>
      </c>
    </row>
    <row r="30" spans="1:11">
      <c r="A30" s="1112">
        <v>20</v>
      </c>
      <c r="B30" s="1121" t="s">
        <v>1207</v>
      </c>
      <c r="C30" s="1024"/>
      <c r="D30" s="1122"/>
      <c r="E30" s="1116"/>
      <c r="F30" s="1123">
        <f t="shared" ref="F30:K30" ca="1" si="11">F28+F29</f>
        <v>433035</v>
      </c>
      <c r="G30" s="1171" t="e">
        <f t="shared" si="11"/>
        <v>#N/A</v>
      </c>
      <c r="H30" s="1172" t="e">
        <f t="shared" si="11"/>
        <v>#N/A</v>
      </c>
      <c r="I30" s="1173" t="e">
        <f t="shared" si="11"/>
        <v>#N/A</v>
      </c>
      <c r="J30" s="1123" t="e">
        <f t="shared" si="11"/>
        <v>#N/A</v>
      </c>
      <c r="K30" s="1123" t="e">
        <f t="shared" si="11"/>
        <v>#N/A</v>
      </c>
    </row>
    <row r="31" spans="1:11">
      <c r="A31" s="1112">
        <v>21</v>
      </c>
      <c r="B31" s="1128" t="s">
        <v>850</v>
      </c>
      <c r="C31" s="1114"/>
      <c r="D31" s="1122"/>
      <c r="E31" s="1116"/>
      <c r="F31" s="1127">
        <f>F745</f>
        <v>0</v>
      </c>
      <c r="G31" s="1124" t="e">
        <f ca="1">G745</f>
        <v>#N/A</v>
      </c>
      <c r="H31" s="1125" t="e">
        <f ca="1">H745</f>
        <v>#N/A</v>
      </c>
      <c r="I31" s="1126" t="e">
        <f ca="1">I745</f>
        <v>#N/A</v>
      </c>
      <c r="J31" s="1127" t="e">
        <f ca="1">K745</f>
        <v>#N/A</v>
      </c>
      <c r="K31" s="1127">
        <f>L745</f>
        <v>0</v>
      </c>
    </row>
    <row r="32" spans="1:11">
      <c r="A32" s="1112">
        <v>22</v>
      </c>
      <c r="B32" s="1129" t="s">
        <v>1208</v>
      </c>
      <c r="C32" s="1024"/>
      <c r="D32" s="1122"/>
      <c r="E32" s="1116"/>
      <c r="F32" s="1132">
        <f t="shared" ref="F32:K32" ca="1" si="12">F30-F31</f>
        <v>433035</v>
      </c>
      <c r="G32" s="1151" t="e">
        <f t="shared" ca="1" si="12"/>
        <v>#N/A</v>
      </c>
      <c r="H32" s="1169" t="e">
        <f t="shared" ca="1" si="12"/>
        <v>#N/A</v>
      </c>
      <c r="I32" s="1152" t="e">
        <f t="shared" ca="1" si="12"/>
        <v>#N/A</v>
      </c>
      <c r="J32" s="1132" t="e">
        <f t="shared" ca="1" si="12"/>
        <v>#N/A</v>
      </c>
      <c r="K32" s="1132" t="e">
        <f t="shared" si="12"/>
        <v>#N/A</v>
      </c>
    </row>
    <row r="33" spans="1:14">
      <c r="A33" s="1112">
        <v>23</v>
      </c>
      <c r="B33" s="1024"/>
      <c r="C33" s="1024"/>
      <c r="D33" s="1122"/>
      <c r="E33" s="1116"/>
      <c r="F33" s="1024"/>
      <c r="G33" s="1134"/>
      <c r="H33" s="1135"/>
      <c r="I33" s="1136"/>
      <c r="J33" s="1024"/>
      <c r="K33" s="1024"/>
    </row>
    <row r="34" spans="1:14">
      <c r="A34" s="1112">
        <v>24</v>
      </c>
      <c r="B34" s="1024" t="s">
        <v>104</v>
      </c>
      <c r="C34" s="1024"/>
      <c r="D34" s="1122"/>
      <c r="E34" s="1116"/>
      <c r="F34" s="1127">
        <f t="shared" ref="F34:K34" si="13">F654+F26</f>
        <v>-157836</v>
      </c>
      <c r="G34" s="1124" t="e">
        <f t="shared" ca="1" si="13"/>
        <v>#N/A</v>
      </c>
      <c r="H34" s="1125" t="e">
        <f t="shared" ca="1" si="13"/>
        <v>#N/A</v>
      </c>
      <c r="I34" s="1126" t="e">
        <f t="shared" ca="1" si="13"/>
        <v>#N/A</v>
      </c>
      <c r="J34" s="1127" t="e">
        <f t="shared" ca="1" si="13"/>
        <v>#N/A</v>
      </c>
      <c r="K34" s="1127" t="e">
        <f t="shared" si="13"/>
        <v>#N/A</v>
      </c>
    </row>
    <row r="35" spans="1:14">
      <c r="A35" s="1112">
        <v>25</v>
      </c>
      <c r="B35" s="1024" t="s">
        <v>105</v>
      </c>
      <c r="C35" s="1024"/>
      <c r="D35" s="1122"/>
      <c r="E35" s="1116"/>
      <c r="F35" s="1137">
        <f t="shared" ref="F35:K35" si="14">IF(F331=0,0,ROUND(F34/F331,5))</f>
        <v>0</v>
      </c>
      <c r="G35" s="1138">
        <f t="shared" si="14"/>
        <v>0</v>
      </c>
      <c r="H35" s="1139">
        <f t="shared" si="14"/>
        <v>0</v>
      </c>
      <c r="I35" s="1140">
        <f t="shared" si="14"/>
        <v>0</v>
      </c>
      <c r="J35" s="1137">
        <f t="shared" si="14"/>
        <v>0</v>
      </c>
      <c r="K35" s="1137">
        <f t="shared" si="14"/>
        <v>0</v>
      </c>
    </row>
    <row r="36" spans="1:14">
      <c r="A36" s="1112">
        <v>26</v>
      </c>
      <c r="B36" s="1024" t="s">
        <v>42</v>
      </c>
      <c r="C36" s="1024"/>
      <c r="D36" s="1122"/>
      <c r="E36" s="1116"/>
      <c r="F36" s="1137">
        <f>$F$688</f>
        <v>7.17E-2</v>
      </c>
      <c r="G36" s="1138">
        <f>F688</f>
        <v>7.17E-2</v>
      </c>
      <c r="H36" s="1139">
        <f>F688</f>
        <v>7.17E-2</v>
      </c>
      <c r="I36" s="1140">
        <f>F688</f>
        <v>7.17E-2</v>
      </c>
      <c r="J36" s="1137">
        <f>$F$688</f>
        <v>7.17E-2</v>
      </c>
      <c r="K36" s="1137">
        <f>F688</f>
        <v>7.17E-2</v>
      </c>
      <c r="N36" s="659" t="s">
        <v>1210</v>
      </c>
    </row>
    <row r="37" spans="1:14">
      <c r="A37" s="1112">
        <v>27</v>
      </c>
      <c r="B37" s="1024" t="s">
        <v>106</v>
      </c>
      <c r="C37" s="1024"/>
      <c r="D37" s="1122"/>
      <c r="E37" s="1116"/>
      <c r="F37" s="1137">
        <f>IF(F670=0,0,(F35-$F$683-$F$684-$F$686)*$F$673/$F$670)</f>
        <v>-4.2360453139019032E-2</v>
      </c>
      <c r="G37" s="1138">
        <f>IF(F670=0,0,(G35-F683-F684-F686)*F673/F670)</f>
        <v>-4.2360453139019032E-2</v>
      </c>
      <c r="H37" s="1139">
        <f>IF(F670=0,0,(H35-F683-F684-F686)*F673/F670)</f>
        <v>-4.2360453139019032E-2</v>
      </c>
      <c r="I37" s="1140">
        <f>IF(F670=0,0,(I35-F683-F684-F686)*F673/F670)</f>
        <v>-4.2360453139019032E-2</v>
      </c>
      <c r="J37" s="1137">
        <f>IF(F670=0,0,(J35-F683-F684-F686)*F673/F670)</f>
        <v>-4.2360453139019032E-2</v>
      </c>
      <c r="K37" s="1137">
        <f>IF(F670=0,0,(K35-F683-F684-F686)*F673/F670)</f>
        <v>-4.2360453139019032E-2</v>
      </c>
      <c r="N37" s="659" t="s">
        <v>1211</v>
      </c>
    </row>
    <row r="38" spans="1:14">
      <c r="A38" s="1112">
        <v>28</v>
      </c>
      <c r="B38" s="1024" t="s">
        <v>107</v>
      </c>
      <c r="C38" s="1024"/>
      <c r="D38" s="1122"/>
      <c r="E38" s="1116"/>
      <c r="F38" s="1137">
        <f>IF(F670=0,0,(F36-$F$683-$F$684-$F$686)*$F$673/$F$670)</f>
        <v>9.8906732445523532E-2</v>
      </c>
      <c r="G38" s="1138">
        <f>IF(F670=0,0,(G36-F683-F684-F686)*F673/F670)</f>
        <v>9.8906732445523532E-2</v>
      </c>
      <c r="H38" s="1139">
        <f>IF(F670=0,0,(H36-F683-F684-F686)*F673/F670)</f>
        <v>9.8906732445523532E-2</v>
      </c>
      <c r="I38" s="1140">
        <f>IF(F670=0,0,(I36-F683-F684-F686)*F673/F670)</f>
        <v>9.8906732445523532E-2</v>
      </c>
      <c r="J38" s="1137">
        <f>IF($F$670=0,0,(J36-$F$683-$F$684-$F$686)*$F$673/$F$670)</f>
        <v>9.8906732445523532E-2</v>
      </c>
      <c r="K38" s="1137">
        <f>IF(F670=0,0,(K36-F683-F684-F686)*F673/F670)</f>
        <v>9.8906732445523532E-2</v>
      </c>
    </row>
    <row r="39" spans="1:14">
      <c r="A39" s="1112">
        <v>29</v>
      </c>
      <c r="B39" s="1024"/>
      <c r="C39" s="1024"/>
      <c r="D39" s="1122"/>
      <c r="E39" s="1116"/>
      <c r="F39" s="1024" t="s">
        <v>343</v>
      </c>
      <c r="G39" s="1134"/>
      <c r="H39" s="1135"/>
      <c r="I39" s="1136"/>
      <c r="J39" s="1024"/>
      <c r="K39" s="1024"/>
    </row>
    <row r="40" spans="1:14">
      <c r="A40" s="1112">
        <v>30</v>
      </c>
      <c r="B40" s="1024" t="s">
        <v>108</v>
      </c>
      <c r="C40" s="1024"/>
      <c r="D40" s="1122"/>
      <c r="E40" s="1116"/>
      <c r="F40" s="1127">
        <f>F744</f>
        <v>0</v>
      </c>
      <c r="G40" s="1124" t="e">
        <f ca="1">G744</f>
        <v>#N/A</v>
      </c>
      <c r="H40" s="1125" t="e">
        <f ca="1">H744</f>
        <v>#N/A</v>
      </c>
      <c r="I40" s="1126" t="e">
        <f ca="1">I744</f>
        <v>#N/A</v>
      </c>
      <c r="J40" s="1127" t="e">
        <f ca="1">K744</f>
        <v>#N/A</v>
      </c>
      <c r="K40" s="1127">
        <f>L744</f>
        <v>0</v>
      </c>
    </row>
    <row r="41" spans="1:14">
      <c r="A41" s="1112">
        <v>31</v>
      </c>
      <c r="B41" s="1024" t="s">
        <v>109</v>
      </c>
      <c r="C41" s="1024"/>
      <c r="D41" s="1122"/>
      <c r="E41" s="1116"/>
      <c r="F41" s="1127">
        <f t="shared" ref="F41:K41" si="15">F28-F40</f>
        <v>433035</v>
      </c>
      <c r="G41" s="1124" t="e">
        <f t="shared" ca="1" si="15"/>
        <v>#N/A</v>
      </c>
      <c r="H41" s="1125" t="e">
        <f t="shared" ca="1" si="15"/>
        <v>#N/A</v>
      </c>
      <c r="I41" s="1126" t="e">
        <f t="shared" ca="1" si="15"/>
        <v>#N/A</v>
      </c>
      <c r="J41" s="1127" t="e">
        <f t="shared" ca="1" si="15"/>
        <v>#N/A</v>
      </c>
      <c r="K41" s="1127" t="e">
        <f t="shared" si="15"/>
        <v>#N/A</v>
      </c>
    </row>
    <row r="42" spans="1:14">
      <c r="A42" s="1112">
        <v>32</v>
      </c>
      <c r="B42" s="1024"/>
      <c r="C42" s="1024" t="s">
        <v>283</v>
      </c>
      <c r="D42" s="1122"/>
      <c r="E42" s="1116"/>
      <c r="F42" s="1141">
        <f t="shared" ref="F42:K42" si="16">IF(F40=0,0,ROUND(F41/F40,5))</f>
        <v>0</v>
      </c>
      <c r="G42" s="1142" t="e">
        <f t="shared" ca="1" si="16"/>
        <v>#N/A</v>
      </c>
      <c r="H42" s="1143" t="e">
        <f t="shared" ca="1" si="16"/>
        <v>#N/A</v>
      </c>
      <c r="I42" s="1144" t="e">
        <f t="shared" ca="1" si="16"/>
        <v>#N/A</v>
      </c>
      <c r="J42" s="1141" t="e">
        <f t="shared" ca="1" si="16"/>
        <v>#N/A</v>
      </c>
      <c r="K42" s="1127">
        <f t="shared" si="16"/>
        <v>0</v>
      </c>
    </row>
    <row r="43" spans="1:14">
      <c r="A43" s="1112">
        <v>33</v>
      </c>
      <c r="B43" s="1024" t="s">
        <v>110</v>
      </c>
      <c r="C43" s="1024"/>
      <c r="D43" s="1122"/>
      <c r="E43" s="1116"/>
      <c r="F43" s="1127">
        <f t="shared" ref="F43:K43" si="17">F31-F40</f>
        <v>0</v>
      </c>
      <c r="G43" s="1124" t="e">
        <f t="shared" ca="1" si="17"/>
        <v>#N/A</v>
      </c>
      <c r="H43" s="1125" t="e">
        <f t="shared" ca="1" si="17"/>
        <v>#N/A</v>
      </c>
      <c r="I43" s="1126" t="e">
        <f t="shared" ca="1" si="17"/>
        <v>#N/A</v>
      </c>
      <c r="J43" s="1127" t="e">
        <f t="shared" ca="1" si="17"/>
        <v>#N/A</v>
      </c>
      <c r="K43" s="1127">
        <f t="shared" si="17"/>
        <v>0</v>
      </c>
    </row>
    <row r="44" spans="1:14">
      <c r="A44" s="1112">
        <v>34</v>
      </c>
      <c r="B44" s="1024"/>
      <c r="C44" s="1024" t="s">
        <v>283</v>
      </c>
      <c r="D44" s="1122"/>
      <c r="E44" s="1116"/>
      <c r="F44" s="1141">
        <f t="shared" ref="F44:K44" si="18">IF(F40=0,0,ROUND(F43/F40,5))</f>
        <v>0</v>
      </c>
      <c r="G44" s="1145" t="e">
        <f t="shared" ca="1" si="18"/>
        <v>#N/A</v>
      </c>
      <c r="H44" s="1146" t="e">
        <f t="shared" ca="1" si="18"/>
        <v>#N/A</v>
      </c>
      <c r="I44" s="1147" t="e">
        <f t="shared" ca="1" si="18"/>
        <v>#N/A</v>
      </c>
      <c r="J44" s="1141" t="e">
        <f t="shared" ca="1" si="18"/>
        <v>#N/A</v>
      </c>
      <c r="K44" s="1127">
        <f t="shared" si="18"/>
        <v>0</v>
      </c>
    </row>
    <row r="45" spans="1:14">
      <c r="A45" s="343"/>
      <c r="C45" s="196"/>
      <c r="D45" s="344"/>
      <c r="E45" s="196"/>
      <c r="F45" s="196"/>
      <c r="G45" s="196"/>
      <c r="H45" s="196"/>
      <c r="I45" s="196"/>
      <c r="J45" s="196"/>
      <c r="K45" s="196"/>
    </row>
    <row r="46" spans="1:14">
      <c r="A46" s="343" t="str">
        <f>co_name</f>
        <v>DUKE ENERGY KENTUCKY, INC.</v>
      </c>
      <c r="C46" s="196"/>
      <c r="D46" s="344"/>
      <c r="E46" s="196"/>
      <c r="F46" s="196"/>
      <c r="G46" s="196"/>
      <c r="H46" s="196"/>
      <c r="I46" s="196"/>
      <c r="J46" s="196" t="str">
        <f>$J$1</f>
        <v>FR-16(7)(v)-7</v>
      </c>
      <c r="K46" s="196"/>
    </row>
    <row r="47" spans="1:14">
      <c r="A47" s="343" t="str">
        <f>$A$2</f>
        <v>STORAGE CLASSIFIED -  GAS COST OF SERVICE</v>
      </c>
      <c r="C47" s="196"/>
      <c r="D47" s="344"/>
      <c r="E47" s="196"/>
      <c r="F47" s="196"/>
      <c r="G47" s="196"/>
      <c r="H47" s="196"/>
      <c r="I47" s="196"/>
      <c r="J47" s="196" t="str">
        <f>$J$2</f>
        <v>WITNESS RESPONSIBLE:</v>
      </c>
      <c r="K47" s="196"/>
    </row>
    <row r="48" spans="1:14">
      <c r="A48" s="343" t="str">
        <f>case_name</f>
        <v>CASE NO: 2018-00261</v>
      </c>
      <c r="C48" s="196"/>
      <c r="D48" s="344"/>
      <c r="E48" s="196"/>
      <c r="F48" s="196"/>
      <c r="G48" s="196"/>
      <c r="H48" s="196"/>
      <c r="I48" s="196"/>
      <c r="J48" s="196" t="str">
        <f>Witness</f>
        <v>JAMES E. ZIOLKOWSKI</v>
      </c>
      <c r="K48" s="196"/>
    </row>
    <row r="49" spans="1:11">
      <c r="A49" s="343" t="str">
        <f>data_filing</f>
        <v>DATA: 12 MONTH FORECASTED PERIOD</v>
      </c>
      <c r="C49" s="196"/>
      <c r="D49" s="344"/>
      <c r="E49" s="196"/>
      <c r="F49" s="196"/>
      <c r="G49" s="196"/>
      <c r="H49" s="196"/>
      <c r="I49" s="196"/>
      <c r="J49" s="196" t="str">
        <f>"PAGE "&amp;Pages2-13&amp;" OF "&amp;Pages2</f>
        <v>PAGE 2 OF 15</v>
      </c>
      <c r="K49" s="196"/>
    </row>
    <row r="50" spans="1:11">
      <c r="A50" s="343" t="str">
        <f>type</f>
        <v xml:space="preserve">TYPE OF FILING: "X" ORIGINAL   UPDATED    REVISED  </v>
      </c>
      <c r="C50" s="196"/>
      <c r="D50" s="344"/>
      <c r="E50" s="196"/>
      <c r="F50" s="196"/>
      <c r="G50" s="196"/>
      <c r="H50" s="196"/>
      <c r="I50" s="196"/>
      <c r="J50" s="196"/>
      <c r="K50" s="196"/>
    </row>
    <row r="51" spans="1:11">
      <c r="A51" s="343"/>
      <c r="C51" s="196"/>
      <c r="D51" s="344"/>
      <c r="E51" s="196"/>
      <c r="F51" s="196"/>
      <c r="G51" s="196"/>
      <c r="H51" s="196"/>
      <c r="I51" s="196"/>
      <c r="J51" s="196"/>
      <c r="K51" s="196"/>
    </row>
    <row r="52" spans="1:11">
      <c r="A52" s="343"/>
      <c r="C52" s="196"/>
      <c r="D52" s="344"/>
      <c r="E52" s="196"/>
      <c r="F52" s="196"/>
      <c r="G52" s="196"/>
      <c r="H52" s="196"/>
      <c r="I52" s="196"/>
      <c r="J52" s="196"/>
      <c r="K52" s="196"/>
    </row>
    <row r="53" spans="1:11">
      <c r="A53" s="344" t="s">
        <v>914</v>
      </c>
      <c r="B53" s="196"/>
      <c r="C53" s="196"/>
      <c r="D53" s="344"/>
      <c r="E53" s="196"/>
      <c r="F53" s="344" t="str">
        <f>$F$8</f>
        <v>TOTAL</v>
      </c>
      <c r="G53" s="545" t="s">
        <v>1005</v>
      </c>
      <c r="H53" s="533"/>
      <c r="I53" s="534"/>
      <c r="J53" s="344" t="s">
        <v>229</v>
      </c>
      <c r="K53" s="344" t="s">
        <v>342</v>
      </c>
    </row>
    <row r="54" spans="1:11">
      <c r="A54" s="346" t="s">
        <v>915</v>
      </c>
      <c r="B54" s="345" t="s">
        <v>95</v>
      </c>
      <c r="C54" s="345"/>
      <c r="D54" s="346" t="s">
        <v>337</v>
      </c>
      <c r="E54" s="345"/>
      <c r="F54" s="346" t="str">
        <f>$F$9</f>
        <v>STORAGE</v>
      </c>
      <c r="G54" s="546" t="s">
        <v>847</v>
      </c>
      <c r="H54" s="535" t="s">
        <v>848</v>
      </c>
      <c r="I54" s="536" t="s">
        <v>849</v>
      </c>
      <c r="J54" s="346" t="s">
        <v>341</v>
      </c>
      <c r="K54" s="346" t="s">
        <v>340</v>
      </c>
    </row>
    <row r="55" spans="1:11">
      <c r="C55" s="578" t="s">
        <v>344</v>
      </c>
      <c r="D55" s="344"/>
      <c r="E55" s="196"/>
      <c r="G55" s="800">
        <f>$G$10</f>
        <v>3</v>
      </c>
      <c r="H55" s="801">
        <f>$H$10</f>
        <v>4</v>
      </c>
      <c r="I55" s="802">
        <f>$I$10</f>
        <v>5</v>
      </c>
      <c r="K55" s="332" t="s">
        <v>343</v>
      </c>
    </row>
    <row r="56" spans="1:11">
      <c r="A56" s="333">
        <v>1</v>
      </c>
      <c r="B56" s="332" t="s">
        <v>14</v>
      </c>
      <c r="E56" s="196"/>
      <c r="G56" s="547"/>
      <c r="H56" s="537"/>
      <c r="I56" s="538"/>
    </row>
    <row r="57" spans="1:11">
      <c r="A57" s="333">
        <v>2</v>
      </c>
      <c r="C57" s="365" t="str">
        <f>'FR-16(7)(v)-1 Functional'!C57</f>
        <v>PRODUCTION PLANT</v>
      </c>
      <c r="D57" s="344" t="str">
        <f>'FR-16(7)(v)-1 Functional'!D57</f>
        <v>K205</v>
      </c>
      <c r="E57" s="196"/>
      <c r="F57" s="479">
        <f>'FR-16(7)(v)-1 Functional'!H57</f>
        <v>0</v>
      </c>
      <c r="G57" s="548">
        <f>ROUND(F57*VLOOKUP(D57,AllocTable_Classified_Storage,$G$10,FALSE),0)</f>
        <v>0</v>
      </c>
      <c r="H57" s="539">
        <f>ROUND(F57*VLOOKUP(D57,AllocTable_Classified_Storage,$H$10,FALSE),0)</f>
        <v>0</v>
      </c>
      <c r="I57" s="540">
        <f>ROUND(F57*VLOOKUP(D57,AllocTable_Classified_Storage,$I$10,FALSE),0)</f>
        <v>0</v>
      </c>
      <c r="J57" s="347">
        <f>SUM($G$57:$I$57)</f>
        <v>0</v>
      </c>
      <c r="K57" s="347">
        <f>F57-$J$57</f>
        <v>0</v>
      </c>
    </row>
    <row r="58" spans="1:11">
      <c r="A58" s="333">
        <v>3</v>
      </c>
      <c r="C58" s="359" t="str">
        <f>'FR-16(7)(v)-1 Functional'!C58</f>
        <v>GAS PRODUCTION -CPMPL NOT CLASS</v>
      </c>
      <c r="D58" s="344" t="str">
        <f>'FR-16(7)(v)-1 Functional'!D58</f>
        <v>K205</v>
      </c>
      <c r="E58" s="196"/>
      <c r="F58" s="479">
        <f>'FR-16(7)(v)-1 Functional'!H58</f>
        <v>0</v>
      </c>
      <c r="G58" s="548">
        <f>ROUND(F58*VLOOKUP(D58,AllocTable_Classified_Storage,$G$10,FALSE),0)</f>
        <v>0</v>
      </c>
      <c r="H58" s="539">
        <f>ROUND(F58*VLOOKUP(D58,AllocTable_Classified_Storage,$H$10,FALSE),0)</f>
        <v>0</v>
      </c>
      <c r="I58" s="540">
        <f>ROUND(F58*VLOOKUP(D58,AllocTable_Classified_Storage,$I$10,FALSE),0)</f>
        <v>0</v>
      </c>
      <c r="J58" s="347">
        <f>SUM($G$58:$I$58)</f>
        <v>0</v>
      </c>
      <c r="K58" s="347">
        <f>F58-$J$58</f>
        <v>0</v>
      </c>
    </row>
    <row r="59" spans="1:11">
      <c r="A59" s="333">
        <v>4</v>
      </c>
      <c r="C59" s="332" t="str">
        <f>'FR-16(7)(v)-1 Functional'!C59</f>
        <v xml:space="preserve">  PRODUCTION PLANT IN SERVICE</v>
      </c>
      <c r="D59" s="344"/>
      <c r="E59" s="196"/>
      <c r="F59" s="348">
        <f>SUM(F57:F58)</f>
        <v>0</v>
      </c>
      <c r="G59" s="549">
        <f>SUM($G$57:$G$58)</f>
        <v>0</v>
      </c>
      <c r="H59" s="541">
        <f>SUM($H$57:$H$58)</f>
        <v>0</v>
      </c>
      <c r="I59" s="542">
        <f>SUM($I$57:$I$58)</f>
        <v>0</v>
      </c>
      <c r="J59" s="348">
        <f>SUM($J$57:$J$58)</f>
        <v>0</v>
      </c>
      <c r="K59" s="348">
        <f>SUM($K$57:$K$58)</f>
        <v>0</v>
      </c>
    </row>
    <row r="60" spans="1:11">
      <c r="A60" s="333">
        <v>5</v>
      </c>
      <c r="D60" s="344"/>
      <c r="E60" s="196"/>
      <c r="G60" s="547"/>
      <c r="H60" s="537"/>
      <c r="I60" s="538"/>
    </row>
    <row r="61" spans="1:11">
      <c r="A61" s="333">
        <v>6</v>
      </c>
      <c r="B61" s="332" t="s">
        <v>15</v>
      </c>
      <c r="D61" s="344"/>
      <c r="E61" s="196"/>
      <c r="G61" s="547"/>
      <c r="H61" s="537"/>
      <c r="I61" s="538"/>
    </row>
    <row r="62" spans="1:11">
      <c r="A62" s="333">
        <v>7</v>
      </c>
      <c r="C62" s="359" t="str">
        <f>'FR-16(7)(v)-1 Functional'!C62</f>
        <v>TRANSMISSION PLANT</v>
      </c>
      <c r="D62" s="344" t="s">
        <v>343</v>
      </c>
      <c r="E62" s="196"/>
      <c r="F62" s="477"/>
      <c r="G62" s="548"/>
      <c r="H62" s="539"/>
      <c r="I62" s="540"/>
      <c r="J62" s="347"/>
      <c r="K62" s="347"/>
    </row>
    <row r="63" spans="1:11">
      <c r="A63" s="333">
        <v>8</v>
      </c>
      <c r="C63" s="332" t="str">
        <f>'FR-16(7)(v)-1 Functional'!C63</f>
        <v xml:space="preserve">  TRANSMISSION PLANT IN SERVICE</v>
      </c>
      <c r="D63" s="344"/>
      <c r="E63" s="196"/>
      <c r="F63" s="348">
        <f>SUM(F62)</f>
        <v>0</v>
      </c>
      <c r="G63" s="549">
        <f>SUM($G$62)</f>
        <v>0</v>
      </c>
      <c r="H63" s="541">
        <f>SUM($H$62)</f>
        <v>0</v>
      </c>
      <c r="I63" s="542">
        <f>SUM($I$62)</f>
        <v>0</v>
      </c>
      <c r="J63" s="348">
        <f>SUM($J$62)</f>
        <v>0</v>
      </c>
      <c r="K63" s="348">
        <f>SUM($K$62)</f>
        <v>0</v>
      </c>
    </row>
    <row r="64" spans="1:11">
      <c r="A64" s="333">
        <v>9</v>
      </c>
      <c r="D64" s="344"/>
      <c r="E64" s="196"/>
      <c r="G64" s="547"/>
      <c r="H64" s="537"/>
      <c r="I64" s="538"/>
    </row>
    <row r="65" spans="1:11">
      <c r="A65" s="333">
        <v>10</v>
      </c>
      <c r="B65" s="332" t="s">
        <v>16</v>
      </c>
      <c r="D65" s="344"/>
      <c r="E65" s="196"/>
      <c r="F65" s="347">
        <f>F63+F59</f>
        <v>0</v>
      </c>
      <c r="G65" s="548">
        <f>$G$63+$G$59</f>
        <v>0</v>
      </c>
      <c r="H65" s="539">
        <f>$H$63+$H$59</f>
        <v>0</v>
      </c>
      <c r="I65" s="540">
        <f>$I$63+$I$59</f>
        <v>0</v>
      </c>
      <c r="J65" s="347">
        <f>$J$63+$J$59</f>
        <v>0</v>
      </c>
      <c r="K65" s="347">
        <f>$K$63+$K$59</f>
        <v>0</v>
      </c>
    </row>
    <row r="66" spans="1:11">
      <c r="A66" s="333">
        <v>11</v>
      </c>
      <c r="D66" s="344"/>
      <c r="E66" s="196"/>
      <c r="G66" s="547"/>
      <c r="H66" s="537"/>
      <c r="I66" s="538"/>
    </row>
    <row r="67" spans="1:11">
      <c r="A67" s="333">
        <v>12</v>
      </c>
      <c r="B67" s="332" t="s">
        <v>17</v>
      </c>
      <c r="D67" s="344"/>
      <c r="E67" s="196"/>
      <c r="G67" s="547"/>
      <c r="H67" s="537"/>
      <c r="I67" s="538"/>
    </row>
    <row r="68" spans="1:11">
      <c r="A68" s="333">
        <v>13</v>
      </c>
      <c r="C68" s="332" t="str">
        <f>'FR-16(7)(v)-1 Functional'!C68</f>
        <v>SYSTEM M&amp;R - (2780, 2781)</v>
      </c>
      <c r="D68" s="344" t="str">
        <f>'FR-16(7)(v)-1 Functional'!D68</f>
        <v>K203</v>
      </c>
      <c r="E68" s="196"/>
      <c r="F68" s="479">
        <f>'FR-16(7)(v)-1 Functional'!H68</f>
        <v>0</v>
      </c>
      <c r="G68" s="548">
        <f t="shared" ref="G68:G77" si="19">ROUND(F68*VLOOKUP(D68,AllocTable_Classified_Storage,$G$10,FALSE),0)</f>
        <v>0</v>
      </c>
      <c r="H68" s="539">
        <f t="shared" ref="H68:H77" si="20">ROUND(F68*VLOOKUP(D68,AllocTable_Classified_Storage,$H$10,FALSE),0)</f>
        <v>0</v>
      </c>
      <c r="I68" s="540">
        <f t="shared" ref="I68:I77" si="21">ROUND(F68*VLOOKUP(D68,AllocTable_Classified_Storage,$I$10,FALSE),0)</f>
        <v>0</v>
      </c>
      <c r="J68" s="347">
        <f t="shared" ref="J68:J77" si="22">SUM(G68:I68)</f>
        <v>0</v>
      </c>
      <c r="K68" s="347">
        <f t="shared" ref="K68:K77" si="23">F68-J68</f>
        <v>0</v>
      </c>
    </row>
    <row r="69" spans="1:11">
      <c r="A69" s="333">
        <v>14</v>
      </c>
      <c r="C69" s="332" t="str">
        <f>'FR-16(7)(v)-1 Functional'!C69</f>
        <v xml:space="preserve">DIST REG EQUIP &amp; CITY GATE M&amp;R- (2782, 2790) </v>
      </c>
      <c r="D69" s="344" t="str">
        <f>'FR-16(7)(v)-1 Functional'!D69</f>
        <v>K203</v>
      </c>
      <c r="E69" s="196"/>
      <c r="F69" s="479">
        <f>'FR-16(7)(v)-1 Functional'!H69</f>
        <v>0</v>
      </c>
      <c r="G69" s="548">
        <f t="shared" si="19"/>
        <v>0</v>
      </c>
      <c r="H69" s="539">
        <f t="shared" si="20"/>
        <v>0</v>
      </c>
      <c r="I69" s="540">
        <f t="shared" si="21"/>
        <v>0</v>
      </c>
      <c r="J69" s="347">
        <f t="shared" si="22"/>
        <v>0</v>
      </c>
      <c r="K69" s="347">
        <f t="shared" si="23"/>
        <v>0</v>
      </c>
    </row>
    <row r="70" spans="1:11">
      <c r="A70" s="333">
        <v>15</v>
      </c>
      <c r="C70" s="332" t="str">
        <f>'FR-16(7)(v)-1 Functional'!C70</f>
        <v>LARGE IND M&amp;R - (2850, 2851)</v>
      </c>
      <c r="D70" s="344" t="str">
        <f>'FR-16(7)(v)-1 Functional'!D70</f>
        <v>K595</v>
      </c>
      <c r="E70" s="196"/>
      <c r="F70" s="479">
        <f>'FR-16(7)(v)-1 Functional'!H70</f>
        <v>0</v>
      </c>
      <c r="G70" s="548">
        <f t="shared" si="19"/>
        <v>0</v>
      </c>
      <c r="H70" s="539">
        <f t="shared" si="20"/>
        <v>0</v>
      </c>
      <c r="I70" s="540">
        <f t="shared" si="21"/>
        <v>0</v>
      </c>
      <c r="J70" s="347">
        <f t="shared" si="22"/>
        <v>0</v>
      </c>
      <c r="K70" s="347">
        <f t="shared" si="23"/>
        <v>0</v>
      </c>
    </row>
    <row r="71" spans="1:11">
      <c r="A71" s="333">
        <v>16</v>
      </c>
      <c r="C71" s="332" t="str">
        <f>'FR-16(7)(v)-1 Functional'!C71</f>
        <v>MAINS - (2761, 2762, 2763, 2765)</v>
      </c>
      <c r="D71" s="344" t="str">
        <f>'FR-16(7)(v)-1 Functional'!D71</f>
        <v>K415</v>
      </c>
      <c r="E71" s="196"/>
      <c r="F71" s="479">
        <f>'FR-16(7)(v)-1 Functional'!H71</f>
        <v>0</v>
      </c>
      <c r="G71" s="548">
        <f t="shared" si="19"/>
        <v>0</v>
      </c>
      <c r="H71" s="539">
        <f t="shared" si="20"/>
        <v>0</v>
      </c>
      <c r="I71" s="540">
        <f t="shared" si="21"/>
        <v>0</v>
      </c>
      <c r="J71" s="347">
        <f t="shared" si="22"/>
        <v>0</v>
      </c>
      <c r="K71" s="347">
        <f t="shared" si="23"/>
        <v>0</v>
      </c>
    </row>
    <row r="72" spans="1:11">
      <c r="A72" s="333">
        <v>17</v>
      </c>
      <c r="C72" s="332" t="str">
        <f>'FR-16(7)(v)-1 Functional'!C72</f>
        <v>SERVICES - (2801, 2802, 2803)</v>
      </c>
      <c r="D72" s="344" t="str">
        <f>'FR-16(7)(v)-1 Functional'!D72</f>
        <v>K403</v>
      </c>
      <c r="E72" s="196"/>
      <c r="F72" s="479">
        <f>'FR-16(7)(v)-1 Functional'!H72</f>
        <v>0</v>
      </c>
      <c r="G72" s="548">
        <f t="shared" si="19"/>
        <v>0</v>
      </c>
      <c r="H72" s="539">
        <f t="shared" si="20"/>
        <v>0</v>
      </c>
      <c r="I72" s="540">
        <f t="shared" si="21"/>
        <v>0</v>
      </c>
      <c r="J72" s="347">
        <f t="shared" si="22"/>
        <v>0</v>
      </c>
      <c r="K72" s="347">
        <f t="shared" si="23"/>
        <v>0</v>
      </c>
    </row>
    <row r="73" spans="1:11">
      <c r="A73" s="333">
        <v>18</v>
      </c>
      <c r="C73" s="332" t="str">
        <f>'FR-16(7)(v)-1 Functional'!C73</f>
        <v>MTRS &amp; MTR INST (2810, 2811, 2820, 2821)</v>
      </c>
      <c r="D73" s="344" t="str">
        <f>'FR-16(7)(v)-1 Functional'!D73</f>
        <v>K413</v>
      </c>
      <c r="E73" s="196"/>
      <c r="F73" s="479">
        <f>'FR-16(7)(v)-1 Functional'!H73</f>
        <v>0</v>
      </c>
      <c r="G73" s="548">
        <f t="shared" si="19"/>
        <v>0</v>
      </c>
      <c r="H73" s="539">
        <f t="shared" si="20"/>
        <v>0</v>
      </c>
      <c r="I73" s="540">
        <f t="shared" si="21"/>
        <v>0</v>
      </c>
      <c r="J73" s="347">
        <f t="shared" si="22"/>
        <v>0</v>
      </c>
      <c r="K73" s="347">
        <f t="shared" si="23"/>
        <v>0</v>
      </c>
    </row>
    <row r="74" spans="1:11">
      <c r="A74" s="333">
        <v>19</v>
      </c>
      <c r="C74" s="332" t="str">
        <f>'FR-16(7)(v)-1 Functional'!C74</f>
        <v>LAND, R OF W, STRUCT &amp; IMPROV</v>
      </c>
      <c r="D74" s="344" t="str">
        <f>'FR-16(7)(v)-1 Functional'!D74</f>
        <v>K203</v>
      </c>
      <c r="E74" s="196"/>
      <c r="F74" s="479">
        <f>'FR-16(7)(v)-1 Functional'!H74</f>
        <v>0</v>
      </c>
      <c r="G74" s="548">
        <f t="shared" si="19"/>
        <v>0</v>
      </c>
      <c r="H74" s="539">
        <f t="shared" si="20"/>
        <v>0</v>
      </c>
      <c r="I74" s="540">
        <f t="shared" si="21"/>
        <v>0</v>
      </c>
      <c r="J74" s="347">
        <f t="shared" si="22"/>
        <v>0</v>
      </c>
      <c r="K74" s="347">
        <f t="shared" si="23"/>
        <v>0</v>
      </c>
    </row>
    <row r="75" spans="1:11">
      <c r="A75" s="333">
        <v>20</v>
      </c>
      <c r="C75" s="332" t="str">
        <f>'FR-16(7)(v)-1 Functional'!C75</f>
        <v>HOUSE REG &amp; INSTALL (2830, 2840)</v>
      </c>
      <c r="D75" s="344" t="str">
        <f>'FR-16(7)(v)-1 Functional'!D75</f>
        <v>K417</v>
      </c>
      <c r="E75" s="196"/>
      <c r="F75" s="479">
        <f>'FR-16(7)(v)-1 Functional'!H75</f>
        <v>0</v>
      </c>
      <c r="G75" s="548">
        <f t="shared" si="19"/>
        <v>0</v>
      </c>
      <c r="H75" s="539">
        <f t="shared" si="20"/>
        <v>0</v>
      </c>
      <c r="I75" s="540">
        <f t="shared" si="21"/>
        <v>0</v>
      </c>
      <c r="J75" s="347">
        <f t="shared" si="22"/>
        <v>0</v>
      </c>
      <c r="K75" s="347">
        <f t="shared" si="23"/>
        <v>0</v>
      </c>
    </row>
    <row r="76" spans="1:11">
      <c r="A76" s="333">
        <v>21</v>
      </c>
      <c r="C76" s="365" t="str">
        <f>'FR-16(7)(v)-1 Functional'!C76</f>
        <v>STREET LIGHTING EQUIPMENT &amp; OTH</v>
      </c>
      <c r="D76" s="344" t="str">
        <f>'FR-16(7)(v)-1 Functional'!D76</f>
        <v>K597</v>
      </c>
      <c r="E76" s="196"/>
      <c r="F76" s="479">
        <f>'FR-16(7)(v)-1 Functional'!H76</f>
        <v>0</v>
      </c>
      <c r="G76" s="548">
        <f t="shared" si="19"/>
        <v>0</v>
      </c>
      <c r="H76" s="539">
        <f t="shared" si="20"/>
        <v>0</v>
      </c>
      <c r="I76" s="540">
        <f t="shared" si="21"/>
        <v>0</v>
      </c>
      <c r="J76" s="347">
        <f t="shared" si="22"/>
        <v>0</v>
      </c>
      <c r="K76" s="347">
        <f t="shared" si="23"/>
        <v>0</v>
      </c>
    </row>
    <row r="77" spans="1:11">
      <c r="A77" s="333">
        <v>22</v>
      </c>
      <c r="C77" s="332" t="str">
        <f>'FR-16(7)(v)-1 Functional'!C77</f>
        <v>ASSET RETIREMENT COST FOR DISTRIBUTION PLANT</v>
      </c>
      <c r="D77" s="344" t="str">
        <f>'FR-16(7)(v)-1 Functional'!D77</f>
        <v>K203</v>
      </c>
      <c r="E77" s="196"/>
      <c r="F77" s="479">
        <f>'FR-16(7)(v)-1 Functional'!H77</f>
        <v>0</v>
      </c>
      <c r="G77" s="548">
        <f t="shared" si="19"/>
        <v>0</v>
      </c>
      <c r="H77" s="539">
        <f t="shared" si="20"/>
        <v>0</v>
      </c>
      <c r="I77" s="540">
        <f t="shared" si="21"/>
        <v>0</v>
      </c>
      <c r="J77" s="347">
        <f t="shared" si="22"/>
        <v>0</v>
      </c>
      <c r="K77" s="347">
        <f t="shared" si="23"/>
        <v>0</v>
      </c>
    </row>
    <row r="78" spans="1:11">
      <c r="A78" s="333">
        <v>23</v>
      </c>
      <c r="C78" s="339" t="str">
        <f>'FR-16(7)(v)-1 Functional'!C78</f>
        <v xml:space="preserve">  DISTRIBUTION PLANT IN SERVICE</v>
      </c>
      <c r="D78" s="344"/>
      <c r="E78" s="196"/>
      <c r="F78" s="348">
        <f t="shared" ref="F78:K78" si="24">SUM(F68:F77)</f>
        <v>0</v>
      </c>
      <c r="G78" s="549">
        <f t="shared" si="24"/>
        <v>0</v>
      </c>
      <c r="H78" s="541">
        <f t="shared" si="24"/>
        <v>0</v>
      </c>
      <c r="I78" s="542">
        <f t="shared" si="24"/>
        <v>0</v>
      </c>
      <c r="J78" s="348">
        <f t="shared" si="24"/>
        <v>0</v>
      </c>
      <c r="K78" s="348">
        <f t="shared" si="24"/>
        <v>0</v>
      </c>
    </row>
    <row r="79" spans="1:11">
      <c r="A79" s="333">
        <v>24</v>
      </c>
      <c r="D79" s="344"/>
      <c r="E79" s="196"/>
      <c r="G79" s="547"/>
      <c r="H79" s="537"/>
      <c r="I79" s="538"/>
    </row>
    <row r="80" spans="1:11">
      <c r="A80" s="333">
        <v>25</v>
      </c>
      <c r="B80" s="332" t="s">
        <v>18</v>
      </c>
      <c r="D80" s="344"/>
      <c r="E80" s="196"/>
      <c r="F80" s="347">
        <f>F78+F63</f>
        <v>0</v>
      </c>
      <c r="G80" s="548">
        <f>G78+$G$63</f>
        <v>0</v>
      </c>
      <c r="H80" s="539">
        <f>H78+$H$63</f>
        <v>0</v>
      </c>
      <c r="I80" s="540">
        <f>I78+$I$63</f>
        <v>0</v>
      </c>
      <c r="J80" s="347">
        <f>J78+$J$63</f>
        <v>0</v>
      </c>
      <c r="K80" s="347">
        <f>K78+$K$63</f>
        <v>0</v>
      </c>
    </row>
    <row r="81" spans="1:11">
      <c r="A81" s="333">
        <v>26</v>
      </c>
      <c r="B81" s="332" t="s">
        <v>19</v>
      </c>
      <c r="D81" s="344"/>
      <c r="E81" s="196"/>
      <c r="F81" s="347">
        <f t="shared" ref="F81:K81" si="25">F78+F65</f>
        <v>0</v>
      </c>
      <c r="G81" s="548">
        <f t="shared" si="25"/>
        <v>0</v>
      </c>
      <c r="H81" s="539">
        <f t="shared" si="25"/>
        <v>0</v>
      </c>
      <c r="I81" s="540">
        <f t="shared" si="25"/>
        <v>0</v>
      </c>
      <c r="J81" s="347">
        <f t="shared" si="25"/>
        <v>0</v>
      </c>
      <c r="K81" s="347">
        <f t="shared" si="25"/>
        <v>0</v>
      </c>
    </row>
    <row r="82" spans="1:11">
      <c r="A82" s="333">
        <v>27</v>
      </c>
      <c r="D82" s="344"/>
      <c r="E82" s="196"/>
      <c r="G82" s="547"/>
      <c r="H82" s="537"/>
      <c r="I82" s="538"/>
    </row>
    <row r="83" spans="1:11">
      <c r="A83" s="333">
        <v>28</v>
      </c>
      <c r="B83" s="332" t="s">
        <v>20</v>
      </c>
      <c r="D83" s="344"/>
      <c r="E83" s="196"/>
      <c r="G83" s="547"/>
      <c r="H83" s="537"/>
      <c r="I83" s="538"/>
    </row>
    <row r="84" spans="1:11">
      <c r="A84" s="333">
        <v>29</v>
      </c>
      <c r="C84" s="332" t="str">
        <f>'FR-16(7)(v)-1 Functional'!C84</f>
        <v>PRODUCTION PLANT</v>
      </c>
      <c r="D84" s="344" t="str">
        <f>'FR-16(7)(v)-1 Functional'!D84</f>
        <v>K201</v>
      </c>
      <c r="E84" s="196"/>
      <c r="F84" s="479">
        <f>'FR-16(7)(v)-1 Functional'!H84</f>
        <v>0</v>
      </c>
      <c r="G84" s="548">
        <f t="shared" ref="G84:G89" si="26">ROUND(F84*VLOOKUP(D84,AllocTable_Classified_Storage,$G$10,FALSE),0)</f>
        <v>0</v>
      </c>
      <c r="H84" s="539">
        <f t="shared" ref="H84:H89" si="27">ROUND(F84*VLOOKUP(D84,AllocTable_Classified_Storage,$H$10,FALSE),0)</f>
        <v>0</v>
      </c>
      <c r="I84" s="540">
        <f t="shared" ref="I84:I89" si="28">ROUND(F84*VLOOKUP(D84,AllocTable_Classified_Storage,$I$10,FALSE),0)</f>
        <v>0</v>
      </c>
      <c r="J84" s="347">
        <f t="shared" ref="J84:J89" si="29">SUM(G84:I84)</f>
        <v>0</v>
      </c>
      <c r="K84" s="347">
        <f t="shared" ref="K84:K89" si="30">F84-J84</f>
        <v>0</v>
      </c>
    </row>
    <row r="85" spans="1:11">
      <c r="A85" s="333">
        <v>30</v>
      </c>
      <c r="C85" s="332" t="str">
        <f>'FR-16(7)(v)-1 Functional'!C85</f>
        <v>PRODUCTION PLANT COMMODITY</v>
      </c>
      <c r="D85" s="344" t="str">
        <f>'FR-16(7)(v)-1 Functional'!D85</f>
        <v>P349</v>
      </c>
      <c r="E85" s="196"/>
      <c r="F85" s="479">
        <f>'FR-16(7)(v)-1 Functional'!H85</f>
        <v>0</v>
      </c>
      <c r="G85" s="548">
        <f t="shared" si="26"/>
        <v>0</v>
      </c>
      <c r="H85" s="539">
        <f t="shared" si="27"/>
        <v>0</v>
      </c>
      <c r="I85" s="540">
        <f t="shared" si="28"/>
        <v>0</v>
      </c>
      <c r="J85" s="347">
        <f t="shared" si="29"/>
        <v>0</v>
      </c>
      <c r="K85" s="347">
        <f t="shared" si="30"/>
        <v>0</v>
      </c>
    </row>
    <row r="86" spans="1:11">
      <c r="A86" s="333">
        <v>31</v>
      </c>
      <c r="C86" s="332" t="str">
        <f>'FR-16(7)(v)-1 Functional'!C86</f>
        <v>DISTRIBUTION PLANT</v>
      </c>
      <c r="D86" s="344" t="str">
        <f>'FR-16(7)(v)-1 Functional'!D86</f>
        <v>D349</v>
      </c>
      <c r="E86" s="196"/>
      <c r="F86" s="479">
        <f>'FR-16(7)(v)-1 Functional'!H86</f>
        <v>0</v>
      </c>
      <c r="G86" s="548">
        <f t="shared" si="26"/>
        <v>0</v>
      </c>
      <c r="H86" s="539">
        <f t="shared" si="27"/>
        <v>0</v>
      </c>
      <c r="I86" s="540">
        <f t="shared" si="28"/>
        <v>0</v>
      </c>
      <c r="J86" s="347">
        <f t="shared" si="29"/>
        <v>0</v>
      </c>
      <c r="K86" s="347">
        <f t="shared" si="30"/>
        <v>0</v>
      </c>
    </row>
    <row r="87" spans="1:11">
      <c r="A87" s="333">
        <v>32</v>
      </c>
      <c r="C87" s="332" t="str">
        <f>'FR-16(7)(v)-1 Functional'!C87</f>
        <v>CUSTOMER ACCOUNTING</v>
      </c>
      <c r="D87" s="344" t="str">
        <f>'FR-16(7)(v)-1 Functional'!D87</f>
        <v>CA19</v>
      </c>
      <c r="E87" s="196"/>
      <c r="F87" s="479">
        <f>'FR-16(7)(v)-1 Functional'!H87</f>
        <v>0</v>
      </c>
      <c r="G87" s="548">
        <f t="shared" si="26"/>
        <v>0</v>
      </c>
      <c r="H87" s="539">
        <f t="shared" si="27"/>
        <v>0</v>
      </c>
      <c r="I87" s="540">
        <f t="shared" si="28"/>
        <v>0</v>
      </c>
      <c r="J87" s="347">
        <f t="shared" si="29"/>
        <v>0</v>
      </c>
      <c r="K87" s="347">
        <f t="shared" si="30"/>
        <v>0</v>
      </c>
    </row>
    <row r="88" spans="1:11">
      <c r="A88" s="333">
        <v>33</v>
      </c>
      <c r="C88" s="332" t="str">
        <f>'FR-16(7)(v)-1 Functional'!C88</f>
        <v>CUSTOMER SERVICE &amp; INFORMATION</v>
      </c>
      <c r="D88" s="344" t="str">
        <f>'FR-16(7)(v)-1 Functional'!D88</f>
        <v>CS19</v>
      </c>
      <c r="E88" s="196"/>
      <c r="F88" s="479">
        <f>'FR-16(7)(v)-1 Functional'!H88</f>
        <v>0</v>
      </c>
      <c r="G88" s="548">
        <f t="shared" si="26"/>
        <v>0</v>
      </c>
      <c r="H88" s="539">
        <f t="shared" si="27"/>
        <v>0</v>
      </c>
      <c r="I88" s="540">
        <f t="shared" si="28"/>
        <v>0</v>
      </c>
      <c r="J88" s="347">
        <f t="shared" si="29"/>
        <v>0</v>
      </c>
      <c r="K88" s="347">
        <f t="shared" si="30"/>
        <v>0</v>
      </c>
    </row>
    <row r="89" spans="1:11">
      <c r="A89" s="333">
        <v>34</v>
      </c>
      <c r="C89" s="332" t="str">
        <f>'FR-16(7)(v)-1 Functional'!C89</f>
        <v>SALES</v>
      </c>
      <c r="D89" s="344" t="str">
        <f>'FR-16(7)(v)-1 Functional'!D89</f>
        <v>SE19</v>
      </c>
      <c r="E89" s="196"/>
      <c r="F89" s="479">
        <f>'FR-16(7)(v)-1 Functional'!H89</f>
        <v>0</v>
      </c>
      <c r="G89" s="548">
        <f t="shared" si="26"/>
        <v>0</v>
      </c>
      <c r="H89" s="539">
        <f t="shared" si="27"/>
        <v>0</v>
      </c>
      <c r="I89" s="540">
        <f t="shared" si="28"/>
        <v>0</v>
      </c>
      <c r="J89" s="347">
        <f t="shared" si="29"/>
        <v>0</v>
      </c>
      <c r="K89" s="347">
        <f t="shared" si="30"/>
        <v>0</v>
      </c>
    </row>
    <row r="90" spans="1:11">
      <c r="A90" s="333">
        <v>35</v>
      </c>
      <c r="C90" s="339" t="str">
        <f>'FR-16(7)(v)-1 Functional'!C90</f>
        <v xml:space="preserve">  GEN &amp; INTANG PLANT IN SERVICE</v>
      </c>
      <c r="D90" s="344"/>
      <c r="E90" s="196"/>
      <c r="F90" s="480">
        <f t="shared" ref="F90:K90" si="31">SUM(F84:F89)</f>
        <v>0</v>
      </c>
      <c r="G90" s="549">
        <f t="shared" si="31"/>
        <v>0</v>
      </c>
      <c r="H90" s="541">
        <f t="shared" si="31"/>
        <v>0</v>
      </c>
      <c r="I90" s="542">
        <f t="shared" si="31"/>
        <v>0</v>
      </c>
      <c r="J90" s="348">
        <f t="shared" si="31"/>
        <v>0</v>
      </c>
      <c r="K90" s="348">
        <f t="shared" si="31"/>
        <v>0</v>
      </c>
    </row>
    <row r="91" spans="1:11">
      <c r="A91" s="333">
        <v>36</v>
      </c>
      <c r="D91" s="344"/>
      <c r="E91" s="196"/>
      <c r="G91" s="547"/>
      <c r="H91" s="537"/>
      <c r="I91" s="538"/>
    </row>
    <row r="92" spans="1:11">
      <c r="A92" s="333">
        <v>37</v>
      </c>
      <c r="B92" s="332" t="s">
        <v>21</v>
      </c>
      <c r="D92" s="344"/>
      <c r="E92" s="196"/>
      <c r="G92" s="547"/>
      <c r="H92" s="537"/>
      <c r="I92" s="538"/>
    </row>
    <row r="93" spans="1:11">
      <c r="A93" s="333">
        <v>38</v>
      </c>
      <c r="C93" s="332" t="str">
        <f>'FR-16(7)(v)-1 Functional'!C93</f>
        <v>PRODUCTION PLANT</v>
      </c>
      <c r="D93" s="344" t="str">
        <f>'FR-16(7)(v)-1 Functional'!D93</f>
        <v>K201</v>
      </c>
      <c r="E93" s="196"/>
      <c r="F93" s="479">
        <f>'FR-16(7)(v)-1 Functional'!H93</f>
        <v>0</v>
      </c>
      <c r="G93" s="548">
        <f t="shared" ref="G93:G98" si="32">ROUND(F93*VLOOKUP(D93,AllocTable_Classified_Storage,$G$10,FALSE),0)</f>
        <v>0</v>
      </c>
      <c r="H93" s="539">
        <f t="shared" ref="H93:H98" si="33">ROUND(F93*VLOOKUP(D93,AllocTable_Classified_Storage,$H$10,FALSE),0)</f>
        <v>0</v>
      </c>
      <c r="I93" s="540">
        <f t="shared" ref="I93:I98" si="34">ROUND(F93*VLOOKUP(D93,AllocTable_Classified_Storage,$I$10,FALSE),0)</f>
        <v>0</v>
      </c>
      <c r="J93" s="347">
        <f t="shared" ref="J93:J98" si="35">SUM(G93:I93)</f>
        <v>0</v>
      </c>
      <c r="K93" s="347">
        <f t="shared" ref="K93:K98" si="36">F93-J93</f>
        <v>0</v>
      </c>
    </row>
    <row r="94" spans="1:11">
      <c r="A94" s="333">
        <v>39</v>
      </c>
      <c r="C94" s="332" t="str">
        <f>'FR-16(7)(v)-1 Functional'!C94</f>
        <v>PRODUCTION PLANT COMMODITY</v>
      </c>
      <c r="D94" s="344" t="str">
        <f>'FR-16(7)(v)-1 Functional'!D94</f>
        <v>P349</v>
      </c>
      <c r="E94" s="196"/>
      <c r="F94" s="479">
        <f>'FR-16(7)(v)-1 Functional'!H94</f>
        <v>0</v>
      </c>
      <c r="G94" s="548">
        <f t="shared" si="32"/>
        <v>0</v>
      </c>
      <c r="H94" s="539">
        <f t="shared" si="33"/>
        <v>0</v>
      </c>
      <c r="I94" s="540">
        <f t="shared" si="34"/>
        <v>0</v>
      </c>
      <c r="J94" s="347">
        <f t="shared" si="35"/>
        <v>0</v>
      </c>
      <c r="K94" s="347">
        <f t="shared" si="36"/>
        <v>0</v>
      </c>
    </row>
    <row r="95" spans="1:11">
      <c r="A95" s="333">
        <v>40</v>
      </c>
      <c r="C95" s="332" t="str">
        <f>'FR-16(7)(v)-1 Functional'!C95</f>
        <v>DISTRIBUTION PLANT</v>
      </c>
      <c r="D95" s="344" t="str">
        <f>'FR-16(7)(v)-1 Functional'!D95</f>
        <v>D349</v>
      </c>
      <c r="E95" s="196"/>
      <c r="F95" s="479">
        <f>'FR-16(7)(v)-1 Functional'!H95</f>
        <v>0</v>
      </c>
      <c r="G95" s="548">
        <f t="shared" si="32"/>
        <v>0</v>
      </c>
      <c r="H95" s="539">
        <f t="shared" si="33"/>
        <v>0</v>
      </c>
      <c r="I95" s="540">
        <f t="shared" si="34"/>
        <v>0</v>
      </c>
      <c r="J95" s="347">
        <f t="shared" si="35"/>
        <v>0</v>
      </c>
      <c r="K95" s="347">
        <f t="shared" si="36"/>
        <v>0</v>
      </c>
    </row>
    <row r="96" spans="1:11">
      <c r="A96" s="333">
        <v>41</v>
      </c>
      <c r="C96" s="332" t="str">
        <f>'FR-16(7)(v)-1 Functional'!C96</f>
        <v>CUSTOMER ACCOUNTING</v>
      </c>
      <c r="D96" s="344" t="str">
        <f>'FR-16(7)(v)-1 Functional'!D96</f>
        <v>CA19</v>
      </c>
      <c r="E96" s="196"/>
      <c r="F96" s="479">
        <f>'FR-16(7)(v)-1 Functional'!H96</f>
        <v>0</v>
      </c>
      <c r="G96" s="548">
        <f t="shared" si="32"/>
        <v>0</v>
      </c>
      <c r="H96" s="539">
        <f t="shared" si="33"/>
        <v>0</v>
      </c>
      <c r="I96" s="540">
        <f t="shared" si="34"/>
        <v>0</v>
      </c>
      <c r="J96" s="347">
        <f t="shared" si="35"/>
        <v>0</v>
      </c>
      <c r="K96" s="347">
        <f t="shared" si="36"/>
        <v>0</v>
      </c>
    </row>
    <row r="97" spans="1:11">
      <c r="A97" s="333">
        <v>42</v>
      </c>
      <c r="C97" s="332" t="str">
        <f>'FR-16(7)(v)-1 Functional'!C97</f>
        <v>CUSTOMER SERVICE &amp; INFORMATION</v>
      </c>
      <c r="D97" s="344" t="str">
        <f>'FR-16(7)(v)-1 Functional'!D97</f>
        <v>CS19</v>
      </c>
      <c r="E97" s="196"/>
      <c r="F97" s="479">
        <f>'FR-16(7)(v)-1 Functional'!H97</f>
        <v>0</v>
      </c>
      <c r="G97" s="548">
        <f t="shared" si="32"/>
        <v>0</v>
      </c>
      <c r="H97" s="539">
        <f t="shared" si="33"/>
        <v>0</v>
      </c>
      <c r="I97" s="540">
        <f t="shared" si="34"/>
        <v>0</v>
      </c>
      <c r="J97" s="347">
        <f t="shared" si="35"/>
        <v>0</v>
      </c>
      <c r="K97" s="347">
        <f t="shared" si="36"/>
        <v>0</v>
      </c>
    </row>
    <row r="98" spans="1:11">
      <c r="A98" s="333">
        <v>43</v>
      </c>
      <c r="C98" s="365" t="str">
        <f>'FR-16(7)(v)-1 Functional'!C98</f>
        <v>SALES</v>
      </c>
      <c r="D98" s="344" t="str">
        <f>'FR-16(7)(v)-1 Functional'!D98</f>
        <v>SE19</v>
      </c>
      <c r="E98" s="196"/>
      <c r="F98" s="479">
        <f>'FR-16(7)(v)-1 Functional'!H98</f>
        <v>0</v>
      </c>
      <c r="G98" s="548">
        <f t="shared" si="32"/>
        <v>0</v>
      </c>
      <c r="H98" s="539">
        <f t="shared" si="33"/>
        <v>0</v>
      </c>
      <c r="I98" s="540">
        <f t="shared" si="34"/>
        <v>0</v>
      </c>
      <c r="J98" s="347">
        <f t="shared" si="35"/>
        <v>0</v>
      </c>
      <c r="K98" s="347">
        <f t="shared" si="36"/>
        <v>0</v>
      </c>
    </row>
    <row r="99" spans="1:11">
      <c r="A99" s="333">
        <v>44</v>
      </c>
      <c r="C99" s="339" t="str">
        <f>'FR-16(7)(v)-1 Functional'!C99</f>
        <v xml:space="preserve">  COMMON &amp; OTHER PLANT IN SERVICE</v>
      </c>
      <c r="E99" s="196"/>
      <c r="F99" s="348">
        <f t="shared" ref="F99:K99" si="37">SUM(F93:F98)</f>
        <v>0</v>
      </c>
      <c r="G99" s="549">
        <f t="shared" si="37"/>
        <v>0</v>
      </c>
      <c r="H99" s="541">
        <f t="shared" si="37"/>
        <v>0</v>
      </c>
      <c r="I99" s="542">
        <f t="shared" si="37"/>
        <v>0</v>
      </c>
      <c r="J99" s="348">
        <f t="shared" si="37"/>
        <v>0</v>
      </c>
      <c r="K99" s="348">
        <f t="shared" si="37"/>
        <v>0</v>
      </c>
    </row>
    <row r="100" spans="1:11">
      <c r="A100" s="333">
        <v>45</v>
      </c>
      <c r="E100" s="196"/>
      <c r="G100" s="547"/>
      <c r="H100" s="537"/>
      <c r="I100" s="538"/>
    </row>
    <row r="101" spans="1:11">
      <c r="A101" s="333">
        <v>46</v>
      </c>
      <c r="B101" s="332" t="s">
        <v>95</v>
      </c>
      <c r="E101" s="196"/>
      <c r="F101" s="347">
        <f t="shared" ref="F101:K101" si="38">F81+F90+F99</f>
        <v>0</v>
      </c>
      <c r="G101" s="550">
        <f t="shared" si="38"/>
        <v>0</v>
      </c>
      <c r="H101" s="543">
        <f t="shared" si="38"/>
        <v>0</v>
      </c>
      <c r="I101" s="544">
        <f t="shared" si="38"/>
        <v>0</v>
      </c>
      <c r="J101" s="347">
        <f t="shared" si="38"/>
        <v>0</v>
      </c>
      <c r="K101" s="347">
        <f t="shared" si="38"/>
        <v>0</v>
      </c>
    </row>
    <row r="102" spans="1:11">
      <c r="B102" s="343"/>
      <c r="C102" s="196"/>
      <c r="D102" s="344"/>
      <c r="E102" s="196"/>
      <c r="F102" s="196"/>
      <c r="G102" s="196"/>
      <c r="H102" s="196"/>
      <c r="I102" s="196"/>
      <c r="J102" s="196"/>
      <c r="K102" s="196"/>
    </row>
    <row r="103" spans="1:11">
      <c r="A103" s="343" t="str">
        <f>co_name</f>
        <v>DUKE ENERGY KENTUCKY, INC.</v>
      </c>
      <c r="C103" s="196"/>
      <c r="D103" s="344"/>
      <c r="E103" s="196"/>
      <c r="F103" s="196"/>
      <c r="G103" s="196"/>
      <c r="H103" s="196"/>
      <c r="I103" s="196"/>
      <c r="J103" s="196" t="str">
        <f>$J$1</f>
        <v>FR-16(7)(v)-7</v>
      </c>
      <c r="K103" s="196"/>
    </row>
    <row r="104" spans="1:11">
      <c r="A104" s="343" t="str">
        <f>$A$2</f>
        <v>STORAGE CLASSIFIED -  GAS COST OF SERVICE</v>
      </c>
      <c r="C104" s="196"/>
      <c r="D104" s="344"/>
      <c r="E104" s="196"/>
      <c r="F104" s="196"/>
      <c r="G104" s="196"/>
      <c r="H104" s="196"/>
      <c r="I104" s="196"/>
      <c r="J104" s="196" t="str">
        <f>$J$2</f>
        <v>WITNESS RESPONSIBLE:</v>
      </c>
      <c r="K104" s="196"/>
    </row>
    <row r="105" spans="1:11">
      <c r="A105" s="343" t="str">
        <f>case_name</f>
        <v>CASE NO: 2018-00261</v>
      </c>
      <c r="C105" s="196"/>
      <c r="D105" s="344"/>
      <c r="E105" s="196"/>
      <c r="F105" s="196"/>
      <c r="G105" s="196"/>
      <c r="H105" s="196"/>
      <c r="I105" s="196"/>
      <c r="J105" s="196" t="str">
        <f>Witness</f>
        <v>JAMES E. ZIOLKOWSKI</v>
      </c>
      <c r="K105" s="196"/>
    </row>
    <row r="106" spans="1:11">
      <c r="A106" s="343" t="str">
        <f>data_filing</f>
        <v>DATA: 12 MONTH FORECASTED PERIOD</v>
      </c>
      <c r="C106" s="196"/>
      <c r="D106" s="344"/>
      <c r="E106" s="196"/>
      <c r="F106" s="196"/>
      <c r="G106" s="196"/>
      <c r="H106" s="196"/>
      <c r="I106" s="196"/>
      <c r="J106" s="196" t="str">
        <f>"PAGE "&amp;Pages2-12&amp;" OF "&amp;Pages2</f>
        <v>PAGE 3 OF 15</v>
      </c>
      <c r="K106" s="196"/>
    </row>
    <row r="107" spans="1:11">
      <c r="A107" s="343" t="str">
        <f>type</f>
        <v xml:space="preserve">TYPE OF FILING: "X" ORIGINAL   UPDATED    REVISED  </v>
      </c>
      <c r="C107" s="196"/>
      <c r="D107" s="344"/>
      <c r="E107" s="196"/>
      <c r="F107" s="196"/>
      <c r="G107" s="196"/>
      <c r="H107" s="196"/>
      <c r="I107" s="196"/>
      <c r="J107" s="196"/>
      <c r="K107" s="196"/>
    </row>
    <row r="108" spans="1:11">
      <c r="A108" s="343"/>
      <c r="C108" s="196"/>
      <c r="D108" s="344"/>
      <c r="E108" s="196"/>
      <c r="F108" s="196"/>
      <c r="G108" s="196"/>
      <c r="H108" s="196"/>
      <c r="I108" s="196"/>
      <c r="J108" s="196"/>
      <c r="K108" s="196"/>
    </row>
    <row r="109" spans="1:11">
      <c r="B109" s="343"/>
      <c r="C109" s="196"/>
      <c r="D109" s="344"/>
      <c r="E109" s="196"/>
      <c r="F109" s="196"/>
      <c r="G109" s="196"/>
      <c r="H109" s="196"/>
      <c r="I109" s="196"/>
      <c r="J109" s="196"/>
      <c r="K109" s="196"/>
    </row>
    <row r="110" spans="1:11">
      <c r="A110" s="344" t="s">
        <v>914</v>
      </c>
      <c r="B110" s="196"/>
      <c r="C110" s="196"/>
      <c r="D110" s="344"/>
      <c r="E110" s="196"/>
      <c r="F110" s="344" t="str">
        <f>$F$8</f>
        <v>TOTAL</v>
      </c>
      <c r="G110" s="545" t="s">
        <v>1005</v>
      </c>
      <c r="H110" s="533"/>
      <c r="I110" s="534"/>
      <c r="J110" s="344" t="s">
        <v>229</v>
      </c>
      <c r="K110" s="344" t="s">
        <v>342</v>
      </c>
    </row>
    <row r="111" spans="1:11">
      <c r="A111" s="346" t="s">
        <v>915</v>
      </c>
      <c r="B111" s="345" t="s">
        <v>22</v>
      </c>
      <c r="C111" s="345"/>
      <c r="D111" s="346" t="s">
        <v>337</v>
      </c>
      <c r="E111" s="345"/>
      <c r="F111" s="346" t="str">
        <f>$F$9</f>
        <v>STORAGE</v>
      </c>
      <c r="G111" s="546" t="s">
        <v>847</v>
      </c>
      <c r="H111" s="535" t="s">
        <v>848</v>
      </c>
      <c r="I111" s="536" t="s">
        <v>849</v>
      </c>
      <c r="J111" s="346" t="s">
        <v>341</v>
      </c>
      <c r="K111" s="346" t="s">
        <v>340</v>
      </c>
    </row>
    <row r="112" spans="1:11">
      <c r="C112" s="578" t="s">
        <v>345</v>
      </c>
      <c r="D112" s="344"/>
      <c r="E112" s="196"/>
      <c r="G112" s="800">
        <f>$G$10</f>
        <v>3</v>
      </c>
      <c r="H112" s="801">
        <f>$H$10</f>
        <v>4</v>
      </c>
      <c r="I112" s="802">
        <f>$I$10</f>
        <v>5</v>
      </c>
    </row>
    <row r="113" spans="1:11">
      <c r="A113" s="333">
        <v>1</v>
      </c>
      <c r="B113" s="332" t="s">
        <v>14</v>
      </c>
      <c r="D113" s="344"/>
      <c r="E113" s="196"/>
      <c r="G113" s="547"/>
      <c r="H113" s="537"/>
      <c r="I113" s="538"/>
    </row>
    <row r="114" spans="1:11">
      <c r="A114" s="333">
        <v>2</v>
      </c>
      <c r="C114" s="365" t="str">
        <f>'FR-16(7)(v)-1 Functional'!C114</f>
        <v>PRODUCTION PLANT</v>
      </c>
      <c r="D114" s="344" t="str">
        <f>'FR-16(7)(v)-1 Functional'!D114</f>
        <v>K205</v>
      </c>
      <c r="E114" s="196"/>
      <c r="F114" s="479">
        <f>'FR-16(7)(v)-1 Functional'!H114</f>
        <v>0</v>
      </c>
      <c r="G114" s="548">
        <f>F114-SUM(H114:I114)</f>
        <v>0</v>
      </c>
      <c r="H114" s="539">
        <f>ROUND(F114*VLOOKUP(D114,AllocTable_Classified_Storage,$H$10,FALSE),0)</f>
        <v>0</v>
      </c>
      <c r="I114" s="540">
        <f>ROUND(F114*VLOOKUP(D114,AllocTable_Classified_Storage,$I$10,FALSE),0)</f>
        <v>0</v>
      </c>
      <c r="J114" s="347">
        <f>SUM(G114:I114)</f>
        <v>0</v>
      </c>
      <c r="K114" s="347">
        <f>F114-J114</f>
        <v>0</v>
      </c>
    </row>
    <row r="115" spans="1:11">
      <c r="A115" s="333">
        <v>3</v>
      </c>
      <c r="C115" s="339" t="str">
        <f>'FR-16(7)(v)-1 Functional'!C115</f>
        <v xml:space="preserve">  TOTAL PROD DEPREC RESERVE</v>
      </c>
      <c r="D115" s="344"/>
      <c r="E115" s="196"/>
      <c r="F115" s="348">
        <f t="shared" ref="F115:K115" si="39">SUM(F114:F114)</f>
        <v>0</v>
      </c>
      <c r="G115" s="549">
        <f t="shared" si="39"/>
        <v>0</v>
      </c>
      <c r="H115" s="541">
        <f t="shared" si="39"/>
        <v>0</v>
      </c>
      <c r="I115" s="542">
        <f t="shared" si="39"/>
        <v>0</v>
      </c>
      <c r="J115" s="348">
        <f t="shared" si="39"/>
        <v>0</v>
      </c>
      <c r="K115" s="348">
        <f t="shared" si="39"/>
        <v>0</v>
      </c>
    </row>
    <row r="116" spans="1:11">
      <c r="A116" s="333">
        <v>4</v>
      </c>
      <c r="D116" s="344"/>
      <c r="E116" s="196"/>
      <c r="G116" s="547"/>
      <c r="H116" s="537"/>
      <c r="I116" s="538"/>
    </row>
    <row r="117" spans="1:11">
      <c r="A117" s="333">
        <v>5</v>
      </c>
      <c r="B117" s="332" t="s">
        <v>15</v>
      </c>
      <c r="D117" s="344"/>
      <c r="E117" s="196"/>
      <c r="G117" s="547"/>
      <c r="H117" s="537"/>
      <c r="I117" s="538"/>
    </row>
    <row r="118" spans="1:11">
      <c r="A118" s="333">
        <v>6</v>
      </c>
      <c r="C118" s="359" t="str">
        <f>'FR-16(7)(v)-1 Functional'!C118</f>
        <v>TRANSMISSION PLANT</v>
      </c>
      <c r="D118" s="344" t="s">
        <v>343</v>
      </c>
      <c r="E118" s="196"/>
      <c r="F118" s="477"/>
      <c r="G118" s="548"/>
      <c r="H118" s="539"/>
      <c r="I118" s="540"/>
      <c r="J118" s="347"/>
      <c r="K118" s="347"/>
    </row>
    <row r="119" spans="1:11">
      <c r="A119" s="333">
        <v>7</v>
      </c>
      <c r="C119" s="332" t="str">
        <f>'FR-16(7)(v)-1 Functional'!C119</f>
        <v>TOTAL TRANS DEPREC RESERVE</v>
      </c>
      <c r="D119" s="344"/>
      <c r="E119" s="196"/>
      <c r="F119" s="348">
        <f t="shared" ref="F119:K119" si="40">SUM(F118:F118)</f>
        <v>0</v>
      </c>
      <c r="G119" s="549">
        <f t="shared" si="40"/>
        <v>0</v>
      </c>
      <c r="H119" s="541">
        <f t="shared" si="40"/>
        <v>0</v>
      </c>
      <c r="I119" s="542">
        <f t="shared" si="40"/>
        <v>0</v>
      </c>
      <c r="J119" s="348">
        <f t="shared" si="40"/>
        <v>0</v>
      </c>
      <c r="K119" s="348">
        <f t="shared" si="40"/>
        <v>0</v>
      </c>
    </row>
    <row r="120" spans="1:11">
      <c r="A120" s="333">
        <v>8</v>
      </c>
      <c r="D120" s="344"/>
      <c r="E120" s="196"/>
      <c r="G120" s="547"/>
      <c r="H120" s="537"/>
      <c r="I120" s="538"/>
    </row>
    <row r="121" spans="1:11">
      <c r="A121" s="333">
        <v>9</v>
      </c>
      <c r="B121" s="332" t="s">
        <v>17</v>
      </c>
      <c r="D121" s="344"/>
      <c r="E121" s="196"/>
      <c r="G121" s="547"/>
      <c r="H121" s="537"/>
      <c r="I121" s="538"/>
    </row>
    <row r="122" spans="1:11">
      <c r="A122" s="333">
        <v>10</v>
      </c>
      <c r="C122" s="332" t="str">
        <f>'FR-16(7)(v)-1 Functional'!C122</f>
        <v>SYSTEM M&amp;R - (2780, 2781)</v>
      </c>
      <c r="D122" s="344" t="str">
        <f>'FR-16(7)(v)-1 Functional'!D122</f>
        <v>K203</v>
      </c>
      <c r="E122" s="196"/>
      <c r="F122" s="479">
        <f>'FR-16(7)(v)-1 Functional'!H122</f>
        <v>0</v>
      </c>
      <c r="G122" s="548">
        <f t="shared" ref="G122:G130" si="41">F122-SUM(H122:I122)</f>
        <v>0</v>
      </c>
      <c r="H122" s="539">
        <f t="shared" ref="H122:H130" si="42">ROUND(F122*VLOOKUP(D122,AllocTable_Classified_Storage,$H$10,FALSE),0)</f>
        <v>0</v>
      </c>
      <c r="I122" s="540">
        <f t="shared" ref="I122:I130" si="43">ROUND(F122*VLOOKUP(D122,AllocTable_Classified_Storage,$I$10,FALSE),0)</f>
        <v>0</v>
      </c>
      <c r="J122" s="347">
        <f t="shared" ref="J122:J130" si="44">SUM(G122:I122)</f>
        <v>0</v>
      </c>
      <c r="K122" s="347">
        <f t="shared" ref="K122:K130" si="45">F122-J122</f>
        <v>0</v>
      </c>
    </row>
    <row r="123" spans="1:11">
      <c r="A123" s="333">
        <v>11</v>
      </c>
      <c r="C123" s="332" t="str">
        <f>'FR-16(7)(v)-1 Functional'!C123</f>
        <v xml:space="preserve">DIST REG EQUIP &amp; CITY GATE M&amp;R- (2782, 2790) </v>
      </c>
      <c r="D123" s="344" t="str">
        <f>'FR-16(7)(v)-1 Functional'!D123</f>
        <v>K203</v>
      </c>
      <c r="E123" s="196"/>
      <c r="F123" s="479">
        <f>'FR-16(7)(v)-1 Functional'!H123</f>
        <v>0</v>
      </c>
      <c r="G123" s="548">
        <f t="shared" si="41"/>
        <v>0</v>
      </c>
      <c r="H123" s="539">
        <f t="shared" si="42"/>
        <v>0</v>
      </c>
      <c r="I123" s="540">
        <f t="shared" si="43"/>
        <v>0</v>
      </c>
      <c r="J123" s="347">
        <f t="shared" si="44"/>
        <v>0</v>
      </c>
      <c r="K123" s="347">
        <f t="shared" si="45"/>
        <v>0</v>
      </c>
    </row>
    <row r="124" spans="1:11">
      <c r="A124" s="333">
        <v>12</v>
      </c>
      <c r="C124" s="332" t="str">
        <f>'FR-16(7)(v)-1 Functional'!C124</f>
        <v>LARGE IND M&amp;R - (2850, 2851)</v>
      </c>
      <c r="D124" s="344" t="str">
        <f>'FR-16(7)(v)-1 Functional'!D124</f>
        <v>K595</v>
      </c>
      <c r="E124" s="196"/>
      <c r="F124" s="479">
        <f>'FR-16(7)(v)-1 Functional'!H124</f>
        <v>0</v>
      </c>
      <c r="G124" s="548">
        <f t="shared" si="41"/>
        <v>0</v>
      </c>
      <c r="H124" s="539">
        <f t="shared" si="42"/>
        <v>0</v>
      </c>
      <c r="I124" s="540">
        <f t="shared" si="43"/>
        <v>0</v>
      </c>
      <c r="J124" s="347">
        <f t="shared" si="44"/>
        <v>0</v>
      </c>
      <c r="K124" s="347">
        <f t="shared" si="45"/>
        <v>0</v>
      </c>
    </row>
    <row r="125" spans="1:11">
      <c r="A125" s="333">
        <v>13</v>
      </c>
      <c r="C125" s="332" t="str">
        <f>'FR-16(7)(v)-1 Functional'!C125</f>
        <v>MAINS - (2761, 2762, 2763, 2765)</v>
      </c>
      <c r="D125" s="344" t="str">
        <f>'FR-16(7)(v)-1 Functional'!D125</f>
        <v>K415</v>
      </c>
      <c r="E125" s="196"/>
      <c r="F125" s="479">
        <f>'FR-16(7)(v)-1 Functional'!H125</f>
        <v>0</v>
      </c>
      <c r="G125" s="548">
        <f t="shared" si="41"/>
        <v>0</v>
      </c>
      <c r="H125" s="539">
        <f t="shared" si="42"/>
        <v>0</v>
      </c>
      <c r="I125" s="540">
        <f t="shared" si="43"/>
        <v>0</v>
      </c>
      <c r="J125" s="347">
        <f t="shared" si="44"/>
        <v>0</v>
      </c>
      <c r="K125" s="347">
        <f t="shared" si="45"/>
        <v>0</v>
      </c>
    </row>
    <row r="126" spans="1:11">
      <c r="A126" s="333">
        <v>14</v>
      </c>
      <c r="C126" s="332" t="str">
        <f>'FR-16(7)(v)-1 Functional'!C126</f>
        <v>SERVICES - (2801, 2802, 2803)</v>
      </c>
      <c r="D126" s="344" t="str">
        <f>'FR-16(7)(v)-1 Functional'!D126</f>
        <v>K403</v>
      </c>
      <c r="E126" s="196"/>
      <c r="F126" s="479">
        <f>'FR-16(7)(v)-1 Functional'!H126</f>
        <v>0</v>
      </c>
      <c r="G126" s="548">
        <f t="shared" si="41"/>
        <v>0</v>
      </c>
      <c r="H126" s="539">
        <f t="shared" si="42"/>
        <v>0</v>
      </c>
      <c r="I126" s="540">
        <f t="shared" si="43"/>
        <v>0</v>
      </c>
      <c r="J126" s="347">
        <f t="shared" si="44"/>
        <v>0</v>
      </c>
      <c r="K126" s="347">
        <f t="shared" si="45"/>
        <v>0</v>
      </c>
    </row>
    <row r="127" spans="1:11">
      <c r="A127" s="333">
        <v>15</v>
      </c>
      <c r="C127" s="332" t="str">
        <f>'FR-16(7)(v)-1 Functional'!C127</f>
        <v>MTRS &amp; MTR INST (2810, 2811, 2820, 2821)</v>
      </c>
      <c r="D127" s="344" t="str">
        <f>'FR-16(7)(v)-1 Functional'!D127</f>
        <v>K413</v>
      </c>
      <c r="E127" s="196"/>
      <c r="F127" s="479">
        <f>'FR-16(7)(v)-1 Functional'!H127</f>
        <v>0</v>
      </c>
      <c r="G127" s="548">
        <f t="shared" si="41"/>
        <v>0</v>
      </c>
      <c r="H127" s="539">
        <f t="shared" si="42"/>
        <v>0</v>
      </c>
      <c r="I127" s="540">
        <f t="shared" si="43"/>
        <v>0</v>
      </c>
      <c r="J127" s="347">
        <f t="shared" si="44"/>
        <v>0</v>
      </c>
      <c r="K127" s="347">
        <f t="shared" si="45"/>
        <v>0</v>
      </c>
    </row>
    <row r="128" spans="1:11">
      <c r="A128" s="333">
        <v>16</v>
      </c>
      <c r="C128" s="332" t="str">
        <f>'FR-16(7)(v)-1 Functional'!C128</f>
        <v>LAND, R OF W, STRUCT &amp; IMPROV &amp; OTH</v>
      </c>
      <c r="D128" s="344" t="str">
        <f>'FR-16(7)(v)-1 Functional'!D128</f>
        <v>K203</v>
      </c>
      <c r="E128" s="196"/>
      <c r="F128" s="479">
        <f>'FR-16(7)(v)-1 Functional'!H128</f>
        <v>0</v>
      </c>
      <c r="G128" s="548">
        <f t="shared" si="41"/>
        <v>0</v>
      </c>
      <c r="H128" s="539">
        <f t="shared" si="42"/>
        <v>0</v>
      </c>
      <c r="I128" s="540">
        <f t="shared" si="43"/>
        <v>0</v>
      </c>
      <c r="J128" s="347">
        <f t="shared" si="44"/>
        <v>0</v>
      </c>
      <c r="K128" s="347">
        <f t="shared" si="45"/>
        <v>0</v>
      </c>
    </row>
    <row r="129" spans="1:11">
      <c r="A129" s="333">
        <v>17</v>
      </c>
      <c r="C129" s="332" t="str">
        <f>'FR-16(7)(v)-1 Functional'!C129</f>
        <v>HOUSE REG &amp; INSTALL (2830, 2840)</v>
      </c>
      <c r="D129" s="344" t="str">
        <f>'FR-16(7)(v)-1 Functional'!D129</f>
        <v>K417</v>
      </c>
      <c r="E129" s="196"/>
      <c r="F129" s="479">
        <f>'FR-16(7)(v)-1 Functional'!H129</f>
        <v>0</v>
      </c>
      <c r="G129" s="548">
        <f t="shared" si="41"/>
        <v>0</v>
      </c>
      <c r="H129" s="539">
        <f t="shared" si="42"/>
        <v>0</v>
      </c>
      <c r="I129" s="540">
        <f t="shared" si="43"/>
        <v>0</v>
      </c>
      <c r="J129" s="347">
        <f t="shared" si="44"/>
        <v>0</v>
      </c>
      <c r="K129" s="347">
        <f t="shared" si="45"/>
        <v>0</v>
      </c>
    </row>
    <row r="130" spans="1:11">
      <c r="A130" s="333">
        <v>18</v>
      </c>
      <c r="C130" s="359" t="str">
        <f>'FR-16(7)(v)-1 Functional'!C130</f>
        <v>STREET LIGHTING EQUIPMENT &amp; OTH</v>
      </c>
      <c r="D130" s="344" t="str">
        <f>'FR-16(7)(v)-1 Functional'!D130</f>
        <v>K597</v>
      </c>
      <c r="E130" s="196"/>
      <c r="F130" s="479">
        <f>'FR-16(7)(v)-1 Functional'!H130</f>
        <v>0</v>
      </c>
      <c r="G130" s="548">
        <f t="shared" si="41"/>
        <v>0</v>
      </c>
      <c r="H130" s="539">
        <f t="shared" si="42"/>
        <v>0</v>
      </c>
      <c r="I130" s="540">
        <f t="shared" si="43"/>
        <v>0</v>
      </c>
      <c r="J130" s="347">
        <f t="shared" si="44"/>
        <v>0</v>
      </c>
      <c r="K130" s="347">
        <f t="shared" si="45"/>
        <v>0</v>
      </c>
    </row>
    <row r="131" spans="1:11">
      <c r="A131" s="333">
        <v>19</v>
      </c>
      <c r="C131" s="332" t="str">
        <f>'FR-16(7)(v)-1 Functional'!C131</f>
        <v xml:space="preserve">  TOTAL DIST DEPREC RESERVE</v>
      </c>
      <c r="D131" s="344"/>
      <c r="E131" s="196"/>
      <c r="F131" s="348">
        <f t="shared" ref="F131:K131" si="46">SUM(F121:F130)</f>
        <v>0</v>
      </c>
      <c r="G131" s="549">
        <f t="shared" si="46"/>
        <v>0</v>
      </c>
      <c r="H131" s="541">
        <f t="shared" si="46"/>
        <v>0</v>
      </c>
      <c r="I131" s="542">
        <f t="shared" si="46"/>
        <v>0</v>
      </c>
      <c r="J131" s="348">
        <f t="shared" si="46"/>
        <v>0</v>
      </c>
      <c r="K131" s="348">
        <f t="shared" si="46"/>
        <v>0</v>
      </c>
    </row>
    <row r="132" spans="1:11">
      <c r="A132" s="333">
        <v>20</v>
      </c>
      <c r="D132" s="344"/>
      <c r="E132" s="196"/>
      <c r="G132" s="547"/>
      <c r="H132" s="537"/>
      <c r="I132" s="538"/>
    </row>
    <row r="133" spans="1:11">
      <c r="A133" s="333">
        <v>21</v>
      </c>
      <c r="B133" s="332" t="s">
        <v>20</v>
      </c>
      <c r="D133" s="344"/>
      <c r="E133" s="196"/>
      <c r="G133" s="547"/>
      <c r="H133" s="537"/>
      <c r="I133" s="538"/>
    </row>
    <row r="134" spans="1:11">
      <c r="A134" s="333">
        <v>22</v>
      </c>
      <c r="C134" s="332" t="str">
        <f>'FR-16(7)(v)-1 Functional'!C134</f>
        <v>PRODUCTION PLANT</v>
      </c>
      <c r="D134" s="344" t="str">
        <f>'FR-16(7)(v)-1 Functional'!D134</f>
        <v>K201</v>
      </c>
      <c r="E134" s="196"/>
      <c r="F134" s="479">
        <f>'FR-16(7)(v)-1 Functional'!H134</f>
        <v>0</v>
      </c>
      <c r="G134" s="548">
        <f t="shared" ref="G134:G139" si="47">F134-SUM(H134:I134)</f>
        <v>0</v>
      </c>
      <c r="H134" s="539">
        <f t="shared" ref="H134:H139" si="48">ROUND(F134*VLOOKUP(D134,AllocTable_Classified_Storage,$H$10,FALSE),0)</f>
        <v>0</v>
      </c>
      <c r="I134" s="540">
        <f t="shared" ref="I134:I139" si="49">ROUND(F134*VLOOKUP(D134,AllocTable_Classified_Storage,$I$10,FALSE),0)</f>
        <v>0</v>
      </c>
      <c r="J134" s="347">
        <f t="shared" ref="J134:J139" si="50">SUM(G134:I134)</f>
        <v>0</v>
      </c>
      <c r="K134" s="347">
        <f t="shared" ref="K134:K139" si="51">F134-J134</f>
        <v>0</v>
      </c>
    </row>
    <row r="135" spans="1:11">
      <c r="A135" s="333">
        <v>23</v>
      </c>
      <c r="C135" s="332" t="str">
        <f>'FR-16(7)(v)-1 Functional'!C135</f>
        <v>PRODUCTION PLANT COMMODITY</v>
      </c>
      <c r="D135" s="344" t="str">
        <f>'FR-16(7)(v)-1 Functional'!D135</f>
        <v>P349</v>
      </c>
      <c r="E135" s="196"/>
      <c r="F135" s="479">
        <f>'FR-16(7)(v)-1 Functional'!H135</f>
        <v>0</v>
      </c>
      <c r="G135" s="548">
        <f t="shared" si="47"/>
        <v>0</v>
      </c>
      <c r="H135" s="539">
        <f t="shared" si="48"/>
        <v>0</v>
      </c>
      <c r="I135" s="540">
        <f t="shared" si="49"/>
        <v>0</v>
      </c>
      <c r="J135" s="347">
        <f t="shared" si="50"/>
        <v>0</v>
      </c>
      <c r="K135" s="347">
        <f t="shared" si="51"/>
        <v>0</v>
      </c>
    </row>
    <row r="136" spans="1:11">
      <c r="A136" s="333">
        <v>24</v>
      </c>
      <c r="C136" s="332" t="str">
        <f>'FR-16(7)(v)-1 Functional'!C136</f>
        <v>DISTRIBUTION PLANT</v>
      </c>
      <c r="D136" s="344" t="str">
        <f>'FR-16(7)(v)-1 Functional'!D136</f>
        <v>D349</v>
      </c>
      <c r="E136" s="196"/>
      <c r="F136" s="479">
        <f>'FR-16(7)(v)-1 Functional'!H136</f>
        <v>0</v>
      </c>
      <c r="G136" s="548">
        <f t="shared" si="47"/>
        <v>0</v>
      </c>
      <c r="H136" s="539">
        <f t="shared" si="48"/>
        <v>0</v>
      </c>
      <c r="I136" s="540">
        <f t="shared" si="49"/>
        <v>0</v>
      </c>
      <c r="J136" s="347">
        <f t="shared" si="50"/>
        <v>0</v>
      </c>
      <c r="K136" s="347">
        <f t="shared" si="51"/>
        <v>0</v>
      </c>
    </row>
    <row r="137" spans="1:11">
      <c r="A137" s="333">
        <v>25</v>
      </c>
      <c r="C137" s="332" t="str">
        <f>'FR-16(7)(v)-1 Functional'!C137</f>
        <v>CUSTOMER ACCOUNTING</v>
      </c>
      <c r="D137" s="344" t="str">
        <f>'FR-16(7)(v)-1 Functional'!D137</f>
        <v>CA19</v>
      </c>
      <c r="E137" s="196"/>
      <c r="F137" s="479">
        <f>'FR-16(7)(v)-1 Functional'!H137</f>
        <v>0</v>
      </c>
      <c r="G137" s="548">
        <f t="shared" si="47"/>
        <v>0</v>
      </c>
      <c r="H137" s="539">
        <f t="shared" si="48"/>
        <v>0</v>
      </c>
      <c r="I137" s="540">
        <f t="shared" si="49"/>
        <v>0</v>
      </c>
      <c r="J137" s="347">
        <f t="shared" si="50"/>
        <v>0</v>
      </c>
      <c r="K137" s="347">
        <f t="shared" si="51"/>
        <v>0</v>
      </c>
    </row>
    <row r="138" spans="1:11">
      <c r="A138" s="333">
        <v>26</v>
      </c>
      <c r="C138" s="332" t="str">
        <f>'FR-16(7)(v)-1 Functional'!C138</f>
        <v>CUSTOMER SERVICE &amp; INFORMATION</v>
      </c>
      <c r="D138" s="344" t="str">
        <f>'FR-16(7)(v)-1 Functional'!D138</f>
        <v>CS19</v>
      </c>
      <c r="E138" s="196"/>
      <c r="F138" s="479">
        <f>'FR-16(7)(v)-1 Functional'!H138</f>
        <v>0</v>
      </c>
      <c r="G138" s="548">
        <f t="shared" si="47"/>
        <v>0</v>
      </c>
      <c r="H138" s="539">
        <f t="shared" si="48"/>
        <v>0</v>
      </c>
      <c r="I138" s="540">
        <f t="shared" si="49"/>
        <v>0</v>
      </c>
      <c r="J138" s="347">
        <f t="shared" si="50"/>
        <v>0</v>
      </c>
      <c r="K138" s="347">
        <f t="shared" si="51"/>
        <v>0</v>
      </c>
    </row>
    <row r="139" spans="1:11">
      <c r="A139" s="333">
        <v>27</v>
      </c>
      <c r="C139" s="365" t="str">
        <f>'FR-16(7)(v)-1 Functional'!C139</f>
        <v>SALES</v>
      </c>
      <c r="D139" s="344" t="str">
        <f>'FR-16(7)(v)-1 Functional'!D139</f>
        <v>SE19</v>
      </c>
      <c r="E139" s="196"/>
      <c r="F139" s="479">
        <f>'FR-16(7)(v)-1 Functional'!H139</f>
        <v>0</v>
      </c>
      <c r="G139" s="548">
        <f t="shared" si="47"/>
        <v>0</v>
      </c>
      <c r="H139" s="539">
        <f t="shared" si="48"/>
        <v>0</v>
      </c>
      <c r="I139" s="540">
        <f t="shared" si="49"/>
        <v>0</v>
      </c>
      <c r="J139" s="347">
        <f t="shared" si="50"/>
        <v>0</v>
      </c>
      <c r="K139" s="347">
        <f t="shared" si="51"/>
        <v>0</v>
      </c>
    </row>
    <row r="140" spans="1:11">
      <c r="A140" s="333">
        <v>28</v>
      </c>
      <c r="C140" s="339" t="str">
        <f>'FR-16(7)(v)-1 Functional'!C140</f>
        <v xml:space="preserve">  TOTAL GEN DEPREC RESERVE</v>
      </c>
      <c r="D140" s="344"/>
      <c r="E140" s="196"/>
      <c r="F140" s="348">
        <f t="shared" ref="F140:K140" si="52">SUM(F133:F139)</f>
        <v>0</v>
      </c>
      <c r="G140" s="549">
        <f t="shared" si="52"/>
        <v>0</v>
      </c>
      <c r="H140" s="541">
        <f t="shared" si="52"/>
        <v>0</v>
      </c>
      <c r="I140" s="542">
        <f t="shared" si="52"/>
        <v>0</v>
      </c>
      <c r="J140" s="348">
        <f t="shared" si="52"/>
        <v>0</v>
      </c>
      <c r="K140" s="348">
        <f t="shared" si="52"/>
        <v>0</v>
      </c>
    </row>
    <row r="141" spans="1:11">
      <c r="A141" s="333">
        <v>29</v>
      </c>
      <c r="C141" s="365"/>
      <c r="D141" s="344"/>
      <c r="E141" s="196"/>
      <c r="G141" s="547"/>
      <c r="H141" s="537"/>
      <c r="I141" s="538"/>
    </row>
    <row r="142" spans="1:11">
      <c r="A142" s="333">
        <v>30</v>
      </c>
      <c r="B142" s="332" t="s">
        <v>21</v>
      </c>
      <c r="C142" s="365"/>
      <c r="D142" s="344"/>
      <c r="E142" s="196"/>
      <c r="G142" s="547"/>
      <c r="H142" s="537"/>
      <c r="I142" s="538"/>
    </row>
    <row r="143" spans="1:11">
      <c r="A143" s="333">
        <v>31</v>
      </c>
      <c r="C143" s="365" t="str">
        <f>'FR-16(7)(v)-1 Functional'!C143</f>
        <v>PRODUCTION PLANT</v>
      </c>
      <c r="D143" s="344" t="str">
        <f>'FR-16(7)(v)-1 Functional'!D143</f>
        <v>K201</v>
      </c>
      <c r="E143" s="196"/>
      <c r="F143" s="479">
        <f>'FR-16(7)(v)-1 Functional'!H143</f>
        <v>0</v>
      </c>
      <c r="G143" s="548">
        <f t="shared" ref="G143:G148" si="53">F143-SUM(H143:I143)</f>
        <v>0</v>
      </c>
      <c r="H143" s="539">
        <f t="shared" ref="H143:H148" si="54">ROUND(F143*VLOOKUP(D143,AllocTable_Classified_Storage,$H$10,FALSE),0)</f>
        <v>0</v>
      </c>
      <c r="I143" s="540">
        <f t="shared" ref="I143:I148" si="55">ROUND(F143*VLOOKUP(D143,AllocTable_Classified_Storage,$I$10,FALSE),0)</f>
        <v>0</v>
      </c>
      <c r="J143" s="347">
        <f t="shared" ref="J143:J148" si="56">SUM(G143:I143)</f>
        <v>0</v>
      </c>
      <c r="K143" s="347">
        <f t="shared" ref="K143:K148" si="57">F143-J143</f>
        <v>0</v>
      </c>
    </row>
    <row r="144" spans="1:11">
      <c r="A144" s="333">
        <v>32</v>
      </c>
      <c r="C144" s="365" t="str">
        <f>'FR-16(7)(v)-1 Functional'!C144</f>
        <v>PRODUCTION PLANT COMMODITY</v>
      </c>
      <c r="D144" s="344" t="str">
        <f>'FR-16(7)(v)-1 Functional'!D144</f>
        <v>P349</v>
      </c>
      <c r="E144" s="196"/>
      <c r="F144" s="479">
        <f>'FR-16(7)(v)-1 Functional'!H144</f>
        <v>0</v>
      </c>
      <c r="G144" s="548">
        <f t="shared" si="53"/>
        <v>0</v>
      </c>
      <c r="H144" s="539">
        <f t="shared" si="54"/>
        <v>0</v>
      </c>
      <c r="I144" s="540">
        <f t="shared" si="55"/>
        <v>0</v>
      </c>
      <c r="J144" s="347">
        <f t="shared" si="56"/>
        <v>0</v>
      </c>
      <c r="K144" s="347">
        <f t="shared" si="57"/>
        <v>0</v>
      </c>
    </row>
    <row r="145" spans="1:11">
      <c r="A145" s="333">
        <v>33</v>
      </c>
      <c r="C145" s="365" t="str">
        <f>'FR-16(7)(v)-1 Functional'!C145</f>
        <v>DISTRIBUTION PLANT</v>
      </c>
      <c r="D145" s="344" t="str">
        <f>'FR-16(7)(v)-1 Functional'!D145</f>
        <v>D349</v>
      </c>
      <c r="E145" s="196"/>
      <c r="F145" s="479">
        <f>'FR-16(7)(v)-1 Functional'!H145</f>
        <v>0</v>
      </c>
      <c r="G145" s="548">
        <f t="shared" si="53"/>
        <v>0</v>
      </c>
      <c r="H145" s="539">
        <f t="shared" si="54"/>
        <v>0</v>
      </c>
      <c r="I145" s="540">
        <f t="shared" si="55"/>
        <v>0</v>
      </c>
      <c r="J145" s="347">
        <f t="shared" si="56"/>
        <v>0</v>
      </c>
      <c r="K145" s="347">
        <f t="shared" si="57"/>
        <v>0</v>
      </c>
    </row>
    <row r="146" spans="1:11">
      <c r="A146" s="333">
        <v>34</v>
      </c>
      <c r="C146" s="365" t="str">
        <f>'FR-16(7)(v)-1 Functional'!C146</f>
        <v>CUSTOMER ACCOUNTING</v>
      </c>
      <c r="D146" s="344" t="str">
        <f>'FR-16(7)(v)-1 Functional'!D146</f>
        <v>CA19</v>
      </c>
      <c r="E146" s="196"/>
      <c r="F146" s="479">
        <f>'FR-16(7)(v)-1 Functional'!H146</f>
        <v>0</v>
      </c>
      <c r="G146" s="548">
        <f t="shared" si="53"/>
        <v>0</v>
      </c>
      <c r="H146" s="539">
        <f t="shared" si="54"/>
        <v>0</v>
      </c>
      <c r="I146" s="540">
        <f t="shared" si="55"/>
        <v>0</v>
      </c>
      <c r="J146" s="347">
        <f t="shared" si="56"/>
        <v>0</v>
      </c>
      <c r="K146" s="347">
        <f t="shared" si="57"/>
        <v>0</v>
      </c>
    </row>
    <row r="147" spans="1:11">
      <c r="A147" s="333">
        <v>35</v>
      </c>
      <c r="C147" s="365" t="str">
        <f>'FR-16(7)(v)-1 Functional'!C147</f>
        <v>CUSTOMER SERVICE &amp; INFORMATION</v>
      </c>
      <c r="D147" s="344" t="str">
        <f>'FR-16(7)(v)-1 Functional'!D147</f>
        <v>CS19</v>
      </c>
      <c r="E147" s="196"/>
      <c r="F147" s="479">
        <f>'FR-16(7)(v)-1 Functional'!H147</f>
        <v>0</v>
      </c>
      <c r="G147" s="548">
        <f t="shared" si="53"/>
        <v>0</v>
      </c>
      <c r="H147" s="539">
        <f t="shared" si="54"/>
        <v>0</v>
      </c>
      <c r="I147" s="540">
        <f t="shared" si="55"/>
        <v>0</v>
      </c>
      <c r="J147" s="347">
        <f t="shared" si="56"/>
        <v>0</v>
      </c>
      <c r="K147" s="347">
        <f t="shared" si="57"/>
        <v>0</v>
      </c>
    </row>
    <row r="148" spans="1:11">
      <c r="A148" s="333">
        <v>36</v>
      </c>
      <c r="C148" s="365" t="str">
        <f>'FR-16(7)(v)-1 Functional'!C148</f>
        <v>SALES</v>
      </c>
      <c r="D148" s="344" t="str">
        <f>'FR-16(7)(v)-1 Functional'!D148</f>
        <v>SE19</v>
      </c>
      <c r="E148" s="196"/>
      <c r="F148" s="479">
        <f>'FR-16(7)(v)-1 Functional'!H148</f>
        <v>0</v>
      </c>
      <c r="G148" s="548">
        <f t="shared" si="53"/>
        <v>0</v>
      </c>
      <c r="H148" s="539">
        <f t="shared" si="54"/>
        <v>0</v>
      </c>
      <c r="I148" s="540">
        <f t="shared" si="55"/>
        <v>0</v>
      </c>
      <c r="J148" s="347">
        <f t="shared" si="56"/>
        <v>0</v>
      </c>
      <c r="K148" s="347">
        <f t="shared" si="57"/>
        <v>0</v>
      </c>
    </row>
    <row r="149" spans="1:11">
      <c r="A149" s="333">
        <v>37</v>
      </c>
      <c r="C149" s="339" t="str">
        <f>'FR-16(7)(v)-1 Functional'!C149</f>
        <v xml:space="preserve">  TOTAL COM &amp; OTHER PLT RESERVE</v>
      </c>
      <c r="D149" s="344"/>
      <c r="E149" s="196"/>
      <c r="F149" s="348">
        <f>SUM(F143:F148)</f>
        <v>0</v>
      </c>
      <c r="G149" s="549">
        <f>SUM(G142:G148)</f>
        <v>0</v>
      </c>
      <c r="H149" s="541">
        <f>SUM(H142:H148)</f>
        <v>0</v>
      </c>
      <c r="I149" s="542">
        <f>SUM(I142:I148)</f>
        <v>0</v>
      </c>
      <c r="J149" s="348">
        <f>SUM(J142:J148)</f>
        <v>0</v>
      </c>
      <c r="K149" s="348">
        <f>SUM(K142:K148)</f>
        <v>0</v>
      </c>
    </row>
    <row r="150" spans="1:11">
      <c r="A150" s="333">
        <v>38</v>
      </c>
      <c r="D150" s="344"/>
      <c r="E150" s="196"/>
      <c r="G150" s="547"/>
      <c r="H150" s="537"/>
      <c r="I150" s="538"/>
    </row>
    <row r="151" spans="1:11">
      <c r="A151" s="333">
        <v>39</v>
      </c>
      <c r="B151" s="332" t="s">
        <v>23</v>
      </c>
      <c r="D151" s="344"/>
      <c r="E151" s="196"/>
      <c r="F151" s="347">
        <f t="shared" ref="F151:K151" si="58">F149+F140+F131+F119+F115</f>
        <v>0</v>
      </c>
      <c r="G151" s="550">
        <f t="shared" si="58"/>
        <v>0</v>
      </c>
      <c r="H151" s="543">
        <f t="shared" si="58"/>
        <v>0</v>
      </c>
      <c r="I151" s="544">
        <f t="shared" si="58"/>
        <v>0</v>
      </c>
      <c r="J151" s="347">
        <f t="shared" si="58"/>
        <v>0</v>
      </c>
      <c r="K151" s="347">
        <f t="shared" si="58"/>
        <v>0</v>
      </c>
    </row>
    <row r="152" spans="1:11">
      <c r="B152" s="343"/>
      <c r="C152" s="196"/>
      <c r="D152" s="344"/>
      <c r="E152" s="196"/>
      <c r="F152" s="196"/>
      <c r="G152" s="196"/>
      <c r="H152" s="196"/>
      <c r="I152" s="196"/>
      <c r="J152" s="196"/>
    </row>
    <row r="153" spans="1:11">
      <c r="A153" s="343" t="str">
        <f>co_name</f>
        <v>DUKE ENERGY KENTUCKY, INC.</v>
      </c>
      <c r="C153" s="196"/>
      <c r="D153" s="344"/>
      <c r="E153" s="196"/>
      <c r="F153" s="196"/>
      <c r="G153" s="196"/>
      <c r="H153" s="196"/>
      <c r="I153" s="196"/>
      <c r="J153" s="196" t="str">
        <f>$J$1</f>
        <v>FR-16(7)(v)-7</v>
      </c>
      <c r="K153" s="196"/>
    </row>
    <row r="154" spans="1:11">
      <c r="A154" s="343" t="str">
        <f>$A$2</f>
        <v>STORAGE CLASSIFIED -  GAS COST OF SERVICE</v>
      </c>
      <c r="C154" s="196"/>
      <c r="D154" s="344"/>
      <c r="E154" s="196"/>
      <c r="F154" s="196"/>
      <c r="G154" s="196"/>
      <c r="H154" s="196"/>
      <c r="I154" s="196"/>
      <c r="J154" s="196" t="str">
        <f>$J$2</f>
        <v>WITNESS RESPONSIBLE:</v>
      </c>
      <c r="K154" s="196"/>
    </row>
    <row r="155" spans="1:11">
      <c r="A155" s="343" t="str">
        <f>case_name</f>
        <v>CASE NO: 2018-00261</v>
      </c>
      <c r="C155" s="196"/>
      <c r="D155" s="344"/>
      <c r="E155" s="196"/>
      <c r="F155" s="196"/>
      <c r="G155" s="196"/>
      <c r="H155" s="196"/>
      <c r="I155" s="196"/>
      <c r="J155" s="196" t="str">
        <f>Witness</f>
        <v>JAMES E. ZIOLKOWSKI</v>
      </c>
      <c r="K155" s="196"/>
    </row>
    <row r="156" spans="1:11">
      <c r="A156" s="343" t="str">
        <f>data_filing</f>
        <v>DATA: 12 MONTH FORECASTED PERIOD</v>
      </c>
      <c r="C156" s="196"/>
      <c r="D156" s="344"/>
      <c r="E156" s="196"/>
      <c r="F156" s="196"/>
      <c r="G156" s="196"/>
      <c r="H156" s="196"/>
      <c r="I156" s="196"/>
      <c r="J156" s="196" t="str">
        <f>"PAGE "&amp;Pages2-11&amp;" OF "&amp;Pages2</f>
        <v>PAGE 4 OF 15</v>
      </c>
      <c r="K156" s="196"/>
    </row>
    <row r="157" spans="1:11">
      <c r="A157" s="343" t="str">
        <f>type</f>
        <v xml:space="preserve">TYPE OF FILING: "X" ORIGINAL   UPDATED    REVISED  </v>
      </c>
      <c r="C157" s="196"/>
      <c r="D157" s="344"/>
      <c r="E157" s="196"/>
      <c r="F157" s="196"/>
      <c r="G157" s="196"/>
      <c r="H157" s="196"/>
      <c r="I157" s="196"/>
      <c r="J157" s="196"/>
      <c r="K157" s="196"/>
    </row>
    <row r="158" spans="1:11">
      <c r="A158" s="343"/>
      <c r="C158" s="196"/>
      <c r="D158" s="344"/>
      <c r="E158" s="196"/>
      <c r="F158" s="196"/>
      <c r="G158" s="196"/>
      <c r="H158" s="196"/>
      <c r="I158" s="196"/>
      <c r="J158" s="196"/>
      <c r="K158" s="196"/>
    </row>
    <row r="159" spans="1:11">
      <c r="B159" s="343"/>
      <c r="C159" s="196"/>
      <c r="D159" s="344"/>
      <c r="E159" s="196"/>
      <c r="F159" s="196"/>
      <c r="G159" s="196"/>
      <c r="H159" s="196"/>
      <c r="I159" s="196"/>
      <c r="J159" s="196"/>
    </row>
    <row r="160" spans="1:11">
      <c r="A160" s="344" t="s">
        <v>914</v>
      </c>
      <c r="B160" s="196"/>
      <c r="C160" s="196"/>
      <c r="D160" s="344"/>
      <c r="E160" s="196"/>
      <c r="F160" s="344" t="str">
        <f>$F$8</f>
        <v>TOTAL</v>
      </c>
      <c r="G160" s="545" t="s">
        <v>1005</v>
      </c>
      <c r="H160" s="533"/>
      <c r="I160" s="534"/>
      <c r="J160" s="344" t="s">
        <v>229</v>
      </c>
      <c r="K160" s="344" t="s">
        <v>342</v>
      </c>
    </row>
    <row r="161" spans="1:11">
      <c r="A161" s="346" t="s">
        <v>915</v>
      </c>
      <c r="B161" s="345" t="str">
        <f>"NET GAS PLANT"</f>
        <v>NET GAS PLANT</v>
      </c>
      <c r="C161" s="345"/>
      <c r="D161" s="346" t="s">
        <v>337</v>
      </c>
      <c r="E161" s="345"/>
      <c r="F161" s="346" t="str">
        <f>$F$9</f>
        <v>STORAGE</v>
      </c>
      <c r="G161" s="546" t="s">
        <v>847</v>
      </c>
      <c r="H161" s="535" t="s">
        <v>848</v>
      </c>
      <c r="I161" s="536" t="s">
        <v>849</v>
      </c>
      <c r="J161" s="346" t="s">
        <v>341</v>
      </c>
      <c r="K161" s="346" t="s">
        <v>340</v>
      </c>
    </row>
    <row r="162" spans="1:11">
      <c r="C162" s="578" t="s">
        <v>346</v>
      </c>
      <c r="D162" s="344"/>
      <c r="E162" s="196"/>
      <c r="G162" s="800">
        <f>$G$10</f>
        <v>3</v>
      </c>
      <c r="H162" s="801">
        <f>$H$10</f>
        <v>4</v>
      </c>
      <c r="I162" s="802">
        <f>$I$10</f>
        <v>5</v>
      </c>
    </row>
    <row r="163" spans="1:11">
      <c r="A163" s="333">
        <v>1</v>
      </c>
      <c r="B163" s="332" t="s">
        <v>14</v>
      </c>
      <c r="D163" s="344"/>
      <c r="E163" s="196"/>
      <c r="G163" s="547"/>
      <c r="H163" s="537"/>
      <c r="I163" s="538"/>
    </row>
    <row r="164" spans="1:11">
      <c r="A164" s="333">
        <v>2</v>
      </c>
      <c r="C164" s="332" t="str">
        <f>'FR-16(7)(v)-1 Functional'!C164</f>
        <v>PRODUCTION PLANT IN SERVICE</v>
      </c>
      <c r="D164" s="344"/>
      <c r="E164" s="196"/>
      <c r="F164" s="347">
        <f>F59</f>
        <v>0</v>
      </c>
      <c r="G164" s="548">
        <f>$G$59</f>
        <v>0</v>
      </c>
      <c r="H164" s="539">
        <f>$H$59</f>
        <v>0</v>
      </c>
      <c r="I164" s="540">
        <f>$I$59</f>
        <v>0</v>
      </c>
      <c r="J164" s="347">
        <f>$J$59</f>
        <v>0</v>
      </c>
      <c r="K164" s="347">
        <f>F164-J164</f>
        <v>0</v>
      </c>
    </row>
    <row r="165" spans="1:11">
      <c r="A165" s="333">
        <v>3</v>
      </c>
      <c r="C165" s="359" t="str">
        <f>'FR-16(7)(v)-1 Functional'!C165</f>
        <v>TOTAL PROD DEPRC RESERVE</v>
      </c>
      <c r="D165" s="344"/>
      <c r="E165" s="196"/>
      <c r="F165" s="347">
        <f>-F115</f>
        <v>0</v>
      </c>
      <c r="G165" s="548">
        <f>-G115</f>
        <v>0</v>
      </c>
      <c r="H165" s="539">
        <f>-H115</f>
        <v>0</v>
      </c>
      <c r="I165" s="540">
        <f>-I115</f>
        <v>0</v>
      </c>
      <c r="J165" s="347">
        <f>-J115</f>
        <v>0</v>
      </c>
      <c r="K165" s="347">
        <f>F165-J165</f>
        <v>0</v>
      </c>
    </row>
    <row r="166" spans="1:11">
      <c r="A166" s="333">
        <v>4</v>
      </c>
      <c r="C166" s="332" t="str">
        <f>'FR-16(7)(v)-1 Functional'!C166</f>
        <v xml:space="preserve">  NET PRODUCTION PLANT</v>
      </c>
      <c r="D166" s="344"/>
      <c r="E166" s="196"/>
      <c r="F166" s="348">
        <f t="shared" ref="F166:K166" si="59">SUM(F164:F165)</f>
        <v>0</v>
      </c>
      <c r="G166" s="549">
        <f t="shared" si="59"/>
        <v>0</v>
      </c>
      <c r="H166" s="541">
        <f t="shared" si="59"/>
        <v>0</v>
      </c>
      <c r="I166" s="542">
        <f t="shared" si="59"/>
        <v>0</v>
      </c>
      <c r="J166" s="348">
        <f t="shared" si="59"/>
        <v>0</v>
      </c>
      <c r="K166" s="348">
        <f t="shared" si="59"/>
        <v>0</v>
      </c>
    </row>
    <row r="167" spans="1:11">
      <c r="A167" s="333">
        <v>5</v>
      </c>
      <c r="D167" s="344"/>
      <c r="E167" s="196"/>
      <c r="G167" s="547"/>
      <c r="H167" s="537"/>
      <c r="I167" s="538"/>
    </row>
    <row r="168" spans="1:11">
      <c r="A168" s="333">
        <v>6</v>
      </c>
      <c r="B168" s="359" t="s">
        <v>15</v>
      </c>
      <c r="C168" s="359"/>
      <c r="D168" s="344"/>
      <c r="E168" s="196"/>
      <c r="F168" s="347"/>
      <c r="G168" s="548"/>
      <c r="H168" s="539"/>
      <c r="I168" s="540"/>
      <c r="J168" s="347"/>
    </row>
    <row r="169" spans="1:11">
      <c r="A169" s="333">
        <v>7</v>
      </c>
      <c r="C169" s="332" t="str">
        <f>'FR-16(7)(v)-1 Functional'!C169</f>
        <v>TRANSMISSION PLANT IN SERVICE</v>
      </c>
      <c r="D169" s="344"/>
      <c r="E169" s="196"/>
      <c r="F169" s="347">
        <f>F63</f>
        <v>0</v>
      </c>
      <c r="G169" s="548">
        <f>$G$63</f>
        <v>0</v>
      </c>
      <c r="H169" s="539">
        <f>$H$63</f>
        <v>0</v>
      </c>
      <c r="I169" s="540">
        <f>$I$63</f>
        <v>0</v>
      </c>
      <c r="J169" s="347">
        <f>$J$63</f>
        <v>0</v>
      </c>
      <c r="K169" s="347">
        <f>F169-J169</f>
        <v>0</v>
      </c>
    </row>
    <row r="170" spans="1:11">
      <c r="A170" s="333">
        <v>8</v>
      </c>
      <c r="C170" s="332" t="str">
        <f>'FR-16(7)(v)-1 Functional'!C170</f>
        <v>TOTAL TRANS DEPREC RESERVE</v>
      </c>
      <c r="D170" s="344"/>
      <c r="E170" s="196"/>
      <c r="F170" s="347">
        <f>-F119</f>
        <v>0</v>
      </c>
      <c r="G170" s="548">
        <f>-G119</f>
        <v>0</v>
      </c>
      <c r="H170" s="539">
        <f>-H119</f>
        <v>0</v>
      </c>
      <c r="I170" s="540">
        <f>-I119</f>
        <v>0</v>
      </c>
      <c r="J170" s="347">
        <f>-J119</f>
        <v>0</v>
      </c>
      <c r="K170" s="347">
        <f>F170-J170</f>
        <v>0</v>
      </c>
    </row>
    <row r="171" spans="1:11">
      <c r="A171" s="333">
        <v>9</v>
      </c>
      <c r="C171" s="332" t="str">
        <f>'FR-16(7)(v)-1 Functional'!C171</f>
        <v xml:space="preserve">    NET TRANSMISSION PLANT</v>
      </c>
      <c r="D171" s="344"/>
      <c r="E171" s="196"/>
      <c r="F171" s="348">
        <f t="shared" ref="F171:K171" si="60">SUM(F168:F170)</f>
        <v>0</v>
      </c>
      <c r="G171" s="549">
        <f t="shared" si="60"/>
        <v>0</v>
      </c>
      <c r="H171" s="541">
        <f t="shared" si="60"/>
        <v>0</v>
      </c>
      <c r="I171" s="542">
        <f t="shared" si="60"/>
        <v>0</v>
      </c>
      <c r="J171" s="348">
        <f t="shared" si="60"/>
        <v>0</v>
      </c>
      <c r="K171" s="348">
        <f t="shared" si="60"/>
        <v>0</v>
      </c>
    </row>
    <row r="172" spans="1:11">
      <c r="A172" s="333">
        <v>10</v>
      </c>
      <c r="D172" s="344"/>
      <c r="E172" s="196"/>
      <c r="G172" s="547"/>
      <c r="H172" s="537"/>
      <c r="I172" s="538"/>
    </row>
    <row r="173" spans="1:11">
      <c r="A173" s="333">
        <v>11</v>
      </c>
      <c r="B173" s="332" t="s">
        <v>17</v>
      </c>
      <c r="D173" s="344"/>
      <c r="E173" s="196"/>
      <c r="G173" s="547"/>
      <c r="H173" s="537"/>
      <c r="I173" s="538"/>
    </row>
    <row r="174" spans="1:11">
      <c r="A174" s="333">
        <v>12</v>
      </c>
      <c r="C174" s="332" t="str">
        <f>'FR-16(7)(v)-1 Functional'!C174</f>
        <v>DISTRIBUTION PLANT IN SERVICE</v>
      </c>
      <c r="D174" s="344"/>
      <c r="E174" s="196"/>
      <c r="F174" s="347">
        <f>F78</f>
        <v>0</v>
      </c>
      <c r="G174" s="548">
        <f>G78</f>
        <v>0</v>
      </c>
      <c r="H174" s="539">
        <f>H78</f>
        <v>0</v>
      </c>
      <c r="I174" s="540">
        <f>I78</f>
        <v>0</v>
      </c>
      <c r="J174" s="347">
        <f>J78</f>
        <v>0</v>
      </c>
      <c r="K174" s="347">
        <f>F174-J174</f>
        <v>0</v>
      </c>
    </row>
    <row r="175" spans="1:11">
      <c r="A175" s="333">
        <v>13</v>
      </c>
      <c r="C175" s="359" t="str">
        <f>'FR-16(7)(v)-1 Functional'!C175</f>
        <v>TOTAL DIST DEPREC RESERVE</v>
      </c>
      <c r="D175" s="344"/>
      <c r="E175" s="196"/>
      <c r="F175" s="347">
        <f>-F131</f>
        <v>0</v>
      </c>
      <c r="G175" s="548">
        <f>-G131</f>
        <v>0</v>
      </c>
      <c r="H175" s="539">
        <f>-H131</f>
        <v>0</v>
      </c>
      <c r="I175" s="540">
        <f>-I131</f>
        <v>0</v>
      </c>
      <c r="J175" s="347">
        <f>-J131</f>
        <v>0</v>
      </c>
      <c r="K175" s="347">
        <f>F175-J175</f>
        <v>0</v>
      </c>
    </row>
    <row r="176" spans="1:11">
      <c r="A176" s="333">
        <v>14</v>
      </c>
      <c r="C176" s="332" t="str">
        <f>'FR-16(7)(v)-1 Functional'!C176</f>
        <v xml:space="preserve">  NET DISTRIBUTION PLANT</v>
      </c>
      <c r="D176" s="344"/>
      <c r="E176" s="196"/>
      <c r="F176" s="348">
        <f t="shared" ref="F176:K176" si="61">SUM(F173:F175)</f>
        <v>0</v>
      </c>
      <c r="G176" s="549">
        <f t="shared" si="61"/>
        <v>0</v>
      </c>
      <c r="H176" s="541">
        <f t="shared" si="61"/>
        <v>0</v>
      </c>
      <c r="I176" s="542">
        <f t="shared" si="61"/>
        <v>0</v>
      </c>
      <c r="J176" s="348">
        <f t="shared" si="61"/>
        <v>0</v>
      </c>
      <c r="K176" s="348">
        <f t="shared" si="61"/>
        <v>0</v>
      </c>
    </row>
    <row r="177" spans="1:11">
      <c r="A177" s="333">
        <v>15</v>
      </c>
      <c r="D177" s="344"/>
      <c r="E177" s="196"/>
      <c r="G177" s="547"/>
      <c r="H177" s="537"/>
      <c r="I177" s="538"/>
    </row>
    <row r="178" spans="1:11">
      <c r="A178" s="333">
        <v>16</v>
      </c>
      <c r="B178" s="332" t="s">
        <v>430</v>
      </c>
      <c r="D178" s="344"/>
      <c r="E178" s="196"/>
      <c r="F178" s="347">
        <f t="shared" ref="F178:K178" si="62">F176+F171+F166</f>
        <v>0</v>
      </c>
      <c r="G178" s="548">
        <f t="shared" si="62"/>
        <v>0</v>
      </c>
      <c r="H178" s="539">
        <f t="shared" si="62"/>
        <v>0</v>
      </c>
      <c r="I178" s="540">
        <f t="shared" si="62"/>
        <v>0</v>
      </c>
      <c r="J178" s="347">
        <f t="shared" si="62"/>
        <v>0</v>
      </c>
      <c r="K178" s="347">
        <f t="shared" si="62"/>
        <v>0</v>
      </c>
    </row>
    <row r="179" spans="1:11">
      <c r="A179" s="333">
        <v>17</v>
      </c>
      <c r="B179" s="332" t="s">
        <v>24</v>
      </c>
      <c r="D179" s="344"/>
      <c r="E179" s="196"/>
      <c r="F179" s="347">
        <f t="shared" ref="F179:K179" si="63">F176+F171</f>
        <v>0</v>
      </c>
      <c r="G179" s="548">
        <f t="shared" si="63"/>
        <v>0</v>
      </c>
      <c r="H179" s="539">
        <f t="shared" si="63"/>
        <v>0</v>
      </c>
      <c r="I179" s="540">
        <f t="shared" si="63"/>
        <v>0</v>
      </c>
      <c r="J179" s="347">
        <f t="shared" si="63"/>
        <v>0</v>
      </c>
      <c r="K179" s="347">
        <f t="shared" si="63"/>
        <v>0</v>
      </c>
    </row>
    <row r="180" spans="1:11">
      <c r="A180" s="333">
        <v>18</v>
      </c>
      <c r="D180" s="344"/>
      <c r="E180" s="196"/>
      <c r="G180" s="547"/>
      <c r="H180" s="537"/>
      <c r="I180" s="538"/>
    </row>
    <row r="181" spans="1:11">
      <c r="A181" s="333">
        <v>19</v>
      </c>
      <c r="B181" s="332" t="s">
        <v>20</v>
      </c>
      <c r="D181" s="344"/>
      <c r="E181" s="196"/>
      <c r="G181" s="547"/>
      <c r="H181" s="537"/>
      <c r="I181" s="538"/>
    </row>
    <row r="182" spans="1:11">
      <c r="A182" s="333">
        <v>20</v>
      </c>
      <c r="C182" s="332" t="str">
        <f>'FR-16(7)(v)-1 Functional'!C182</f>
        <v>GEN &amp; INTANG PLANT IN SERVICE</v>
      </c>
      <c r="D182" s="344"/>
      <c r="E182" s="196"/>
      <c r="F182" s="347">
        <f>F90</f>
        <v>0</v>
      </c>
      <c r="G182" s="548">
        <f>G90</f>
        <v>0</v>
      </c>
      <c r="H182" s="539">
        <f>H90</f>
        <v>0</v>
      </c>
      <c r="I182" s="540">
        <f>I90</f>
        <v>0</v>
      </c>
      <c r="J182" s="347">
        <f>J90</f>
        <v>0</v>
      </c>
      <c r="K182" s="347">
        <f>F182-J182</f>
        <v>0</v>
      </c>
    </row>
    <row r="183" spans="1:11">
      <c r="A183" s="333">
        <v>21</v>
      </c>
      <c r="C183" s="359" t="str">
        <f>'FR-16(7)(v)-1 Functional'!C183</f>
        <v>TOTAL GEN &amp; INTG DEPREC RESERVE</v>
      </c>
      <c r="D183" s="344"/>
      <c r="E183" s="196"/>
      <c r="F183" s="347">
        <f>-F140</f>
        <v>0</v>
      </c>
      <c r="G183" s="548">
        <f>-G140</f>
        <v>0</v>
      </c>
      <c r="H183" s="539">
        <f>-H140</f>
        <v>0</v>
      </c>
      <c r="I183" s="540">
        <f>-I140</f>
        <v>0</v>
      </c>
      <c r="J183" s="347">
        <f>-J140</f>
        <v>0</v>
      </c>
      <c r="K183" s="347">
        <f>F183-J183</f>
        <v>0</v>
      </c>
    </row>
    <row r="184" spans="1:11">
      <c r="A184" s="333">
        <v>22</v>
      </c>
      <c r="C184" s="332" t="str">
        <f>'FR-16(7)(v)-1 Functional'!C184</f>
        <v xml:space="preserve">  NET GENERAL &amp; INTANG PLANT</v>
      </c>
      <c r="D184" s="344"/>
      <c r="E184" s="196"/>
      <c r="F184" s="348">
        <f t="shared" ref="F184:K184" si="64">SUM(F181:F183)</f>
        <v>0</v>
      </c>
      <c r="G184" s="549">
        <f t="shared" si="64"/>
        <v>0</v>
      </c>
      <c r="H184" s="541">
        <f t="shared" si="64"/>
        <v>0</v>
      </c>
      <c r="I184" s="542">
        <f t="shared" si="64"/>
        <v>0</v>
      </c>
      <c r="J184" s="348">
        <f t="shared" si="64"/>
        <v>0</v>
      </c>
      <c r="K184" s="348">
        <f t="shared" si="64"/>
        <v>0</v>
      </c>
    </row>
    <row r="185" spans="1:11">
      <c r="A185" s="333">
        <v>23</v>
      </c>
      <c r="D185" s="344"/>
      <c r="E185" s="196"/>
      <c r="F185" s="347"/>
      <c r="G185" s="548"/>
      <c r="H185" s="539"/>
      <c r="I185" s="540"/>
      <c r="J185" s="347"/>
    </row>
    <row r="186" spans="1:11">
      <c r="A186" s="333">
        <v>24</v>
      </c>
      <c r="B186" s="332" t="s">
        <v>21</v>
      </c>
      <c r="D186" s="344"/>
      <c r="E186" s="196"/>
      <c r="F186" s="347"/>
      <c r="G186" s="548"/>
      <c r="H186" s="539"/>
      <c r="I186" s="540"/>
      <c r="J186" s="347"/>
    </row>
    <row r="187" spans="1:11">
      <c r="A187" s="333">
        <v>25</v>
      </c>
      <c r="C187" s="332" t="str">
        <f>'FR-16(7)(v)-1 Functional'!C187</f>
        <v>COMMON &amp; OTH PLT IN SERVICE</v>
      </c>
      <c r="D187" s="344"/>
      <c r="E187" s="196"/>
      <c r="F187" s="347">
        <f>F99</f>
        <v>0</v>
      </c>
      <c r="G187" s="548">
        <f>G99</f>
        <v>0</v>
      </c>
      <c r="H187" s="539">
        <f>H99</f>
        <v>0</v>
      </c>
      <c r="I187" s="540">
        <f>I99</f>
        <v>0</v>
      </c>
      <c r="J187" s="347">
        <f>J99</f>
        <v>0</v>
      </c>
      <c r="K187" s="347">
        <f>F187-J187</f>
        <v>0</v>
      </c>
    </row>
    <row r="188" spans="1:11">
      <c r="A188" s="333">
        <v>26</v>
      </c>
      <c r="C188" s="359" t="str">
        <f>'FR-16(7)(v)-1 Functional'!C188</f>
        <v>TOTAL COM &amp; OTH DEPREC RESERVE</v>
      </c>
      <c r="D188" s="344"/>
      <c r="E188" s="196"/>
      <c r="F188" s="347">
        <f>-F149</f>
        <v>0</v>
      </c>
      <c r="G188" s="548">
        <f>-G149</f>
        <v>0</v>
      </c>
      <c r="H188" s="539">
        <f>-H149</f>
        <v>0</v>
      </c>
      <c r="I188" s="540">
        <f>-I149</f>
        <v>0</v>
      </c>
      <c r="J188" s="347">
        <f>-J149</f>
        <v>0</v>
      </c>
      <c r="K188" s="347">
        <f>F188-J188</f>
        <v>0</v>
      </c>
    </row>
    <row r="189" spans="1:11">
      <c r="A189" s="333">
        <v>27</v>
      </c>
      <c r="C189" s="332" t="str">
        <f>'FR-16(7)(v)-1 Functional'!C189</f>
        <v xml:space="preserve">  NET COMMON &amp; OTHER PLANT</v>
      </c>
      <c r="D189" s="344"/>
      <c r="E189" s="196"/>
      <c r="F189" s="348">
        <f t="shared" ref="F189:K189" si="65">SUM(F186:F188)</f>
        <v>0</v>
      </c>
      <c r="G189" s="549">
        <f t="shared" si="65"/>
        <v>0</v>
      </c>
      <c r="H189" s="541">
        <f t="shared" si="65"/>
        <v>0</v>
      </c>
      <c r="I189" s="542">
        <f t="shared" si="65"/>
        <v>0</v>
      </c>
      <c r="J189" s="348">
        <f t="shared" si="65"/>
        <v>0</v>
      </c>
      <c r="K189" s="348">
        <f t="shared" si="65"/>
        <v>0</v>
      </c>
    </row>
    <row r="190" spans="1:11">
      <c r="A190" s="333">
        <v>28</v>
      </c>
      <c r="D190" s="344"/>
      <c r="E190" s="196"/>
      <c r="F190" s="347"/>
      <c r="G190" s="548"/>
      <c r="H190" s="539"/>
      <c r="I190" s="540"/>
      <c r="J190" s="347"/>
      <c r="K190" s="347"/>
    </row>
    <row r="191" spans="1:11">
      <c r="A191" s="333">
        <v>29</v>
      </c>
      <c r="C191" s="332" t="str">
        <f>'FR-16(7)(v)-1 Functional'!C191</f>
        <v>NET GAS PLANT IN SERVICE</v>
      </c>
      <c r="D191" s="344"/>
      <c r="E191" s="196"/>
      <c r="F191" s="347">
        <f t="shared" ref="F191:K191" si="66">F189+F184+F176+F171+F166</f>
        <v>0</v>
      </c>
      <c r="G191" s="550">
        <f t="shared" si="66"/>
        <v>0</v>
      </c>
      <c r="H191" s="543">
        <f t="shared" si="66"/>
        <v>0</v>
      </c>
      <c r="I191" s="544">
        <f t="shared" si="66"/>
        <v>0</v>
      </c>
      <c r="J191" s="347">
        <f t="shared" si="66"/>
        <v>0</v>
      </c>
      <c r="K191" s="347">
        <f t="shared" si="66"/>
        <v>0</v>
      </c>
    </row>
    <row r="192" spans="1:11">
      <c r="B192" s="343"/>
      <c r="C192" s="196"/>
      <c r="D192" s="344"/>
      <c r="E192" s="196"/>
      <c r="F192" s="196"/>
      <c r="G192" s="196"/>
      <c r="H192" s="196"/>
      <c r="I192" s="196"/>
      <c r="J192" s="196"/>
      <c r="K192" s="196"/>
    </row>
    <row r="193" spans="1:11">
      <c r="A193" s="343" t="str">
        <f>co_name</f>
        <v>DUKE ENERGY KENTUCKY, INC.</v>
      </c>
      <c r="C193" s="196"/>
      <c r="D193" s="344"/>
      <c r="E193" s="196"/>
      <c r="F193" s="196"/>
      <c r="G193" s="196"/>
      <c r="H193" s="196"/>
      <c r="I193" s="196"/>
      <c r="J193" s="196" t="str">
        <f>$J$1</f>
        <v>FR-16(7)(v)-7</v>
      </c>
      <c r="K193" s="196"/>
    </row>
    <row r="194" spans="1:11">
      <c r="A194" s="343" t="str">
        <f>$A$2</f>
        <v>STORAGE CLASSIFIED -  GAS COST OF SERVICE</v>
      </c>
      <c r="C194" s="196"/>
      <c r="D194" s="344"/>
      <c r="E194" s="196"/>
      <c r="F194" s="196"/>
      <c r="G194" s="196"/>
      <c r="H194" s="196"/>
      <c r="I194" s="196"/>
      <c r="J194" s="196" t="str">
        <f>$J$2</f>
        <v>WITNESS RESPONSIBLE:</v>
      </c>
      <c r="K194" s="196"/>
    </row>
    <row r="195" spans="1:11">
      <c r="A195" s="343" t="str">
        <f>case_name</f>
        <v>CASE NO: 2018-00261</v>
      </c>
      <c r="C195" s="196"/>
      <c r="D195" s="344"/>
      <c r="E195" s="196"/>
      <c r="F195" s="196"/>
      <c r="G195" s="196"/>
      <c r="H195" s="196"/>
      <c r="I195" s="196"/>
      <c r="J195" s="196" t="str">
        <f>Witness</f>
        <v>JAMES E. ZIOLKOWSKI</v>
      </c>
      <c r="K195" s="196"/>
    </row>
    <row r="196" spans="1:11">
      <c r="A196" s="343" t="str">
        <f>data_filing</f>
        <v>DATA: 12 MONTH FORECASTED PERIOD</v>
      </c>
      <c r="C196" s="196"/>
      <c r="D196" s="344"/>
      <c r="E196" s="196"/>
      <c r="F196" s="196"/>
      <c r="G196" s="196"/>
      <c r="H196" s="196"/>
      <c r="I196" s="196"/>
      <c r="J196" s="196" t="str">
        <f>"PAGE "&amp;Pages2-10&amp;" OF "&amp;Pages2</f>
        <v>PAGE 5 OF 15</v>
      </c>
      <c r="K196" s="196"/>
    </row>
    <row r="197" spans="1:11">
      <c r="A197" s="343" t="str">
        <f>type</f>
        <v xml:space="preserve">TYPE OF FILING: "X" ORIGINAL   UPDATED    REVISED  </v>
      </c>
      <c r="C197" s="196"/>
      <c r="D197" s="344"/>
      <c r="E197" s="196"/>
      <c r="F197" s="196"/>
      <c r="G197" s="196"/>
      <c r="H197" s="196"/>
      <c r="I197" s="196"/>
      <c r="J197" s="196"/>
      <c r="K197" s="196"/>
    </row>
    <row r="198" spans="1:11">
      <c r="B198" s="343"/>
      <c r="C198" s="196"/>
      <c r="D198" s="344"/>
      <c r="E198" s="196"/>
      <c r="F198" s="196"/>
      <c r="G198" s="196"/>
      <c r="H198" s="196"/>
      <c r="I198" s="196"/>
      <c r="J198" s="196"/>
      <c r="K198" s="196"/>
    </row>
    <row r="199" spans="1:11">
      <c r="B199" s="343"/>
      <c r="C199" s="196"/>
      <c r="D199" s="344"/>
      <c r="E199" s="196"/>
      <c r="F199" s="196"/>
      <c r="G199" s="196"/>
      <c r="H199" s="196"/>
      <c r="I199" s="196"/>
      <c r="J199" s="196"/>
      <c r="K199" s="196"/>
    </row>
    <row r="200" spans="1:11">
      <c r="A200" s="344" t="s">
        <v>914</v>
      </c>
      <c r="B200" s="196"/>
      <c r="C200" s="196"/>
      <c r="D200" s="344"/>
      <c r="E200" s="196"/>
      <c r="F200" s="344" t="str">
        <f>$F$8</f>
        <v>TOTAL</v>
      </c>
      <c r="G200" s="545" t="s">
        <v>1005</v>
      </c>
      <c r="H200" s="533"/>
      <c r="I200" s="534"/>
      <c r="J200" s="344" t="s">
        <v>229</v>
      </c>
      <c r="K200" s="344" t="s">
        <v>342</v>
      </c>
    </row>
    <row r="201" spans="1:11">
      <c r="A201" s="346" t="s">
        <v>915</v>
      </c>
      <c r="B201" s="345" t="s">
        <v>953</v>
      </c>
      <c r="C201" s="345"/>
      <c r="D201" s="346" t="s">
        <v>337</v>
      </c>
      <c r="E201" s="345"/>
      <c r="F201" s="346" t="str">
        <f>$F$9</f>
        <v>STORAGE</v>
      </c>
      <c r="G201" s="546" t="s">
        <v>847</v>
      </c>
      <c r="H201" s="535" t="s">
        <v>848</v>
      </c>
      <c r="I201" s="536" t="s">
        <v>849</v>
      </c>
      <c r="J201" s="346" t="s">
        <v>341</v>
      </c>
      <c r="K201" s="346" t="s">
        <v>340</v>
      </c>
    </row>
    <row r="202" spans="1:11">
      <c r="C202" s="578" t="s">
        <v>347</v>
      </c>
      <c r="D202" s="344"/>
      <c r="E202" s="196"/>
      <c r="G202" s="800">
        <f>$G$10</f>
        <v>3</v>
      </c>
      <c r="H202" s="801">
        <f>$H$10</f>
        <v>4</v>
      </c>
      <c r="I202" s="802">
        <f>$I$10</f>
        <v>5</v>
      </c>
    </row>
    <row r="203" spans="1:11">
      <c r="A203" s="333">
        <v>1</v>
      </c>
      <c r="B203" s="332" t="s">
        <v>26</v>
      </c>
      <c r="D203" s="344"/>
      <c r="E203" s="196"/>
      <c r="G203" s="547"/>
      <c r="H203" s="537"/>
      <c r="I203" s="538"/>
    </row>
    <row r="204" spans="1:11">
      <c r="A204" s="333">
        <v>2</v>
      </c>
      <c r="B204" s="332" t="s">
        <v>823</v>
      </c>
      <c r="D204" s="344"/>
      <c r="E204" s="196"/>
      <c r="G204" s="547"/>
      <c r="H204" s="537"/>
      <c r="I204" s="538"/>
    </row>
    <row r="205" spans="1:11">
      <c r="A205" s="333">
        <v>3</v>
      </c>
      <c r="B205" s="332" t="s">
        <v>27</v>
      </c>
      <c r="D205" s="344"/>
      <c r="E205" s="196"/>
      <c r="G205" s="547"/>
      <c r="H205" s="537"/>
      <c r="I205" s="538"/>
    </row>
    <row r="206" spans="1:11">
      <c r="A206" s="333">
        <v>4</v>
      </c>
      <c r="C206" s="332" t="str">
        <f>'FR-16(7)(v)-1 Functional'!C206</f>
        <v>LIBERALIZED DEPRECIATION</v>
      </c>
      <c r="D206" s="344" t="str">
        <f>'FR-16(7)(v)-1 Functional'!D206</f>
        <v>NP29</v>
      </c>
      <c r="E206" s="332" t="s">
        <v>343</v>
      </c>
      <c r="F206" s="479">
        <f>'FR-16(7)(v)-1 Functional'!H206</f>
        <v>0</v>
      </c>
      <c r="G206" s="548">
        <f t="shared" ref="G206:G214" si="67">F206-SUM(H206:I206)</f>
        <v>0</v>
      </c>
      <c r="H206" s="539">
        <f t="shared" ref="H206:H214" si="68">ROUND(F206*VLOOKUP(D206,AllocTable_Classified_Storage,$H$10,FALSE),0)</f>
        <v>0</v>
      </c>
      <c r="I206" s="540">
        <f t="shared" ref="I206:I214" si="69">ROUND(F206*VLOOKUP(D206,AllocTable_Classified_Storage,$I$10,FALSE),0)</f>
        <v>0</v>
      </c>
      <c r="J206" s="347">
        <f t="shared" ref="J206:J214" si="70">SUM(G206:I206)</f>
        <v>0</v>
      </c>
      <c r="K206" s="347">
        <f t="shared" ref="K206:K214" si="71">F206-J206</f>
        <v>0</v>
      </c>
    </row>
    <row r="207" spans="1:11">
      <c r="A207" s="333">
        <v>5</v>
      </c>
      <c r="C207" s="332" t="str">
        <f>'FR-16(7)(v)-1 Functional'!C207</f>
        <v>LEASED METERS</v>
      </c>
      <c r="D207" s="344" t="str">
        <f>'FR-16(7)(v)-1 Functional'!D207</f>
        <v>K413</v>
      </c>
      <c r="E207" s="332" t="s">
        <v>343</v>
      </c>
      <c r="F207" s="479">
        <f>'FR-16(7)(v)-1 Functional'!H207</f>
        <v>0</v>
      </c>
      <c r="G207" s="548">
        <f t="shared" si="67"/>
        <v>0</v>
      </c>
      <c r="H207" s="539">
        <f t="shared" si="68"/>
        <v>0</v>
      </c>
      <c r="I207" s="540">
        <f t="shared" si="69"/>
        <v>0</v>
      </c>
      <c r="J207" s="347">
        <f t="shared" si="70"/>
        <v>0</v>
      </c>
      <c r="K207" s="347">
        <f t="shared" si="71"/>
        <v>0</v>
      </c>
    </row>
    <row r="208" spans="1:11">
      <c r="A208" s="333">
        <v>6</v>
      </c>
      <c r="C208" s="332" t="str">
        <f>'FR-16(7)(v)-1 Functional'!C208</f>
        <v>CONTRIB AID CONSTR</v>
      </c>
      <c r="D208" s="344" t="str">
        <f>'FR-16(7)(v)-1 Functional'!D208</f>
        <v>D249</v>
      </c>
      <c r="E208" s="332" t="s">
        <v>343</v>
      </c>
      <c r="F208" s="479">
        <f>'FR-16(7)(v)-1 Functional'!H208</f>
        <v>0</v>
      </c>
      <c r="G208" s="548">
        <f t="shared" si="67"/>
        <v>0</v>
      </c>
      <c r="H208" s="539">
        <f t="shared" si="68"/>
        <v>0</v>
      </c>
      <c r="I208" s="540">
        <f t="shared" si="69"/>
        <v>0</v>
      </c>
      <c r="J208" s="347">
        <f t="shared" si="70"/>
        <v>0</v>
      </c>
      <c r="K208" s="347">
        <f t="shared" si="71"/>
        <v>0</v>
      </c>
    </row>
    <row r="209" spans="1:11">
      <c r="A209" s="333">
        <v>7</v>
      </c>
      <c r="C209" s="332" t="str">
        <f>'FR-16(7)(v)-1 Functional'!C209</f>
        <v>CAPITALIZED INTEREST</v>
      </c>
      <c r="D209" s="344" t="str">
        <f>'FR-16(7)(v)-1 Functional'!D209</f>
        <v>NP29</v>
      </c>
      <c r="E209" s="332" t="s">
        <v>343</v>
      </c>
      <c r="F209" s="479">
        <f>'FR-16(7)(v)-1 Functional'!H209</f>
        <v>0</v>
      </c>
      <c r="G209" s="548">
        <f t="shared" si="67"/>
        <v>0</v>
      </c>
      <c r="H209" s="539">
        <f t="shared" si="68"/>
        <v>0</v>
      </c>
      <c r="I209" s="540">
        <f t="shared" si="69"/>
        <v>0</v>
      </c>
      <c r="J209" s="347">
        <f t="shared" si="70"/>
        <v>0</v>
      </c>
      <c r="K209" s="347">
        <f t="shared" si="71"/>
        <v>0</v>
      </c>
    </row>
    <row r="210" spans="1:11">
      <c r="A210" s="333">
        <v>8</v>
      </c>
      <c r="C210" s="332" t="str">
        <f>'FR-16(7)(v)-1 Functional'!C210</f>
        <v>AFUDC IN DEBT</v>
      </c>
      <c r="D210" s="344" t="str">
        <f>'FR-16(7)(v)-1 Functional'!D210</f>
        <v>NP29</v>
      </c>
      <c r="E210" s="332" t="s">
        <v>343</v>
      </c>
      <c r="F210" s="479">
        <f>'FR-16(7)(v)-1 Functional'!H210</f>
        <v>0</v>
      </c>
      <c r="G210" s="548">
        <f t="shared" si="67"/>
        <v>0</v>
      </c>
      <c r="H210" s="539">
        <f t="shared" si="68"/>
        <v>0</v>
      </c>
      <c r="I210" s="540">
        <f t="shared" si="69"/>
        <v>0</v>
      </c>
      <c r="J210" s="347">
        <f t="shared" si="70"/>
        <v>0</v>
      </c>
      <c r="K210" s="347">
        <f t="shared" si="71"/>
        <v>0</v>
      </c>
    </row>
    <row r="211" spans="1:11">
      <c r="A211" s="333">
        <v>9</v>
      </c>
      <c r="C211" s="332" t="str">
        <f>'FR-16(7)(v)-1 Functional'!C211</f>
        <v>CWIP DIFFERENCES</v>
      </c>
      <c r="D211" s="344" t="str">
        <f>'FR-16(7)(v)-1 Functional'!D211</f>
        <v>NP29</v>
      </c>
      <c r="E211" s="332" t="s">
        <v>343</v>
      </c>
      <c r="F211" s="479">
        <f>'FR-16(7)(v)-1 Functional'!H211</f>
        <v>0</v>
      </c>
      <c r="G211" s="548">
        <f t="shared" si="67"/>
        <v>0</v>
      </c>
      <c r="H211" s="539">
        <f t="shared" si="68"/>
        <v>0</v>
      </c>
      <c r="I211" s="540">
        <f t="shared" si="69"/>
        <v>0</v>
      </c>
      <c r="J211" s="347">
        <f t="shared" si="70"/>
        <v>0</v>
      </c>
      <c r="K211" s="347">
        <f t="shared" si="71"/>
        <v>0</v>
      </c>
    </row>
    <row r="212" spans="1:11">
      <c r="A212" s="333">
        <v>10</v>
      </c>
      <c r="C212" s="332" t="str">
        <f>'FR-16(7)(v)-1 Functional'!C212</f>
        <v>NON-CASH OVERHEADS</v>
      </c>
      <c r="D212" s="344" t="str">
        <f>'FR-16(7)(v)-1 Functional'!D212</f>
        <v>AG39</v>
      </c>
      <c r="E212" s="332" t="s">
        <v>343</v>
      </c>
      <c r="F212" s="479">
        <f>'FR-16(7)(v)-1 Functional'!H212</f>
        <v>0</v>
      </c>
      <c r="G212" s="548">
        <f t="shared" si="67"/>
        <v>0</v>
      </c>
      <c r="H212" s="539">
        <f t="shared" si="68"/>
        <v>0</v>
      </c>
      <c r="I212" s="540">
        <f t="shared" si="69"/>
        <v>0</v>
      </c>
      <c r="J212" s="347">
        <f t="shared" si="70"/>
        <v>0</v>
      </c>
      <c r="K212" s="347">
        <f t="shared" si="71"/>
        <v>0</v>
      </c>
    </row>
    <row r="213" spans="1:11">
      <c r="A213" s="333">
        <v>11</v>
      </c>
      <c r="C213" s="332" t="str">
        <f>'FR-16(7)(v)-1 Functional'!C213</f>
        <v>PLANT FAS 109</v>
      </c>
      <c r="D213" s="344" t="str">
        <f>'FR-16(7)(v)-1 Functional'!D213</f>
        <v>NP29</v>
      </c>
      <c r="E213" s="332" t="s">
        <v>343</v>
      </c>
      <c r="F213" s="479">
        <f>'FR-16(7)(v)-1 Functional'!H213</f>
        <v>0</v>
      </c>
      <c r="G213" s="548">
        <f t="shared" si="67"/>
        <v>0</v>
      </c>
      <c r="H213" s="539">
        <f t="shared" si="68"/>
        <v>0</v>
      </c>
      <c r="I213" s="540">
        <f t="shared" si="69"/>
        <v>0</v>
      </c>
      <c r="J213" s="347">
        <f t="shared" si="70"/>
        <v>0</v>
      </c>
      <c r="K213" s="347">
        <f t="shared" si="71"/>
        <v>0</v>
      </c>
    </row>
    <row r="214" spans="1:11">
      <c r="A214" s="333">
        <v>12</v>
      </c>
      <c r="C214" s="365" t="str">
        <f>'FR-16(7)(v)-1 Functional'!C214</f>
        <v>MISCELLANEOUS</v>
      </c>
      <c r="D214" s="344" t="str">
        <f>'FR-16(7)(v)-1 Functional'!D214</f>
        <v>AG39</v>
      </c>
      <c r="F214" s="479">
        <f>'FR-16(7)(v)-1 Functional'!H214</f>
        <v>0</v>
      </c>
      <c r="G214" s="548">
        <f t="shared" si="67"/>
        <v>0</v>
      </c>
      <c r="H214" s="539">
        <f t="shared" si="68"/>
        <v>0</v>
      </c>
      <c r="I214" s="540">
        <f t="shared" si="69"/>
        <v>0</v>
      </c>
      <c r="J214" s="347">
        <f t="shared" si="70"/>
        <v>0</v>
      </c>
      <c r="K214" s="347">
        <f t="shared" si="71"/>
        <v>0</v>
      </c>
    </row>
    <row r="215" spans="1:11">
      <c r="A215" s="333">
        <v>13</v>
      </c>
      <c r="C215" s="339" t="str">
        <f>'FR-16(7)(v)-1 Functional'!C215</f>
        <v xml:space="preserve">  TOTAL ACCOUNT 282</v>
      </c>
      <c r="D215" s="344"/>
      <c r="F215" s="348">
        <f t="shared" ref="F215:K215" si="72">SUM(F206:F214)</f>
        <v>0</v>
      </c>
      <c r="G215" s="549">
        <f t="shared" si="72"/>
        <v>0</v>
      </c>
      <c r="H215" s="541">
        <f t="shared" si="72"/>
        <v>0</v>
      </c>
      <c r="I215" s="542">
        <f t="shared" si="72"/>
        <v>0</v>
      </c>
      <c r="J215" s="348">
        <f t="shared" si="72"/>
        <v>0</v>
      </c>
      <c r="K215" s="348">
        <f t="shared" si="72"/>
        <v>0</v>
      </c>
    </row>
    <row r="216" spans="1:11">
      <c r="A216" s="333">
        <v>14</v>
      </c>
      <c r="D216" s="344"/>
      <c r="E216" s="196"/>
      <c r="G216" s="547"/>
      <c r="H216" s="537"/>
      <c r="I216" s="538"/>
    </row>
    <row r="217" spans="1:11">
      <c r="A217" s="333">
        <v>15</v>
      </c>
      <c r="B217" s="332" t="s">
        <v>28</v>
      </c>
      <c r="D217" s="344"/>
      <c r="E217" s="196"/>
      <c r="G217" s="547"/>
      <c r="H217" s="537"/>
      <c r="I217" s="538"/>
    </row>
    <row r="218" spans="1:11">
      <c r="A218" s="333">
        <v>16</v>
      </c>
      <c r="C218" s="332" t="str">
        <f>'FR-16(7)(v)-1 Functional'!C218</f>
        <v>BLANK</v>
      </c>
      <c r="D218" s="344" t="str">
        <f>'FR-16(7)(v)-1 Functional'!D218</f>
        <v>K413</v>
      </c>
      <c r="F218" s="479">
        <f>'FR-16(7)(v)-1 Functional'!H218</f>
        <v>0</v>
      </c>
      <c r="G218" s="548">
        <f t="shared" ref="G218:G228" si="73">F218-SUM(H218:I218)</f>
        <v>0</v>
      </c>
      <c r="H218" s="539">
        <f t="shared" ref="H218:H225" si="74">ROUND(F218*VLOOKUP(D218,AllocTable_Classified_Storage,$H$10,FALSE),0)</f>
        <v>0</v>
      </c>
      <c r="I218" s="540">
        <f t="shared" ref="I218:I225" si="75">ROUND(F218*VLOOKUP(D218,AllocTable_Classified_Storage,$I$10,FALSE),0)</f>
        <v>0</v>
      </c>
      <c r="J218" s="347">
        <f t="shared" ref="J218:J228" si="76">SUM(G218:I218)</f>
        <v>0</v>
      </c>
      <c r="K218" s="347">
        <f t="shared" ref="K218:K228" si="77">F218-J218</f>
        <v>0</v>
      </c>
    </row>
    <row r="219" spans="1:11">
      <c r="A219" s="333">
        <v>17</v>
      </c>
      <c r="C219" s="332" t="str">
        <f>'FR-16(7)(v)-1 Functional'!C219</f>
        <v>BLANK</v>
      </c>
      <c r="D219" s="344" t="str">
        <f>'FR-16(7)(v)-1 Functional'!D219</f>
        <v>K413</v>
      </c>
      <c r="F219" s="479">
        <f>'FR-16(7)(v)-1 Functional'!H219</f>
        <v>0</v>
      </c>
      <c r="G219" s="548">
        <f t="shared" si="73"/>
        <v>0</v>
      </c>
      <c r="H219" s="539">
        <f t="shared" si="74"/>
        <v>0</v>
      </c>
      <c r="I219" s="540">
        <f t="shared" si="75"/>
        <v>0</v>
      </c>
      <c r="J219" s="347">
        <f t="shared" si="76"/>
        <v>0</v>
      </c>
      <c r="K219" s="347">
        <f t="shared" si="77"/>
        <v>0</v>
      </c>
    </row>
    <row r="220" spans="1:11">
      <c r="A220" s="333">
        <v>18</v>
      </c>
      <c r="C220" s="332" t="str">
        <f>'FR-16(7)(v)-1 Functional'!C220</f>
        <v>UNRECOVERED PURCHASED GAS COST</v>
      </c>
      <c r="D220" s="344" t="str">
        <f>'FR-16(7)(v)-1 Functional'!D220</f>
        <v>AG39</v>
      </c>
      <c r="F220" s="479">
        <f>'FR-16(7)(v)-1 Functional'!H220</f>
        <v>0</v>
      </c>
      <c r="G220" s="548">
        <f t="shared" si="73"/>
        <v>0</v>
      </c>
      <c r="H220" s="539">
        <f t="shared" si="74"/>
        <v>0</v>
      </c>
      <c r="I220" s="540">
        <f t="shared" si="75"/>
        <v>0</v>
      </c>
      <c r="J220" s="347">
        <f t="shared" si="76"/>
        <v>0</v>
      </c>
      <c r="K220" s="347">
        <f t="shared" si="77"/>
        <v>0</v>
      </c>
    </row>
    <row r="221" spans="1:11">
      <c r="A221" s="333">
        <v>19</v>
      </c>
      <c r="C221" s="332" t="str">
        <f>'FR-16(7)(v)-1 Functional'!C221</f>
        <v>ENVIRONMENTAL RESERVE</v>
      </c>
      <c r="D221" s="344" t="str">
        <f>'FR-16(7)(v)-1 Functional'!D221</f>
        <v>NP29</v>
      </c>
      <c r="F221" s="479">
        <f>'FR-16(7)(v)-1 Functional'!H221</f>
        <v>0</v>
      </c>
      <c r="G221" s="548">
        <f t="shared" si="73"/>
        <v>0</v>
      </c>
      <c r="H221" s="539">
        <f t="shared" si="74"/>
        <v>0</v>
      </c>
      <c r="I221" s="540">
        <f t="shared" si="75"/>
        <v>0</v>
      </c>
      <c r="J221" s="347">
        <f t="shared" si="76"/>
        <v>0</v>
      </c>
      <c r="K221" s="347">
        <f t="shared" si="77"/>
        <v>0</v>
      </c>
    </row>
    <row r="222" spans="1:11">
      <c r="A222" s="333">
        <v>20</v>
      </c>
      <c r="C222" s="332" t="str">
        <f>'FR-16(7)(v)-1 Functional'!C222</f>
        <v>POST IN-SERVICE CARRYING COSTS</v>
      </c>
      <c r="D222" s="344" t="str">
        <f>'FR-16(7)(v)-1 Functional'!D222</f>
        <v>K667</v>
      </c>
      <c r="F222" s="479">
        <f>'FR-16(7)(v)-1 Functional'!H222</f>
        <v>0</v>
      </c>
      <c r="G222" s="548">
        <f t="shared" si="73"/>
        <v>0</v>
      </c>
      <c r="H222" s="539">
        <f t="shared" si="74"/>
        <v>0</v>
      </c>
      <c r="I222" s="540">
        <f t="shared" si="75"/>
        <v>0</v>
      </c>
      <c r="J222" s="347">
        <f t="shared" si="76"/>
        <v>0</v>
      </c>
      <c r="K222" s="347">
        <f t="shared" si="77"/>
        <v>0</v>
      </c>
    </row>
    <row r="223" spans="1:11">
      <c r="A223" s="333">
        <v>21</v>
      </c>
      <c r="C223" s="332" t="str">
        <f>'FR-16(7)(v)-1 Functional'!C223</f>
        <v>ARO CUMULATIVE EFFECT</v>
      </c>
      <c r="D223" s="344" t="str">
        <f>'FR-16(7)(v)-1 Functional'!D223</f>
        <v>NP29</v>
      </c>
      <c r="F223" s="479">
        <f>'FR-16(7)(v)-1 Functional'!H223</f>
        <v>0</v>
      </c>
      <c r="G223" s="548">
        <f t="shared" si="73"/>
        <v>0</v>
      </c>
      <c r="H223" s="539">
        <f t="shared" si="74"/>
        <v>0</v>
      </c>
      <c r="I223" s="540">
        <f t="shared" si="75"/>
        <v>0</v>
      </c>
      <c r="J223" s="347">
        <f t="shared" si="76"/>
        <v>0</v>
      </c>
      <c r="K223" s="347">
        <f t="shared" si="77"/>
        <v>0</v>
      </c>
    </row>
    <row r="224" spans="1:11">
      <c r="A224" s="333">
        <v>22</v>
      </c>
      <c r="C224" s="332" t="str">
        <f>'FR-16(7)(v)-1 Functional'!C224</f>
        <v>LOSS ON REACQUIRED DEBT</v>
      </c>
      <c r="D224" s="344" t="str">
        <f>'FR-16(7)(v)-1 Functional'!D224</f>
        <v>NP29</v>
      </c>
      <c r="F224" s="479">
        <f>'FR-16(7)(v)-1 Functional'!H224</f>
        <v>0</v>
      </c>
      <c r="G224" s="548">
        <f t="shared" si="73"/>
        <v>0</v>
      </c>
      <c r="H224" s="539">
        <f t="shared" si="74"/>
        <v>0</v>
      </c>
      <c r="I224" s="540">
        <f t="shared" si="75"/>
        <v>0</v>
      </c>
      <c r="J224" s="347">
        <f t="shared" si="76"/>
        <v>0</v>
      </c>
      <c r="K224" s="347">
        <f t="shared" si="77"/>
        <v>0</v>
      </c>
    </row>
    <row r="225" spans="1:11">
      <c r="A225" s="333">
        <v>23</v>
      </c>
      <c r="C225" s="332" t="str">
        <f>'FR-16(7)(v)-1 Functional'!C225</f>
        <v>VACATION PAY ACCRUAL</v>
      </c>
      <c r="D225" s="344" t="str">
        <f>'FR-16(7)(v)-1 Functional'!D225</f>
        <v>AG39</v>
      </c>
      <c r="F225" s="479">
        <f>'FR-16(7)(v)-1 Functional'!H225</f>
        <v>0</v>
      </c>
      <c r="G225" s="548">
        <f t="shared" si="73"/>
        <v>0</v>
      </c>
      <c r="H225" s="539">
        <f t="shared" si="74"/>
        <v>0</v>
      </c>
      <c r="I225" s="540">
        <f t="shared" si="75"/>
        <v>0</v>
      </c>
      <c r="J225" s="347">
        <f t="shared" si="76"/>
        <v>0</v>
      </c>
      <c r="K225" s="347">
        <f t="shared" si="77"/>
        <v>0</v>
      </c>
    </row>
    <row r="226" spans="1:11">
      <c r="A226" s="333">
        <v>24</v>
      </c>
      <c r="C226" s="618" t="str">
        <f>'FR-16(7)(v)-1 Functional'!C226</f>
        <v>RATE CASE EXPENSE AMORT</v>
      </c>
      <c r="D226" s="344" t="str">
        <f>'FR-16(7)(v)-1 Functional'!D226</f>
        <v>AG39</v>
      </c>
      <c r="F226" s="479">
        <f>'FR-16(7)(v)-1 Functional'!H226</f>
        <v>0</v>
      </c>
      <c r="G226" s="548">
        <f>F226-SUM(H226:I226)</f>
        <v>0</v>
      </c>
      <c r="H226" s="539">
        <f>ROUND(F226*VLOOKUP(D226,AllocTable_Classified_Storage,$H$10,FALSE),0)</f>
        <v>0</v>
      </c>
      <c r="I226" s="540">
        <f>ROUND(F226*VLOOKUP(D226,AllocTable_Classified_Storage,$I$10,FALSE),0)</f>
        <v>0</v>
      </c>
      <c r="J226" s="347">
        <f>SUM(G226:I226)</f>
        <v>0</v>
      </c>
      <c r="K226" s="347">
        <f>F226-J226</f>
        <v>0</v>
      </c>
    </row>
    <row r="227" spans="1:11">
      <c r="A227" s="333">
        <v>25</v>
      </c>
      <c r="C227" s="332" t="str">
        <f>'FR-16(7)(v)-1 Functional'!C227</f>
        <v>PENSION</v>
      </c>
      <c r="D227" s="344" t="str">
        <f>'FR-16(7)(v)-1 Functional'!D227</f>
        <v>AG39</v>
      </c>
      <c r="F227" s="479">
        <f>'FR-16(7)(v)-1 Functional'!H227</f>
        <v>0</v>
      </c>
      <c r="G227" s="548">
        <f>F227-SUM(H227:I227)</f>
        <v>0</v>
      </c>
      <c r="H227" s="539">
        <f>ROUND(F227*VLOOKUP(D227,AllocTable_Classified_Storage,$H$10,FALSE),0)</f>
        <v>0</v>
      </c>
      <c r="I227" s="540">
        <f>ROUND(F227*VLOOKUP(D227,AllocTable_Classified_Storage,$I$10,FALSE),0)</f>
        <v>0</v>
      </c>
      <c r="J227" s="347">
        <f>SUM(G227:I227)</f>
        <v>0</v>
      </c>
      <c r="K227" s="347">
        <f>F227-J227</f>
        <v>0</v>
      </c>
    </row>
    <row r="228" spans="1:11">
      <c r="A228" s="333">
        <v>26</v>
      </c>
      <c r="C228" s="365" t="str">
        <f>'FR-16(7)(v)-1 Functional'!C228</f>
        <v>MISCELLANEOUS</v>
      </c>
      <c r="D228" s="344" t="str">
        <f>'FR-16(7)(v)-1 Functional'!D228</f>
        <v>K406</v>
      </c>
      <c r="F228" s="479">
        <f>'FR-16(7)(v)-1 Functional'!H228</f>
        <v>0</v>
      </c>
      <c r="G228" s="548">
        <f t="shared" si="73"/>
        <v>0</v>
      </c>
      <c r="H228" s="539">
        <f>ROUND(F228*VLOOKUP(D228,AllocTable_Classified_Storage,$H$10,FALSE),0)</f>
        <v>0</v>
      </c>
      <c r="I228" s="540">
        <f>ROUND(F228*VLOOKUP(D228,AllocTable_Classified_Storage,$I$10,FALSE),0)</f>
        <v>0</v>
      </c>
      <c r="J228" s="347">
        <f t="shared" si="76"/>
        <v>0</v>
      </c>
      <c r="K228" s="347">
        <f t="shared" si="77"/>
        <v>0</v>
      </c>
    </row>
    <row r="229" spans="1:11">
      <c r="A229" s="333">
        <v>27</v>
      </c>
      <c r="C229" s="339" t="str">
        <f>'FR-16(7)(v)-1 Functional'!C229</f>
        <v xml:space="preserve">  TOTAL ACCOUNT 283</v>
      </c>
      <c r="D229" s="344"/>
      <c r="F229" s="348">
        <f t="shared" ref="F229:K229" si="78">SUM(F217:F228)</f>
        <v>0</v>
      </c>
      <c r="G229" s="549">
        <f t="shared" si="78"/>
        <v>0</v>
      </c>
      <c r="H229" s="541">
        <f t="shared" si="78"/>
        <v>0</v>
      </c>
      <c r="I229" s="542">
        <f t="shared" si="78"/>
        <v>0</v>
      </c>
      <c r="J229" s="348">
        <f t="shared" si="78"/>
        <v>0</v>
      </c>
      <c r="K229" s="348">
        <f t="shared" si="78"/>
        <v>0</v>
      </c>
    </row>
    <row r="230" spans="1:11">
      <c r="A230" s="333">
        <v>28</v>
      </c>
      <c r="D230" s="344"/>
      <c r="E230" s="196"/>
      <c r="G230" s="547"/>
      <c r="H230" s="537"/>
      <c r="I230" s="538"/>
    </row>
    <row r="231" spans="1:11">
      <c r="A231" s="333">
        <v>29</v>
      </c>
      <c r="B231" s="353" t="s">
        <v>824</v>
      </c>
      <c r="C231" s="353"/>
      <c r="D231" s="344"/>
      <c r="E231" s="196"/>
      <c r="G231" s="547"/>
      <c r="H231" s="537"/>
      <c r="I231" s="538"/>
    </row>
    <row r="232" spans="1:11">
      <c r="A232" s="333">
        <v>30</v>
      </c>
      <c r="C232" s="332" t="str">
        <f>'FR-16(7)(v)-1 Functional'!C232</f>
        <v>CUSTOMER ADVANCES FOR CONSTRUCTION</v>
      </c>
      <c r="D232" s="344" t="s">
        <v>312</v>
      </c>
      <c r="E232" s="196"/>
      <c r="F232" s="479">
        <f>'FR-16(7)(v)-1 Functional'!H232</f>
        <v>0</v>
      </c>
      <c r="G232" s="548">
        <f>F232-SUM(H232:I232)</f>
        <v>0</v>
      </c>
      <c r="H232" s="539">
        <f>ROUND(F232*VLOOKUP(D232,AllocTable_Classified_Storage,$H$10,FALSE),0)</f>
        <v>0</v>
      </c>
      <c r="I232" s="540">
        <f>ROUND(F232*VLOOKUP(D232,AllocTable_Classified_Storage,$I$10,FALSE),0)</f>
        <v>0</v>
      </c>
      <c r="J232" s="347">
        <f>SUM(G232:I232)</f>
        <v>0</v>
      </c>
      <c r="K232" s="347">
        <f>F232-J232</f>
        <v>0</v>
      </c>
    </row>
    <row r="233" spans="1:11">
      <c r="A233" s="333">
        <v>31</v>
      </c>
      <c r="C233" s="332" t="str">
        <f>'FR-16(7)(v)-1 Functional'!C233</f>
        <v>CUSTOMER SERVICE DEPOSITS</v>
      </c>
      <c r="D233" s="344" t="str">
        <f>'FR-16(7)(v)-1 Functional'!D233</f>
        <v>D249</v>
      </c>
      <c r="E233" s="196"/>
      <c r="F233" s="479">
        <f>'FR-16(7)(v)-1 Functional'!H233</f>
        <v>0</v>
      </c>
      <c r="G233" s="548">
        <f>F233-SUM(H233:I233)</f>
        <v>0</v>
      </c>
      <c r="H233" s="539">
        <f>ROUND(F233*VLOOKUP(D233,AllocTable_Classified_Storage,$H$10,FALSE),0)</f>
        <v>0</v>
      </c>
      <c r="I233" s="540">
        <f>ROUND(F233*VLOOKUP(D233,AllocTable_Classified_Storage,$I$10,FALSE),0)</f>
        <v>0</v>
      </c>
      <c r="J233" s="347">
        <f>SUM(G233:I233)</f>
        <v>0</v>
      </c>
      <c r="K233" s="347">
        <f>F233-J233</f>
        <v>0</v>
      </c>
    </row>
    <row r="234" spans="1:11">
      <c r="A234" s="333">
        <v>32</v>
      </c>
      <c r="C234" s="332" t="str">
        <f>'FR-16(7)(v)-1 Functional'!C234</f>
        <v>POST RETIREMENT BENEFITS</v>
      </c>
      <c r="D234" s="344" t="str">
        <f>'FR-16(7)(v)-1 Functional'!D234</f>
        <v>AG39</v>
      </c>
      <c r="E234" s="196"/>
      <c r="F234" s="479">
        <f>'FR-16(7)(v)-1 Functional'!H234</f>
        <v>0</v>
      </c>
      <c r="G234" s="548">
        <f>F234-SUM(H234:I234)</f>
        <v>0</v>
      </c>
      <c r="H234" s="539">
        <f>ROUND(F234*VLOOKUP(D234,AllocTable_Classified_Storage,$H$10,FALSE),0)</f>
        <v>0</v>
      </c>
      <c r="I234" s="540">
        <f>ROUND(F234*VLOOKUP(D234,AllocTable_Classified_Storage,$I$10,FALSE),0)</f>
        <v>0</v>
      </c>
      <c r="J234" s="347">
        <f>SUM(G234:I234)</f>
        <v>0</v>
      </c>
      <c r="K234" s="347">
        <f>F234-J234</f>
        <v>0</v>
      </c>
    </row>
    <row r="235" spans="1:11">
      <c r="A235" s="333">
        <v>33</v>
      </c>
      <c r="C235" s="365" t="str">
        <f>'FR-16(7)(v)-1 Functional'!C235</f>
        <v>EDIT</v>
      </c>
      <c r="D235" s="344" t="str">
        <f>'FR-16(7)(v)-1 Functional'!D235</f>
        <v>NP29</v>
      </c>
      <c r="E235" s="196"/>
      <c r="F235" s="479">
        <f>'FR-16(7)(v)-1 Functional'!H235</f>
        <v>0</v>
      </c>
      <c r="G235" s="548">
        <f>F235-SUM(H235:I235)</f>
        <v>0</v>
      </c>
      <c r="H235" s="539">
        <f>ROUND(F235*VLOOKUP(D235,AllocTable_Classified_Storage,$H$10,FALSE),0)</f>
        <v>0</v>
      </c>
      <c r="I235" s="540">
        <f>ROUND(F235*VLOOKUP(D235,AllocTable_Classified_Storage,$I$10,FALSE),0)</f>
        <v>0</v>
      </c>
      <c r="J235" s="347">
        <f>SUM(G235:I235)</f>
        <v>0</v>
      </c>
      <c r="K235" s="347">
        <f>F235-J235</f>
        <v>0</v>
      </c>
    </row>
    <row r="236" spans="1:11">
      <c r="A236" s="333">
        <v>34</v>
      </c>
      <c r="C236" s="339" t="str">
        <f>'FR-16(7)(v)-1 Functional'!C236</f>
        <v xml:space="preserve">  TOTAL OTHER SUBTRACTIVE ADJS</v>
      </c>
      <c r="D236" s="344"/>
      <c r="E236" s="196"/>
      <c r="F236" s="348">
        <f t="shared" ref="F236:K236" si="79">SUM(F231:F235)</f>
        <v>0</v>
      </c>
      <c r="G236" s="549">
        <f t="shared" si="79"/>
        <v>0</v>
      </c>
      <c r="H236" s="541">
        <f t="shared" si="79"/>
        <v>0</v>
      </c>
      <c r="I236" s="542">
        <f t="shared" si="79"/>
        <v>0</v>
      </c>
      <c r="J236" s="348">
        <f t="shared" si="79"/>
        <v>0</v>
      </c>
      <c r="K236" s="348">
        <f t="shared" si="79"/>
        <v>0</v>
      </c>
    </row>
    <row r="237" spans="1:11">
      <c r="A237" s="333">
        <v>35</v>
      </c>
      <c r="D237" s="344"/>
      <c r="E237" s="196"/>
      <c r="G237" s="547"/>
      <c r="H237" s="537"/>
      <c r="I237" s="538"/>
    </row>
    <row r="238" spans="1:11">
      <c r="A238" s="333">
        <v>36</v>
      </c>
      <c r="B238" s="332" t="s">
        <v>828</v>
      </c>
      <c r="D238" s="344"/>
      <c r="E238" s="196"/>
      <c r="F238" s="347">
        <f t="shared" ref="F238:K238" si="80">F236+F229+F215</f>
        <v>0</v>
      </c>
      <c r="G238" s="550">
        <f t="shared" si="80"/>
        <v>0</v>
      </c>
      <c r="H238" s="543">
        <f t="shared" si="80"/>
        <v>0</v>
      </c>
      <c r="I238" s="544">
        <f t="shared" si="80"/>
        <v>0</v>
      </c>
      <c r="J238" s="347">
        <f t="shared" si="80"/>
        <v>0</v>
      </c>
      <c r="K238" s="347">
        <f t="shared" si="80"/>
        <v>0</v>
      </c>
    </row>
    <row r="239" spans="1:11">
      <c r="B239" s="343"/>
      <c r="C239" s="196"/>
      <c r="D239" s="344"/>
      <c r="E239" s="196"/>
      <c r="F239" s="196"/>
      <c r="G239" s="196"/>
      <c r="H239" s="196"/>
      <c r="I239" s="196"/>
      <c r="J239" s="196"/>
      <c r="K239" s="196"/>
    </row>
    <row r="240" spans="1:11">
      <c r="A240" s="343" t="str">
        <f>co_name</f>
        <v>DUKE ENERGY KENTUCKY, INC.</v>
      </c>
      <c r="C240" s="196"/>
      <c r="D240" s="344"/>
      <c r="E240" s="196"/>
      <c r="F240" s="196"/>
      <c r="G240" s="196"/>
      <c r="H240" s="196"/>
      <c r="I240" s="196"/>
      <c r="J240" s="196" t="str">
        <f>$J$1</f>
        <v>FR-16(7)(v)-7</v>
      </c>
      <c r="K240" s="196"/>
    </row>
    <row r="241" spans="1:11">
      <c r="A241" s="343" t="str">
        <f>$A$2</f>
        <v>STORAGE CLASSIFIED -  GAS COST OF SERVICE</v>
      </c>
      <c r="C241" s="196"/>
      <c r="D241" s="344"/>
      <c r="E241" s="196"/>
      <c r="F241" s="196"/>
      <c r="G241" s="196"/>
      <c r="H241" s="196"/>
      <c r="I241" s="196"/>
      <c r="J241" s="196" t="str">
        <f>$J$2</f>
        <v>WITNESS RESPONSIBLE:</v>
      </c>
      <c r="K241" s="196"/>
    </row>
    <row r="242" spans="1:11">
      <c r="A242" s="343" t="str">
        <f>case_name</f>
        <v>CASE NO: 2018-00261</v>
      </c>
      <c r="C242" s="196"/>
      <c r="D242" s="344"/>
      <c r="E242" s="196"/>
      <c r="F242" s="196"/>
      <c r="G242" s="196"/>
      <c r="H242" s="196"/>
      <c r="I242" s="196"/>
      <c r="J242" s="196" t="str">
        <f>Witness</f>
        <v>JAMES E. ZIOLKOWSKI</v>
      </c>
      <c r="K242" s="196"/>
    </row>
    <row r="243" spans="1:11">
      <c r="A243" s="343" t="str">
        <f>data_filing</f>
        <v>DATA: 12 MONTH FORECASTED PERIOD</v>
      </c>
      <c r="C243" s="196"/>
      <c r="D243" s="344"/>
      <c r="E243" s="196"/>
      <c r="F243" s="196"/>
      <c r="G243" s="196"/>
      <c r="H243" s="196"/>
      <c r="I243" s="196"/>
      <c r="J243" s="196" t="str">
        <f>"PAGE "&amp;Pages2-9&amp;" OF "&amp;Pages2</f>
        <v>PAGE 6 OF 15</v>
      </c>
      <c r="K243" s="196"/>
    </row>
    <row r="244" spans="1:11">
      <c r="A244" s="343" t="str">
        <f>type</f>
        <v xml:space="preserve">TYPE OF FILING: "X" ORIGINAL   UPDATED    REVISED  </v>
      </c>
      <c r="C244" s="196"/>
      <c r="D244" s="344"/>
      <c r="E244" s="196"/>
      <c r="F244" s="196"/>
      <c r="G244" s="196"/>
      <c r="H244" s="196"/>
      <c r="I244" s="196"/>
      <c r="J244" s="196"/>
      <c r="K244" s="196"/>
    </row>
    <row r="245" spans="1:11">
      <c r="B245" s="343"/>
      <c r="C245" s="196"/>
      <c r="D245" s="344"/>
      <c r="E245" s="196"/>
      <c r="F245" s="196"/>
      <c r="G245" s="196"/>
      <c r="H245" s="196"/>
      <c r="I245" s="196"/>
      <c r="J245" s="196"/>
      <c r="K245" s="196"/>
    </row>
    <row r="246" spans="1:11">
      <c r="B246" s="343"/>
      <c r="C246" s="196"/>
      <c r="D246" s="344"/>
      <c r="E246" s="196"/>
      <c r="F246" s="196"/>
      <c r="G246" s="196"/>
      <c r="H246" s="196"/>
      <c r="I246" s="196"/>
      <c r="J246" s="196"/>
      <c r="K246" s="196"/>
    </row>
    <row r="247" spans="1:11">
      <c r="A247" s="344" t="s">
        <v>914</v>
      </c>
      <c r="B247" s="196"/>
      <c r="C247" s="196"/>
      <c r="D247" s="344"/>
      <c r="E247" s="196"/>
      <c r="F247" s="344" t="str">
        <f>$F$8</f>
        <v>TOTAL</v>
      </c>
      <c r="G247" s="545" t="s">
        <v>1005</v>
      </c>
      <c r="H247" s="533"/>
      <c r="I247" s="534"/>
      <c r="J247" s="344" t="s">
        <v>229</v>
      </c>
      <c r="K247" s="344" t="s">
        <v>342</v>
      </c>
    </row>
    <row r="248" spans="1:11">
      <c r="A248" s="346" t="s">
        <v>915</v>
      </c>
      <c r="B248" s="345" t="s">
        <v>954</v>
      </c>
      <c r="C248" s="345"/>
      <c r="D248" s="346" t="s">
        <v>337</v>
      </c>
      <c r="E248" s="345"/>
      <c r="F248" s="346" t="str">
        <f>$F$9</f>
        <v>STORAGE</v>
      </c>
      <c r="G248" s="546" t="s">
        <v>847</v>
      </c>
      <c r="H248" s="535" t="s">
        <v>848</v>
      </c>
      <c r="I248" s="536" t="s">
        <v>849</v>
      </c>
      <c r="J248" s="346" t="s">
        <v>341</v>
      </c>
      <c r="K248" s="346" t="s">
        <v>340</v>
      </c>
    </row>
    <row r="249" spans="1:11">
      <c r="C249" s="578" t="s">
        <v>558</v>
      </c>
      <c r="D249" s="344"/>
      <c r="E249" s="196"/>
      <c r="G249" s="800">
        <f>$G$10</f>
        <v>3</v>
      </c>
      <c r="H249" s="801">
        <f>$H$10</f>
        <v>4</v>
      </c>
      <c r="I249" s="802">
        <f>$I$10</f>
        <v>5</v>
      </c>
    </row>
    <row r="250" spans="1:11">
      <c r="A250" s="333">
        <v>1</v>
      </c>
      <c r="B250" s="332" t="s">
        <v>826</v>
      </c>
      <c r="D250" s="344"/>
      <c r="E250" s="196"/>
      <c r="G250" s="547"/>
      <c r="H250" s="537"/>
      <c r="I250" s="538"/>
    </row>
    <row r="251" spans="1:11">
      <c r="A251" s="333">
        <v>2</v>
      </c>
      <c r="B251" s="332" t="s">
        <v>29</v>
      </c>
      <c r="D251" s="344"/>
      <c r="E251" s="196"/>
      <c r="G251" s="547"/>
      <c r="H251" s="537"/>
      <c r="I251" s="538"/>
    </row>
    <row r="252" spans="1:11">
      <c r="A252" s="333">
        <v>3</v>
      </c>
      <c r="C252" s="332" t="str">
        <f>'FR-16(7)(v)-1 Functional'!C252</f>
        <v>UNCOLLECTIBLE ACCTS</v>
      </c>
      <c r="D252" s="344" t="str">
        <f>'FR-16(7)(v)-1 Functional'!D252</f>
        <v>K406</v>
      </c>
      <c r="F252" s="479">
        <f>'FR-16(7)(v)-1 Functional'!H252</f>
        <v>0</v>
      </c>
      <c r="G252" s="548">
        <f>F252-SUM(H252:I252)</f>
        <v>0</v>
      </c>
      <c r="H252" s="539">
        <f t="shared" ref="H252:H274" si="81">ROUND(F252*VLOOKUP(D252,AllocTable_Classified_Storage,$H$10,FALSE),0)</f>
        <v>0</v>
      </c>
      <c r="I252" s="540">
        <f t="shared" ref="I252:I274" si="82">ROUND(F252*VLOOKUP(D252,AllocTable_Classified_Storage,$I$10,FALSE),0)</f>
        <v>0</v>
      </c>
      <c r="J252" s="347">
        <f t="shared" ref="J252:J274" si="83">SUM(G252:I252)</f>
        <v>0</v>
      </c>
      <c r="K252" s="347">
        <f t="shared" ref="K252:K274" si="84">F252-J252</f>
        <v>0</v>
      </c>
    </row>
    <row r="253" spans="1:11">
      <c r="A253" s="333">
        <v>4</v>
      </c>
      <c r="C253" s="332" t="str">
        <f>'FR-16(7)(v)-1 Functional'!C253</f>
        <v>GAS SUPPLIER REFUND</v>
      </c>
      <c r="D253" s="344" t="str">
        <f>'FR-16(7)(v)-1 Functional'!D253</f>
        <v>K300</v>
      </c>
      <c r="F253" s="479">
        <f>'FR-16(7)(v)-1 Functional'!H253</f>
        <v>0</v>
      </c>
      <c r="G253" s="548">
        <f t="shared" ref="G253:G274" si="85">F253-SUM(H253:I253)</f>
        <v>0</v>
      </c>
      <c r="H253" s="539">
        <f t="shared" si="81"/>
        <v>0</v>
      </c>
      <c r="I253" s="540">
        <f t="shared" si="82"/>
        <v>0</v>
      </c>
      <c r="J253" s="347">
        <f t="shared" si="83"/>
        <v>0</v>
      </c>
      <c r="K253" s="347">
        <f t="shared" si="84"/>
        <v>0</v>
      </c>
    </row>
    <row r="254" spans="1:11">
      <c r="A254" s="333">
        <v>5</v>
      </c>
      <c r="C254" s="332" t="str">
        <f>'FR-16(7)(v)-1 Functional'!C254</f>
        <v>UNBILLED REVENUE - FUEL &amp; RATE REFUNDS</v>
      </c>
      <c r="D254" s="344" t="str">
        <f>'FR-16(7)(v)-1 Functional'!D254</f>
        <v>K300</v>
      </c>
      <c r="F254" s="479">
        <f>'FR-16(7)(v)-1 Functional'!H254</f>
        <v>0</v>
      </c>
      <c r="G254" s="548">
        <f t="shared" si="85"/>
        <v>0</v>
      </c>
      <c r="H254" s="539">
        <f t="shared" si="81"/>
        <v>0</v>
      </c>
      <c r="I254" s="540">
        <f t="shared" si="82"/>
        <v>0</v>
      </c>
      <c r="J254" s="347">
        <f t="shared" si="83"/>
        <v>0</v>
      </c>
      <c r="K254" s="347">
        <f t="shared" si="84"/>
        <v>0</v>
      </c>
    </row>
    <row r="255" spans="1:11">
      <c r="A255" s="333">
        <v>6</v>
      </c>
      <c r="C255" s="353" t="str">
        <f>'FR-16(7)(v)-1 Functional'!C255</f>
        <v>OFFSITE GAS STORAGE</v>
      </c>
      <c r="D255" s="344" t="str">
        <f>'FR-16(7)(v)-1 Functional'!D255</f>
        <v>K300</v>
      </c>
      <c r="F255" s="479">
        <f>'FR-16(7)(v)-1 Functional'!H255</f>
        <v>0</v>
      </c>
      <c r="G255" s="548">
        <f t="shared" si="85"/>
        <v>0</v>
      </c>
      <c r="H255" s="539">
        <f t="shared" si="81"/>
        <v>0</v>
      </c>
      <c r="I255" s="540">
        <f t="shared" si="82"/>
        <v>0</v>
      </c>
      <c r="J255" s="347">
        <f t="shared" si="83"/>
        <v>0</v>
      </c>
      <c r="K255" s="347">
        <f t="shared" si="84"/>
        <v>0</v>
      </c>
    </row>
    <row r="256" spans="1:11">
      <c r="A256" s="333">
        <v>7</v>
      </c>
      <c r="C256" s="332" t="str">
        <f>'FR-16(7)(v)-1 Functional'!C256</f>
        <v>GAS METERS</v>
      </c>
      <c r="D256" s="344" t="str">
        <f>'FR-16(7)(v)-1 Functional'!D256</f>
        <v>K413</v>
      </c>
      <c r="F256" s="479">
        <f>'FR-16(7)(v)-1 Functional'!H256</f>
        <v>0</v>
      </c>
      <c r="G256" s="548">
        <f t="shared" si="85"/>
        <v>0</v>
      </c>
      <c r="H256" s="539">
        <f t="shared" si="81"/>
        <v>0</v>
      </c>
      <c r="I256" s="540">
        <f t="shared" si="82"/>
        <v>0</v>
      </c>
      <c r="J256" s="347">
        <f t="shared" si="83"/>
        <v>0</v>
      </c>
      <c r="K256" s="347">
        <f t="shared" si="84"/>
        <v>0</v>
      </c>
    </row>
    <row r="257" spans="1:11">
      <c r="A257" s="333">
        <v>8</v>
      </c>
      <c r="C257" s="332" t="str">
        <f>'FR-16(7)(v)-1 Functional'!C257</f>
        <v>UNAMORTIZED DEBT PREMIUM</v>
      </c>
      <c r="D257" s="344" t="str">
        <f>'FR-16(7)(v)-1 Functional'!D257</f>
        <v>NP29</v>
      </c>
      <c r="F257" s="479">
        <f>'FR-16(7)(v)-1 Functional'!H257</f>
        <v>0</v>
      </c>
      <c r="G257" s="548">
        <f t="shared" si="85"/>
        <v>0</v>
      </c>
      <c r="H257" s="539">
        <f t="shared" si="81"/>
        <v>0</v>
      </c>
      <c r="I257" s="540">
        <f t="shared" si="82"/>
        <v>0</v>
      </c>
      <c r="J257" s="347">
        <f t="shared" si="83"/>
        <v>0</v>
      </c>
      <c r="K257" s="347">
        <f t="shared" si="84"/>
        <v>0</v>
      </c>
    </row>
    <row r="258" spans="1:11">
      <c r="A258" s="333">
        <v>9</v>
      </c>
      <c r="C258" s="332" t="str">
        <f>'FR-16(7)(v)-1 Functional'!C258</f>
        <v>ARO CUMULATIVE EFFECT</v>
      </c>
      <c r="D258" s="344" t="str">
        <f>'FR-16(7)(v)-1 Functional'!D258</f>
        <v>NP29</v>
      </c>
      <c r="F258" s="479">
        <f>'FR-16(7)(v)-1 Functional'!H258</f>
        <v>0</v>
      </c>
      <c r="G258" s="548">
        <f t="shared" si="85"/>
        <v>0</v>
      </c>
      <c r="H258" s="539">
        <f t="shared" si="81"/>
        <v>0</v>
      </c>
      <c r="I258" s="540">
        <f t="shared" si="82"/>
        <v>0</v>
      </c>
      <c r="J258" s="347">
        <f t="shared" si="83"/>
        <v>0</v>
      </c>
      <c r="K258" s="347">
        <f t="shared" si="84"/>
        <v>0</v>
      </c>
    </row>
    <row r="259" spans="1:11">
      <c r="A259" s="333">
        <v>10</v>
      </c>
      <c r="C259" s="332" t="str">
        <f>'FR-16(7)(v)-1 Functional'!C259</f>
        <v>PENSION EXPENSE</v>
      </c>
      <c r="D259" s="344" t="str">
        <f>'FR-16(7)(v)-1 Functional'!D259</f>
        <v>AG39</v>
      </c>
      <c r="F259" s="479">
        <f>'FR-16(7)(v)-1 Functional'!H259</f>
        <v>0</v>
      </c>
      <c r="G259" s="548">
        <f t="shared" si="85"/>
        <v>0</v>
      </c>
      <c r="H259" s="539">
        <f t="shared" si="81"/>
        <v>0</v>
      </c>
      <c r="I259" s="540">
        <f t="shared" si="82"/>
        <v>0</v>
      </c>
      <c r="J259" s="347">
        <f t="shared" si="83"/>
        <v>0</v>
      </c>
      <c r="K259" s="347">
        <f t="shared" si="84"/>
        <v>0</v>
      </c>
    </row>
    <row r="260" spans="1:11">
      <c r="A260" s="333">
        <v>11</v>
      </c>
      <c r="C260" s="332" t="str">
        <f>'FR-16(7)(v)-1 Functional'!C260</f>
        <v>POST RETIREMENT BENEFITS - LIFE INS</v>
      </c>
      <c r="D260" s="344" t="str">
        <f>'FR-16(7)(v)-1 Functional'!D260</f>
        <v>AG39</v>
      </c>
      <c r="F260" s="479">
        <f>'FR-16(7)(v)-1 Functional'!H260</f>
        <v>0</v>
      </c>
      <c r="G260" s="548">
        <f t="shared" si="85"/>
        <v>0</v>
      </c>
      <c r="H260" s="539">
        <f t="shared" si="81"/>
        <v>0</v>
      </c>
      <c r="I260" s="540">
        <f t="shared" si="82"/>
        <v>0</v>
      </c>
      <c r="J260" s="347">
        <f t="shared" si="83"/>
        <v>0</v>
      </c>
      <c r="K260" s="347">
        <f t="shared" si="84"/>
        <v>0</v>
      </c>
    </row>
    <row r="261" spans="1:11">
      <c r="A261" s="333">
        <v>12</v>
      </c>
      <c r="C261" s="332" t="str">
        <f>'FR-16(7)(v)-1 Functional'!C261</f>
        <v>POST RETIREMENT BENEFITS - HEALTH CARE</v>
      </c>
      <c r="D261" s="344" t="str">
        <f>'FR-16(7)(v)-1 Functional'!D261</f>
        <v>AG39</v>
      </c>
      <c r="F261" s="479">
        <f>'FR-16(7)(v)-1 Functional'!H261</f>
        <v>0</v>
      </c>
      <c r="G261" s="548">
        <f t="shared" si="85"/>
        <v>0</v>
      </c>
      <c r="H261" s="539">
        <f t="shared" si="81"/>
        <v>0</v>
      </c>
      <c r="I261" s="540">
        <f t="shared" si="82"/>
        <v>0</v>
      </c>
      <c r="J261" s="347">
        <f t="shared" si="83"/>
        <v>0</v>
      </c>
      <c r="K261" s="347">
        <f t="shared" si="84"/>
        <v>0</v>
      </c>
    </row>
    <row r="262" spans="1:11">
      <c r="A262" s="333">
        <v>13</v>
      </c>
      <c r="C262" s="332" t="str">
        <f>'FR-16(7)(v)-1 Functional'!C262</f>
        <v>POST EMPLOYMENT BENEFITS - SFAS 112</v>
      </c>
      <c r="D262" s="344" t="str">
        <f>'FR-16(7)(v)-1 Functional'!D262</f>
        <v>AG39</v>
      </c>
      <c r="F262" s="479">
        <f>'FR-16(7)(v)-1 Functional'!H262</f>
        <v>0</v>
      </c>
      <c r="G262" s="548">
        <f t="shared" si="85"/>
        <v>0</v>
      </c>
      <c r="H262" s="539">
        <f t="shared" si="81"/>
        <v>0</v>
      </c>
      <c r="I262" s="540">
        <f t="shared" si="82"/>
        <v>0</v>
      </c>
      <c r="J262" s="347">
        <f t="shared" si="83"/>
        <v>0</v>
      </c>
      <c r="K262" s="347">
        <f t="shared" si="84"/>
        <v>0</v>
      </c>
    </row>
    <row r="263" spans="1:11">
      <c r="A263" s="333">
        <v>14</v>
      </c>
      <c r="C263" s="332" t="str">
        <f>'FR-16(7)(v)-1 Functional'!C263</f>
        <v>OPEB EXPENSE ACCRUAL</v>
      </c>
      <c r="D263" s="344" t="str">
        <f>'FR-16(7)(v)-1 Functional'!D263</f>
        <v>AG39</v>
      </c>
      <c r="F263" s="479">
        <f>'FR-16(7)(v)-1 Functional'!H263</f>
        <v>0</v>
      </c>
      <c r="G263" s="548">
        <f t="shared" si="85"/>
        <v>0</v>
      </c>
      <c r="H263" s="539">
        <f t="shared" si="81"/>
        <v>0</v>
      </c>
      <c r="I263" s="540">
        <f t="shared" si="82"/>
        <v>0</v>
      </c>
      <c r="J263" s="347">
        <f t="shared" si="83"/>
        <v>0</v>
      </c>
      <c r="K263" s="347">
        <f t="shared" si="84"/>
        <v>0</v>
      </c>
    </row>
    <row r="264" spans="1:11">
      <c r="A264" s="333">
        <v>15</v>
      </c>
      <c r="C264" s="332" t="str">
        <f>'FR-16(7)(v)-1 Functional'!C264</f>
        <v>INCENTIVE PLAN</v>
      </c>
      <c r="D264" s="344" t="str">
        <f>'FR-16(7)(v)-1 Functional'!D264</f>
        <v>AG39</v>
      </c>
      <c r="F264" s="479">
        <f>'FR-16(7)(v)-1 Functional'!H264</f>
        <v>0</v>
      </c>
      <c r="G264" s="548">
        <f t="shared" si="85"/>
        <v>0</v>
      </c>
      <c r="H264" s="539">
        <f t="shared" si="81"/>
        <v>0</v>
      </c>
      <c r="I264" s="540">
        <f t="shared" si="82"/>
        <v>0</v>
      </c>
      <c r="J264" s="347">
        <f t="shared" si="83"/>
        <v>0</v>
      </c>
      <c r="K264" s="347">
        <f t="shared" si="84"/>
        <v>0</v>
      </c>
    </row>
    <row r="265" spans="1:11">
      <c r="A265" s="333">
        <v>16</v>
      </c>
      <c r="C265" s="332" t="str">
        <f>'FR-16(7)(v)-1 Functional'!C265</f>
        <v>FEDERAL DEFERRED TAX RECEIVEABLE</v>
      </c>
      <c r="D265" s="344" t="str">
        <f>'FR-16(7)(v)-1 Functional'!D265</f>
        <v>AG39</v>
      </c>
      <c r="F265" s="479">
        <f>'FR-16(7)(v)-1 Functional'!H265</f>
        <v>0</v>
      </c>
      <c r="G265" s="548">
        <f t="shared" si="85"/>
        <v>0</v>
      </c>
      <c r="H265" s="539">
        <f t="shared" si="81"/>
        <v>0</v>
      </c>
      <c r="I265" s="540">
        <f t="shared" si="82"/>
        <v>0</v>
      </c>
      <c r="J265" s="347">
        <f t="shared" si="83"/>
        <v>0</v>
      </c>
      <c r="K265" s="347">
        <f t="shared" si="84"/>
        <v>0</v>
      </c>
    </row>
    <row r="266" spans="1:11">
      <c r="A266" s="333">
        <v>17</v>
      </c>
      <c r="C266" s="332" t="str">
        <f>'FR-16(7)(v)-1 Functional'!C266</f>
        <v>DSM DEFERRAL</v>
      </c>
      <c r="D266" s="344" t="str">
        <f>'FR-16(7)(v)-1 Functional'!D266</f>
        <v>AG39</v>
      </c>
      <c r="F266" s="479">
        <f>'FR-16(7)(v)-1 Functional'!H266</f>
        <v>0</v>
      </c>
      <c r="G266" s="548">
        <f t="shared" si="85"/>
        <v>0</v>
      </c>
      <c r="H266" s="539">
        <f t="shared" si="81"/>
        <v>0</v>
      </c>
      <c r="I266" s="540">
        <f t="shared" si="82"/>
        <v>0</v>
      </c>
      <c r="J266" s="347">
        <f t="shared" si="83"/>
        <v>0</v>
      </c>
      <c r="K266" s="347">
        <f t="shared" si="84"/>
        <v>0</v>
      </c>
    </row>
    <row r="267" spans="1:11">
      <c r="A267" s="333">
        <v>18</v>
      </c>
      <c r="C267" s="332" t="str">
        <f>'FR-16(7)(v)-1 Functional'!C267</f>
        <v>PROPERTY TAX</v>
      </c>
      <c r="D267" s="344" t="str">
        <f>'FR-16(7)(v)-1 Functional'!D267</f>
        <v>P229</v>
      </c>
      <c r="F267" s="479">
        <f>'FR-16(7)(v)-1 Functional'!H267</f>
        <v>0</v>
      </c>
      <c r="G267" s="548">
        <f t="shared" si="85"/>
        <v>0</v>
      </c>
      <c r="H267" s="539">
        <f t="shared" si="81"/>
        <v>0</v>
      </c>
      <c r="I267" s="540">
        <f t="shared" si="82"/>
        <v>0</v>
      </c>
      <c r="J267" s="347">
        <f t="shared" si="83"/>
        <v>0</v>
      </c>
      <c r="K267" s="347">
        <f t="shared" si="84"/>
        <v>0</v>
      </c>
    </row>
    <row r="268" spans="1:11">
      <c r="A268" s="333">
        <v>19</v>
      </c>
      <c r="C268" s="353" t="str">
        <f>'FR-16(7)(v)-1 Functional'!C268</f>
        <v>PROPERTY TAX ON PROPANE</v>
      </c>
      <c r="D268" s="344" t="str">
        <f>'FR-16(7)(v)-1 Functional'!D268</f>
        <v>P229</v>
      </c>
      <c r="F268" s="479">
        <f>'FR-16(7)(v)-1 Functional'!H268</f>
        <v>0</v>
      </c>
      <c r="G268" s="548">
        <f t="shared" si="85"/>
        <v>0</v>
      </c>
      <c r="H268" s="539">
        <f t="shared" si="81"/>
        <v>0</v>
      </c>
      <c r="I268" s="540">
        <f t="shared" si="82"/>
        <v>0</v>
      </c>
      <c r="J268" s="347">
        <f t="shared" si="83"/>
        <v>0</v>
      </c>
      <c r="K268" s="347">
        <f t="shared" si="84"/>
        <v>0</v>
      </c>
    </row>
    <row r="269" spans="1:11">
      <c r="A269" s="333">
        <v>20</v>
      </c>
      <c r="C269" s="489" t="str">
        <f>'FR-16(7)(v)-1 Functional'!C269</f>
        <v>401K INCENTIVE PLAN</v>
      </c>
      <c r="D269" s="344" t="str">
        <f>'FR-16(7)(v)-1 Functional'!D269</f>
        <v>AG39</v>
      </c>
      <c r="F269" s="479">
        <f>'FR-16(7)(v)-1 Functional'!H269</f>
        <v>0</v>
      </c>
      <c r="G269" s="548">
        <f t="shared" si="85"/>
        <v>0</v>
      </c>
      <c r="H269" s="539">
        <f t="shared" si="81"/>
        <v>0</v>
      </c>
      <c r="I269" s="540">
        <f t="shared" si="82"/>
        <v>0</v>
      </c>
      <c r="J269" s="347">
        <f t="shared" si="83"/>
        <v>0</v>
      </c>
      <c r="K269" s="347">
        <f t="shared" si="84"/>
        <v>0</v>
      </c>
    </row>
    <row r="270" spans="1:11">
      <c r="A270" s="333">
        <v>21</v>
      </c>
      <c r="C270" s="332" t="str">
        <f>'FR-16(7)(v)-1 Functional'!C270</f>
        <v>ENVIRONMENTAL RESERVE</v>
      </c>
      <c r="D270" s="344" t="str">
        <f>'FR-16(7)(v)-1 Functional'!D270</f>
        <v>NP29</v>
      </c>
      <c r="F270" s="479">
        <f>'FR-16(7)(v)-1 Functional'!H270</f>
        <v>0</v>
      </c>
      <c r="G270" s="548">
        <f t="shared" si="85"/>
        <v>0</v>
      </c>
      <c r="H270" s="539">
        <f t="shared" si="81"/>
        <v>0</v>
      </c>
      <c r="I270" s="540">
        <f t="shared" si="82"/>
        <v>0</v>
      </c>
      <c r="J270" s="347">
        <f t="shared" si="83"/>
        <v>0</v>
      </c>
      <c r="K270" s="347">
        <f t="shared" si="84"/>
        <v>0</v>
      </c>
    </row>
    <row r="271" spans="1:11">
      <c r="A271" s="333">
        <v>22</v>
      </c>
      <c r="C271" s="332" t="str">
        <f>'FR-16(7)(v)-1 Functional'!C271</f>
        <v>VACATION PAY ACCRUALS</v>
      </c>
      <c r="D271" s="344" t="str">
        <f>'FR-16(7)(v)-1 Functional'!D271</f>
        <v>G129</v>
      </c>
      <c r="F271" s="479">
        <f>'FR-16(7)(v)-1 Functional'!H271</f>
        <v>0</v>
      </c>
      <c r="G271" s="548">
        <f t="shared" si="85"/>
        <v>0</v>
      </c>
      <c r="H271" s="539">
        <f t="shared" si="81"/>
        <v>0</v>
      </c>
      <c r="I271" s="540">
        <f t="shared" si="82"/>
        <v>0</v>
      </c>
      <c r="J271" s="347">
        <f t="shared" si="83"/>
        <v>0</v>
      </c>
      <c r="K271" s="347">
        <f t="shared" si="84"/>
        <v>0</v>
      </c>
    </row>
    <row r="272" spans="1:11">
      <c r="A272" s="333">
        <v>23</v>
      </c>
      <c r="C272" s="332" t="str">
        <f>'FR-16(7)(v)-1 Functional'!C272</f>
        <v>SMART GRID</v>
      </c>
      <c r="D272" s="344" t="str">
        <f>'FR-16(7)(v)-1 Functional'!D272</f>
        <v>K413</v>
      </c>
      <c r="F272" s="479">
        <f>'FR-16(7)(v)-1 Functional'!H272</f>
        <v>0</v>
      </c>
      <c r="G272" s="548">
        <f t="shared" si="85"/>
        <v>0</v>
      </c>
      <c r="H272" s="539">
        <f t="shared" si="81"/>
        <v>0</v>
      </c>
      <c r="I272" s="540">
        <f t="shared" si="82"/>
        <v>0</v>
      </c>
      <c r="J272" s="347">
        <f t="shared" si="83"/>
        <v>0</v>
      </c>
      <c r="K272" s="347">
        <f t="shared" si="84"/>
        <v>0</v>
      </c>
    </row>
    <row r="273" spans="1:11">
      <c r="A273" s="333">
        <v>24</v>
      </c>
      <c r="C273" s="332" t="str">
        <f>'FR-16(7)(v)-1 Functional'!C273</f>
        <v>METERS &amp; TRANSFORMERS</v>
      </c>
      <c r="D273" s="344" t="str">
        <f>'FR-16(7)(v)-1 Functional'!D273</f>
        <v>D249</v>
      </c>
      <c r="F273" s="479">
        <f>'FR-16(7)(v)-1 Functional'!H273</f>
        <v>0</v>
      </c>
      <c r="G273" s="548">
        <f t="shared" si="85"/>
        <v>0</v>
      </c>
      <c r="H273" s="539">
        <f t="shared" si="81"/>
        <v>0</v>
      </c>
      <c r="I273" s="540">
        <f t="shared" si="82"/>
        <v>0</v>
      </c>
      <c r="J273" s="347">
        <f t="shared" si="83"/>
        <v>0</v>
      </c>
      <c r="K273" s="347">
        <f t="shared" si="84"/>
        <v>0</v>
      </c>
    </row>
    <row r="274" spans="1:11">
      <c r="A274" s="333">
        <v>25</v>
      </c>
      <c r="C274" s="359" t="str">
        <f>'FR-16(7)(v)-1 Functional'!C274</f>
        <v>OTHER</v>
      </c>
      <c r="D274" s="344" t="str">
        <f>'FR-16(7)(v)-1 Functional'!D274</f>
        <v>AG39</v>
      </c>
      <c r="F274" s="479">
        <f>'FR-16(7)(v)-1 Functional'!H274</f>
        <v>0</v>
      </c>
      <c r="G274" s="548">
        <f t="shared" si="85"/>
        <v>0</v>
      </c>
      <c r="H274" s="539">
        <f t="shared" si="81"/>
        <v>0</v>
      </c>
      <c r="I274" s="540">
        <f t="shared" si="82"/>
        <v>0</v>
      </c>
      <c r="J274" s="347">
        <f t="shared" si="83"/>
        <v>0</v>
      </c>
      <c r="K274" s="347">
        <f t="shared" si="84"/>
        <v>0</v>
      </c>
    </row>
    <row r="275" spans="1:11">
      <c r="A275" s="333">
        <v>26</v>
      </c>
      <c r="C275" s="332" t="str">
        <f>'FR-16(7)(v)-1 Functional'!C275</f>
        <v xml:space="preserve">  TOTAL ACCOUNT 190</v>
      </c>
      <c r="D275" s="344"/>
      <c r="F275" s="348">
        <f t="shared" ref="F275:K275" si="86">SUM(F251:F274)</f>
        <v>0</v>
      </c>
      <c r="G275" s="549">
        <f t="shared" si="86"/>
        <v>0</v>
      </c>
      <c r="H275" s="541">
        <f t="shared" si="86"/>
        <v>0</v>
      </c>
      <c r="I275" s="542">
        <f t="shared" si="86"/>
        <v>0</v>
      </c>
      <c r="J275" s="348">
        <f t="shared" si="86"/>
        <v>0</v>
      </c>
      <c r="K275" s="348">
        <f t="shared" si="86"/>
        <v>0</v>
      </c>
    </row>
    <row r="276" spans="1:11">
      <c r="A276" s="333">
        <v>27</v>
      </c>
      <c r="D276" s="344"/>
      <c r="E276" s="196"/>
      <c r="G276" s="547"/>
      <c r="H276" s="537"/>
      <c r="I276" s="538"/>
    </row>
    <row r="277" spans="1:11">
      <c r="A277" s="333">
        <v>28</v>
      </c>
      <c r="B277" s="332" t="s">
        <v>30</v>
      </c>
      <c r="D277" s="344"/>
      <c r="E277" s="196"/>
      <c r="G277" s="547"/>
      <c r="H277" s="537"/>
      <c r="I277" s="538"/>
    </row>
    <row r="278" spans="1:11">
      <c r="A278" s="333">
        <v>29</v>
      </c>
      <c r="C278" s="365" t="str">
        <f>'FR-16(7)(v)-1 Functional'!C278</f>
        <v>RESERVED FOR FUTURE USE</v>
      </c>
      <c r="D278" s="344" t="str">
        <f>'FR-16(7)(v)-1 Functional'!D278</f>
        <v>D249</v>
      </c>
      <c r="F278" s="479">
        <f>'FR-16(7)(v)-1 Functional'!H278</f>
        <v>0</v>
      </c>
      <c r="G278" s="548">
        <f>F278-SUM(H278:I278)</f>
        <v>0</v>
      </c>
      <c r="H278" s="539">
        <f>ROUND(F278*VLOOKUP(D278,AllocTable_Classified_Storage,$H$10,FALSE),0)</f>
        <v>0</v>
      </c>
      <c r="I278" s="540">
        <f>ROUND(F278*VLOOKUP(D278,AllocTable_Classified_Storage,$I$10,FALSE),0)</f>
        <v>0</v>
      </c>
      <c r="J278" s="347">
        <f>SUM(G278:I278)</f>
        <v>0</v>
      </c>
      <c r="K278" s="347">
        <f>F278-J278</f>
        <v>0</v>
      </c>
    </row>
    <row r="279" spans="1:11">
      <c r="A279" s="333">
        <v>30</v>
      </c>
      <c r="C279" s="332" t="str">
        <f>'FR-16(7)(v)-1 Functional'!C279</f>
        <v>ANNUALIZE DEPRECIATION</v>
      </c>
      <c r="D279" s="344" t="str">
        <f>'FR-16(7)(v)-1 Functional'!D279</f>
        <v>NP29</v>
      </c>
      <c r="F279" s="477">
        <v>0</v>
      </c>
      <c r="G279" s="548">
        <f>ROUND(F279*VLOOKUP(D279,AllocTable_Classified_Storage,$G$10,FALSE),0)</f>
        <v>0</v>
      </c>
      <c r="H279" s="539">
        <f>ROUND(F279*VLOOKUP(D279,AllocTable_Classified_Storage,$H$10,FALSE),0)</f>
        <v>0</v>
      </c>
      <c r="I279" s="540">
        <f>ROUND(F279*VLOOKUP(D279,AllocTable_Classified_Storage,$I$10,FALSE),0)</f>
        <v>0</v>
      </c>
      <c r="J279" s="347">
        <f>SUM(G279:I279)</f>
        <v>0</v>
      </c>
      <c r="K279" s="347">
        <f>F279-J279</f>
        <v>0</v>
      </c>
    </row>
    <row r="280" spans="1:11">
      <c r="A280" s="333">
        <v>31</v>
      </c>
      <c r="C280" s="332" t="str">
        <f>'FR-16(7)(v)-1 Functional'!C280</f>
        <v>ELIMINATE UNBILLED REVENUE AND GAS COSTS</v>
      </c>
      <c r="D280" s="344" t="str">
        <f>'FR-16(7)(v)-1 Functional'!D280</f>
        <v>K300</v>
      </c>
      <c r="F280" s="477">
        <v>0</v>
      </c>
      <c r="G280" s="548">
        <f>ROUND(F280*VLOOKUP(D280,AllocTable_Classified_Storage,$G$10,FALSE),0)</f>
        <v>0</v>
      </c>
      <c r="H280" s="539">
        <f>ROUND(F280*VLOOKUP(D280,AllocTable_Classified_Storage,$H$10,FALSE),0)</f>
        <v>0</v>
      </c>
      <c r="I280" s="540">
        <f>ROUND(F280*VLOOKUP(D280,AllocTable_Classified_Storage,$I$10,FALSE),0)</f>
        <v>0</v>
      </c>
      <c r="J280" s="347">
        <f>SUM(G280:I280)</f>
        <v>0</v>
      </c>
      <c r="K280" s="347">
        <f>F280-J280</f>
        <v>0</v>
      </c>
    </row>
    <row r="281" spans="1:11">
      <c r="A281" s="333">
        <v>32</v>
      </c>
      <c r="C281" s="339" t="str">
        <f>'FR-16(7)(v)-1 Functional'!C281</f>
        <v xml:space="preserve">  OTHER</v>
      </c>
      <c r="D281" s="344"/>
      <c r="F281" s="348">
        <f>SUM(F278:F280)</f>
        <v>0</v>
      </c>
      <c r="G281" s="549">
        <f>SUM(G277:G280)</f>
        <v>0</v>
      </c>
      <c r="H281" s="541">
        <f>SUM(H277:H280)</f>
        <v>0</v>
      </c>
      <c r="I281" s="542">
        <f>SUM(I277:I280)</f>
        <v>0</v>
      </c>
      <c r="J281" s="348">
        <f>SUM(J277:J280)</f>
        <v>0</v>
      </c>
      <c r="K281" s="348">
        <f>SUM(K277:K280)</f>
        <v>0</v>
      </c>
    </row>
    <row r="282" spans="1:11">
      <c r="A282" s="333">
        <v>33</v>
      </c>
      <c r="D282" s="344"/>
      <c r="F282" s="335" t="s">
        <v>343</v>
      </c>
      <c r="G282" s="547"/>
      <c r="H282" s="537"/>
      <c r="I282" s="538"/>
    </row>
    <row r="283" spans="1:11">
      <c r="A283" s="333">
        <v>34</v>
      </c>
      <c r="B283" s="332" t="s">
        <v>825</v>
      </c>
      <c r="D283" s="344"/>
      <c r="F283" s="347">
        <f t="shared" ref="F283:K283" si="87">F275+F281</f>
        <v>0</v>
      </c>
      <c r="G283" s="550">
        <f t="shared" si="87"/>
        <v>0</v>
      </c>
      <c r="H283" s="543">
        <f t="shared" si="87"/>
        <v>0</v>
      </c>
      <c r="I283" s="544">
        <f t="shared" si="87"/>
        <v>0</v>
      </c>
      <c r="J283" s="347">
        <f t="shared" si="87"/>
        <v>0</v>
      </c>
      <c r="K283" s="347">
        <f t="shared" si="87"/>
        <v>0</v>
      </c>
    </row>
    <row r="284" spans="1:11">
      <c r="B284" s="343"/>
      <c r="C284" s="196"/>
      <c r="D284" s="344"/>
      <c r="E284" s="196"/>
      <c r="F284" s="196"/>
      <c r="G284" s="196"/>
      <c r="H284" s="196"/>
      <c r="I284" s="196"/>
      <c r="J284" s="196"/>
      <c r="K284" s="196"/>
    </row>
    <row r="285" spans="1:11">
      <c r="A285" s="343" t="str">
        <f>co_name</f>
        <v>DUKE ENERGY KENTUCKY, INC.</v>
      </c>
      <c r="C285" s="196"/>
      <c r="D285" s="344"/>
      <c r="E285" s="196"/>
      <c r="F285" s="196"/>
      <c r="G285" s="196"/>
      <c r="H285" s="196"/>
      <c r="I285" s="196"/>
      <c r="J285" s="196" t="str">
        <f>$J$1</f>
        <v>FR-16(7)(v)-7</v>
      </c>
      <c r="K285" s="196"/>
    </row>
    <row r="286" spans="1:11">
      <c r="A286" s="343" t="str">
        <f>$A$2</f>
        <v>STORAGE CLASSIFIED -  GAS COST OF SERVICE</v>
      </c>
      <c r="C286" s="196"/>
      <c r="D286" s="344"/>
      <c r="E286" s="196"/>
      <c r="F286" s="196"/>
      <c r="G286" s="196"/>
      <c r="H286" s="196"/>
      <c r="I286" s="196"/>
      <c r="J286" s="196" t="str">
        <f>$J$2</f>
        <v>WITNESS RESPONSIBLE:</v>
      </c>
      <c r="K286" s="196"/>
    </row>
    <row r="287" spans="1:11">
      <c r="A287" s="343" t="str">
        <f>case_name</f>
        <v>CASE NO: 2018-00261</v>
      </c>
      <c r="C287" s="196"/>
      <c r="D287" s="344"/>
      <c r="E287" s="196"/>
      <c r="F287" s="196"/>
      <c r="G287" s="196"/>
      <c r="H287" s="196"/>
      <c r="I287" s="196"/>
      <c r="J287" s="196" t="str">
        <f>Witness</f>
        <v>JAMES E. ZIOLKOWSKI</v>
      </c>
      <c r="K287" s="196"/>
    </row>
    <row r="288" spans="1:11">
      <c r="A288" s="343" t="str">
        <f>data_filing</f>
        <v>DATA: 12 MONTH FORECASTED PERIOD</v>
      </c>
      <c r="C288" s="196"/>
      <c r="D288" s="344"/>
      <c r="E288" s="196"/>
      <c r="F288" s="196"/>
      <c r="G288" s="196"/>
      <c r="H288" s="196"/>
      <c r="I288" s="196"/>
      <c r="J288" s="196" t="str">
        <f>"PAGE "&amp;Pages2-8&amp;" OF "&amp;Pages2</f>
        <v>PAGE 7 OF 15</v>
      </c>
      <c r="K288" s="196"/>
    </row>
    <row r="289" spans="1:13">
      <c r="A289" s="343" t="str">
        <f>type</f>
        <v xml:space="preserve">TYPE OF FILING: "X" ORIGINAL   UPDATED    REVISED  </v>
      </c>
      <c r="C289" s="196"/>
      <c r="D289" s="344"/>
      <c r="E289" s="196"/>
      <c r="F289" s="196"/>
      <c r="G289" s="196"/>
      <c r="H289" s="196"/>
      <c r="I289" s="196"/>
      <c r="J289" s="196"/>
      <c r="K289" s="196"/>
    </row>
    <row r="290" spans="1:13">
      <c r="B290" s="343"/>
      <c r="C290" s="196"/>
      <c r="D290" s="344"/>
      <c r="E290" s="196"/>
      <c r="F290" s="196"/>
      <c r="G290" s="196"/>
      <c r="H290" s="196"/>
      <c r="I290" s="196"/>
      <c r="J290" s="196"/>
      <c r="K290" s="196"/>
    </row>
    <row r="291" spans="1:13">
      <c r="B291" s="343"/>
      <c r="C291" s="196"/>
      <c r="D291" s="344"/>
      <c r="E291" s="196"/>
      <c r="F291" s="196"/>
      <c r="G291" s="196"/>
      <c r="H291" s="196"/>
      <c r="I291" s="196"/>
      <c r="J291" s="196"/>
      <c r="K291" s="196"/>
    </row>
    <row r="292" spans="1:13">
      <c r="A292" s="344" t="s">
        <v>914</v>
      </c>
      <c r="B292" s="196"/>
      <c r="C292" s="196"/>
      <c r="D292" s="344"/>
      <c r="E292" s="196"/>
      <c r="F292" s="344" t="str">
        <f>$F$8</f>
        <v>TOTAL</v>
      </c>
      <c r="G292" s="545" t="s">
        <v>1005</v>
      </c>
      <c r="H292" s="533"/>
      <c r="I292" s="534"/>
      <c r="J292" s="344" t="s">
        <v>229</v>
      </c>
      <c r="K292" s="344" t="s">
        <v>342</v>
      </c>
    </row>
    <row r="293" spans="1:13">
      <c r="A293" s="346" t="s">
        <v>915</v>
      </c>
      <c r="B293" s="345" t="s">
        <v>32</v>
      </c>
      <c r="C293" s="345"/>
      <c r="D293" s="346" t="s">
        <v>337</v>
      </c>
      <c r="E293" s="345"/>
      <c r="F293" s="346" t="str">
        <f>$F$9</f>
        <v>STORAGE</v>
      </c>
      <c r="G293" s="546" t="s">
        <v>847</v>
      </c>
      <c r="H293" s="535" t="s">
        <v>848</v>
      </c>
      <c r="I293" s="536" t="s">
        <v>849</v>
      </c>
      <c r="J293" s="346" t="s">
        <v>341</v>
      </c>
      <c r="K293" s="346" t="s">
        <v>340</v>
      </c>
    </row>
    <row r="294" spans="1:13">
      <c r="C294" s="578" t="s">
        <v>559</v>
      </c>
      <c r="D294" s="344"/>
      <c r="E294" s="490"/>
      <c r="F294" s="491"/>
      <c r="G294" s="800">
        <f>$G$10</f>
        <v>3</v>
      </c>
      <c r="H294" s="801">
        <f>$H$10</f>
        <v>4</v>
      </c>
      <c r="I294" s="802">
        <f>$I$10</f>
        <v>5</v>
      </c>
      <c r="J294" s="490"/>
      <c r="K294" s="490"/>
    </row>
    <row r="295" spans="1:13">
      <c r="C295" s="578"/>
      <c r="D295" s="344"/>
      <c r="E295" s="490"/>
      <c r="F295" s="491"/>
      <c r="G295" s="800"/>
      <c r="H295" s="801"/>
      <c r="I295" s="802"/>
      <c r="J295" s="490"/>
      <c r="K295" s="490"/>
    </row>
    <row r="296" spans="1:13">
      <c r="A296" s="333">
        <v>1</v>
      </c>
      <c r="B296" s="332" t="s">
        <v>31</v>
      </c>
      <c r="D296" s="344"/>
      <c r="E296" s="196"/>
      <c r="F296" s="347">
        <f t="shared" ref="F296:K296" si="88">F191-F238+F283</f>
        <v>0</v>
      </c>
      <c r="G296" s="548">
        <f t="shared" si="88"/>
        <v>0</v>
      </c>
      <c r="H296" s="539">
        <f t="shared" si="88"/>
        <v>0</v>
      </c>
      <c r="I296" s="540">
        <f t="shared" si="88"/>
        <v>0</v>
      </c>
      <c r="J296" s="347">
        <f t="shared" si="88"/>
        <v>0</v>
      </c>
      <c r="K296" s="347">
        <f t="shared" si="88"/>
        <v>0</v>
      </c>
    </row>
    <row r="297" spans="1:13">
      <c r="A297" s="333">
        <v>2</v>
      </c>
      <c r="D297" s="344"/>
      <c r="E297" s="196"/>
      <c r="G297" s="547"/>
      <c r="H297" s="537"/>
      <c r="I297" s="538"/>
    </row>
    <row r="298" spans="1:13">
      <c r="A298" s="333">
        <v>3</v>
      </c>
      <c r="B298" s="332" t="s">
        <v>32</v>
      </c>
      <c r="D298" s="344"/>
      <c r="E298" s="196"/>
      <c r="G298" s="547"/>
      <c r="H298" s="537"/>
      <c r="I298" s="538"/>
    </row>
    <row r="299" spans="1:13">
      <c r="A299" s="333">
        <v>4</v>
      </c>
      <c r="D299" s="344"/>
      <c r="E299" s="196"/>
      <c r="G299" s="547"/>
      <c r="H299" s="537"/>
      <c r="I299" s="538"/>
    </row>
    <row r="300" spans="1:13">
      <c r="A300" s="333">
        <v>5</v>
      </c>
      <c r="B300" s="332" t="s">
        <v>33</v>
      </c>
      <c r="D300" s="344"/>
      <c r="E300" s="196"/>
      <c r="G300" s="547"/>
      <c r="H300" s="537"/>
      <c r="I300" s="538"/>
    </row>
    <row r="301" spans="1:13">
      <c r="A301" s="333">
        <v>6</v>
      </c>
      <c r="C301" s="332" t="str">
        <f>'FR-16(7)(v)-1 Functional'!C301</f>
        <v>GAS ENRICHER LIQUID</v>
      </c>
      <c r="D301" s="344" t="str">
        <f>'FR-16(7)(v)-1 Functional'!D301</f>
        <v>K301</v>
      </c>
      <c r="E301" s="196"/>
      <c r="F301" s="479">
        <f>'FR-16(7)(v)-1 Functional'!H301</f>
        <v>0</v>
      </c>
      <c r="G301" s="548">
        <f>ROUND(F301*VLOOKUP(D301,AllocTable_Classified_Storage,$G$10,FALSE),0)</f>
        <v>0</v>
      </c>
      <c r="H301" s="539">
        <f>ROUND(F301*VLOOKUP(D301,AllocTable_Classified_Storage,$H$10,FALSE),0)</f>
        <v>0</v>
      </c>
      <c r="I301" s="540">
        <f>ROUND(F301*VLOOKUP(D301,AllocTable_Classified_Storage,$I$10,FALSE),0)</f>
        <v>0</v>
      </c>
      <c r="J301" s="347">
        <f>SUM(G301:I301)</f>
        <v>0</v>
      </c>
      <c r="K301" s="347">
        <f>F301-J301</f>
        <v>0</v>
      </c>
      <c r="M301" s="335"/>
    </row>
    <row r="302" spans="1:13">
      <c r="A302" s="333">
        <v>7</v>
      </c>
      <c r="C302" s="359" t="str">
        <f>'FR-16(7)(v)-1 Functional'!C302</f>
        <v>OTHER SUPPLIES</v>
      </c>
      <c r="D302" s="344" t="str">
        <f>'FR-16(7)(v)-1 Functional'!D302</f>
        <v>NP29</v>
      </c>
      <c r="E302" s="196"/>
      <c r="F302" s="479">
        <f>'FR-16(7)(v)-1 Functional'!H302</f>
        <v>0</v>
      </c>
      <c r="G302" s="548">
        <f>ROUND(F302*VLOOKUP(D302,AllocTable_Classified_Storage,$G$10,FALSE),0)</f>
        <v>0</v>
      </c>
      <c r="H302" s="539">
        <f>ROUND(F302*VLOOKUP(D302,AllocTable_Classified_Storage,$H$10,FALSE),0)</f>
        <v>0</v>
      </c>
      <c r="I302" s="540">
        <f>ROUND(F302*VLOOKUP(D302,AllocTable_Classified_Storage,$I$10,FALSE),0)</f>
        <v>0</v>
      </c>
      <c r="J302" s="347">
        <f>SUM(G302:I302)</f>
        <v>0</v>
      </c>
      <c r="K302" s="347">
        <f>F302-J302</f>
        <v>0</v>
      </c>
      <c r="M302" s="335"/>
    </row>
    <row r="303" spans="1:13">
      <c r="A303" s="333">
        <v>8</v>
      </c>
      <c r="C303" s="332" t="str">
        <f>'FR-16(7)(v)-1 Functional'!C303</f>
        <v xml:space="preserve">  TOTAL PLANT MATS. &amp; SUPPLIES</v>
      </c>
      <c r="D303" s="344"/>
      <c r="E303" s="196"/>
      <c r="F303" s="348">
        <f t="shared" ref="F303:K303" si="89">SUM(F300:F302)</f>
        <v>0</v>
      </c>
      <c r="G303" s="549">
        <f t="shared" si="89"/>
        <v>0</v>
      </c>
      <c r="H303" s="541">
        <f t="shared" si="89"/>
        <v>0</v>
      </c>
      <c r="I303" s="542">
        <f t="shared" si="89"/>
        <v>0</v>
      </c>
      <c r="J303" s="348">
        <f t="shared" si="89"/>
        <v>0</v>
      </c>
      <c r="K303" s="348">
        <f t="shared" si="89"/>
        <v>0</v>
      </c>
    </row>
    <row r="304" spans="1:13">
      <c r="A304" s="333">
        <v>9</v>
      </c>
      <c r="B304" s="332" t="s">
        <v>34</v>
      </c>
      <c r="D304" s="344"/>
      <c r="E304" s="196"/>
      <c r="F304" s="347">
        <f t="shared" ref="F304:K304" si="90">F303</f>
        <v>0</v>
      </c>
      <c r="G304" s="548">
        <f t="shared" si="90"/>
        <v>0</v>
      </c>
      <c r="H304" s="539">
        <f t="shared" si="90"/>
        <v>0</v>
      </c>
      <c r="I304" s="540">
        <f t="shared" si="90"/>
        <v>0</v>
      </c>
      <c r="J304" s="347">
        <f t="shared" si="90"/>
        <v>0</v>
      </c>
      <c r="K304" s="347">
        <f t="shared" si="90"/>
        <v>0</v>
      </c>
    </row>
    <row r="305" spans="1:13">
      <c r="A305" s="333">
        <v>10</v>
      </c>
      <c r="D305" s="344"/>
      <c r="E305" s="196"/>
      <c r="G305" s="547"/>
      <c r="H305" s="537"/>
      <c r="I305" s="538"/>
    </row>
    <row r="306" spans="1:13">
      <c r="A306" s="333">
        <v>11</v>
      </c>
      <c r="B306" s="332" t="s">
        <v>35</v>
      </c>
      <c r="D306" s="344"/>
      <c r="E306" s="196"/>
      <c r="G306" s="547"/>
      <c r="H306" s="537"/>
      <c r="I306" s="538"/>
    </row>
    <row r="307" spans="1:13">
      <c r="A307" s="333">
        <v>12</v>
      </c>
      <c r="C307" s="332" t="str">
        <f>'FR-16(7)(v)-1 Functional'!C307</f>
        <v>INSURANCE GENERAL</v>
      </c>
      <c r="D307" s="344" t="str">
        <f>'FR-16(7)(v)-1 Functional'!D307</f>
        <v>OM39</v>
      </c>
      <c r="E307" s="196"/>
      <c r="F307" s="479">
        <f>'FR-16(7)(v)-1 Functional'!H307</f>
        <v>0</v>
      </c>
      <c r="G307" s="548">
        <f>ROUND(F307*VLOOKUP(D307,AllocTable_Classified_Storage,$G$10,FALSE),0)</f>
        <v>0</v>
      </c>
      <c r="H307" s="539">
        <f>ROUND(F307*VLOOKUP(D307,AllocTable_Classified_Storage,$H$10,FALSE),0)</f>
        <v>0</v>
      </c>
      <c r="I307" s="540">
        <f>ROUND(F307*VLOOKUP(D307,AllocTable_Classified_Storage,$I$10,FALSE),0)</f>
        <v>0</v>
      </c>
      <c r="J307" s="347">
        <f>SUM(G307:I307)</f>
        <v>0</v>
      </c>
      <c r="K307" s="347">
        <f>F307-J307</f>
        <v>0</v>
      </c>
      <c r="M307" s="335"/>
    </row>
    <row r="308" spans="1:13">
      <c r="A308" s="333">
        <v>13</v>
      </c>
      <c r="C308" s="332" t="str">
        <f>'FR-16(7)(v)-1 Functional'!C308</f>
        <v>EXCISE TAX</v>
      </c>
      <c r="D308" s="344" t="str">
        <f>'FR-16(7)(v)-1 Functional'!D308</f>
        <v>OM39</v>
      </c>
      <c r="E308" s="196"/>
      <c r="F308" s="479">
        <f>'FR-16(7)(v)-1 Functional'!H308</f>
        <v>0</v>
      </c>
      <c r="G308" s="548">
        <f>ROUND(F308*VLOOKUP(D308,AllocTable_Classified_Storage,$G$10,FALSE),0)</f>
        <v>0</v>
      </c>
      <c r="H308" s="539">
        <f>ROUND(F308*VLOOKUP(D308,AllocTable_Classified_Storage,$H$10,FALSE),0)</f>
        <v>0</v>
      </c>
      <c r="I308" s="540">
        <f>ROUND(F308*VLOOKUP(D308,AllocTable_Classified_Storage,$I$10,FALSE),0)</f>
        <v>0</v>
      </c>
      <c r="J308" s="347">
        <f>SUM(G308:I308)</f>
        <v>0</v>
      </c>
      <c r="K308" s="347">
        <f>F308-J308</f>
        <v>0</v>
      </c>
      <c r="M308" s="335"/>
    </row>
    <row r="309" spans="1:13">
      <c r="A309" s="333">
        <v>14</v>
      </c>
      <c r="C309" s="332" t="str">
        <f>'FR-16(7)(v)-1 Functional'!C309</f>
        <v>GAS PURCHASE</v>
      </c>
      <c r="D309" s="344" t="str">
        <f>'FR-16(7)(v)-1 Functional'!D309</f>
        <v>K301</v>
      </c>
      <c r="E309" s="196"/>
      <c r="F309" s="479">
        <f>'FR-16(7)(v)-1 Functional'!H309</f>
        <v>0</v>
      </c>
      <c r="G309" s="548">
        <f>ROUND(F309*VLOOKUP(D309,AllocTable_Classified_Storage,$G$10,FALSE),0)</f>
        <v>0</v>
      </c>
      <c r="H309" s="539">
        <f>ROUND(F309*VLOOKUP(D309,AllocTable_Classified_Storage,$H$10,FALSE),0)</f>
        <v>0</v>
      </c>
      <c r="I309" s="540">
        <f>ROUND(F309*VLOOKUP(D309,AllocTable_Classified_Storage,$I$10,FALSE),0)</f>
        <v>0</v>
      </c>
      <c r="J309" s="347">
        <f>SUM(G309:I309)</f>
        <v>0</v>
      </c>
      <c r="K309" s="347">
        <f>F309-J309</f>
        <v>0</v>
      </c>
      <c r="M309" s="335"/>
    </row>
    <row r="310" spans="1:13">
      <c r="A310" s="333">
        <v>15</v>
      </c>
      <c r="C310" s="339" t="str">
        <f>'FR-16(7)(v)-1 Functional'!C310</f>
        <v xml:space="preserve">  TOTAL PREPAYMENTS</v>
      </c>
      <c r="D310" s="344"/>
      <c r="E310" s="196"/>
      <c r="F310" s="579">
        <f t="shared" ref="F310:K310" si="91">SUM(F306:F309)</f>
        <v>0</v>
      </c>
      <c r="G310" s="580">
        <f t="shared" si="91"/>
        <v>0</v>
      </c>
      <c r="H310" s="581">
        <f t="shared" si="91"/>
        <v>0</v>
      </c>
      <c r="I310" s="582">
        <f t="shared" si="91"/>
        <v>0</v>
      </c>
      <c r="J310" s="579">
        <f t="shared" si="91"/>
        <v>0</v>
      </c>
      <c r="K310" s="579">
        <f t="shared" si="91"/>
        <v>0</v>
      </c>
    </row>
    <row r="311" spans="1:13">
      <c r="A311" s="333">
        <v>16</v>
      </c>
      <c r="D311" s="344"/>
      <c r="E311" s="196"/>
      <c r="G311" s="547"/>
      <c r="H311" s="537"/>
      <c r="I311" s="538"/>
    </row>
    <row r="312" spans="1:13">
      <c r="A312" s="333">
        <v>17</v>
      </c>
      <c r="B312" s="332" t="s">
        <v>36</v>
      </c>
      <c r="D312" s="344"/>
      <c r="E312" s="196"/>
      <c r="F312" s="347">
        <f>IF(WorkingCap="No",0,ROUND((F433-F348-F353)/8,0))</f>
        <v>0</v>
      </c>
      <c r="G312" s="548">
        <f>IF(WorkingCap="No",0,ROUND((G433-G348-G353)/8,0))</f>
        <v>0</v>
      </c>
      <c r="H312" s="539">
        <f>IF(WorkingCap="No",0,ROUND((H433-H348-H353)/8,0))</f>
        <v>0</v>
      </c>
      <c r="I312" s="540">
        <f>IF(WorkingCap="No",0,ROUND((I433-I348-I353)/8,0))</f>
        <v>0</v>
      </c>
      <c r="J312" s="347">
        <f>SUM(G312:I312)</f>
        <v>0</v>
      </c>
      <c r="K312" s="347">
        <f>F312-J312</f>
        <v>0</v>
      </c>
    </row>
    <row r="313" spans="1:13">
      <c r="A313" s="333">
        <v>18</v>
      </c>
      <c r="B313" s="332" t="s">
        <v>37</v>
      </c>
      <c r="D313" s="344"/>
      <c r="E313" s="196"/>
      <c r="F313" s="347">
        <f t="shared" ref="F313:K313" si="92">F312</f>
        <v>0</v>
      </c>
      <c r="G313" s="548">
        <f t="shared" si="92"/>
        <v>0</v>
      </c>
      <c r="H313" s="539">
        <f t="shared" si="92"/>
        <v>0</v>
      </c>
      <c r="I313" s="540">
        <f t="shared" si="92"/>
        <v>0</v>
      </c>
      <c r="J313" s="347">
        <f t="shared" si="92"/>
        <v>0</v>
      </c>
      <c r="K313" s="347">
        <f t="shared" si="92"/>
        <v>0</v>
      </c>
    </row>
    <row r="314" spans="1:13">
      <c r="A314" s="333">
        <v>19</v>
      </c>
      <c r="D314" s="344"/>
      <c r="E314" s="196"/>
      <c r="G314" s="547"/>
      <c r="H314" s="537"/>
      <c r="I314" s="538"/>
    </row>
    <row r="315" spans="1:13">
      <c r="A315" s="333">
        <v>20</v>
      </c>
      <c r="B315" s="332" t="s">
        <v>38</v>
      </c>
      <c r="D315" s="344"/>
      <c r="E315" s="196"/>
      <c r="G315" s="547"/>
      <c r="H315" s="537"/>
      <c r="I315" s="538"/>
    </row>
    <row r="316" spans="1:13">
      <c r="A316" s="333">
        <v>21</v>
      </c>
      <c r="C316" s="618" t="str">
        <f>'FR-16(7)(v)-1 Functional'!C316</f>
        <v>GAS STORED UNDERGROUND</v>
      </c>
      <c r="D316" s="344" t="str">
        <f>'FR-16(7)(v)-1 Functional'!D316</f>
        <v>K301</v>
      </c>
      <c r="E316" s="196"/>
      <c r="F316" s="479">
        <f>'FR-16(7)(v)-1 Functional'!H316</f>
        <v>0</v>
      </c>
      <c r="G316" s="548">
        <f>ROUND(F316*VLOOKUP(D316,AllocTable_Classified_Storage,$G$10,FALSE),0)</f>
        <v>0</v>
      </c>
      <c r="H316" s="539">
        <f>ROUND(F316*VLOOKUP(D316,AllocTable_Classified_Storage,$H$10,FALSE),0)</f>
        <v>0</v>
      </c>
      <c r="I316" s="540">
        <f>ROUND(F316*VLOOKUP(D316,AllocTable_Classified_Storage,$I$10,FALSE),0)</f>
        <v>0</v>
      </c>
      <c r="J316" s="347">
        <f>SUM(G316:I316)</f>
        <v>0</v>
      </c>
      <c r="K316" s="347">
        <f>F316-J316</f>
        <v>0</v>
      </c>
      <c r="M316" s="335"/>
    </row>
    <row r="317" spans="1:13">
      <c r="A317" s="333">
        <v>22</v>
      </c>
      <c r="C317" s="353" t="str">
        <f>'FR-16(7)(v)-1 Functional'!C317</f>
        <v>PIPP UNCOLLECTIBLES</v>
      </c>
      <c r="D317" s="344" t="str">
        <f>'FR-16(7)(v)-1 Functional'!D317</f>
        <v>K406</v>
      </c>
      <c r="E317" s="196"/>
      <c r="F317" s="479">
        <f>'FR-16(7)(v)-1 Functional'!H317</f>
        <v>0</v>
      </c>
      <c r="G317" s="548">
        <f>ROUND(F317*VLOOKUP(D317,AllocTable_Classified_Storage,$G$10,FALSE),0)</f>
        <v>0</v>
      </c>
      <c r="H317" s="539">
        <f>ROUND(F317*VLOOKUP(D317,AllocTable_Classified_Storage,$H$10,FALSE),0)</f>
        <v>0</v>
      </c>
      <c r="I317" s="540">
        <f>ROUND(F317*VLOOKUP(D317,AllocTable_Classified_Storage,$I$10,FALSE),0)</f>
        <v>0</v>
      </c>
      <c r="J317" s="347">
        <f>SUM(G317:I317)</f>
        <v>0</v>
      </c>
      <c r="K317" s="347">
        <f>F317-J317</f>
        <v>0</v>
      </c>
      <c r="M317" s="335"/>
    </row>
    <row r="318" spans="1:13">
      <c r="A318" s="333">
        <v>23</v>
      </c>
      <c r="C318" s="511" t="str">
        <f>'FR-16(7)(v)-1 Functional'!C318</f>
        <v>RESERVED FOR FUTURE USE</v>
      </c>
      <c r="D318" s="344" t="str">
        <f>'FR-16(7)(v)-1 Functional'!D318</f>
        <v>D249</v>
      </c>
      <c r="E318" s="196"/>
      <c r="F318" s="479">
        <f>'FR-16(7)(v)-1 Functional'!H318</f>
        <v>0</v>
      </c>
      <c r="G318" s="548">
        <f>ROUND(F318*VLOOKUP(D318,AllocTable_Classified_Storage,$G$10,FALSE),0)</f>
        <v>0</v>
      </c>
      <c r="H318" s="539">
        <f>ROUND(F318*VLOOKUP(D318,AllocTable_Classified_Storage,$H$10,FALSE),0)</f>
        <v>0</v>
      </c>
      <c r="I318" s="540">
        <f>ROUND(F318*VLOOKUP(D318,AllocTable_Classified_Storage,$I$10,FALSE),0)</f>
        <v>0</v>
      </c>
      <c r="J318" s="347">
        <f>SUM(G318:I318)</f>
        <v>0</v>
      </c>
      <c r="K318" s="347">
        <f>F318-J318</f>
        <v>0</v>
      </c>
      <c r="M318" s="335"/>
    </row>
    <row r="319" spans="1:13">
      <c r="A319" s="333">
        <v>24</v>
      </c>
      <c r="C319" s="332" t="str">
        <f>'FR-16(7)(v)-1 Functional'!C319</f>
        <v xml:space="preserve">  TOTAL MISC WORK CAPITAL</v>
      </c>
      <c r="D319" s="344"/>
      <c r="E319" s="196"/>
      <c r="F319" s="348">
        <f t="shared" ref="F319:K319" si="93">SUM(F315:F318)</f>
        <v>0</v>
      </c>
      <c r="G319" s="549">
        <f t="shared" si="93"/>
        <v>0</v>
      </c>
      <c r="H319" s="541">
        <f t="shared" si="93"/>
        <v>0</v>
      </c>
      <c r="I319" s="542">
        <f t="shared" si="93"/>
        <v>0</v>
      </c>
      <c r="J319" s="348">
        <f t="shared" si="93"/>
        <v>0</v>
      </c>
      <c r="K319" s="348">
        <f t="shared" si="93"/>
        <v>0</v>
      </c>
    </row>
    <row r="320" spans="1:13">
      <c r="A320" s="333">
        <v>25</v>
      </c>
      <c r="D320" s="344"/>
      <c r="E320" s="196"/>
      <c r="G320" s="547"/>
      <c r="H320" s="537"/>
      <c r="I320" s="538"/>
    </row>
    <row r="321" spans="1:13">
      <c r="A321" s="333">
        <v>26</v>
      </c>
      <c r="B321" s="332" t="s">
        <v>39</v>
      </c>
      <c r="D321" s="344"/>
      <c r="E321" s="196"/>
      <c r="F321" s="347">
        <f t="shared" ref="F321:K321" si="94">F304+F310+F313+F319</f>
        <v>0</v>
      </c>
      <c r="G321" s="548">
        <f t="shared" si="94"/>
        <v>0</v>
      </c>
      <c r="H321" s="539">
        <f t="shared" si="94"/>
        <v>0</v>
      </c>
      <c r="I321" s="540">
        <f t="shared" si="94"/>
        <v>0</v>
      </c>
      <c r="J321" s="347">
        <f t="shared" si="94"/>
        <v>0</v>
      </c>
      <c r="K321" s="347">
        <f t="shared" si="94"/>
        <v>0</v>
      </c>
    </row>
    <row r="322" spans="1:13">
      <c r="A322" s="333">
        <v>27</v>
      </c>
      <c r="B322" s="332" t="s">
        <v>40</v>
      </c>
      <c r="D322" s="344"/>
      <c r="E322" s="196"/>
      <c r="G322" s="547"/>
      <c r="H322" s="537"/>
      <c r="I322" s="538"/>
    </row>
    <row r="323" spans="1:13">
      <c r="A323" s="333">
        <v>28</v>
      </c>
      <c r="C323" s="332" t="str">
        <f>'FR-16(7)(v)-1 Functional'!C323</f>
        <v>TOTAL ACCUMULATED DEFERRED INCOME TAXES</v>
      </c>
      <c r="D323" s="344"/>
      <c r="E323" s="196"/>
      <c r="F323" s="347">
        <f t="shared" ref="F323:K323" si="95">-F238</f>
        <v>0</v>
      </c>
      <c r="G323" s="548">
        <f t="shared" si="95"/>
        <v>0</v>
      </c>
      <c r="H323" s="539">
        <f t="shared" si="95"/>
        <v>0</v>
      </c>
      <c r="I323" s="540">
        <f t="shared" si="95"/>
        <v>0</v>
      </c>
      <c r="J323" s="347">
        <f t="shared" si="95"/>
        <v>0</v>
      </c>
      <c r="K323" s="347">
        <f t="shared" si="95"/>
        <v>0</v>
      </c>
      <c r="M323" s="335"/>
    </row>
    <row r="324" spans="1:13">
      <c r="A324" s="333">
        <v>29</v>
      </c>
      <c r="C324" s="332" t="str">
        <f>'FR-16(7)(v)-1 Functional'!C324</f>
        <v>TOTAL OTHER ACCUMULATED DEFERRED INCOME TAXES</v>
      </c>
      <c r="D324" s="344"/>
      <c r="E324" s="196"/>
      <c r="F324" s="347">
        <f t="shared" ref="F324:K324" si="96">F283</f>
        <v>0</v>
      </c>
      <c r="G324" s="548">
        <f t="shared" si="96"/>
        <v>0</v>
      </c>
      <c r="H324" s="539">
        <f t="shared" si="96"/>
        <v>0</v>
      </c>
      <c r="I324" s="540">
        <f t="shared" si="96"/>
        <v>0</v>
      </c>
      <c r="J324" s="347">
        <f t="shared" si="96"/>
        <v>0</v>
      </c>
      <c r="K324" s="347">
        <f t="shared" si="96"/>
        <v>0</v>
      </c>
      <c r="M324" s="335"/>
    </row>
    <row r="325" spans="1:13">
      <c r="A325" s="333">
        <v>30</v>
      </c>
      <c r="C325" s="359" t="str">
        <f>'FR-16(7)(v)-1 Functional'!C325</f>
        <v>TOTAL WORKING CAPITAL</v>
      </c>
      <c r="D325" s="344"/>
      <c r="E325" s="196"/>
      <c r="F325" s="347">
        <f t="shared" ref="F325:K325" si="97">F321</f>
        <v>0</v>
      </c>
      <c r="G325" s="548">
        <f t="shared" si="97"/>
        <v>0</v>
      </c>
      <c r="H325" s="539">
        <f t="shared" si="97"/>
        <v>0</v>
      </c>
      <c r="I325" s="540">
        <f t="shared" si="97"/>
        <v>0</v>
      </c>
      <c r="J325" s="347">
        <f t="shared" si="97"/>
        <v>0</v>
      </c>
      <c r="K325" s="347">
        <f t="shared" si="97"/>
        <v>0</v>
      </c>
      <c r="M325" s="335"/>
    </row>
    <row r="326" spans="1:13">
      <c r="A326" s="333">
        <v>31</v>
      </c>
      <c r="C326" s="332" t="str">
        <f>'FR-16(7)(v)-1 Functional'!C326</f>
        <v xml:space="preserve">  TOTAL RATE BASE ADJUSTMENTS</v>
      </c>
      <c r="D326" s="344"/>
      <c r="E326" s="196"/>
      <c r="F326" s="348">
        <f t="shared" ref="F326:K326" si="98">SUM(F322:F325)</f>
        <v>0</v>
      </c>
      <c r="G326" s="549">
        <f t="shared" si="98"/>
        <v>0</v>
      </c>
      <c r="H326" s="541">
        <f t="shared" si="98"/>
        <v>0</v>
      </c>
      <c r="I326" s="542">
        <f t="shared" si="98"/>
        <v>0</v>
      </c>
      <c r="J326" s="348">
        <f>SUM(J322:J325)</f>
        <v>0</v>
      </c>
      <c r="K326" s="348">
        <f t="shared" si="98"/>
        <v>0</v>
      </c>
    </row>
    <row r="327" spans="1:13">
      <c r="A327" s="333">
        <v>32</v>
      </c>
      <c r="D327" s="344"/>
      <c r="E327" s="196"/>
      <c r="G327" s="547"/>
      <c r="H327" s="537"/>
      <c r="I327" s="538"/>
    </row>
    <row r="328" spans="1:13">
      <c r="A328" s="333">
        <v>33</v>
      </c>
      <c r="B328" s="332" t="s">
        <v>41</v>
      </c>
      <c r="D328" s="344"/>
      <c r="E328" s="196"/>
      <c r="G328" s="547"/>
      <c r="H328" s="537"/>
      <c r="I328" s="538"/>
    </row>
    <row r="329" spans="1:13">
      <c r="A329" s="333">
        <v>34</v>
      </c>
      <c r="C329" s="332" t="str">
        <f>'FR-16(7)(v)-1 Functional'!C329</f>
        <v>NET GAS PLANT IN SERVICE</v>
      </c>
      <c r="D329" s="344"/>
      <c r="E329" s="196"/>
      <c r="F329" s="347">
        <f t="shared" ref="F329:K329" si="99">F191</f>
        <v>0</v>
      </c>
      <c r="G329" s="548">
        <f t="shared" si="99"/>
        <v>0</v>
      </c>
      <c r="H329" s="539">
        <f t="shared" si="99"/>
        <v>0</v>
      </c>
      <c r="I329" s="540">
        <f t="shared" si="99"/>
        <v>0</v>
      </c>
      <c r="J329" s="347">
        <f t="shared" si="99"/>
        <v>0</v>
      </c>
      <c r="K329" s="347">
        <f t="shared" si="99"/>
        <v>0</v>
      </c>
    </row>
    <row r="330" spans="1:13">
      <c r="A330" s="333">
        <v>35</v>
      </c>
      <c r="C330" s="359" t="str">
        <f>'FR-16(7)(v)-1 Functional'!C330</f>
        <v>TOTAL RATE BASE ADJUSTMENTS</v>
      </c>
      <c r="D330" s="344"/>
      <c r="E330" s="196"/>
      <c r="F330" s="347">
        <f t="shared" ref="F330:K330" si="100">F326</f>
        <v>0</v>
      </c>
      <c r="G330" s="548">
        <f t="shared" si="100"/>
        <v>0</v>
      </c>
      <c r="H330" s="539">
        <f t="shared" si="100"/>
        <v>0</v>
      </c>
      <c r="I330" s="540">
        <f t="shared" si="100"/>
        <v>0</v>
      </c>
      <c r="J330" s="347">
        <f t="shared" si="100"/>
        <v>0</v>
      </c>
      <c r="K330" s="347">
        <f t="shared" si="100"/>
        <v>0</v>
      </c>
    </row>
    <row r="331" spans="1:13">
      <c r="A331" s="333">
        <v>36</v>
      </c>
      <c r="C331" s="332" t="str">
        <f>'FR-16(7)(v)-1 Functional'!C331</f>
        <v xml:space="preserve">  TOTAL RATE BASE</v>
      </c>
      <c r="D331" s="344"/>
      <c r="E331" s="196"/>
      <c r="F331" s="348">
        <f t="shared" ref="F331:K331" si="101">SUM(F328:F330)</f>
        <v>0</v>
      </c>
      <c r="G331" s="549">
        <f t="shared" si="101"/>
        <v>0</v>
      </c>
      <c r="H331" s="541">
        <f t="shared" si="101"/>
        <v>0</v>
      </c>
      <c r="I331" s="542">
        <f t="shared" si="101"/>
        <v>0</v>
      </c>
      <c r="J331" s="348">
        <f>SUM(J328:J330)</f>
        <v>0</v>
      </c>
      <c r="K331" s="348">
        <f t="shared" si="101"/>
        <v>0</v>
      </c>
    </row>
    <row r="332" spans="1:13">
      <c r="A332" s="333">
        <v>37</v>
      </c>
      <c r="D332" s="344"/>
      <c r="E332" s="196"/>
      <c r="G332" s="547"/>
      <c r="H332" s="537"/>
      <c r="I332" s="538"/>
    </row>
    <row r="333" spans="1:13">
      <c r="A333" s="333">
        <v>38</v>
      </c>
      <c r="B333" s="332" t="s">
        <v>42</v>
      </c>
      <c r="D333" s="344"/>
      <c r="E333" s="196"/>
      <c r="F333" s="350">
        <f>$F$688</f>
        <v>7.17E-2</v>
      </c>
      <c r="G333" s="1278">
        <f>F688</f>
        <v>7.17E-2</v>
      </c>
      <c r="H333" s="1279">
        <f>F688</f>
        <v>7.17E-2</v>
      </c>
      <c r="I333" s="1280">
        <f>F688</f>
        <v>7.17E-2</v>
      </c>
      <c r="J333" s="350">
        <f>F688</f>
        <v>7.17E-2</v>
      </c>
      <c r="K333" s="350">
        <f>'FR-16(7)(v)-1 Functional'!F688</f>
        <v>7.1809999999999999E-2</v>
      </c>
    </row>
    <row r="334" spans="1:13">
      <c r="A334" s="333">
        <v>39</v>
      </c>
      <c r="B334" s="332" t="s">
        <v>43</v>
      </c>
      <c r="D334" s="344"/>
      <c r="E334" s="196"/>
      <c r="F334" s="347">
        <f>ROUND(F333*F331,0)</f>
        <v>0</v>
      </c>
      <c r="G334" s="554">
        <f>ROUND(G331*G333,0)</f>
        <v>0</v>
      </c>
      <c r="H334" s="555">
        <f>ROUND(H331*H333,0)</f>
        <v>0</v>
      </c>
      <c r="I334" s="556">
        <f>ROUND(I331*I333,0)</f>
        <v>0</v>
      </c>
      <c r="J334" s="347">
        <f>SUM(G334:I334)</f>
        <v>0</v>
      </c>
      <c r="K334" s="347">
        <f>ROUND(K331*K333,0)</f>
        <v>0</v>
      </c>
    </row>
    <row r="335" spans="1:13">
      <c r="B335" s="343"/>
      <c r="C335" s="196"/>
      <c r="D335" s="344"/>
      <c r="E335" s="196"/>
      <c r="F335" s="196"/>
      <c r="G335" s="196"/>
      <c r="H335" s="196"/>
      <c r="I335" s="196"/>
      <c r="J335" s="196"/>
      <c r="K335" s="196"/>
    </row>
    <row r="336" spans="1:13">
      <c r="A336" s="343" t="str">
        <f>co_name</f>
        <v>DUKE ENERGY KENTUCKY, INC.</v>
      </c>
      <c r="C336" s="196"/>
      <c r="D336" s="344"/>
      <c r="E336" s="196"/>
      <c r="F336" s="196"/>
      <c r="G336" s="196"/>
      <c r="H336" s="196"/>
      <c r="I336" s="196"/>
      <c r="J336" s="196" t="str">
        <f>$J$1</f>
        <v>FR-16(7)(v)-7</v>
      </c>
      <c r="K336" s="196"/>
    </row>
    <row r="337" spans="1:11">
      <c r="A337" s="343" t="str">
        <f>$A$2</f>
        <v>STORAGE CLASSIFIED -  GAS COST OF SERVICE</v>
      </c>
      <c r="C337" s="196"/>
      <c r="D337" s="344"/>
      <c r="E337" s="196"/>
      <c r="F337" s="196"/>
      <c r="G337" s="196"/>
      <c r="H337" s="196"/>
      <c r="I337" s="196"/>
      <c r="J337" s="196" t="str">
        <f>$J$2</f>
        <v>WITNESS RESPONSIBLE:</v>
      </c>
      <c r="K337" s="196"/>
    </row>
    <row r="338" spans="1:11">
      <c r="A338" s="343" t="str">
        <f>case_name</f>
        <v>CASE NO: 2018-00261</v>
      </c>
      <c r="C338" s="196"/>
      <c r="D338" s="344"/>
      <c r="E338" s="196"/>
      <c r="F338" s="196"/>
      <c r="G338" s="196"/>
      <c r="H338" s="196"/>
      <c r="I338" s="196"/>
      <c r="J338" s="196" t="str">
        <f>Witness</f>
        <v>JAMES E. ZIOLKOWSKI</v>
      </c>
      <c r="K338" s="196"/>
    </row>
    <row r="339" spans="1:11">
      <c r="A339" s="343" t="str">
        <f>data_filing</f>
        <v>DATA: 12 MONTH FORECASTED PERIOD</v>
      </c>
      <c r="C339" s="196"/>
      <c r="D339" s="344"/>
      <c r="E339" s="196"/>
      <c r="F339" s="196"/>
      <c r="G339" s="196"/>
      <c r="H339" s="196"/>
      <c r="I339" s="196"/>
      <c r="J339" s="196" t="str">
        <f>"PAGE "&amp;Pages2-7&amp;" OF "&amp;Pages2</f>
        <v>PAGE 8 OF 15</v>
      </c>
      <c r="K339" s="196"/>
    </row>
    <row r="340" spans="1:11">
      <c r="A340" s="343" t="str">
        <f>type</f>
        <v xml:space="preserve">TYPE OF FILING: "X" ORIGINAL   UPDATED    REVISED  </v>
      </c>
      <c r="C340" s="196"/>
      <c r="D340" s="344"/>
      <c r="E340" s="196"/>
      <c r="F340" s="196"/>
      <c r="G340" s="196"/>
      <c r="H340" s="196"/>
      <c r="I340" s="196"/>
      <c r="J340" s="196"/>
      <c r="K340" s="196"/>
    </row>
    <row r="341" spans="1:11">
      <c r="B341" s="343"/>
      <c r="C341" s="196"/>
      <c r="D341" s="344"/>
      <c r="E341" s="196"/>
      <c r="F341" s="196"/>
      <c r="G341" s="196"/>
      <c r="H341" s="196"/>
      <c r="I341" s="196"/>
      <c r="J341" s="196"/>
      <c r="K341" s="196"/>
    </row>
    <row r="342" spans="1:11">
      <c r="B342" s="343"/>
      <c r="C342" s="196"/>
      <c r="D342" s="344"/>
      <c r="E342" s="196"/>
      <c r="F342" s="196"/>
      <c r="G342" s="196"/>
      <c r="H342" s="196"/>
      <c r="I342" s="196"/>
      <c r="J342" s="196"/>
      <c r="K342" s="196"/>
    </row>
    <row r="343" spans="1:11">
      <c r="A343" s="344" t="s">
        <v>914</v>
      </c>
      <c r="B343" s="196"/>
      <c r="C343" s="196"/>
      <c r="D343" s="344"/>
      <c r="E343" s="196"/>
      <c r="F343" s="344" t="str">
        <f>$F$8</f>
        <v>TOTAL</v>
      </c>
      <c r="G343" s="545" t="s">
        <v>1005</v>
      </c>
      <c r="H343" s="533"/>
      <c r="I343" s="534"/>
      <c r="J343" s="344" t="s">
        <v>229</v>
      </c>
      <c r="K343" s="344" t="s">
        <v>342</v>
      </c>
    </row>
    <row r="344" spans="1:11">
      <c r="A344" s="346" t="s">
        <v>915</v>
      </c>
      <c r="B344" s="345" t="s">
        <v>44</v>
      </c>
      <c r="C344" s="345"/>
      <c r="D344" s="346" t="s">
        <v>337</v>
      </c>
      <c r="E344" s="345"/>
      <c r="F344" s="346" t="str">
        <f>$F$9</f>
        <v>STORAGE</v>
      </c>
      <c r="G344" s="546" t="s">
        <v>847</v>
      </c>
      <c r="H344" s="535" t="s">
        <v>848</v>
      </c>
      <c r="I344" s="536" t="s">
        <v>849</v>
      </c>
      <c r="J344" s="346" t="s">
        <v>341</v>
      </c>
      <c r="K344" s="346" t="s">
        <v>340</v>
      </c>
    </row>
    <row r="345" spans="1:11">
      <c r="C345" s="578" t="s">
        <v>348</v>
      </c>
      <c r="D345" s="344"/>
      <c r="E345" s="196"/>
      <c r="G345" s="800">
        <f>$G$10</f>
        <v>3</v>
      </c>
      <c r="H345" s="801">
        <f>$H$10</f>
        <v>4</v>
      </c>
      <c r="I345" s="802">
        <f>$I$10</f>
        <v>5</v>
      </c>
    </row>
    <row r="346" spans="1:11">
      <c r="A346" s="333">
        <v>1</v>
      </c>
      <c r="B346" s="332" t="s">
        <v>45</v>
      </c>
      <c r="D346" s="344"/>
      <c r="E346" s="196"/>
      <c r="G346" s="547"/>
      <c r="H346" s="537"/>
      <c r="I346" s="538"/>
    </row>
    <row r="347" spans="1:11">
      <c r="A347" s="333">
        <v>2</v>
      </c>
      <c r="B347" s="332" t="s">
        <v>46</v>
      </c>
      <c r="D347" s="344"/>
      <c r="E347" s="196"/>
      <c r="G347" s="547"/>
      <c r="H347" s="537"/>
      <c r="I347" s="538"/>
    </row>
    <row r="348" spans="1:11">
      <c r="A348" s="333">
        <v>3</v>
      </c>
      <c r="C348" s="332" t="str">
        <f>'FR-16(7)(v)-1 Functional'!C348</f>
        <v>ANNUALIZED GAS COST</v>
      </c>
      <c r="D348" s="344" t="str">
        <f>'FR-16(7)(v)-1 Functional'!D348</f>
        <v>K301</v>
      </c>
      <c r="E348" s="196"/>
      <c r="F348" s="479">
        <f>'FR-16(7)(v)-1 Functional'!H348</f>
        <v>0</v>
      </c>
      <c r="G348" s="548">
        <f>F348-SUM(H348:I348)</f>
        <v>0</v>
      </c>
      <c r="H348" s="539">
        <f>ROUND(F348*VLOOKUP(D348,AllocTable_Classified_Storage,$H$10,FALSE),0)</f>
        <v>0</v>
      </c>
      <c r="I348" s="540">
        <f>ROUND(F348*VLOOKUP(D348,AllocTable_Classified_Storage,$I$10,FALSE),0)</f>
        <v>0</v>
      </c>
      <c r="J348" s="347">
        <f>SUM(G348:I348)</f>
        <v>0</v>
      </c>
      <c r="K348" s="347">
        <f>F348-J348</f>
        <v>0</v>
      </c>
    </row>
    <row r="349" spans="1:11">
      <c r="A349" s="333">
        <v>4</v>
      </c>
      <c r="C349" s="359" t="str">
        <f>'FR-16(7)(v)-1 Functional'!C349</f>
        <v>OTHER ASSOCIATED COST</v>
      </c>
      <c r="D349" s="344" t="str">
        <f>'FR-16(7)(v)-1 Functional'!D349</f>
        <v>K300</v>
      </c>
      <c r="E349" s="196"/>
      <c r="F349" s="479">
        <f>'FR-16(7)(v)-1 Functional'!H349</f>
        <v>0</v>
      </c>
      <c r="G349" s="548">
        <f>F349-SUM(H349:I349)</f>
        <v>0</v>
      </c>
      <c r="H349" s="539">
        <f>ROUND(F349*VLOOKUP(D349,AllocTable_Classified_Storage,$H$10,FALSE),0)</f>
        <v>0</v>
      </c>
      <c r="I349" s="540">
        <f>ROUND(F349*VLOOKUP(D349,AllocTable_Classified_Storage,$I$10,FALSE),0)</f>
        <v>0</v>
      </c>
      <c r="J349" s="347">
        <f>SUM(G349:I349)</f>
        <v>0</v>
      </c>
      <c r="K349" s="347">
        <f>F349-J349</f>
        <v>0</v>
      </c>
    </row>
    <row r="350" spans="1:11">
      <c r="A350" s="333">
        <v>5</v>
      </c>
      <c r="C350" s="332" t="str">
        <f>'FR-16(7)(v)-1 Functional'!C350</f>
        <v xml:space="preserve">  TOTAL COMMODITY RELATED</v>
      </c>
      <c r="D350" s="344"/>
      <c r="E350" s="196"/>
      <c r="F350" s="348">
        <f t="shared" ref="F350:K350" si="102">SUM(F348:F349)</f>
        <v>0</v>
      </c>
      <c r="G350" s="549">
        <f t="shared" si="102"/>
        <v>0</v>
      </c>
      <c r="H350" s="541">
        <f t="shared" si="102"/>
        <v>0</v>
      </c>
      <c r="I350" s="542">
        <f t="shared" si="102"/>
        <v>0</v>
      </c>
      <c r="J350" s="348">
        <f t="shared" si="102"/>
        <v>0</v>
      </c>
      <c r="K350" s="348">
        <f t="shared" si="102"/>
        <v>0</v>
      </c>
    </row>
    <row r="351" spans="1:11">
      <c r="A351" s="333">
        <v>6</v>
      </c>
      <c r="D351" s="344"/>
      <c r="E351" s="196"/>
      <c r="G351" s="547"/>
      <c r="H351" s="537"/>
      <c r="I351" s="538"/>
    </row>
    <row r="352" spans="1:11">
      <c r="A352" s="333">
        <v>7</v>
      </c>
      <c r="B352" s="359" t="s">
        <v>47</v>
      </c>
      <c r="C352" s="359"/>
      <c r="D352" s="344"/>
      <c r="E352" s="196"/>
      <c r="F352" s="347"/>
      <c r="G352" s="548"/>
      <c r="H352" s="539"/>
      <c r="I352" s="540"/>
      <c r="J352" s="347"/>
      <c r="K352" s="347"/>
    </row>
    <row r="353" spans="1:11">
      <c r="A353" s="333">
        <v>8</v>
      </c>
      <c r="C353" s="332" t="str">
        <f>'FR-16(7)(v)-1 Functional'!C353</f>
        <v>ANNUALIZED GAS COST - DEMAND</v>
      </c>
      <c r="D353" s="344" t="s">
        <v>290</v>
      </c>
      <c r="E353" s="196"/>
      <c r="F353" s="477">
        <v>0</v>
      </c>
      <c r="G353" s="548">
        <f>ROUND(F353*VLOOKUP(D353,AllocTable_Classified_Storage,$G$10,FALSE),0)</f>
        <v>0</v>
      </c>
      <c r="H353" s="539">
        <f>ROUND(F353*VLOOKUP(D353,AllocTable_Classified_Storage,$H$10,FALSE),0)</f>
        <v>0</v>
      </c>
      <c r="I353" s="540">
        <f>ROUND(F353*VLOOKUP(D353,AllocTable_Classified_Storage,$I$10,FALSE),0)</f>
        <v>0</v>
      </c>
      <c r="J353" s="347">
        <f>SUM(G353:I353)</f>
        <v>0</v>
      </c>
      <c r="K353" s="347">
        <f>F353-J353</f>
        <v>0</v>
      </c>
    </row>
    <row r="354" spans="1:11">
      <c r="A354" s="333">
        <v>9</v>
      </c>
      <c r="C354" s="332" t="str">
        <f>'FR-16(7)(v)-1 Functional'!C354</f>
        <v xml:space="preserve">  TOTAL DEMAND RELATED</v>
      </c>
      <c r="D354" s="344"/>
      <c r="E354" s="196"/>
      <c r="F354" s="348">
        <f t="shared" ref="F354:K354" si="103">SUM(F352:F353)</f>
        <v>0</v>
      </c>
      <c r="G354" s="549">
        <f t="shared" si="103"/>
        <v>0</v>
      </c>
      <c r="H354" s="541">
        <f t="shared" si="103"/>
        <v>0</v>
      </c>
      <c r="I354" s="542">
        <f t="shared" si="103"/>
        <v>0</v>
      </c>
      <c r="J354" s="348">
        <f t="shared" si="103"/>
        <v>0</v>
      </c>
      <c r="K354" s="348">
        <f t="shared" si="103"/>
        <v>0</v>
      </c>
    </row>
    <row r="355" spans="1:11">
      <c r="A355" s="333">
        <v>10</v>
      </c>
      <c r="D355" s="344"/>
      <c r="E355" s="196"/>
      <c r="G355" s="547"/>
      <c r="H355" s="537"/>
      <c r="I355" s="538"/>
    </row>
    <row r="356" spans="1:11">
      <c r="A356" s="333">
        <v>11</v>
      </c>
      <c r="B356" s="332" t="s">
        <v>1010</v>
      </c>
      <c r="D356" s="344"/>
      <c r="E356" s="196"/>
      <c r="G356" s="547"/>
      <c r="H356" s="537"/>
      <c r="I356" s="538"/>
    </row>
    <row r="357" spans="1:11">
      <c r="A357" s="333">
        <v>12</v>
      </c>
      <c r="C357" s="359" t="str">
        <f>'FR-16(7)(v)-1 Functional'!C357</f>
        <v>PRODUCTION EXPENSES</v>
      </c>
      <c r="D357" s="344" t="str">
        <f>'FR-16(7)(v)-1 Functional'!D357</f>
        <v>K201</v>
      </c>
      <c r="E357" s="196"/>
      <c r="F357" s="479">
        <f>'FR-16(7)(v)-1 Functional'!H357</f>
        <v>0</v>
      </c>
      <c r="G357" s="548">
        <f>F357-SUM(H357:I357)</f>
        <v>0</v>
      </c>
      <c r="H357" s="539">
        <f>ROUND(F357*VLOOKUP(D357,AllocTable_Classified_Storage,$H$10,FALSE),0)</f>
        <v>0</v>
      </c>
      <c r="I357" s="540">
        <f>ROUND(F357*VLOOKUP(D357,AllocTable_Classified_Storage,$I$10,FALSE),0)</f>
        <v>0</v>
      </c>
      <c r="J357" s="347">
        <f>SUM(G357:I357)</f>
        <v>0</v>
      </c>
      <c r="K357" s="347">
        <f>F357-J357</f>
        <v>0</v>
      </c>
    </row>
    <row r="358" spans="1:11">
      <c r="A358" s="333">
        <v>13</v>
      </c>
      <c r="C358" s="332" t="str">
        <f>'FR-16(7)(v)-1 Functional'!C358</f>
        <v xml:space="preserve">  TOTAL DEM REL &amp; OTH PROD O&amp;M </v>
      </c>
      <c r="D358" s="344"/>
      <c r="E358" s="196"/>
      <c r="F358" s="348">
        <f t="shared" ref="F358:K358" si="104">SUM(F356:F357)</f>
        <v>0</v>
      </c>
      <c r="G358" s="549">
        <f t="shared" si="104"/>
        <v>0</v>
      </c>
      <c r="H358" s="541">
        <f t="shared" si="104"/>
        <v>0</v>
      </c>
      <c r="I358" s="542">
        <f t="shared" si="104"/>
        <v>0</v>
      </c>
      <c r="J358" s="348">
        <f t="shared" si="104"/>
        <v>0</v>
      </c>
      <c r="K358" s="348">
        <f t="shared" si="104"/>
        <v>0</v>
      </c>
    </row>
    <row r="359" spans="1:11">
      <c r="A359" s="333">
        <v>14</v>
      </c>
      <c r="D359" s="344"/>
      <c r="E359" s="196"/>
      <c r="F359" s="347"/>
      <c r="G359" s="548"/>
      <c r="H359" s="539"/>
      <c r="I359" s="540"/>
      <c r="J359" s="347"/>
      <c r="K359" s="347"/>
    </row>
    <row r="360" spans="1:11">
      <c r="A360" s="333">
        <v>15</v>
      </c>
      <c r="B360" s="332" t="s">
        <v>48</v>
      </c>
      <c r="D360" s="344"/>
      <c r="E360" s="196" t="s">
        <v>343</v>
      </c>
      <c r="F360" s="347">
        <f t="shared" ref="F360:K360" si="105">F358+F354+F350</f>
        <v>0</v>
      </c>
      <c r="G360" s="548">
        <f t="shared" si="105"/>
        <v>0</v>
      </c>
      <c r="H360" s="539">
        <f t="shared" si="105"/>
        <v>0</v>
      </c>
      <c r="I360" s="540">
        <f t="shared" si="105"/>
        <v>0</v>
      </c>
      <c r="J360" s="347">
        <f t="shared" si="105"/>
        <v>0</v>
      </c>
      <c r="K360" s="347">
        <f t="shared" si="105"/>
        <v>0</v>
      </c>
    </row>
    <row r="361" spans="1:11">
      <c r="A361" s="333">
        <v>16</v>
      </c>
      <c r="D361" s="344"/>
      <c r="E361" s="196"/>
      <c r="G361" s="547"/>
      <c r="H361" s="537"/>
      <c r="I361" s="538"/>
    </row>
    <row r="362" spans="1:11">
      <c r="A362" s="333">
        <v>17</v>
      </c>
      <c r="B362" s="332" t="s">
        <v>49</v>
      </c>
      <c r="D362" s="344"/>
      <c r="E362" s="196"/>
      <c r="G362" s="547"/>
      <c r="H362" s="537"/>
      <c r="I362" s="538"/>
    </row>
    <row r="363" spans="1:11">
      <c r="A363" s="333">
        <v>18</v>
      </c>
      <c r="C363" s="359" t="str">
        <f>'FR-16(7)(v)-1 Functional'!C363</f>
        <v>TRANSMISSION O &amp; M</v>
      </c>
      <c r="D363" s="344" t="s">
        <v>343</v>
      </c>
      <c r="E363" s="196"/>
      <c r="F363" s="477"/>
      <c r="G363" s="548"/>
      <c r="H363" s="539"/>
      <c r="I363" s="540"/>
      <c r="J363" s="347"/>
      <c r="K363" s="347"/>
    </row>
    <row r="364" spans="1:11">
      <c r="A364" s="333">
        <v>19</v>
      </c>
      <c r="C364" s="332" t="str">
        <f>'FR-16(7)(v)-1 Functional'!C364</f>
        <v xml:space="preserve">  TOTAL TRANSMISSION O &amp; M</v>
      </c>
      <c r="D364" s="344"/>
      <c r="E364" s="196"/>
      <c r="F364" s="348">
        <f t="shared" ref="F364:K364" si="106">SUM(F363)</f>
        <v>0</v>
      </c>
      <c r="G364" s="549">
        <f t="shared" si="106"/>
        <v>0</v>
      </c>
      <c r="H364" s="541">
        <f t="shared" si="106"/>
        <v>0</v>
      </c>
      <c r="I364" s="542">
        <f t="shared" si="106"/>
        <v>0</v>
      </c>
      <c r="J364" s="348">
        <f t="shared" si="106"/>
        <v>0</v>
      </c>
      <c r="K364" s="348">
        <f t="shared" si="106"/>
        <v>0</v>
      </c>
    </row>
    <row r="365" spans="1:11">
      <c r="A365" s="333">
        <v>20</v>
      </c>
      <c r="D365" s="344"/>
      <c r="E365" s="196"/>
      <c r="G365" s="547"/>
      <c r="H365" s="537"/>
      <c r="I365" s="538"/>
    </row>
    <row r="366" spans="1:11">
      <c r="A366" s="333">
        <v>21</v>
      </c>
      <c r="B366" s="332" t="s">
        <v>50</v>
      </c>
      <c r="D366" s="344"/>
      <c r="E366" s="196"/>
      <c r="G366" s="547"/>
      <c r="H366" s="537"/>
      <c r="I366" s="538"/>
    </row>
    <row r="367" spans="1:11">
      <c r="A367" s="333">
        <v>22</v>
      </c>
      <c r="C367" s="332" t="str">
        <f>'FR-16(7)(v)-1 Functional'!C367</f>
        <v>LOAD DISPATCHING</v>
      </c>
      <c r="D367" s="344" t="str">
        <f>'FR-16(7)(v)-1 Functional'!D367</f>
        <v>K203</v>
      </c>
      <c r="E367" s="196"/>
      <c r="F367" s="479">
        <f>'FR-16(7)(v)-1 Functional'!H367</f>
        <v>0</v>
      </c>
      <c r="G367" s="548">
        <f t="shared" ref="G367:G377" si="107">F367-SUM(H367:I367)</f>
        <v>0</v>
      </c>
      <c r="H367" s="539">
        <f t="shared" ref="H367:H377" si="108">ROUND(F367*VLOOKUP(D367,AllocTable_Classified_Storage,$H$10,FALSE),0)</f>
        <v>0</v>
      </c>
      <c r="I367" s="540">
        <f t="shared" ref="I367:I377" si="109">ROUND(F367*VLOOKUP(D367,AllocTable_Classified_Storage,$I$10,FALSE),0)</f>
        <v>0</v>
      </c>
      <c r="J367" s="347">
        <f t="shared" ref="J367:J377" si="110">SUM(G367:I367)</f>
        <v>0</v>
      </c>
      <c r="K367" s="347">
        <f t="shared" ref="K367:K377" si="111">F367-J367</f>
        <v>0</v>
      </c>
    </row>
    <row r="368" spans="1:11">
      <c r="A368" s="333">
        <v>23</v>
      </c>
      <c r="C368" s="332" t="str">
        <f>'FR-16(7)(v)-1 Functional'!C368</f>
        <v>MAINS &amp; SERVICES OPER</v>
      </c>
      <c r="D368" s="344" t="str">
        <f>'FR-16(7)(v)-1 Functional'!D368</f>
        <v>K667</v>
      </c>
      <c r="E368" s="196"/>
      <c r="F368" s="479">
        <f>'FR-16(7)(v)-1 Functional'!H368</f>
        <v>0</v>
      </c>
      <c r="G368" s="548">
        <f t="shared" si="107"/>
        <v>0</v>
      </c>
      <c r="H368" s="539">
        <f t="shared" si="108"/>
        <v>0</v>
      </c>
      <c r="I368" s="540">
        <f t="shared" si="109"/>
        <v>0</v>
      </c>
      <c r="J368" s="347">
        <f t="shared" si="110"/>
        <v>0</v>
      </c>
      <c r="K368" s="347">
        <f t="shared" si="111"/>
        <v>0</v>
      </c>
    </row>
    <row r="369" spans="1:11">
      <c r="A369" s="333">
        <v>24</v>
      </c>
      <c r="C369" s="332" t="str">
        <f>'FR-16(7)(v)-1 Functional'!C369</f>
        <v>M &amp; R STATION GENERAL</v>
      </c>
      <c r="D369" s="344" t="str">
        <f>'FR-16(7)(v)-1 Functional'!D369</f>
        <v>K203</v>
      </c>
      <c r="E369" s="196"/>
      <c r="F369" s="479">
        <f>'FR-16(7)(v)-1 Functional'!H369</f>
        <v>0</v>
      </c>
      <c r="G369" s="548">
        <f t="shared" si="107"/>
        <v>0</v>
      </c>
      <c r="H369" s="539">
        <f t="shared" si="108"/>
        <v>0</v>
      </c>
      <c r="I369" s="540">
        <f t="shared" si="109"/>
        <v>0</v>
      </c>
      <c r="J369" s="347">
        <f t="shared" si="110"/>
        <v>0</v>
      </c>
      <c r="K369" s="347">
        <f t="shared" si="111"/>
        <v>0</v>
      </c>
    </row>
    <row r="370" spans="1:11">
      <c r="A370" s="333">
        <v>25</v>
      </c>
      <c r="C370" s="332" t="str">
        <f>'FR-16(7)(v)-1 Functional'!C370</f>
        <v>CUSTOMER INST &amp; OTHER</v>
      </c>
      <c r="D370" s="344" t="str">
        <f>'FR-16(7)(v)-1 Functional'!D370</f>
        <v>K415</v>
      </c>
      <c r="E370" s="196"/>
      <c r="F370" s="479">
        <f>'FR-16(7)(v)-1 Functional'!H370</f>
        <v>0</v>
      </c>
      <c r="G370" s="548">
        <f t="shared" si="107"/>
        <v>0</v>
      </c>
      <c r="H370" s="539">
        <f t="shared" si="108"/>
        <v>0</v>
      </c>
      <c r="I370" s="540">
        <f t="shared" si="109"/>
        <v>0</v>
      </c>
      <c r="J370" s="347">
        <f t="shared" si="110"/>
        <v>0</v>
      </c>
      <c r="K370" s="347">
        <f t="shared" si="111"/>
        <v>0</v>
      </c>
    </row>
    <row r="371" spans="1:11">
      <c r="A371" s="333">
        <v>26</v>
      </c>
      <c r="C371" s="332" t="str">
        <f>'FR-16(7)(v)-1 Functional'!C371</f>
        <v>METERS &amp; HOUSE REG</v>
      </c>
      <c r="D371" s="344" t="str">
        <f>'FR-16(7)(v)-1 Functional'!D371</f>
        <v>K697</v>
      </c>
      <c r="E371" s="196"/>
      <c r="F371" s="479">
        <f>'FR-16(7)(v)-1 Functional'!H371</f>
        <v>0</v>
      </c>
      <c r="G371" s="548">
        <f t="shared" si="107"/>
        <v>0</v>
      </c>
      <c r="H371" s="539">
        <f t="shared" si="108"/>
        <v>0</v>
      </c>
      <c r="I371" s="540">
        <f t="shared" si="109"/>
        <v>0</v>
      </c>
      <c r="J371" s="347">
        <f t="shared" si="110"/>
        <v>0</v>
      </c>
      <c r="K371" s="347">
        <f t="shared" si="111"/>
        <v>0</v>
      </c>
    </row>
    <row r="372" spans="1:11">
      <c r="A372" s="333">
        <v>27</v>
      </c>
      <c r="C372" s="332" t="str">
        <f>'FR-16(7)(v)-1 Functional'!C372</f>
        <v>MAINS</v>
      </c>
      <c r="D372" s="344" t="str">
        <f>'FR-16(7)(v)-1 Functional'!D372</f>
        <v>K415</v>
      </c>
      <c r="E372" s="196"/>
      <c r="F372" s="479">
        <f>'FR-16(7)(v)-1 Functional'!H372</f>
        <v>0</v>
      </c>
      <c r="G372" s="548">
        <f t="shared" si="107"/>
        <v>0</v>
      </c>
      <c r="H372" s="539">
        <f t="shared" si="108"/>
        <v>0</v>
      </c>
      <c r="I372" s="540">
        <f t="shared" si="109"/>
        <v>0</v>
      </c>
      <c r="J372" s="347">
        <f t="shared" si="110"/>
        <v>0</v>
      </c>
      <c r="K372" s="347">
        <f t="shared" si="111"/>
        <v>0</v>
      </c>
    </row>
    <row r="373" spans="1:11">
      <c r="A373" s="333">
        <v>28</v>
      </c>
      <c r="C373" s="332" t="str">
        <f>'FR-16(7)(v)-1 Functional'!C373</f>
        <v>SERVICES</v>
      </c>
      <c r="D373" s="344" t="str">
        <f>'FR-16(7)(v)-1 Functional'!D373</f>
        <v>K403</v>
      </c>
      <c r="E373" s="196"/>
      <c r="F373" s="479">
        <f>'FR-16(7)(v)-1 Functional'!H373</f>
        <v>0</v>
      </c>
      <c r="G373" s="548">
        <f t="shared" si="107"/>
        <v>0</v>
      </c>
      <c r="H373" s="539">
        <f t="shared" si="108"/>
        <v>0</v>
      </c>
      <c r="I373" s="540">
        <f t="shared" si="109"/>
        <v>0</v>
      </c>
      <c r="J373" s="347">
        <f t="shared" si="110"/>
        <v>0</v>
      </c>
      <c r="K373" s="347">
        <f t="shared" si="111"/>
        <v>0</v>
      </c>
    </row>
    <row r="374" spans="1:11">
      <c r="A374" s="333">
        <v>29</v>
      </c>
      <c r="C374" s="332" t="str">
        <f>'FR-16(7)(v)-1 Functional'!C374</f>
        <v>SUPV &amp; ENG</v>
      </c>
      <c r="D374" s="344" t="str">
        <f>'FR-16(7)(v)-1 Functional'!D374</f>
        <v>D249</v>
      </c>
      <c r="E374" s="196"/>
      <c r="F374" s="479">
        <f>'FR-16(7)(v)-1 Functional'!H374</f>
        <v>0</v>
      </c>
      <c r="G374" s="548">
        <f t="shared" si="107"/>
        <v>0</v>
      </c>
      <c r="H374" s="539">
        <f t="shared" si="108"/>
        <v>0</v>
      </c>
      <c r="I374" s="540">
        <f t="shared" si="109"/>
        <v>0</v>
      </c>
      <c r="J374" s="347">
        <f t="shared" si="110"/>
        <v>0</v>
      </c>
      <c r="K374" s="347">
        <f t="shared" si="111"/>
        <v>0</v>
      </c>
    </row>
    <row r="375" spans="1:11">
      <c r="A375" s="333">
        <v>30</v>
      </c>
      <c r="C375" s="332" t="str">
        <f>'FR-16(7)(v)-1 Functional'!C375</f>
        <v>ELIMINATE NON-KY CUSTOMER</v>
      </c>
      <c r="D375" s="344" t="str">
        <f>'FR-16(7)(v)-1 Functional'!D375</f>
        <v>K595</v>
      </c>
      <c r="E375" s="196"/>
      <c r="F375" s="479">
        <f>'FR-16(7)(v)-1 Functional'!H375</f>
        <v>0</v>
      </c>
      <c r="G375" s="548">
        <f t="shared" si="107"/>
        <v>0</v>
      </c>
      <c r="H375" s="539">
        <f t="shared" si="108"/>
        <v>0</v>
      </c>
      <c r="I375" s="540">
        <f t="shared" si="109"/>
        <v>0</v>
      </c>
      <c r="J375" s="347">
        <f t="shared" si="110"/>
        <v>0</v>
      </c>
      <c r="K375" s="347">
        <f t="shared" si="111"/>
        <v>0</v>
      </c>
    </row>
    <row r="376" spans="1:11">
      <c r="A376" s="333">
        <v>31</v>
      </c>
      <c r="C376" s="332" t="str">
        <f>'FR-16(7)(v)-1 Functional'!C376</f>
        <v>INTEGRITY MANAGEMENT EXPENSES</v>
      </c>
      <c r="D376" s="344" t="str">
        <f>'FR-16(7)(v)-1 Functional'!D376</f>
        <v>K203</v>
      </c>
      <c r="E376" s="196"/>
      <c r="F376" s="479">
        <f>'FR-16(7)(v)-1 Functional'!H376</f>
        <v>0</v>
      </c>
      <c r="G376" s="548">
        <f t="shared" si="107"/>
        <v>0</v>
      </c>
      <c r="H376" s="539">
        <f t="shared" si="108"/>
        <v>0</v>
      </c>
      <c r="I376" s="540">
        <f t="shared" si="109"/>
        <v>0</v>
      </c>
      <c r="J376" s="347">
        <f t="shared" si="110"/>
        <v>0</v>
      </c>
      <c r="K376" s="347">
        <f t="shared" si="111"/>
        <v>0</v>
      </c>
    </row>
    <row r="377" spans="1:11">
      <c r="A377" s="333">
        <v>32</v>
      </c>
      <c r="C377" s="359" t="str">
        <f>'FR-16(7)(v)-1 Functional'!C377</f>
        <v>OTHER DISTRIBUTION EXPENSES</v>
      </c>
      <c r="D377" s="344" t="str">
        <f>'FR-16(7)(v)-1 Functional'!D377</f>
        <v>K415</v>
      </c>
      <c r="E377" s="196"/>
      <c r="F377" s="479">
        <f>'FR-16(7)(v)-1 Functional'!H377</f>
        <v>0</v>
      </c>
      <c r="G377" s="548">
        <f t="shared" si="107"/>
        <v>0</v>
      </c>
      <c r="H377" s="539">
        <f t="shared" si="108"/>
        <v>0</v>
      </c>
      <c r="I377" s="540">
        <f t="shared" si="109"/>
        <v>0</v>
      </c>
      <c r="J377" s="347">
        <f t="shared" si="110"/>
        <v>0</v>
      </c>
      <c r="K377" s="347">
        <f t="shared" si="111"/>
        <v>0</v>
      </c>
    </row>
    <row r="378" spans="1:11">
      <c r="A378" s="333">
        <v>33</v>
      </c>
      <c r="C378" s="332" t="str">
        <f>'FR-16(7)(v)-1 Functional'!C378</f>
        <v xml:space="preserve">  TOTAL DISTRIBUTION O &amp; M</v>
      </c>
      <c r="D378" s="344"/>
      <c r="E378" s="196" t="s">
        <v>343</v>
      </c>
      <c r="F378" s="348">
        <f t="shared" ref="F378:K378" si="112">SUM(F366:F377)</f>
        <v>0</v>
      </c>
      <c r="G378" s="549">
        <f t="shared" si="112"/>
        <v>0</v>
      </c>
      <c r="H378" s="541">
        <f t="shared" si="112"/>
        <v>0</v>
      </c>
      <c r="I378" s="542">
        <f t="shared" si="112"/>
        <v>0</v>
      </c>
      <c r="J378" s="348">
        <f t="shared" si="112"/>
        <v>0</v>
      </c>
      <c r="K378" s="348">
        <f t="shared" si="112"/>
        <v>0</v>
      </c>
    </row>
    <row r="379" spans="1:11">
      <c r="A379" s="333">
        <v>34</v>
      </c>
      <c r="C379" s="332" t="s">
        <v>343</v>
      </c>
      <c r="D379" s="344"/>
      <c r="E379" s="196"/>
      <c r="G379" s="547"/>
      <c r="H379" s="537"/>
      <c r="I379" s="538"/>
    </row>
    <row r="380" spans="1:11">
      <c r="A380" s="333">
        <v>35</v>
      </c>
      <c r="B380" s="332" t="s">
        <v>51</v>
      </c>
      <c r="D380" s="344"/>
      <c r="E380" s="196"/>
      <c r="F380" s="332" t="s">
        <v>343</v>
      </c>
      <c r="G380" s="547"/>
      <c r="H380" s="537"/>
      <c r="I380" s="538"/>
    </row>
    <row r="381" spans="1:11">
      <c r="A381" s="333">
        <v>36</v>
      </c>
      <c r="C381" s="332" t="str">
        <f>'FR-16(7)(v)-1 Functional'!C381</f>
        <v>SUPERVISION &amp; ENGINEERING</v>
      </c>
      <c r="D381" s="344" t="str">
        <f>'FR-16(7)(v)-1 Functional'!D381</f>
        <v>K405</v>
      </c>
      <c r="E381" s="196"/>
      <c r="F381" s="479">
        <f>'FR-16(7)(v)-1 Functional'!H381</f>
        <v>0</v>
      </c>
      <c r="G381" s="548">
        <f t="shared" ref="G381:G388" si="113">F381-SUM(H381:I381)</f>
        <v>0</v>
      </c>
      <c r="H381" s="539">
        <f t="shared" ref="H381:H388" si="114">ROUND(F381*VLOOKUP(D381,AllocTable_Classified_Storage,$H$10,FALSE),0)</f>
        <v>0</v>
      </c>
      <c r="I381" s="540">
        <f t="shared" ref="I381:I388" si="115">ROUND(F381*VLOOKUP(D381,AllocTable_Classified_Storage,$I$10,FALSE),0)</f>
        <v>0</v>
      </c>
      <c r="J381" s="347">
        <f t="shared" ref="J381:J388" si="116">SUM(G381:I381)</f>
        <v>0</v>
      </c>
      <c r="K381" s="347">
        <f t="shared" ref="K381:K388" si="117">F381-J381</f>
        <v>0</v>
      </c>
    </row>
    <row r="382" spans="1:11">
      <c r="A382" s="333">
        <v>37</v>
      </c>
      <c r="C382" s="332" t="str">
        <f>'FR-16(7)(v)-1 Functional'!C382</f>
        <v>METER READING</v>
      </c>
      <c r="D382" s="344" t="str">
        <f>'FR-16(7)(v)-1 Functional'!D382</f>
        <v>K405</v>
      </c>
      <c r="E382" s="196"/>
      <c r="F382" s="479">
        <f>'FR-16(7)(v)-1 Functional'!H382</f>
        <v>0</v>
      </c>
      <c r="G382" s="548">
        <f t="shared" si="113"/>
        <v>0</v>
      </c>
      <c r="H382" s="539">
        <f t="shared" si="114"/>
        <v>0</v>
      </c>
      <c r="I382" s="540">
        <f t="shared" si="115"/>
        <v>0</v>
      </c>
      <c r="J382" s="347">
        <f t="shared" si="116"/>
        <v>0</v>
      </c>
      <c r="K382" s="347">
        <f t="shared" si="117"/>
        <v>0</v>
      </c>
    </row>
    <row r="383" spans="1:11">
      <c r="A383" s="333">
        <v>38</v>
      </c>
      <c r="C383" s="332" t="str">
        <f>'FR-16(7)(v)-1 Functional'!C383</f>
        <v>CUSTOMER BILLING &amp; COLLECTIONS</v>
      </c>
      <c r="D383" s="344" t="str">
        <f>'FR-16(7)(v)-1 Functional'!D383</f>
        <v>K405</v>
      </c>
      <c r="E383" s="196"/>
      <c r="F383" s="479">
        <f>'FR-16(7)(v)-1 Functional'!H383</f>
        <v>0</v>
      </c>
      <c r="G383" s="548">
        <f t="shared" si="113"/>
        <v>0</v>
      </c>
      <c r="H383" s="539">
        <f t="shared" si="114"/>
        <v>0</v>
      </c>
      <c r="I383" s="540">
        <f t="shared" si="115"/>
        <v>0</v>
      </c>
      <c r="J383" s="347">
        <f t="shared" si="116"/>
        <v>0</v>
      </c>
      <c r="K383" s="347">
        <f t="shared" si="117"/>
        <v>0</v>
      </c>
    </row>
    <row r="384" spans="1:11">
      <c r="A384" s="333">
        <v>39</v>
      </c>
      <c r="C384" s="332" t="str">
        <f>'FR-16(7)(v)-1 Functional'!C384</f>
        <v>UNCOLLECTIBLE EXP</v>
      </c>
      <c r="D384" s="344" t="str">
        <f>'FR-16(7)(v)-1 Functional'!D384</f>
        <v>K406</v>
      </c>
      <c r="E384" s="196"/>
      <c r="F384" s="479">
        <f>'FR-16(7)(v)-1 Functional'!H384</f>
        <v>0</v>
      </c>
      <c r="G384" s="548">
        <f t="shared" si="113"/>
        <v>0</v>
      </c>
      <c r="H384" s="539">
        <f t="shared" si="114"/>
        <v>0</v>
      </c>
      <c r="I384" s="540">
        <f t="shared" si="115"/>
        <v>0</v>
      </c>
      <c r="J384" s="347">
        <f t="shared" si="116"/>
        <v>0</v>
      </c>
      <c r="K384" s="347">
        <f t="shared" si="117"/>
        <v>0</v>
      </c>
    </row>
    <row r="385" spans="1:11">
      <c r="A385" s="333">
        <v>40</v>
      </c>
      <c r="C385" s="332" t="str">
        <f>'FR-16(7)(v)-1 Functional'!C385</f>
        <v>ELIMINATE MISC EXPENSES</v>
      </c>
      <c r="D385" s="344" t="str">
        <f>'FR-16(7)(v)-1 Functional'!D385</f>
        <v>K406</v>
      </c>
      <c r="E385" s="196"/>
      <c r="F385" s="479">
        <f>'FR-16(7)(v)-1 Functional'!H385</f>
        <v>0</v>
      </c>
      <c r="G385" s="548">
        <f t="shared" si="113"/>
        <v>0</v>
      </c>
      <c r="H385" s="539">
        <f t="shared" si="114"/>
        <v>0</v>
      </c>
      <c r="I385" s="540">
        <f t="shared" si="115"/>
        <v>0</v>
      </c>
      <c r="J385" s="347">
        <f t="shared" si="116"/>
        <v>0</v>
      </c>
      <c r="K385" s="347">
        <f t="shared" si="117"/>
        <v>0</v>
      </c>
    </row>
    <row r="386" spans="1:11">
      <c r="A386" s="333">
        <v>41</v>
      </c>
      <c r="C386" s="332" t="str">
        <f>'FR-16(7)(v)-1 Functional'!C386</f>
        <v>SALE OF A/R</v>
      </c>
      <c r="D386" s="344" t="str">
        <f>'FR-16(7)(v)-1 Functional'!D386</f>
        <v>K406</v>
      </c>
      <c r="E386" s="196"/>
      <c r="F386" s="479">
        <f>'FR-16(7)(v)-1 Functional'!H386</f>
        <v>0</v>
      </c>
      <c r="G386" s="548">
        <f t="shared" si="113"/>
        <v>0</v>
      </c>
      <c r="H386" s="539">
        <f t="shared" si="114"/>
        <v>0</v>
      </c>
      <c r="I386" s="540">
        <f t="shared" si="115"/>
        <v>0</v>
      </c>
      <c r="J386" s="347">
        <f t="shared" si="116"/>
        <v>0</v>
      </c>
      <c r="K386" s="347">
        <f t="shared" si="117"/>
        <v>0</v>
      </c>
    </row>
    <row r="387" spans="1:11">
      <c r="A387" s="333">
        <v>42</v>
      </c>
      <c r="C387" s="332" t="str">
        <f>'FR-16(7)(v)-1 Functional'!C387</f>
        <v>INTEREST ON CUSTOMER SERVICE DEPOSITS</v>
      </c>
      <c r="D387" s="344" t="str">
        <f>'FR-16(7)(v)-1 Functional'!D387</f>
        <v>K405</v>
      </c>
      <c r="E387" s="196"/>
      <c r="F387" s="479">
        <f>'FR-16(7)(v)-1 Functional'!H387</f>
        <v>0</v>
      </c>
      <c r="G387" s="548">
        <f t="shared" si="113"/>
        <v>0</v>
      </c>
      <c r="H387" s="539">
        <f t="shared" si="114"/>
        <v>0</v>
      </c>
      <c r="I387" s="540">
        <f t="shared" si="115"/>
        <v>0</v>
      </c>
      <c r="J387" s="347">
        <f t="shared" si="116"/>
        <v>0</v>
      </c>
      <c r="K387" s="347">
        <f t="shared" si="117"/>
        <v>0</v>
      </c>
    </row>
    <row r="388" spans="1:11">
      <c r="A388" s="333">
        <v>43</v>
      </c>
      <c r="C388" s="359" t="str">
        <f>'FR-16(7)(v)-1 Functional'!C388</f>
        <v>ANNUALIZED UNCOLL EXP ON INCR</v>
      </c>
      <c r="D388" s="344" t="str">
        <f>'FR-16(7)(v)-1 Functional'!D388</f>
        <v>K406</v>
      </c>
      <c r="E388" s="196"/>
      <c r="F388" s="479">
        <f>'FR-16(7)(v)-1 Functional'!H388</f>
        <v>0</v>
      </c>
      <c r="G388" s="548">
        <f t="shared" si="113"/>
        <v>0</v>
      </c>
      <c r="H388" s="539">
        <f t="shared" si="114"/>
        <v>0</v>
      </c>
      <c r="I388" s="540">
        <f t="shared" si="115"/>
        <v>0</v>
      </c>
      <c r="J388" s="347">
        <f t="shared" si="116"/>
        <v>0</v>
      </c>
      <c r="K388" s="347">
        <f t="shared" si="117"/>
        <v>0</v>
      </c>
    </row>
    <row r="389" spans="1:11">
      <c r="A389" s="333">
        <v>44</v>
      </c>
      <c r="C389" s="332" t="str">
        <f>'FR-16(7)(v)-1 Functional'!C389</f>
        <v xml:space="preserve">  TOTAL CUSTOMER ACCT EXPENSE</v>
      </c>
      <c r="D389" s="344"/>
      <c r="E389" s="196" t="s">
        <v>343</v>
      </c>
      <c r="F389" s="348">
        <f t="shared" ref="F389:K389" si="118">SUM(F380:F388)</f>
        <v>0</v>
      </c>
      <c r="G389" s="557">
        <f t="shared" si="118"/>
        <v>0</v>
      </c>
      <c r="H389" s="558">
        <f t="shared" si="118"/>
        <v>0</v>
      </c>
      <c r="I389" s="559">
        <f t="shared" si="118"/>
        <v>0</v>
      </c>
      <c r="J389" s="348">
        <f t="shared" si="118"/>
        <v>0</v>
      </c>
      <c r="K389" s="348">
        <f t="shared" si="118"/>
        <v>0</v>
      </c>
    </row>
    <row r="390" spans="1:11">
      <c r="B390" s="343"/>
      <c r="C390" s="196"/>
      <c r="D390" s="344"/>
      <c r="E390" s="196"/>
      <c r="F390" s="196"/>
      <c r="G390" s="196"/>
      <c r="H390" s="196"/>
      <c r="I390" s="196"/>
      <c r="J390" s="196"/>
      <c r="K390" s="196"/>
    </row>
    <row r="391" spans="1:11">
      <c r="A391" s="343" t="str">
        <f>co_name</f>
        <v>DUKE ENERGY KENTUCKY, INC.</v>
      </c>
      <c r="C391" s="196"/>
      <c r="D391" s="344"/>
      <c r="E391" s="196"/>
      <c r="F391" s="196"/>
      <c r="G391" s="196"/>
      <c r="H391" s="196"/>
      <c r="I391" s="196"/>
      <c r="J391" s="196" t="str">
        <f>$J$1</f>
        <v>FR-16(7)(v)-7</v>
      </c>
      <c r="K391" s="196"/>
    </row>
    <row r="392" spans="1:11">
      <c r="A392" s="343" t="str">
        <f>$A$2</f>
        <v>STORAGE CLASSIFIED -  GAS COST OF SERVICE</v>
      </c>
      <c r="C392" s="196"/>
      <c r="D392" s="344"/>
      <c r="E392" s="196"/>
      <c r="F392" s="196"/>
      <c r="G392" s="196"/>
      <c r="H392" s="196"/>
      <c r="I392" s="196"/>
      <c r="J392" s="196" t="str">
        <f>$J$2</f>
        <v>WITNESS RESPONSIBLE:</v>
      </c>
      <c r="K392" s="196"/>
    </row>
    <row r="393" spans="1:11">
      <c r="A393" s="343" t="str">
        <f>case_name</f>
        <v>CASE NO: 2018-00261</v>
      </c>
      <c r="C393" s="196"/>
      <c r="D393" s="344"/>
      <c r="E393" s="196"/>
      <c r="F393" s="196"/>
      <c r="G393" s="196"/>
      <c r="H393" s="196"/>
      <c r="I393" s="196"/>
      <c r="J393" s="196" t="str">
        <f>Witness</f>
        <v>JAMES E. ZIOLKOWSKI</v>
      </c>
      <c r="K393" s="196"/>
    </row>
    <row r="394" spans="1:11">
      <c r="A394" s="343" t="str">
        <f>data_filing</f>
        <v>DATA: 12 MONTH FORECASTED PERIOD</v>
      </c>
      <c r="C394" s="196"/>
      <c r="D394" s="344"/>
      <c r="E394" s="196"/>
      <c r="F394" s="196"/>
      <c r="G394" s="196"/>
      <c r="H394" s="196"/>
      <c r="I394" s="196"/>
      <c r="J394" s="196" t="str">
        <f>"PAGE "&amp;Pages2-6&amp;" OF "&amp;Pages2</f>
        <v>PAGE 9 OF 15</v>
      </c>
      <c r="K394" s="196"/>
    </row>
    <row r="395" spans="1:11">
      <c r="A395" s="343" t="str">
        <f>type</f>
        <v xml:space="preserve">TYPE OF FILING: "X" ORIGINAL   UPDATED    REVISED  </v>
      </c>
      <c r="C395" s="196"/>
      <c r="D395" s="344"/>
      <c r="E395" s="196"/>
      <c r="F395" s="196"/>
      <c r="G395" s="196"/>
      <c r="H395" s="196"/>
      <c r="I395" s="196"/>
      <c r="J395" s="196"/>
      <c r="K395" s="196"/>
    </row>
    <row r="396" spans="1:11">
      <c r="B396" s="343"/>
      <c r="C396" s="196"/>
      <c r="D396" s="344"/>
      <c r="E396" s="196"/>
      <c r="F396" s="196"/>
      <c r="G396" s="196"/>
      <c r="H396" s="196"/>
      <c r="I396" s="196"/>
      <c r="J396" s="196"/>
      <c r="K396" s="196"/>
    </row>
    <row r="397" spans="1:11">
      <c r="B397" s="343"/>
      <c r="C397" s="196"/>
      <c r="D397" s="344"/>
      <c r="E397" s="196"/>
      <c r="F397" s="196"/>
      <c r="G397" s="196"/>
      <c r="H397" s="196"/>
      <c r="I397" s="196"/>
      <c r="J397" s="196"/>
      <c r="K397" s="196"/>
    </row>
    <row r="398" spans="1:11">
      <c r="A398" s="344" t="s">
        <v>914</v>
      </c>
      <c r="B398" s="196"/>
      <c r="C398" s="196"/>
      <c r="D398" s="344"/>
      <c r="E398" s="196"/>
      <c r="F398" s="344" t="str">
        <f>$F$8</f>
        <v>TOTAL</v>
      </c>
      <c r="G398" s="545" t="s">
        <v>1005</v>
      </c>
      <c r="H398" s="533"/>
      <c r="I398" s="534"/>
      <c r="J398" s="344" t="s">
        <v>229</v>
      </c>
      <c r="K398" s="344" t="s">
        <v>342</v>
      </c>
    </row>
    <row r="399" spans="1:11">
      <c r="A399" s="346" t="s">
        <v>915</v>
      </c>
      <c r="B399" s="345" t="s">
        <v>44</v>
      </c>
      <c r="C399" s="345"/>
      <c r="D399" s="346" t="s">
        <v>337</v>
      </c>
      <c r="E399" s="345"/>
      <c r="F399" s="346" t="str">
        <f>$F$9</f>
        <v>STORAGE</v>
      </c>
      <c r="G399" s="546" t="s">
        <v>847</v>
      </c>
      <c r="H399" s="535" t="s">
        <v>848</v>
      </c>
      <c r="I399" s="536" t="s">
        <v>849</v>
      </c>
      <c r="J399" s="346" t="s">
        <v>341</v>
      </c>
      <c r="K399" s="346" t="s">
        <v>340</v>
      </c>
    </row>
    <row r="400" spans="1:11">
      <c r="C400" s="578" t="s">
        <v>560</v>
      </c>
      <c r="D400" s="344"/>
      <c r="E400" s="196"/>
      <c r="G400" s="800">
        <f>$G$10</f>
        <v>3</v>
      </c>
      <c r="H400" s="801">
        <f>$H$10</f>
        <v>4</v>
      </c>
      <c r="I400" s="802">
        <f>$I$10</f>
        <v>5</v>
      </c>
    </row>
    <row r="401" spans="1:11">
      <c r="A401" s="333">
        <v>1</v>
      </c>
      <c r="B401" s="332" t="s">
        <v>52</v>
      </c>
      <c r="D401" s="344"/>
      <c r="E401" s="196"/>
      <c r="G401" s="547"/>
      <c r="H401" s="537"/>
      <c r="I401" s="538"/>
    </row>
    <row r="402" spans="1:11">
      <c r="A402" s="333">
        <v>2</v>
      </c>
      <c r="C402" s="359" t="str">
        <f>'FR-16(7)(v)-1 Functional'!C402</f>
        <v>TOTAL CUST SERVICE &amp; INFO</v>
      </c>
      <c r="D402" s="344" t="str">
        <f>'FR-16(7)(v)-1 Functional'!D402</f>
        <v>K407</v>
      </c>
      <c r="E402" s="196"/>
      <c r="F402" s="479">
        <f>'FR-16(7)(v)-1 Functional'!H402</f>
        <v>0</v>
      </c>
      <c r="G402" s="548">
        <f>F402-SUM(H402:I402)</f>
        <v>0</v>
      </c>
      <c r="H402" s="539">
        <f>ROUND(F402*VLOOKUP(D402,AllocTable_Classified_Storage,$H$10,FALSE),0)</f>
        <v>0</v>
      </c>
      <c r="I402" s="540">
        <f>ROUND(F402*VLOOKUP(D402,AllocTable_Classified_Storage,$I$10,FALSE),0)</f>
        <v>0</v>
      </c>
      <c r="J402" s="347">
        <f>SUM(G402:I402)</f>
        <v>0</v>
      </c>
      <c r="K402" s="347">
        <f>F402-J402</f>
        <v>0</v>
      </c>
    </row>
    <row r="403" spans="1:11">
      <c r="A403" s="333">
        <v>3</v>
      </c>
      <c r="C403" s="332" t="str">
        <f>'FR-16(7)(v)-1 Functional'!C403</f>
        <v xml:space="preserve">  TOTAL CUSTOMER SERV. &amp; INFO.</v>
      </c>
      <c r="D403" s="344"/>
      <c r="E403" s="196" t="s">
        <v>343</v>
      </c>
      <c r="F403" s="348">
        <f t="shared" ref="F403:K403" si="119">SUM(F402:F402)</f>
        <v>0</v>
      </c>
      <c r="G403" s="549">
        <f t="shared" si="119"/>
        <v>0</v>
      </c>
      <c r="H403" s="541">
        <f t="shared" si="119"/>
        <v>0</v>
      </c>
      <c r="I403" s="542">
        <f t="shared" si="119"/>
        <v>0</v>
      </c>
      <c r="J403" s="348">
        <f t="shared" si="119"/>
        <v>0</v>
      </c>
      <c r="K403" s="348">
        <f t="shared" si="119"/>
        <v>0</v>
      </c>
    </row>
    <row r="404" spans="1:11">
      <c r="A404" s="333">
        <v>4</v>
      </c>
      <c r="D404" s="344"/>
      <c r="E404" s="196"/>
      <c r="F404" s="347"/>
      <c r="G404" s="548"/>
      <c r="H404" s="539"/>
      <c r="I404" s="540"/>
      <c r="J404" s="347"/>
      <c r="K404" s="347"/>
    </row>
    <row r="405" spans="1:11">
      <c r="A405" s="333">
        <v>5</v>
      </c>
      <c r="B405" s="332" t="s">
        <v>53</v>
      </c>
      <c r="D405" s="344"/>
      <c r="E405" s="196"/>
      <c r="F405" s="347"/>
      <c r="G405" s="548"/>
      <c r="H405" s="539"/>
      <c r="I405" s="540"/>
      <c r="J405" s="347"/>
      <c r="K405" s="347"/>
    </row>
    <row r="406" spans="1:11">
      <c r="A406" s="333">
        <v>6</v>
      </c>
      <c r="C406" s="359" t="str">
        <f>'FR-16(7)(v)-1 Functional'!C406</f>
        <v>SALES EXPENSE</v>
      </c>
      <c r="D406" s="344" t="str">
        <f>'FR-16(7)(v)-1 Functional'!D406</f>
        <v>K408</v>
      </c>
      <c r="E406" s="196" t="s">
        <v>343</v>
      </c>
      <c r="F406" s="479">
        <f>'FR-16(7)(v)-1 Functional'!H406</f>
        <v>0</v>
      </c>
      <c r="G406" s="548">
        <f>F406-SUM(H406:I406)</f>
        <v>0</v>
      </c>
      <c r="H406" s="539">
        <f>ROUND(F406*VLOOKUP(D406,AllocTable_Classified_Storage,$H$10,FALSE),0)</f>
        <v>0</v>
      </c>
      <c r="I406" s="540">
        <f>ROUND(F406*VLOOKUP(D406,AllocTable_Classified_Storage,$I$10,FALSE),0)</f>
        <v>0</v>
      </c>
      <c r="J406" s="347">
        <f>SUM(G406:I406)</f>
        <v>0</v>
      </c>
      <c r="K406" s="347">
        <f>F406-J406</f>
        <v>0</v>
      </c>
    </row>
    <row r="407" spans="1:11">
      <c r="A407" s="333">
        <v>7</v>
      </c>
      <c r="C407" s="332" t="str">
        <f>'FR-16(7)(v)-1 Functional'!C407</f>
        <v xml:space="preserve">  TOTAL SALES EXPENSE</v>
      </c>
      <c r="D407" s="344"/>
      <c r="E407" s="196" t="s">
        <v>343</v>
      </c>
      <c r="F407" s="348">
        <f t="shared" ref="F407:K407" si="120">SUM(F405:F406)</f>
        <v>0</v>
      </c>
      <c r="G407" s="549">
        <f t="shared" si="120"/>
        <v>0</v>
      </c>
      <c r="H407" s="541">
        <f t="shared" si="120"/>
        <v>0</v>
      </c>
      <c r="I407" s="542">
        <f t="shared" si="120"/>
        <v>0</v>
      </c>
      <c r="J407" s="348">
        <f t="shared" si="120"/>
        <v>0</v>
      </c>
      <c r="K407" s="348">
        <f t="shared" si="120"/>
        <v>0</v>
      </c>
    </row>
    <row r="408" spans="1:11">
      <c r="A408" s="333">
        <v>8</v>
      </c>
      <c r="D408" s="344"/>
      <c r="E408" s="196"/>
      <c r="G408" s="547"/>
      <c r="H408" s="537"/>
      <c r="I408" s="538"/>
    </row>
    <row r="409" spans="1:11">
      <c r="A409" s="333">
        <v>9</v>
      </c>
      <c r="B409" s="332" t="s">
        <v>54</v>
      </c>
      <c r="D409" s="344"/>
      <c r="E409" s="196"/>
      <c r="G409" s="547"/>
      <c r="H409" s="537"/>
      <c r="I409" s="538"/>
    </row>
    <row r="410" spans="1:11">
      <c r="A410" s="333">
        <v>10</v>
      </c>
      <c r="C410" s="332" t="str">
        <f>'FR-16(7)(v)-1 Functional'!C410</f>
        <v>PRODUCTION PLANT DEMAND</v>
      </c>
      <c r="D410" s="344" t="str">
        <f>'FR-16(7)(v)-1 Functional'!D410</f>
        <v>P349</v>
      </c>
      <c r="E410" s="196"/>
      <c r="F410" s="479">
        <f>'FR-16(7)(v)-1 Functional'!H410</f>
        <v>0</v>
      </c>
      <c r="G410" s="548">
        <f t="shared" ref="G410:G415" si="121">F410-SUM(H410:I410)</f>
        <v>0</v>
      </c>
      <c r="H410" s="539">
        <f t="shared" ref="H410:H415" si="122">ROUND(F410*VLOOKUP(D410,AllocTable_Classified_Storage,$H$10,FALSE),0)</f>
        <v>0</v>
      </c>
      <c r="I410" s="540">
        <f t="shared" ref="I410:I415" si="123">ROUND(F410*VLOOKUP(D410,AllocTable_Classified_Storage,$I$10,FALSE),0)</f>
        <v>0</v>
      </c>
      <c r="J410" s="347">
        <f t="shared" ref="J410:J415" si="124">SUM(G410:I410)</f>
        <v>0</v>
      </c>
      <c r="K410" s="347">
        <f t="shared" ref="K410:K415" si="125">F410-J410</f>
        <v>0</v>
      </c>
    </row>
    <row r="411" spans="1:11">
      <c r="A411" s="333">
        <v>11</v>
      </c>
      <c r="C411" s="332" t="str">
        <f>'FR-16(7)(v)-1 Functional'!C411</f>
        <v>PRODUCTION PLANT COMMODITY</v>
      </c>
      <c r="D411" s="344" t="str">
        <f>'FR-16(7)(v)-1 Functional'!D411</f>
        <v>K301</v>
      </c>
      <c r="E411" s="196"/>
      <c r="F411" s="479">
        <f>'FR-16(7)(v)-1 Functional'!H411</f>
        <v>0</v>
      </c>
      <c r="G411" s="548">
        <f t="shared" si="121"/>
        <v>0</v>
      </c>
      <c r="H411" s="539">
        <f t="shared" si="122"/>
        <v>0</v>
      </c>
      <c r="I411" s="540">
        <f t="shared" si="123"/>
        <v>0</v>
      </c>
      <c r="J411" s="347">
        <f t="shared" si="124"/>
        <v>0</v>
      </c>
      <c r="K411" s="347">
        <f t="shared" si="125"/>
        <v>0</v>
      </c>
    </row>
    <row r="412" spans="1:11">
      <c r="A412" s="333">
        <v>12</v>
      </c>
      <c r="C412" s="332" t="str">
        <f>'FR-16(7)(v)-1 Functional'!C412</f>
        <v>DISTRIBUTION PLANT</v>
      </c>
      <c r="D412" s="344" t="str">
        <f>'FR-16(7)(v)-1 Functional'!D412</f>
        <v>D349</v>
      </c>
      <c r="E412" s="196"/>
      <c r="F412" s="479">
        <f>'FR-16(7)(v)-1 Functional'!H412</f>
        <v>0</v>
      </c>
      <c r="G412" s="548">
        <f t="shared" si="121"/>
        <v>0</v>
      </c>
      <c r="H412" s="539">
        <f t="shared" si="122"/>
        <v>0</v>
      </c>
      <c r="I412" s="540">
        <f t="shared" si="123"/>
        <v>0</v>
      </c>
      <c r="J412" s="347">
        <f t="shared" si="124"/>
        <v>0</v>
      </c>
      <c r="K412" s="347">
        <f t="shared" si="125"/>
        <v>0</v>
      </c>
    </row>
    <row r="413" spans="1:11">
      <c r="A413" s="333">
        <v>13</v>
      </c>
      <c r="C413" s="332" t="str">
        <f>'FR-16(7)(v)-1 Functional'!C413</f>
        <v>CUSTOMER ACCOUNTING</v>
      </c>
      <c r="D413" s="344" t="str">
        <f>'FR-16(7)(v)-1 Functional'!D413</f>
        <v>CA19</v>
      </c>
      <c r="E413" s="196"/>
      <c r="F413" s="479">
        <f>'FR-16(7)(v)-1 Functional'!H413</f>
        <v>0</v>
      </c>
      <c r="G413" s="548">
        <f t="shared" si="121"/>
        <v>0</v>
      </c>
      <c r="H413" s="539">
        <f t="shared" si="122"/>
        <v>0</v>
      </c>
      <c r="I413" s="540">
        <f t="shared" si="123"/>
        <v>0</v>
      </c>
      <c r="J413" s="347">
        <f t="shared" si="124"/>
        <v>0</v>
      </c>
      <c r="K413" s="347">
        <f t="shared" si="125"/>
        <v>0</v>
      </c>
    </row>
    <row r="414" spans="1:11">
      <c r="A414" s="333">
        <v>14</v>
      </c>
      <c r="C414" s="332" t="str">
        <f>'FR-16(7)(v)-1 Functional'!C414</f>
        <v>CUSTOMER SERVICE &amp; INFORMATION</v>
      </c>
      <c r="D414" s="344" t="str">
        <f>'FR-16(7)(v)-1 Functional'!D414</f>
        <v>CS19</v>
      </c>
      <c r="E414" s="196"/>
      <c r="F414" s="479">
        <f>'FR-16(7)(v)-1 Functional'!H414</f>
        <v>0</v>
      </c>
      <c r="G414" s="548">
        <f t="shared" si="121"/>
        <v>0</v>
      </c>
      <c r="H414" s="539">
        <f t="shared" si="122"/>
        <v>0</v>
      </c>
      <c r="I414" s="540">
        <f t="shared" si="123"/>
        <v>0</v>
      </c>
      <c r="J414" s="347">
        <f t="shared" si="124"/>
        <v>0</v>
      </c>
      <c r="K414" s="347">
        <f t="shared" si="125"/>
        <v>0</v>
      </c>
    </row>
    <row r="415" spans="1:11">
      <c r="A415" s="333">
        <v>15</v>
      </c>
      <c r="C415" s="359" t="str">
        <f>'FR-16(7)(v)-1 Functional'!C415</f>
        <v>SALES</v>
      </c>
      <c r="D415" s="344" t="str">
        <f>'FR-16(7)(v)-1 Functional'!D415</f>
        <v>SE19</v>
      </c>
      <c r="E415" s="196"/>
      <c r="F415" s="479">
        <f>'FR-16(7)(v)-1 Functional'!H415</f>
        <v>0</v>
      </c>
      <c r="G415" s="548">
        <f t="shared" si="121"/>
        <v>0</v>
      </c>
      <c r="H415" s="539">
        <f t="shared" si="122"/>
        <v>0</v>
      </c>
      <c r="I415" s="540">
        <f t="shared" si="123"/>
        <v>0</v>
      </c>
      <c r="J415" s="502">
        <f t="shared" si="124"/>
        <v>0</v>
      </c>
      <c r="K415" s="502">
        <f t="shared" si="125"/>
        <v>0</v>
      </c>
    </row>
    <row r="416" spans="1:11">
      <c r="A416" s="333">
        <v>16</v>
      </c>
      <c r="C416" s="332" t="str">
        <f>'FR-16(7)(v)-1 Functional'!C416</f>
        <v xml:space="preserve"> TOT ADMIN &amp; GEN LESS REG EXP</v>
      </c>
      <c r="D416" s="344" t="s">
        <v>343</v>
      </c>
      <c r="E416" s="196"/>
      <c r="F416" s="503">
        <f t="shared" ref="F416:K416" si="126">SUM(F410:F415)</f>
        <v>0</v>
      </c>
      <c r="G416" s="563">
        <f t="shared" si="126"/>
        <v>0</v>
      </c>
      <c r="H416" s="564">
        <f t="shared" si="126"/>
        <v>0</v>
      </c>
      <c r="I416" s="565">
        <f t="shared" si="126"/>
        <v>0</v>
      </c>
      <c r="J416" s="477">
        <f t="shared" si="126"/>
        <v>0</v>
      </c>
      <c r="K416" s="477">
        <f t="shared" si="126"/>
        <v>0</v>
      </c>
    </row>
    <row r="417" spans="1:11">
      <c r="A417" s="333">
        <v>17</v>
      </c>
      <c r="C417" s="332" t="str">
        <f>'FR-16(7)(v)-1 Functional'!C417</f>
        <v>AMORTIZATION RATE CASE EXPENSE</v>
      </c>
      <c r="D417" s="344" t="str">
        <f>'FR-16(7)(v)-1 Functional'!D417</f>
        <v>AG39</v>
      </c>
      <c r="E417" s="196"/>
      <c r="F417" s="479">
        <f>'FR-16(7)(v)-1 Functional'!H417</f>
        <v>0</v>
      </c>
      <c r="G417" s="548">
        <f t="shared" ref="G417:G430" si="127">F417-SUM(H417:I417)</f>
        <v>0</v>
      </c>
      <c r="H417" s="539">
        <f t="shared" ref="H417:H430" si="128">ROUND(F417*VLOOKUP(D417,AllocTable_Classified_Storage,$H$10,FALSE),0)</f>
        <v>0</v>
      </c>
      <c r="I417" s="540">
        <f t="shared" ref="I417:I430" si="129">ROUND(F417*VLOOKUP(D417,AllocTable_Classified_Storage,$I$10,FALSE),0)</f>
        <v>0</v>
      </c>
      <c r="J417" s="347">
        <f t="shared" ref="J417:J430" si="130">SUM(G417:I417)</f>
        <v>0</v>
      </c>
      <c r="K417" s="347">
        <f t="shared" ref="K417:K430" si="131">F417-J417</f>
        <v>0</v>
      </c>
    </row>
    <row r="418" spans="1:11">
      <c r="A418" s="333">
        <v>18</v>
      </c>
      <c r="C418" s="332" t="str">
        <f>'FR-16(7)(v)-1 Functional'!C418</f>
        <v>INCENTIVE COMPENSATION</v>
      </c>
      <c r="D418" s="344" t="str">
        <f>'FR-16(7)(v)-1 Functional'!D418</f>
        <v>AG39</v>
      </c>
      <c r="E418" s="196"/>
      <c r="F418" s="479">
        <f>'FR-16(7)(v)-1 Functional'!H418</f>
        <v>0</v>
      </c>
      <c r="G418" s="548">
        <f t="shared" si="127"/>
        <v>0</v>
      </c>
      <c r="H418" s="539">
        <f t="shared" si="128"/>
        <v>0</v>
      </c>
      <c r="I418" s="540">
        <f t="shared" si="129"/>
        <v>0</v>
      </c>
      <c r="J418" s="347">
        <f t="shared" si="130"/>
        <v>0</v>
      </c>
      <c r="K418" s="347">
        <f t="shared" si="131"/>
        <v>0</v>
      </c>
    </row>
    <row r="419" spans="1:11">
      <c r="A419" s="333">
        <v>19</v>
      </c>
      <c r="C419" s="332" t="str">
        <f>'FR-16(7)(v)-1 Functional'!C419</f>
        <v>ELIMINATE MISCELLANEOUS EXPENSES</v>
      </c>
      <c r="D419" s="344" t="str">
        <f>'FR-16(7)(v)-1 Functional'!D419</f>
        <v>AG39</v>
      </c>
      <c r="E419" s="196"/>
      <c r="F419" s="479">
        <f>'FR-16(7)(v)-1 Functional'!H419</f>
        <v>0</v>
      </c>
      <c r="G419" s="548">
        <f t="shared" si="127"/>
        <v>0</v>
      </c>
      <c r="H419" s="539">
        <f t="shared" si="128"/>
        <v>0</v>
      </c>
      <c r="I419" s="540">
        <f t="shared" si="129"/>
        <v>0</v>
      </c>
      <c r="J419" s="347">
        <f t="shared" si="130"/>
        <v>0</v>
      </c>
      <c r="K419" s="347">
        <f t="shared" si="131"/>
        <v>0</v>
      </c>
    </row>
    <row r="420" spans="1:11">
      <c r="A420" s="333">
        <v>20</v>
      </c>
      <c r="C420" s="332" t="str">
        <f>'FR-16(7)(v)-1 Functional'!C420</f>
        <v>ELIMINATE NON-JURISDICTIONAL EXPENSES</v>
      </c>
      <c r="D420" s="344" t="str">
        <f>'FR-16(7)(v)-1 Functional'!D420</f>
        <v>NP29</v>
      </c>
      <c r="E420" s="196"/>
      <c r="F420" s="479">
        <f>'FR-16(7)(v)-1 Functional'!H420</f>
        <v>0</v>
      </c>
      <c r="G420" s="548">
        <f t="shared" si="127"/>
        <v>0</v>
      </c>
      <c r="H420" s="539">
        <f t="shared" si="128"/>
        <v>0</v>
      </c>
      <c r="I420" s="540">
        <f t="shared" si="129"/>
        <v>0</v>
      </c>
      <c r="J420" s="347">
        <f t="shared" si="130"/>
        <v>0</v>
      </c>
      <c r="K420" s="347">
        <f t="shared" si="131"/>
        <v>0</v>
      </c>
    </row>
    <row r="421" spans="1:11">
      <c r="A421" s="333">
        <v>21</v>
      </c>
      <c r="C421" s="332" t="str">
        <f>'FR-16(7)(v)-1 Functional'!C421</f>
        <v xml:space="preserve">AMORTIZATION OF DEFERRED EXP </v>
      </c>
      <c r="D421" s="344" t="str">
        <f>'FR-16(7)(v)-1 Functional'!D421</f>
        <v>AG39</v>
      </c>
      <c r="E421" s="196"/>
      <c r="F421" s="479">
        <f>'FR-16(7)(v)-1 Functional'!H421</f>
        <v>0</v>
      </c>
      <c r="G421" s="548">
        <f t="shared" si="127"/>
        <v>0</v>
      </c>
      <c r="H421" s="539">
        <f t="shared" si="128"/>
        <v>0</v>
      </c>
      <c r="I421" s="540">
        <f t="shared" si="129"/>
        <v>0</v>
      </c>
      <c r="J421" s="347">
        <f t="shared" si="130"/>
        <v>0</v>
      </c>
      <c r="K421" s="347">
        <f t="shared" si="131"/>
        <v>0</v>
      </c>
    </row>
    <row r="422" spans="1:11">
      <c r="A422" s="333">
        <v>22</v>
      </c>
      <c r="C422" s="332" t="str">
        <f>'FR-16(7)(v)-1 Functional'!C422</f>
        <v>STATE REG COMMISSION EXPENSES</v>
      </c>
      <c r="D422" s="344" t="str">
        <f>'FR-16(7)(v)-1 Functional'!D422</f>
        <v>AG39</v>
      </c>
      <c r="E422" s="196"/>
      <c r="F422" s="479">
        <f>'FR-16(7)(v)-1 Functional'!H422</f>
        <v>0</v>
      </c>
      <c r="G422" s="548">
        <f t="shared" si="127"/>
        <v>0</v>
      </c>
      <c r="H422" s="539">
        <f t="shared" si="128"/>
        <v>0</v>
      </c>
      <c r="I422" s="540">
        <f t="shared" si="129"/>
        <v>0</v>
      </c>
      <c r="J422" s="347">
        <f t="shared" si="130"/>
        <v>0</v>
      </c>
      <c r="K422" s="347">
        <f t="shared" si="131"/>
        <v>0</v>
      </c>
    </row>
    <row r="423" spans="1:11">
      <c r="A423" s="333">
        <v>23</v>
      </c>
      <c r="C423" s="332" t="str">
        <f>'FR-16(7)(v)-1 Functional'!C423</f>
        <v>STATE REG COM EXP ANN ADJ.</v>
      </c>
      <c r="D423" s="344" t="str">
        <f>'FR-16(7)(v)-1 Functional'!D423</f>
        <v>AG39</v>
      </c>
      <c r="E423" s="196"/>
      <c r="F423" s="479">
        <f>'FR-16(7)(v)-1 Functional'!H423</f>
        <v>0</v>
      </c>
      <c r="G423" s="548">
        <f t="shared" si="127"/>
        <v>0</v>
      </c>
      <c r="H423" s="539">
        <f t="shared" si="128"/>
        <v>0</v>
      </c>
      <c r="I423" s="540">
        <f t="shared" si="129"/>
        <v>0</v>
      </c>
      <c r="J423" s="347">
        <f t="shared" si="130"/>
        <v>0</v>
      </c>
      <c r="K423" s="347">
        <f t="shared" si="131"/>
        <v>0</v>
      </c>
    </row>
    <row r="424" spans="1:11">
      <c r="A424" s="333">
        <v>24</v>
      </c>
      <c r="C424" s="332" t="str">
        <f>'FR-16(7)(v)-1 Functional'!C424</f>
        <v>AMORTIZE CAMERA WORK</v>
      </c>
      <c r="D424" s="344" t="str">
        <f>'FR-16(7)(v)-1 Functional'!D424</f>
        <v>AG39</v>
      </c>
      <c r="E424" s="196"/>
      <c r="F424" s="479">
        <f>'FR-16(7)(v)-1 Functional'!H424</f>
        <v>0</v>
      </c>
      <c r="G424" s="548">
        <f t="shared" ref="G424:G429" si="132">F424-SUM(H424:I424)</f>
        <v>0</v>
      </c>
      <c r="H424" s="539">
        <f t="shared" si="128"/>
        <v>0</v>
      </c>
      <c r="I424" s="540">
        <f t="shared" si="129"/>
        <v>0</v>
      </c>
      <c r="J424" s="347">
        <f t="shared" ref="J424:J429" si="133">SUM(G424:I424)</f>
        <v>0</v>
      </c>
      <c r="K424" s="347">
        <f t="shared" ref="K424:K429" si="134">F424-J424</f>
        <v>0</v>
      </c>
    </row>
    <row r="425" spans="1:11">
      <c r="A425" s="333">
        <v>25</v>
      </c>
      <c r="C425" s="332" t="str">
        <f>'FR-16(7)(v)-1 Functional'!C425</f>
        <v>ELIMINATE MERGER EXPENSE</v>
      </c>
      <c r="D425" s="344" t="str">
        <f>'FR-16(7)(v)-1 Functional'!D425</f>
        <v>AG39</v>
      </c>
      <c r="E425" s="196"/>
      <c r="F425" s="479">
        <f>'FR-16(7)(v)-1 Functional'!H425</f>
        <v>0</v>
      </c>
      <c r="G425" s="548">
        <f t="shared" si="132"/>
        <v>0</v>
      </c>
      <c r="H425" s="539">
        <f t="shared" si="128"/>
        <v>0</v>
      </c>
      <c r="I425" s="540">
        <f t="shared" si="129"/>
        <v>0</v>
      </c>
      <c r="J425" s="347">
        <f t="shared" si="133"/>
        <v>0</v>
      </c>
      <c r="K425" s="347">
        <f t="shared" si="134"/>
        <v>0</v>
      </c>
    </row>
    <row r="426" spans="1:11">
      <c r="A426" s="333">
        <v>26</v>
      </c>
      <c r="C426" s="332" t="str">
        <f>'FR-16(7)(v)-1 Functional'!C426</f>
        <v>SMART GRID AMORTIZATION ADJUSTMENT</v>
      </c>
      <c r="D426" s="344" t="str">
        <f>'FR-16(7)(v)-1 Functional'!D426</f>
        <v>K413</v>
      </c>
      <c r="E426" s="196"/>
      <c r="F426" s="479">
        <f>'FR-16(7)(v)-1 Functional'!H426</f>
        <v>0</v>
      </c>
      <c r="G426" s="548">
        <f t="shared" si="132"/>
        <v>0</v>
      </c>
      <c r="H426" s="539">
        <f t="shared" si="128"/>
        <v>0</v>
      </c>
      <c r="I426" s="540">
        <f t="shared" si="129"/>
        <v>0</v>
      </c>
      <c r="J426" s="347">
        <f t="shared" si="133"/>
        <v>0</v>
      </c>
      <c r="K426" s="347">
        <f t="shared" si="134"/>
        <v>0</v>
      </c>
    </row>
    <row r="427" spans="1:11">
      <c r="A427" s="333">
        <v>27</v>
      </c>
      <c r="C427" s="332" t="str">
        <f>'FR-16(7)(v)-1 Functional'!C427</f>
        <v>AMORTIZE 2011 SMART GRID DEFERRED O&amp;M</v>
      </c>
      <c r="D427" s="344" t="str">
        <f>'FR-16(7)(v)-1 Functional'!D427</f>
        <v>K413</v>
      </c>
      <c r="E427" s="196"/>
      <c r="F427" s="479">
        <f>'FR-16(7)(v)-1 Functional'!H427</f>
        <v>0</v>
      </c>
      <c r="G427" s="548">
        <f t="shared" si="132"/>
        <v>0</v>
      </c>
      <c r="H427" s="539">
        <f t="shared" si="128"/>
        <v>0</v>
      </c>
      <c r="I427" s="540">
        <f t="shared" si="129"/>
        <v>0</v>
      </c>
      <c r="J427" s="347">
        <f t="shared" si="133"/>
        <v>0</v>
      </c>
      <c r="K427" s="347">
        <f t="shared" si="134"/>
        <v>0</v>
      </c>
    </row>
    <row r="428" spans="1:11">
      <c r="A428" s="333">
        <v>28</v>
      </c>
      <c r="C428" s="332" t="str">
        <f>'FR-16(7)(v)-1 Functional'!C428</f>
        <v>INCREASED MEDICAL COSTS</v>
      </c>
      <c r="D428" s="344" t="str">
        <f>'FR-16(7)(v)-1 Functional'!D428</f>
        <v>AG39</v>
      </c>
      <c r="E428" s="196"/>
      <c r="F428" s="479">
        <f>'FR-16(7)(v)-1 Functional'!H428</f>
        <v>0</v>
      </c>
      <c r="G428" s="548">
        <f t="shared" si="132"/>
        <v>0</v>
      </c>
      <c r="H428" s="539">
        <f t="shared" si="128"/>
        <v>0</v>
      </c>
      <c r="I428" s="540">
        <f t="shared" si="129"/>
        <v>0</v>
      </c>
      <c r="J428" s="347">
        <f t="shared" si="133"/>
        <v>0</v>
      </c>
      <c r="K428" s="347">
        <f t="shared" si="134"/>
        <v>0</v>
      </c>
    </row>
    <row r="429" spans="1:11">
      <c r="A429" s="333">
        <v>29</v>
      </c>
      <c r="C429" s="332" t="str">
        <f>'FR-16(7)(v)-1 Functional'!C429</f>
        <v>AMORTIZE GAS FURNACE PROGRAM</v>
      </c>
      <c r="D429" s="344" t="str">
        <f>'FR-16(7)(v)-1 Functional'!D429</f>
        <v>NP29</v>
      </c>
      <c r="E429" s="196"/>
      <c r="F429" s="479">
        <f>'FR-16(7)(v)-1 Functional'!H429</f>
        <v>0</v>
      </c>
      <c r="G429" s="548">
        <f t="shared" si="132"/>
        <v>0</v>
      </c>
      <c r="H429" s="539">
        <f t="shared" si="128"/>
        <v>0</v>
      </c>
      <c r="I429" s="540">
        <f t="shared" si="129"/>
        <v>0</v>
      </c>
      <c r="J429" s="347">
        <f t="shared" si="133"/>
        <v>0</v>
      </c>
      <c r="K429" s="347">
        <f t="shared" si="134"/>
        <v>0</v>
      </c>
    </row>
    <row r="430" spans="1:11">
      <c r="A430" s="333">
        <v>30</v>
      </c>
      <c r="C430" s="359" t="str">
        <f>'FR-16(7)(v)-1 Functional'!C430</f>
        <v>AMORTIZATION OF MGP DEFERRED EXP</v>
      </c>
      <c r="D430" s="344" t="str">
        <f>'FR-16(7)(v)-1 Functional'!D430</f>
        <v>NP29</v>
      </c>
      <c r="E430" s="196"/>
      <c r="F430" s="479">
        <f>'FR-16(7)(v)-1 Functional'!H430</f>
        <v>0</v>
      </c>
      <c r="G430" s="548">
        <f t="shared" si="127"/>
        <v>0</v>
      </c>
      <c r="H430" s="539">
        <f t="shared" si="128"/>
        <v>0</v>
      </c>
      <c r="I430" s="540">
        <f t="shared" si="129"/>
        <v>0</v>
      </c>
      <c r="J430" s="347">
        <f t="shared" si="130"/>
        <v>0</v>
      </c>
      <c r="K430" s="347">
        <f t="shared" si="131"/>
        <v>0</v>
      </c>
    </row>
    <row r="431" spans="1:11">
      <c r="A431" s="333">
        <v>31</v>
      </c>
      <c r="C431" s="332" t="str">
        <f>'FR-16(7)(v)-1 Functional'!C431</f>
        <v xml:space="preserve">  TOTAL ADMIN. &amp; GENERAL</v>
      </c>
      <c r="D431" s="344"/>
      <c r="E431" s="196" t="s">
        <v>343</v>
      </c>
      <c r="F431" s="348">
        <f t="shared" ref="F431:K431" si="135">SUM(F416:F430)</f>
        <v>0</v>
      </c>
      <c r="G431" s="549">
        <f t="shared" si="135"/>
        <v>0</v>
      </c>
      <c r="H431" s="541">
        <f t="shared" si="135"/>
        <v>0</v>
      </c>
      <c r="I431" s="542">
        <f t="shared" si="135"/>
        <v>0</v>
      </c>
      <c r="J431" s="348">
        <f t="shared" si="135"/>
        <v>0</v>
      </c>
      <c r="K431" s="348">
        <f t="shared" si="135"/>
        <v>0</v>
      </c>
    </row>
    <row r="432" spans="1:11">
      <c r="A432" s="333">
        <v>32</v>
      </c>
      <c r="D432" s="344"/>
      <c r="E432" s="196"/>
      <c r="F432" s="335"/>
      <c r="G432" s="548"/>
      <c r="H432" s="539"/>
      <c r="I432" s="540"/>
      <c r="J432" s="347"/>
      <c r="K432" s="347"/>
    </row>
    <row r="433" spans="1:11">
      <c r="A433" s="333">
        <v>33</v>
      </c>
      <c r="C433" s="332" t="str">
        <f>'FR-16(7)(v)-1 Functional'!C433</f>
        <v>TOTAL O &amp; M EXPENSE</v>
      </c>
      <c r="D433" s="344"/>
      <c r="E433" s="196"/>
      <c r="F433" s="347">
        <f t="shared" ref="F433:K433" si="136">F431+F407+F403+F389+F378+F364+F360</f>
        <v>0</v>
      </c>
      <c r="G433" s="550">
        <f t="shared" si="136"/>
        <v>0</v>
      </c>
      <c r="H433" s="543">
        <f t="shared" si="136"/>
        <v>0</v>
      </c>
      <c r="I433" s="544">
        <f t="shared" si="136"/>
        <v>0</v>
      </c>
      <c r="J433" s="347">
        <f t="shared" si="136"/>
        <v>0</v>
      </c>
      <c r="K433" s="347">
        <f t="shared" si="136"/>
        <v>0</v>
      </c>
    </row>
    <row r="434" spans="1:11">
      <c r="B434" s="343"/>
      <c r="C434" s="196"/>
      <c r="D434" s="344"/>
      <c r="E434" s="196"/>
      <c r="F434" s="196"/>
      <c r="G434" s="196"/>
      <c r="H434" s="196"/>
      <c r="I434" s="196"/>
      <c r="J434" s="196"/>
      <c r="K434" s="196"/>
    </row>
    <row r="435" spans="1:11">
      <c r="A435" s="343" t="str">
        <f>co_name</f>
        <v>DUKE ENERGY KENTUCKY, INC.</v>
      </c>
      <c r="C435" s="196"/>
      <c r="D435" s="344"/>
      <c r="E435" s="196"/>
      <c r="F435" s="196"/>
      <c r="G435" s="196"/>
      <c r="H435" s="196"/>
      <c r="I435" s="196"/>
      <c r="J435" s="196" t="str">
        <f>$J$1</f>
        <v>FR-16(7)(v)-7</v>
      </c>
      <c r="K435" s="196"/>
    </row>
    <row r="436" spans="1:11">
      <c r="A436" s="343" t="str">
        <f>$A$2</f>
        <v>STORAGE CLASSIFIED -  GAS COST OF SERVICE</v>
      </c>
      <c r="C436" s="196"/>
      <c r="D436" s="344"/>
      <c r="E436" s="196"/>
      <c r="F436" s="196"/>
      <c r="G436" s="196"/>
      <c r="H436" s="196"/>
      <c r="I436" s="196"/>
      <c r="J436" s="196" t="str">
        <f>$J$2</f>
        <v>WITNESS RESPONSIBLE:</v>
      </c>
      <c r="K436" s="196"/>
    </row>
    <row r="437" spans="1:11">
      <c r="A437" s="343" t="str">
        <f>case_name</f>
        <v>CASE NO: 2018-00261</v>
      </c>
      <c r="C437" s="196"/>
      <c r="D437" s="344"/>
      <c r="E437" s="196"/>
      <c r="F437" s="196"/>
      <c r="G437" s="196"/>
      <c r="H437" s="196"/>
      <c r="I437" s="196"/>
      <c r="J437" s="196" t="str">
        <f>Witness</f>
        <v>JAMES E. ZIOLKOWSKI</v>
      </c>
      <c r="K437" s="196"/>
    </row>
    <row r="438" spans="1:11">
      <c r="A438" s="343" t="str">
        <f>data_filing</f>
        <v>DATA: 12 MONTH FORECASTED PERIOD</v>
      </c>
      <c r="C438" s="196"/>
      <c r="D438" s="344"/>
      <c r="E438" s="196"/>
      <c r="F438" s="196"/>
      <c r="G438" s="196"/>
      <c r="H438" s="196"/>
      <c r="I438" s="196"/>
      <c r="J438" s="196" t="str">
        <f>"PAGE "&amp;Pages2-5&amp;" OF "&amp;Pages2</f>
        <v>PAGE 10 OF 15</v>
      </c>
      <c r="K438" s="196"/>
    </row>
    <row r="439" spans="1:11">
      <c r="A439" s="343" t="str">
        <f>type</f>
        <v xml:space="preserve">TYPE OF FILING: "X" ORIGINAL   UPDATED    REVISED  </v>
      </c>
      <c r="C439" s="196"/>
      <c r="D439" s="344"/>
      <c r="E439" s="196"/>
      <c r="F439" s="196"/>
      <c r="G439" s="196"/>
      <c r="H439" s="196"/>
      <c r="I439" s="196"/>
      <c r="J439" s="196"/>
      <c r="K439" s="196"/>
    </row>
    <row r="440" spans="1:11">
      <c r="B440" s="343"/>
      <c r="C440" s="196"/>
      <c r="D440" s="344"/>
      <c r="E440" s="196"/>
      <c r="F440" s="196"/>
      <c r="G440" s="196"/>
      <c r="H440" s="196"/>
      <c r="I440" s="196"/>
      <c r="J440" s="196"/>
      <c r="K440" s="196"/>
    </row>
    <row r="441" spans="1:11">
      <c r="B441" s="343"/>
      <c r="C441" s="196"/>
      <c r="D441" s="344"/>
      <c r="E441" s="196"/>
      <c r="F441" s="196"/>
      <c r="G441" s="196"/>
      <c r="H441" s="196"/>
      <c r="I441" s="196"/>
      <c r="J441" s="196"/>
      <c r="K441" s="196"/>
    </row>
    <row r="442" spans="1:11">
      <c r="A442" s="344" t="s">
        <v>914</v>
      </c>
      <c r="B442" s="196"/>
      <c r="C442" s="196"/>
      <c r="D442" s="344"/>
      <c r="E442" s="196"/>
      <c r="F442" s="344" t="str">
        <f>$F$8</f>
        <v>TOTAL</v>
      </c>
      <c r="G442" s="545" t="s">
        <v>1005</v>
      </c>
      <c r="H442" s="533"/>
      <c r="I442" s="534"/>
      <c r="J442" s="344" t="s">
        <v>229</v>
      </c>
      <c r="K442" s="344" t="s">
        <v>342</v>
      </c>
    </row>
    <row r="443" spans="1:11">
      <c r="A443" s="346" t="s">
        <v>915</v>
      </c>
      <c r="B443" s="345" t="s">
        <v>55</v>
      </c>
      <c r="C443" s="345"/>
      <c r="D443" s="346" t="s">
        <v>337</v>
      </c>
      <c r="E443" s="345"/>
      <c r="F443" s="346" t="str">
        <f>$F$9</f>
        <v>STORAGE</v>
      </c>
      <c r="G443" s="546" t="s">
        <v>847</v>
      </c>
      <c r="H443" s="535" t="s">
        <v>848</v>
      </c>
      <c r="I443" s="536" t="s">
        <v>849</v>
      </c>
      <c r="J443" s="346" t="s">
        <v>341</v>
      </c>
      <c r="K443" s="346" t="s">
        <v>340</v>
      </c>
    </row>
    <row r="444" spans="1:11">
      <c r="C444" s="578" t="s">
        <v>349</v>
      </c>
      <c r="D444" s="344"/>
      <c r="E444" s="196"/>
      <c r="F444" s="510"/>
      <c r="G444" s="800">
        <f>$G$10</f>
        <v>3</v>
      </c>
      <c r="H444" s="801">
        <f>$H$10</f>
        <v>4</v>
      </c>
      <c r="I444" s="802">
        <f>$I$10</f>
        <v>5</v>
      </c>
      <c r="J444" s="510"/>
      <c r="K444" s="510"/>
    </row>
    <row r="445" spans="1:11">
      <c r="A445" s="333">
        <v>1</v>
      </c>
      <c r="B445" s="353" t="s">
        <v>56</v>
      </c>
      <c r="C445" s="353"/>
      <c r="D445" s="344"/>
      <c r="E445" s="196"/>
      <c r="G445" s="547"/>
      <c r="H445" s="537"/>
      <c r="I445" s="538"/>
    </row>
    <row r="446" spans="1:11">
      <c r="A446" s="333">
        <v>2</v>
      </c>
      <c r="B446" s="353"/>
      <c r="C446" s="511" t="str">
        <f>'FR-16(7)(v)-1 Functional'!C446</f>
        <v>PRODUCTION DEPRECIATION</v>
      </c>
      <c r="D446" s="344" t="str">
        <f>'FR-16(7)(v)-1 Functional'!D446</f>
        <v>P229</v>
      </c>
      <c r="E446" s="196"/>
      <c r="F446" s="479">
        <f>'FR-16(7)(v)-1 Functional'!H446</f>
        <v>0</v>
      </c>
      <c r="G446" s="548">
        <f>F446-SUM(H446:I446)</f>
        <v>0</v>
      </c>
      <c r="H446" s="539">
        <f>ROUND(F446*VLOOKUP(D446,AllocTable_Classified_Storage,$H$10,FALSE),0)</f>
        <v>0</v>
      </c>
      <c r="I446" s="540">
        <f>ROUND(F446*VLOOKUP(D446,AllocTable_Classified_Storage,$I$10,FALSE),0)</f>
        <v>0</v>
      </c>
      <c r="J446" s="347">
        <f>SUM(G446:I446)</f>
        <v>0</v>
      </c>
      <c r="K446" s="347">
        <f>F446-J446</f>
        <v>0</v>
      </c>
    </row>
    <row r="447" spans="1:11">
      <c r="A447" s="333">
        <v>3</v>
      </c>
      <c r="B447" s="353"/>
      <c r="C447" s="353" t="str">
        <f>'FR-16(7)(v)-1 Functional'!C447</f>
        <v xml:space="preserve">  TOTAL PRODUCTION DEPREC EXP.</v>
      </c>
      <c r="D447" s="344"/>
      <c r="E447" s="196"/>
      <c r="F447" s="348">
        <f t="shared" ref="F447:K447" si="137">SUM(F446:F446)</f>
        <v>0</v>
      </c>
      <c r="G447" s="549">
        <f t="shared" si="137"/>
        <v>0</v>
      </c>
      <c r="H447" s="541">
        <f t="shared" si="137"/>
        <v>0</v>
      </c>
      <c r="I447" s="542">
        <f t="shared" si="137"/>
        <v>0</v>
      </c>
      <c r="J447" s="348">
        <f t="shared" si="137"/>
        <v>0</v>
      </c>
      <c r="K447" s="348">
        <f t="shared" si="137"/>
        <v>0</v>
      </c>
    </row>
    <row r="448" spans="1:11">
      <c r="A448" s="333">
        <v>4</v>
      </c>
      <c r="B448" s="353"/>
      <c r="C448" s="353"/>
      <c r="D448" s="344"/>
      <c r="E448" s="196"/>
      <c r="F448" s="353"/>
      <c r="G448" s="547"/>
      <c r="H448" s="537"/>
      <c r="I448" s="538"/>
    </row>
    <row r="449" spans="1:11">
      <c r="A449" s="333">
        <v>5</v>
      </c>
      <c r="B449" s="511" t="s">
        <v>57</v>
      </c>
      <c r="C449" s="511"/>
      <c r="D449" s="344"/>
      <c r="E449" s="196"/>
      <c r="F449" s="349"/>
      <c r="G449" s="548"/>
      <c r="H449" s="539"/>
      <c r="I449" s="540"/>
      <c r="J449" s="347"/>
      <c r="K449" s="347"/>
    </row>
    <row r="450" spans="1:11">
      <c r="A450" s="333">
        <v>6</v>
      </c>
      <c r="B450" s="353"/>
      <c r="C450" s="353" t="str">
        <f>'FR-16(7)(v)-1 Functional'!C450</f>
        <v xml:space="preserve">  TOTAL TRANSMISSION DEP. EXP.</v>
      </c>
      <c r="D450" s="344"/>
      <c r="E450" s="196"/>
      <c r="F450" s="348">
        <f t="shared" ref="F450:K450" si="138">SUM(F449)</f>
        <v>0</v>
      </c>
      <c r="G450" s="549">
        <f t="shared" si="138"/>
        <v>0</v>
      </c>
      <c r="H450" s="541">
        <f t="shared" si="138"/>
        <v>0</v>
      </c>
      <c r="I450" s="542">
        <f t="shared" si="138"/>
        <v>0</v>
      </c>
      <c r="J450" s="348">
        <f t="shared" si="138"/>
        <v>0</v>
      </c>
      <c r="K450" s="348">
        <f t="shared" si="138"/>
        <v>0</v>
      </c>
    </row>
    <row r="451" spans="1:11">
      <c r="A451" s="333">
        <v>7</v>
      </c>
      <c r="B451" s="353"/>
      <c r="C451" s="353"/>
      <c r="D451" s="344"/>
      <c r="E451" s="196"/>
      <c r="F451" s="353"/>
      <c r="G451" s="547"/>
      <c r="H451" s="537"/>
      <c r="I451" s="538"/>
    </row>
    <row r="452" spans="1:11">
      <c r="A452" s="333">
        <v>8</v>
      </c>
      <c r="B452" s="353" t="s">
        <v>58</v>
      </c>
      <c r="C452" s="353"/>
      <c r="D452" s="344"/>
      <c r="E452" s="196"/>
      <c r="F452" s="353"/>
      <c r="G452" s="547"/>
      <c r="H452" s="537"/>
      <c r="I452" s="538"/>
    </row>
    <row r="453" spans="1:11">
      <c r="A453" s="333">
        <v>9</v>
      </c>
      <c r="B453" s="353"/>
      <c r="C453" s="511" t="str">
        <f>'FR-16(7)(v)-1 Functional'!C453</f>
        <v>DISTRIBUTION DEPRECIATION</v>
      </c>
      <c r="D453" s="344" t="str">
        <f>'FR-16(7)(v)-1 Functional'!D453</f>
        <v>D249</v>
      </c>
      <c r="E453" s="196"/>
      <c r="F453" s="479">
        <f>'FR-16(7)(v)-1 Functional'!H453</f>
        <v>0</v>
      </c>
      <c r="G453" s="548">
        <f>F453-SUM(H453:I453)</f>
        <v>0</v>
      </c>
      <c r="H453" s="539">
        <f>ROUND(F453*VLOOKUP(D453,AllocTable_Classified_Storage,$H$10,FALSE),0)</f>
        <v>0</v>
      </c>
      <c r="I453" s="540">
        <f>ROUND(F453*VLOOKUP(D453,AllocTable_Classified_Storage,$I$10,FALSE),0)</f>
        <v>0</v>
      </c>
      <c r="J453" s="347">
        <f>SUM(G453:I453)</f>
        <v>0</v>
      </c>
      <c r="K453" s="347">
        <f>F453-J453</f>
        <v>0</v>
      </c>
    </row>
    <row r="454" spans="1:11">
      <c r="A454" s="333">
        <v>10</v>
      </c>
      <c r="B454" s="353"/>
      <c r="C454" s="353" t="str">
        <f>'FR-16(7)(v)-1 Functional'!C454</f>
        <v xml:space="preserve">  TOTAL DIST. DEPREC EXP.</v>
      </c>
      <c r="D454" s="344"/>
      <c r="E454" s="196"/>
      <c r="F454" s="348">
        <f t="shared" ref="F454:K454" si="139">SUM(F453:F453)</f>
        <v>0</v>
      </c>
      <c r="G454" s="549">
        <f t="shared" si="139"/>
        <v>0</v>
      </c>
      <c r="H454" s="541">
        <f t="shared" si="139"/>
        <v>0</v>
      </c>
      <c r="I454" s="542">
        <f t="shared" si="139"/>
        <v>0</v>
      </c>
      <c r="J454" s="348">
        <f t="shared" si="139"/>
        <v>0</v>
      </c>
      <c r="K454" s="348">
        <f t="shared" si="139"/>
        <v>0</v>
      </c>
    </row>
    <row r="455" spans="1:11">
      <c r="A455" s="333">
        <v>11</v>
      </c>
      <c r="B455" s="353"/>
      <c r="C455" s="353"/>
      <c r="D455" s="344"/>
      <c r="E455" s="196"/>
      <c r="F455" s="353" t="s">
        <v>343</v>
      </c>
      <c r="G455" s="547"/>
      <c r="H455" s="537"/>
      <c r="I455" s="538"/>
    </row>
    <row r="456" spans="1:11">
      <c r="A456" s="333">
        <v>12</v>
      </c>
      <c r="B456" s="353" t="s">
        <v>59</v>
      </c>
      <c r="C456" s="353"/>
      <c r="D456" s="344"/>
      <c r="E456" s="196"/>
      <c r="F456" s="353"/>
      <c r="G456" s="547"/>
      <c r="H456" s="537"/>
      <c r="I456" s="538"/>
    </row>
    <row r="457" spans="1:11">
      <c r="A457" s="333">
        <v>13</v>
      </c>
      <c r="B457" s="353"/>
      <c r="C457" s="511" t="str">
        <f>'FR-16(7)(v)-1 Functional'!C457</f>
        <v>GENERAL DEPRECIATION</v>
      </c>
      <c r="D457" s="344" t="str">
        <f>'FR-16(7)(v)-1 Functional'!D457</f>
        <v>G229</v>
      </c>
      <c r="E457" s="196"/>
      <c r="F457" s="479">
        <f>'FR-16(7)(v)-1 Functional'!H457</f>
        <v>0</v>
      </c>
      <c r="G457" s="548">
        <f>F457-SUM(H457:I457)</f>
        <v>0</v>
      </c>
      <c r="H457" s="539">
        <f>ROUND(F457*VLOOKUP(D457,AllocTable_Classified_Storage,$H$10,FALSE),0)</f>
        <v>0</v>
      </c>
      <c r="I457" s="540">
        <f>ROUND(F457*VLOOKUP(D457,AllocTable_Classified_Storage,$I$10,FALSE),0)</f>
        <v>0</v>
      </c>
      <c r="J457" s="347">
        <f>SUM(G457:I457)</f>
        <v>0</v>
      </c>
      <c r="K457" s="347">
        <f>F457-J457</f>
        <v>0</v>
      </c>
    </row>
    <row r="458" spans="1:11">
      <c r="A458" s="333">
        <v>14</v>
      </c>
      <c r="B458" s="353"/>
      <c r="C458" s="353" t="str">
        <f>'FR-16(7)(v)-1 Functional'!C458</f>
        <v xml:space="preserve">  TOTAL GENERAL DEPREC EXP.</v>
      </c>
      <c r="D458" s="344"/>
      <c r="E458" s="196"/>
      <c r="F458" s="348">
        <f t="shared" ref="F458:K458" si="140">SUM(F457:F457)</f>
        <v>0</v>
      </c>
      <c r="G458" s="549">
        <f t="shared" si="140"/>
        <v>0</v>
      </c>
      <c r="H458" s="541">
        <f t="shared" si="140"/>
        <v>0</v>
      </c>
      <c r="I458" s="542">
        <f t="shared" si="140"/>
        <v>0</v>
      </c>
      <c r="J458" s="348">
        <f t="shared" si="140"/>
        <v>0</v>
      </c>
      <c r="K458" s="348">
        <f t="shared" si="140"/>
        <v>0</v>
      </c>
    </row>
    <row r="459" spans="1:11">
      <c r="A459" s="333">
        <v>15</v>
      </c>
      <c r="B459" s="353"/>
      <c r="C459" s="353"/>
      <c r="D459" s="344"/>
      <c r="E459" s="196"/>
      <c r="F459" s="353"/>
      <c r="G459" s="547"/>
      <c r="H459" s="537"/>
      <c r="I459" s="538"/>
    </row>
    <row r="460" spans="1:11">
      <c r="A460" s="333">
        <v>16</v>
      </c>
      <c r="B460" s="353" t="s">
        <v>60</v>
      </c>
      <c r="C460" s="353"/>
      <c r="D460" s="344"/>
      <c r="E460" s="196"/>
      <c r="F460" s="476"/>
      <c r="G460" s="548"/>
      <c r="H460" s="539"/>
      <c r="I460" s="540"/>
      <c r="J460" s="347"/>
      <c r="K460" s="347"/>
    </row>
    <row r="461" spans="1:11">
      <c r="A461" s="333">
        <v>17</v>
      </c>
      <c r="B461" s="353"/>
      <c r="C461" s="511" t="str">
        <f>'FR-16(7)(v)-1 Functional'!C461</f>
        <v>COMMON DEPRECIATION</v>
      </c>
      <c r="D461" s="344" t="str">
        <f>'FR-16(7)(v)-1 Functional'!D461</f>
        <v>C229</v>
      </c>
      <c r="E461" s="196"/>
      <c r="F461" s="479">
        <f>'FR-16(7)(v)-1 Functional'!H461</f>
        <v>0</v>
      </c>
      <c r="G461" s="548">
        <f>F461-SUM(H461:I461)</f>
        <v>0</v>
      </c>
      <c r="H461" s="539">
        <f>ROUND(F461*VLOOKUP(D461,AllocTable_Classified_Storage,$H$10,FALSE),0)</f>
        <v>0</v>
      </c>
      <c r="I461" s="540">
        <f>ROUND(F461*VLOOKUP(D461,AllocTable_Classified_Storage,$I$10,FALSE),0)</f>
        <v>0</v>
      </c>
      <c r="J461" s="347">
        <f>SUM(G461:I461)</f>
        <v>0</v>
      </c>
      <c r="K461" s="347">
        <f>F461-J461</f>
        <v>0</v>
      </c>
    </row>
    <row r="462" spans="1:11">
      <c r="A462" s="333">
        <v>18</v>
      </c>
      <c r="B462" s="353"/>
      <c r="C462" s="353" t="str">
        <f>'FR-16(7)(v)-1 Functional'!C462</f>
        <v xml:space="preserve">  TOTAL COM &amp; OTHER DEPREC EXP.</v>
      </c>
      <c r="D462" s="344"/>
      <c r="E462" s="196"/>
      <c r="F462" s="348">
        <f t="shared" ref="F462:K462" si="141">SUM(F461:F461)</f>
        <v>0</v>
      </c>
      <c r="G462" s="549">
        <f t="shared" si="141"/>
        <v>0</v>
      </c>
      <c r="H462" s="541">
        <f t="shared" si="141"/>
        <v>0</v>
      </c>
      <c r="I462" s="542">
        <f t="shared" si="141"/>
        <v>0</v>
      </c>
      <c r="J462" s="348">
        <f t="shared" si="141"/>
        <v>0</v>
      </c>
      <c r="K462" s="348">
        <f t="shared" si="141"/>
        <v>0</v>
      </c>
    </row>
    <row r="463" spans="1:11">
      <c r="A463" s="333">
        <v>19</v>
      </c>
      <c r="B463" s="353"/>
      <c r="C463" s="353"/>
      <c r="D463" s="344"/>
      <c r="E463" s="196"/>
      <c r="G463" s="547"/>
      <c r="H463" s="537"/>
      <c r="I463" s="538"/>
    </row>
    <row r="464" spans="1:11">
      <c r="A464" s="333">
        <v>20</v>
      </c>
      <c r="B464" s="353"/>
      <c r="C464" s="353"/>
      <c r="D464" s="344"/>
      <c r="E464" s="196"/>
      <c r="G464" s="547"/>
      <c r="H464" s="537"/>
      <c r="I464" s="538"/>
    </row>
    <row r="465" spans="1:12">
      <c r="A465" s="333">
        <v>21</v>
      </c>
      <c r="B465" s="353" t="s">
        <v>61</v>
      </c>
      <c r="C465" s="353"/>
      <c r="D465" s="344"/>
      <c r="E465" s="332" t="s">
        <v>343</v>
      </c>
      <c r="F465" s="347">
        <f t="shared" ref="F465:K465" si="142">F462+F458+F454+F450+F447</f>
        <v>0</v>
      </c>
      <c r="G465" s="550">
        <f t="shared" si="142"/>
        <v>0</v>
      </c>
      <c r="H465" s="543">
        <f t="shared" si="142"/>
        <v>0</v>
      </c>
      <c r="I465" s="544">
        <f t="shared" si="142"/>
        <v>0</v>
      </c>
      <c r="J465" s="347">
        <f t="shared" si="142"/>
        <v>0</v>
      </c>
      <c r="K465" s="347">
        <f t="shared" si="142"/>
        <v>0</v>
      </c>
    </row>
    <row r="466" spans="1:12">
      <c r="B466" s="343"/>
      <c r="C466" s="196"/>
      <c r="D466" s="344"/>
      <c r="E466" s="196"/>
      <c r="F466" s="196"/>
      <c r="G466" s="196"/>
      <c r="H466" s="196"/>
      <c r="I466" s="196"/>
      <c r="J466" s="196"/>
      <c r="K466" s="196"/>
    </row>
    <row r="467" spans="1:12">
      <c r="A467" s="343" t="str">
        <f>co_name</f>
        <v>DUKE ENERGY KENTUCKY, INC.</v>
      </c>
      <c r="C467" s="196"/>
      <c r="D467" s="344"/>
      <c r="E467" s="196"/>
      <c r="F467" s="196"/>
      <c r="G467" s="196"/>
      <c r="H467" s="196"/>
      <c r="I467" s="196"/>
      <c r="J467" s="196" t="str">
        <f>$J$1</f>
        <v>FR-16(7)(v)-7</v>
      </c>
      <c r="K467" s="196"/>
    </row>
    <row r="468" spans="1:12">
      <c r="A468" s="343" t="str">
        <f>$A$2</f>
        <v>STORAGE CLASSIFIED -  GAS COST OF SERVICE</v>
      </c>
      <c r="C468" s="196"/>
      <c r="D468" s="344"/>
      <c r="E468" s="196"/>
      <c r="F468" s="196"/>
      <c r="G468" s="196"/>
      <c r="H468" s="196"/>
      <c r="I468" s="196"/>
      <c r="J468" s="196" t="str">
        <f>$J$2</f>
        <v>WITNESS RESPONSIBLE:</v>
      </c>
      <c r="K468" s="196"/>
    </row>
    <row r="469" spans="1:12">
      <c r="A469" s="343" t="str">
        <f>case_name</f>
        <v>CASE NO: 2018-00261</v>
      </c>
      <c r="C469" s="196"/>
      <c r="D469" s="344"/>
      <c r="E469" s="196"/>
      <c r="F469" s="196"/>
      <c r="G469" s="196"/>
      <c r="H469" s="196"/>
      <c r="I469" s="196"/>
      <c r="J469" s="196" t="str">
        <f>Witness</f>
        <v>JAMES E. ZIOLKOWSKI</v>
      </c>
      <c r="K469" s="196"/>
    </row>
    <row r="470" spans="1:12">
      <c r="A470" s="343" t="str">
        <f>data_filing</f>
        <v>DATA: 12 MONTH FORECASTED PERIOD</v>
      </c>
      <c r="C470" s="196"/>
      <c r="D470" s="344"/>
      <c r="E470" s="196"/>
      <c r="F470" s="196"/>
      <c r="G470" s="196"/>
      <c r="H470" s="196"/>
      <c r="I470" s="196"/>
      <c r="J470" s="196" t="str">
        <f>"PAGE "&amp;Pages2-4&amp;" OF "&amp;Pages2</f>
        <v>PAGE 11 OF 15</v>
      </c>
      <c r="K470" s="196"/>
    </row>
    <row r="471" spans="1:12">
      <c r="A471" s="343" t="str">
        <f>type</f>
        <v xml:space="preserve">TYPE OF FILING: "X" ORIGINAL   UPDATED    REVISED  </v>
      </c>
      <c r="C471" s="196"/>
      <c r="D471" s="344"/>
      <c r="E471" s="196"/>
      <c r="F471" s="196"/>
      <c r="G471" s="196"/>
      <c r="H471" s="196"/>
      <c r="I471" s="196"/>
      <c r="J471" s="196"/>
      <c r="K471" s="196"/>
    </row>
    <row r="472" spans="1:12">
      <c r="B472" s="343"/>
      <c r="C472" s="196"/>
      <c r="D472" s="344"/>
      <c r="E472" s="196"/>
      <c r="F472" s="196"/>
      <c r="G472" s="196"/>
      <c r="H472" s="196"/>
      <c r="I472" s="196"/>
      <c r="J472" s="196"/>
      <c r="K472" s="196"/>
    </row>
    <row r="473" spans="1:12">
      <c r="B473" s="343"/>
      <c r="C473" s="196"/>
      <c r="D473" s="344"/>
      <c r="E473" s="196"/>
      <c r="F473" s="196"/>
      <c r="G473" s="196"/>
      <c r="H473" s="196"/>
      <c r="I473" s="196"/>
      <c r="J473" s="196"/>
      <c r="K473" s="196"/>
    </row>
    <row r="474" spans="1:12">
      <c r="A474" s="344" t="s">
        <v>914</v>
      </c>
      <c r="B474" s="196"/>
      <c r="C474" s="196"/>
      <c r="D474" s="344"/>
      <c r="E474" s="196"/>
      <c r="F474" s="344" t="str">
        <f>$F$8</f>
        <v>TOTAL</v>
      </c>
      <c r="G474" s="545" t="s">
        <v>1005</v>
      </c>
      <c r="H474" s="533"/>
      <c r="I474" s="534"/>
      <c r="J474" s="344" t="s">
        <v>229</v>
      </c>
      <c r="K474" s="344" t="s">
        <v>342</v>
      </c>
    </row>
    <row r="475" spans="1:12">
      <c r="A475" s="346" t="s">
        <v>915</v>
      </c>
      <c r="B475" s="345" t="s">
        <v>62</v>
      </c>
      <c r="C475" s="345"/>
      <c r="D475" s="346" t="s">
        <v>337</v>
      </c>
      <c r="E475" s="345"/>
      <c r="F475" s="346" t="str">
        <f>$F$9</f>
        <v>STORAGE</v>
      </c>
      <c r="G475" s="546" t="s">
        <v>847</v>
      </c>
      <c r="H475" s="535" t="s">
        <v>848</v>
      </c>
      <c r="I475" s="536" t="s">
        <v>849</v>
      </c>
      <c r="J475" s="346" t="s">
        <v>341</v>
      </c>
      <c r="K475" s="346" t="s">
        <v>340</v>
      </c>
      <c r="L475" s="365"/>
    </row>
    <row r="476" spans="1:12">
      <c r="C476" s="578" t="s">
        <v>350</v>
      </c>
      <c r="D476" s="344"/>
      <c r="E476" s="196"/>
      <c r="F476" s="510"/>
      <c r="G476" s="800">
        <f>$G$10</f>
        <v>3</v>
      </c>
      <c r="H476" s="801">
        <f>$H$10</f>
        <v>4</v>
      </c>
      <c r="I476" s="802">
        <f>$I$10</f>
        <v>5</v>
      </c>
      <c r="J476" s="510"/>
      <c r="K476" s="510"/>
    </row>
    <row r="477" spans="1:12">
      <c r="A477" s="333">
        <v>1</v>
      </c>
      <c r="B477" s="332" t="s">
        <v>63</v>
      </c>
      <c r="D477" s="344"/>
      <c r="E477" s="196"/>
      <c r="G477" s="547"/>
      <c r="H477" s="537"/>
      <c r="I477" s="538"/>
    </row>
    <row r="478" spans="1:12">
      <c r="A478" s="333">
        <v>2</v>
      </c>
      <c r="B478" s="332" t="s">
        <v>64</v>
      </c>
      <c r="D478" s="344"/>
      <c r="E478" s="196"/>
      <c r="G478" s="547"/>
      <c r="H478" s="537"/>
      <c r="I478" s="538"/>
    </row>
    <row r="479" spans="1:12">
      <c r="A479" s="333">
        <v>3</v>
      </c>
      <c r="C479" s="332" t="str">
        <f>'FR-16(7)(v)-1 Functional'!C479</f>
        <v>REAL ESTATE &amp; PROPERTY TAX</v>
      </c>
      <c r="D479" s="344" t="str">
        <f>'FR-16(7)(v)-1 Functional'!D479</f>
        <v>NP29</v>
      </c>
      <c r="E479" s="196"/>
      <c r="F479" s="479">
        <f>'FR-16(7)(v)-1 Functional'!H479</f>
        <v>0</v>
      </c>
      <c r="G479" s="548">
        <f>F479-SUM($H$479:$I$479)</f>
        <v>0</v>
      </c>
      <c r="H479" s="539">
        <f>ROUND(F479*VLOOKUP(D479,AllocTable_Classified_Storage,$H$10,FALSE),0)</f>
        <v>0</v>
      </c>
      <c r="I479" s="540">
        <f>ROUND(F479*VLOOKUP(D479,AllocTable_Classified_Storage,$I$10,FALSE),0)</f>
        <v>0</v>
      </c>
      <c r="J479" s="347">
        <f>SUM($G$479:$I$479)</f>
        <v>0</v>
      </c>
      <c r="K479" s="347">
        <f>F479-$J$479</f>
        <v>0</v>
      </c>
    </row>
    <row r="480" spans="1:12">
      <c r="A480" s="333">
        <v>4</v>
      </c>
      <c r="C480" s="359" t="str">
        <f>'FR-16(7)(v)-1 Functional'!C480</f>
        <v>ANNUALIZE PROPERTY TAX</v>
      </c>
      <c r="D480" s="344" t="str">
        <f>'FR-16(7)(v)-1 Functional'!D480</f>
        <v>NP29</v>
      </c>
      <c r="E480" s="196" t="s">
        <v>343</v>
      </c>
      <c r="F480" s="479">
        <f>'FR-16(7)(v)-1 Functional'!H480</f>
        <v>0</v>
      </c>
      <c r="G480" s="548">
        <f>F480-SUM($H$480:$I$480)</f>
        <v>0</v>
      </c>
      <c r="H480" s="539">
        <f>ROUND(F480*VLOOKUP(D480,AllocTable_Classified_Storage,$H$10,FALSE),0)</f>
        <v>0</v>
      </c>
      <c r="I480" s="540">
        <f>ROUND(F480*VLOOKUP(D480,AllocTable_Classified_Storage,$I$10,FALSE),0)</f>
        <v>0</v>
      </c>
      <c r="J480" s="347">
        <f>SUM($G$480:$I$480)</f>
        <v>0</v>
      </c>
      <c r="K480" s="347">
        <f>F480-$J$480</f>
        <v>0</v>
      </c>
    </row>
    <row r="481" spans="1:11">
      <c r="A481" s="333">
        <v>5</v>
      </c>
      <c r="C481" s="332" t="str">
        <f>'FR-16(7)(v)-1 Functional'!C481</f>
        <v xml:space="preserve">  TOTAL REAL ESTATE &amp; PROPERTY TAX</v>
      </c>
      <c r="D481" s="344"/>
      <c r="E481" s="196"/>
      <c r="F481" s="348">
        <f>SUM(F479:F480)</f>
        <v>0</v>
      </c>
      <c r="G481" s="549">
        <f>SUM($G$479:$G$480)</f>
        <v>0</v>
      </c>
      <c r="H481" s="541">
        <f>SUM($H$479:$H$480)</f>
        <v>0</v>
      </c>
      <c r="I481" s="542">
        <f>SUM($I$479:$I$480)</f>
        <v>0</v>
      </c>
      <c r="J481" s="348">
        <f>SUM($J$479:$J$480)</f>
        <v>0</v>
      </c>
      <c r="K481" s="348">
        <f>SUM($K$479:$K$480)</f>
        <v>0</v>
      </c>
    </row>
    <row r="482" spans="1:11">
      <c r="A482" s="333">
        <v>6</v>
      </c>
      <c r="D482" s="344"/>
      <c r="E482" s="196"/>
      <c r="F482" s="353"/>
      <c r="G482" s="547"/>
      <c r="H482" s="537"/>
      <c r="I482" s="538"/>
    </row>
    <row r="483" spans="1:11">
      <c r="A483" s="333">
        <v>7</v>
      </c>
      <c r="B483" s="332" t="s">
        <v>65</v>
      </c>
      <c r="D483" s="344"/>
      <c r="E483" s="196"/>
      <c r="F483" s="353"/>
      <c r="G483" s="547"/>
      <c r="H483" s="537"/>
      <c r="I483" s="538"/>
    </row>
    <row r="484" spans="1:11">
      <c r="A484" s="333">
        <v>8</v>
      </c>
      <c r="C484" s="332" t="str">
        <f>'FR-16(7)(v)-1 Functional'!C484</f>
        <v>PAYROLL &amp; HIGHWAY</v>
      </c>
      <c r="D484" s="354" t="str">
        <f>'FR-16(7)(v)-1 Functional'!D484</f>
        <v>AG39</v>
      </c>
      <c r="E484" s="196"/>
      <c r="F484" s="479">
        <f>'FR-16(7)(v)-1 Functional'!H484</f>
        <v>0</v>
      </c>
      <c r="G484" s="548">
        <f>F484-SUM($H$484:$I$484)</f>
        <v>0</v>
      </c>
      <c r="H484" s="539">
        <f>ROUND(F484*VLOOKUP(D484,AllocTable_Classified_Storage,$H$10,FALSE),0)</f>
        <v>0</v>
      </c>
      <c r="I484" s="540">
        <f>ROUND(F484*VLOOKUP(D484,AllocTable_Classified_Storage,$I$10,FALSE),0)</f>
        <v>0</v>
      </c>
      <c r="J484" s="347">
        <f>SUM($G$484:$I$484)</f>
        <v>0</v>
      </c>
      <c r="K484" s="347">
        <f>F484-$J$484</f>
        <v>0</v>
      </c>
    </row>
    <row r="485" spans="1:11">
      <c r="A485" s="333">
        <v>9</v>
      </c>
      <c r="C485" s="332" t="str">
        <f>'FR-16(7)(v)-1 Functional'!C485</f>
        <v>UNEMPLOYMENT COMPENSATION</v>
      </c>
      <c r="D485" s="354" t="str">
        <f>'FR-16(7)(v)-1 Functional'!D485</f>
        <v>AG39</v>
      </c>
      <c r="E485" s="196"/>
      <c r="F485" s="479">
        <f>'FR-16(7)(v)-1 Functional'!H485</f>
        <v>0</v>
      </c>
      <c r="G485" s="548">
        <f>F485-SUM($H$485:$I$485)</f>
        <v>0</v>
      </c>
      <c r="H485" s="539">
        <f>ROUND(F485*VLOOKUP(D485,AllocTable_Classified_Storage,$H$10,FALSE),0)</f>
        <v>0</v>
      </c>
      <c r="I485" s="540">
        <f>ROUND(F485*VLOOKUP(D485,AllocTable_Classified_Storage,$I$10,FALSE),0)</f>
        <v>0</v>
      </c>
      <c r="J485" s="347">
        <f>SUM($G$485:$I$485)</f>
        <v>0</v>
      </c>
      <c r="K485" s="347">
        <f>F485-$J$485</f>
        <v>0</v>
      </c>
    </row>
    <row r="486" spans="1:11">
      <c r="A486" s="333">
        <v>10</v>
      </c>
      <c r="C486" s="332" t="str">
        <f>'FR-16(7)(v)-1 Functional'!C486</f>
        <v>OHIO EXCISE TAX</v>
      </c>
      <c r="D486" s="354" t="str">
        <f>'FR-16(7)(v)-1 Functional'!D486</f>
        <v>OM39</v>
      </c>
      <c r="E486" s="196"/>
      <c r="F486" s="479">
        <f>'FR-16(7)(v)-1 Functional'!H486</f>
        <v>0</v>
      </c>
      <c r="G486" s="548">
        <f>F486-SUM($H$486:$I$486)</f>
        <v>0</v>
      </c>
      <c r="H486" s="539">
        <f>ROUND(F486*VLOOKUP(D486,AllocTable_Classified_Storage,$H$10,FALSE),0)</f>
        <v>0</v>
      </c>
      <c r="I486" s="540">
        <f>ROUND(F486*VLOOKUP(D486,AllocTable_Classified_Storage,$I$10,FALSE),0)</f>
        <v>0</v>
      </c>
      <c r="J486" s="347">
        <f>SUM($G$486:$I$486)</f>
        <v>0</v>
      </c>
      <c r="K486" s="347">
        <f>F486-$J$486</f>
        <v>0</v>
      </c>
    </row>
    <row r="487" spans="1:11">
      <c r="A487" s="333">
        <v>11</v>
      </c>
      <c r="C487" s="359" t="str">
        <f>'FR-16(7)(v)-1 Functional'!C487</f>
        <v>STATE TAX RIDER</v>
      </c>
      <c r="D487" s="354" t="str">
        <f>'FR-16(7)(v)-1 Functional'!D487</f>
        <v>OM39</v>
      </c>
      <c r="E487" s="196"/>
      <c r="F487" s="479">
        <f>'FR-16(7)(v)-1 Functional'!H487</f>
        <v>0</v>
      </c>
      <c r="G487" s="548">
        <f>F487-SUM($H$487:$I$487)</f>
        <v>0</v>
      </c>
      <c r="H487" s="539">
        <f>ROUND(F487*VLOOKUP(D487,AllocTable_Classified_Storage,$H$10,FALSE),0)</f>
        <v>0</v>
      </c>
      <c r="I487" s="540">
        <f>ROUND(F487*VLOOKUP(D487,AllocTable_Classified_Storage,$I$10,FALSE),0)</f>
        <v>0</v>
      </c>
      <c r="J487" s="347">
        <f>SUM($G$487:$I$487)</f>
        <v>0</v>
      </c>
      <c r="K487" s="347">
        <f>F487-$J$487</f>
        <v>0</v>
      </c>
    </row>
    <row r="488" spans="1:11">
      <c r="A488" s="333">
        <v>12</v>
      </c>
      <c r="C488" s="332" t="str">
        <f>'FR-16(7)(v)-1 Functional'!C488</f>
        <v xml:space="preserve">  TOTAL MISCELLANEOUS TAXES</v>
      </c>
      <c r="D488" s="354"/>
      <c r="E488" s="196"/>
      <c r="F488" s="348">
        <f>SUM(F484:F487)</f>
        <v>0</v>
      </c>
      <c r="G488" s="549">
        <f>SUM($G$484:$G$487)</f>
        <v>0</v>
      </c>
      <c r="H488" s="541">
        <f>SUM($H$484:$H$487)</f>
        <v>0</v>
      </c>
      <c r="I488" s="542">
        <f>SUM($I$484:$I$487)</f>
        <v>0</v>
      </c>
      <c r="J488" s="348">
        <f>SUM($J$484:$J$487)</f>
        <v>0</v>
      </c>
      <c r="K488" s="348">
        <f>SUM($K$484:$K$487)</f>
        <v>0</v>
      </c>
    </row>
    <row r="489" spans="1:11">
      <c r="A489" s="333">
        <v>13</v>
      </c>
      <c r="D489" s="344"/>
      <c r="E489" s="196"/>
      <c r="F489" s="353"/>
      <c r="G489" s="547"/>
      <c r="H489" s="537"/>
      <c r="I489" s="538"/>
    </row>
    <row r="490" spans="1:11">
      <c r="A490" s="333">
        <v>14</v>
      </c>
      <c r="B490" s="332" t="s">
        <v>66</v>
      </c>
      <c r="D490" s="344"/>
      <c r="E490" s="196"/>
      <c r="F490" s="353"/>
      <c r="G490" s="547"/>
      <c r="H490" s="537"/>
      <c r="I490" s="538"/>
    </row>
    <row r="491" spans="1:11">
      <c r="A491" s="333">
        <v>15</v>
      </c>
      <c r="C491" s="332" t="str">
        <f>'FR-16(7)(v)-1 Functional'!C491</f>
        <v>PSC MAINT. EXP ON INCREASE</v>
      </c>
      <c r="D491" s="344" t="str">
        <f>'FR-16(7)(v)-1 Functional'!D491</f>
        <v>AG39</v>
      </c>
      <c r="E491" s="196"/>
      <c r="F491" s="479">
        <f>'FR-16(7)(v)-1 Functional'!H491</f>
        <v>0</v>
      </c>
      <c r="G491" s="548">
        <f>F491-SUM($H$491:$I$491)</f>
        <v>0</v>
      </c>
      <c r="H491" s="539">
        <f>ROUND(F491*VLOOKUP(D491,AllocTable_Classified_Storage,$H$10,FALSE),0)</f>
        <v>0</v>
      </c>
      <c r="I491" s="540">
        <f>ROUND(F491*VLOOKUP(D491,AllocTable_Classified_Storage,$I$10,FALSE),0)</f>
        <v>0</v>
      </c>
      <c r="J491" s="347">
        <f>SUM($G$491:$I$491)</f>
        <v>0</v>
      </c>
      <c r="K491" s="347">
        <f>F491-$J$491</f>
        <v>0</v>
      </c>
    </row>
    <row r="492" spans="1:11">
      <c r="A492" s="333">
        <v>16</v>
      </c>
      <c r="C492" s="359" t="str">
        <f>'FR-16(7)(v)-1 Functional'!C492</f>
        <v>RESERVED FOR FUTURE USE</v>
      </c>
      <c r="D492" s="344" t="str">
        <f>'FR-16(7)(v)-1 Functional'!D492</f>
        <v>AG39</v>
      </c>
      <c r="E492" s="196"/>
      <c r="F492" s="479">
        <f>'FR-16(7)(v)-1 Functional'!H492</f>
        <v>0</v>
      </c>
      <c r="G492" s="548">
        <f>F492-SUM($H$492:$I$492)</f>
        <v>0</v>
      </c>
      <c r="H492" s="539">
        <f>ROUND(F492*VLOOKUP(D492,AllocTable_Classified_Storage,$H$10,FALSE),0)</f>
        <v>0</v>
      </c>
      <c r="I492" s="540">
        <f>ROUND(F492*VLOOKUP(D492,AllocTable_Classified_Storage,$I$10,FALSE),0)</f>
        <v>0</v>
      </c>
      <c r="J492" s="347">
        <f>SUM($G$492:$I$492)</f>
        <v>0</v>
      </c>
      <c r="K492" s="347">
        <f>F492-$J$492</f>
        <v>0</v>
      </c>
    </row>
    <row r="493" spans="1:11">
      <c r="A493" s="333">
        <v>17</v>
      </c>
      <c r="C493" s="332" t="str">
        <f>'FR-16(7)(v)-1 Functional'!C493</f>
        <v xml:space="preserve">  TOTAL MISCELLANEOUS EXPENSES</v>
      </c>
      <c r="D493" s="344"/>
      <c r="E493" s="196"/>
      <c r="F493" s="480">
        <f>SUM(F491:F492)</f>
        <v>0</v>
      </c>
      <c r="G493" s="549">
        <f>SUM($G$491:$G$492)</f>
        <v>0</v>
      </c>
      <c r="H493" s="541">
        <f>SUM($H$491:$H$492)</f>
        <v>0</v>
      </c>
      <c r="I493" s="542">
        <f>SUM($I$491:$I$492)</f>
        <v>0</v>
      </c>
      <c r="J493" s="348">
        <f>SUM($J$491:$J$492)</f>
        <v>0</v>
      </c>
      <c r="K493" s="348">
        <f>SUM($K$491:$K$492)</f>
        <v>0</v>
      </c>
    </row>
    <row r="494" spans="1:11">
      <c r="A494" s="333">
        <v>18</v>
      </c>
      <c r="D494" s="344"/>
      <c r="E494" s="196"/>
      <c r="G494" s="547"/>
      <c r="H494" s="537"/>
      <c r="I494" s="538"/>
    </row>
    <row r="495" spans="1:11">
      <c r="A495" s="333">
        <v>19</v>
      </c>
      <c r="B495" s="332" t="s">
        <v>67</v>
      </c>
      <c r="D495" s="344"/>
      <c r="E495" s="196" t="s">
        <v>343</v>
      </c>
      <c r="F495" s="347">
        <f>F488+F481+F493</f>
        <v>0</v>
      </c>
      <c r="G495" s="548">
        <f>$G$488+$G$481+$G$493</f>
        <v>0</v>
      </c>
      <c r="H495" s="539">
        <f>$H$488+$H$481+$H$493</f>
        <v>0</v>
      </c>
      <c r="I495" s="540">
        <f>$I$488+$I$481+$I$493</f>
        <v>0</v>
      </c>
      <c r="J495" s="347">
        <f>$J$488+$J$481+$J$493</f>
        <v>0</v>
      </c>
      <c r="K495" s="347">
        <f>$K$488+$K$481+$K$493</f>
        <v>0</v>
      </c>
    </row>
    <row r="496" spans="1:11">
      <c r="A496" s="333">
        <v>20</v>
      </c>
      <c r="D496" s="344"/>
      <c r="E496" s="196"/>
      <c r="G496" s="547"/>
      <c r="H496" s="537"/>
      <c r="I496" s="538"/>
    </row>
    <row r="497" spans="1:11">
      <c r="A497" s="333">
        <v>21</v>
      </c>
      <c r="B497" s="332" t="s">
        <v>40</v>
      </c>
      <c r="D497" s="344"/>
      <c r="E497" s="196"/>
      <c r="G497" s="547"/>
      <c r="H497" s="537"/>
      <c r="I497" s="538"/>
    </row>
    <row r="498" spans="1:11">
      <c r="A498" s="333">
        <v>22</v>
      </c>
      <c r="C498" s="332" t="str">
        <f>'FR-16(7)(v)-1 Functional'!C498</f>
        <v>TOTAL O&amp;M EXPENSE</v>
      </c>
      <c r="D498" s="344"/>
      <c r="E498" s="196"/>
      <c r="F498" s="347">
        <f t="shared" ref="F498:K498" si="143">F433</f>
        <v>0</v>
      </c>
      <c r="G498" s="548">
        <f t="shared" si="143"/>
        <v>0</v>
      </c>
      <c r="H498" s="539">
        <f t="shared" si="143"/>
        <v>0</v>
      </c>
      <c r="I498" s="540">
        <f t="shared" si="143"/>
        <v>0</v>
      </c>
      <c r="J498" s="347">
        <f t="shared" si="143"/>
        <v>0</v>
      </c>
      <c r="K498" s="347">
        <f t="shared" si="143"/>
        <v>0</v>
      </c>
    </row>
    <row r="499" spans="1:11">
      <c r="A499" s="333">
        <v>23</v>
      </c>
      <c r="C499" s="332" t="str">
        <f>'FR-16(7)(v)-1 Functional'!C499</f>
        <v>TOTAL DEPRECIATION EXPENSE</v>
      </c>
      <c r="D499" s="344"/>
      <c r="E499" s="196"/>
      <c r="F499" s="347">
        <f t="shared" ref="F499:K499" si="144">F465</f>
        <v>0</v>
      </c>
      <c r="G499" s="548">
        <f t="shared" si="144"/>
        <v>0</v>
      </c>
      <c r="H499" s="539">
        <f t="shared" si="144"/>
        <v>0</v>
      </c>
      <c r="I499" s="540">
        <f t="shared" si="144"/>
        <v>0</v>
      </c>
      <c r="J499" s="347">
        <f t="shared" si="144"/>
        <v>0</v>
      </c>
      <c r="K499" s="347">
        <f t="shared" si="144"/>
        <v>0</v>
      </c>
    </row>
    <row r="500" spans="1:11">
      <c r="A500" s="333">
        <v>24</v>
      </c>
      <c r="C500" s="359" t="str">
        <f>'FR-16(7)(v)-1 Functional'!C500</f>
        <v>TOTAL OTHER TAX &amp; MISC EXPENSE</v>
      </c>
      <c r="D500" s="344"/>
      <c r="E500" s="196"/>
      <c r="F500" s="347">
        <f>F495</f>
        <v>0</v>
      </c>
      <c r="G500" s="548">
        <f>$G$495</f>
        <v>0</v>
      </c>
      <c r="H500" s="539">
        <f>$H$495</f>
        <v>0</v>
      </c>
      <c r="I500" s="540">
        <f>$I$495</f>
        <v>0</v>
      </c>
      <c r="J500" s="347">
        <f>$J$495</f>
        <v>0</v>
      </c>
      <c r="K500" s="347">
        <f>$K$495</f>
        <v>0</v>
      </c>
    </row>
    <row r="501" spans="1:11">
      <c r="A501" s="333">
        <v>25</v>
      </c>
      <c r="C501" s="332" t="str">
        <f>'FR-16(7)(v)-1 Functional'!C501</f>
        <v xml:space="preserve">  TOTAL OPER EXP EXCL INCOME &amp; REV TAX</v>
      </c>
      <c r="D501" s="344"/>
      <c r="E501" s="196"/>
      <c r="F501" s="348">
        <f>SUM(F498:F500)</f>
        <v>0</v>
      </c>
      <c r="G501" s="557">
        <f>SUM($G$498:$G$500)</f>
        <v>0</v>
      </c>
      <c r="H501" s="558">
        <f>SUM($H$498:$H$500)</f>
        <v>0</v>
      </c>
      <c r="I501" s="559">
        <f>SUM($I$498:$I$500)</f>
        <v>0</v>
      </c>
      <c r="J501" s="348">
        <f>SUM($J$498:$J$500)</f>
        <v>0</v>
      </c>
      <c r="K501" s="348">
        <f>SUM($K$498:$K$500)</f>
        <v>0</v>
      </c>
    </row>
    <row r="502" spans="1:11">
      <c r="B502" s="343"/>
      <c r="C502" s="196"/>
      <c r="D502" s="344"/>
      <c r="E502" s="196"/>
      <c r="F502" s="196"/>
      <c r="G502" s="196"/>
      <c r="H502" s="196"/>
      <c r="I502" s="196"/>
      <c r="J502" s="196"/>
      <c r="K502" s="196"/>
    </row>
    <row r="503" spans="1:11">
      <c r="A503" s="343" t="str">
        <f>co_name</f>
        <v>DUKE ENERGY KENTUCKY, INC.</v>
      </c>
      <c r="C503" s="196"/>
      <c r="D503" s="344"/>
      <c r="E503" s="196"/>
      <c r="F503" s="196"/>
      <c r="G503" s="196"/>
      <c r="H503" s="196"/>
      <c r="I503" s="196"/>
      <c r="J503" s="196" t="str">
        <f>$J$1</f>
        <v>FR-16(7)(v)-7</v>
      </c>
      <c r="K503" s="196"/>
    </row>
    <row r="504" spans="1:11">
      <c r="A504" s="343" t="str">
        <f>$A$2</f>
        <v>STORAGE CLASSIFIED -  GAS COST OF SERVICE</v>
      </c>
      <c r="C504" s="196"/>
      <c r="D504" s="344"/>
      <c r="E504" s="196"/>
      <c r="F504" s="196"/>
      <c r="G504" s="196"/>
      <c r="H504" s="196"/>
      <c r="I504" s="196"/>
      <c r="J504" s="196" t="str">
        <f>$J$2</f>
        <v>WITNESS RESPONSIBLE:</v>
      </c>
      <c r="K504" s="196"/>
    </row>
    <row r="505" spans="1:11">
      <c r="A505" s="343" t="str">
        <f>case_name</f>
        <v>CASE NO: 2018-00261</v>
      </c>
      <c r="C505" s="196"/>
      <c r="D505" s="344"/>
      <c r="E505" s="196"/>
      <c r="F505" s="196"/>
      <c r="G505" s="196"/>
      <c r="H505" s="196"/>
      <c r="I505" s="196"/>
      <c r="J505" s="196" t="str">
        <f>Witness</f>
        <v>JAMES E. ZIOLKOWSKI</v>
      </c>
      <c r="K505" s="196"/>
    </row>
    <row r="506" spans="1:11">
      <c r="A506" s="343" t="str">
        <f>data_filing</f>
        <v>DATA: 12 MONTH FORECASTED PERIOD</v>
      </c>
      <c r="C506" s="196"/>
      <c r="D506" s="344"/>
      <c r="E506" s="196"/>
      <c r="F506" s="196"/>
      <c r="G506" s="196"/>
      <c r="H506" s="196"/>
      <c r="I506" s="196"/>
      <c r="J506" s="196" t="str">
        <f>"PAGE "&amp;Pages2-3&amp;" OF "&amp;Pages2</f>
        <v>PAGE 12 OF 15</v>
      </c>
      <c r="K506" s="196"/>
    </row>
    <row r="507" spans="1:11">
      <c r="A507" s="343" t="str">
        <f>type</f>
        <v xml:space="preserve">TYPE OF FILING: "X" ORIGINAL   UPDATED    REVISED  </v>
      </c>
      <c r="C507" s="196"/>
      <c r="D507" s="344"/>
      <c r="E507" s="196"/>
      <c r="F507" s="196"/>
      <c r="G507" s="196"/>
      <c r="H507" s="196"/>
      <c r="I507" s="196"/>
      <c r="J507" s="196"/>
      <c r="K507" s="196"/>
    </row>
    <row r="508" spans="1:11">
      <c r="B508" s="343"/>
      <c r="C508" s="196"/>
      <c r="D508" s="344"/>
      <c r="E508" s="196"/>
      <c r="F508" s="196"/>
      <c r="G508" s="196"/>
      <c r="H508" s="196"/>
      <c r="I508" s="196"/>
      <c r="J508" s="196"/>
      <c r="K508" s="196"/>
    </row>
    <row r="509" spans="1:11">
      <c r="B509" s="343"/>
      <c r="C509" s="196"/>
      <c r="D509" s="344"/>
      <c r="E509" s="196"/>
      <c r="F509" s="196"/>
      <c r="G509" s="196"/>
      <c r="H509" s="196"/>
      <c r="I509" s="196"/>
      <c r="J509" s="196"/>
      <c r="K509" s="196"/>
    </row>
    <row r="510" spans="1:11">
      <c r="A510" s="344" t="s">
        <v>914</v>
      </c>
      <c r="B510" s="196"/>
      <c r="C510" s="196"/>
      <c r="D510" s="344"/>
      <c r="E510" s="196"/>
      <c r="F510" s="344" t="str">
        <f>$F$8</f>
        <v>TOTAL</v>
      </c>
      <c r="G510" s="545" t="s">
        <v>1005</v>
      </c>
      <c r="H510" s="533"/>
      <c r="I510" s="534"/>
      <c r="J510" s="344" t="s">
        <v>229</v>
      </c>
      <c r="K510" s="344" t="s">
        <v>342</v>
      </c>
    </row>
    <row r="511" spans="1:11">
      <c r="A511" s="346" t="s">
        <v>915</v>
      </c>
      <c r="B511" s="345" t="str">
        <f>'FR-16(7)(v)-1 Functional'!B511</f>
        <v>FEDERAL INCOME TAX BASED ON RETURN</v>
      </c>
      <c r="C511" s="345"/>
      <c r="D511" s="346" t="s">
        <v>337</v>
      </c>
      <c r="E511" s="345"/>
      <c r="F511" s="346" t="str">
        <f>$F$9</f>
        <v>STORAGE</v>
      </c>
      <c r="G511" s="546" t="s">
        <v>847</v>
      </c>
      <c r="H511" s="535" t="s">
        <v>848</v>
      </c>
      <c r="I511" s="536" t="s">
        <v>849</v>
      </c>
      <c r="J511" s="346" t="s">
        <v>341</v>
      </c>
      <c r="K511" s="346" t="s">
        <v>340</v>
      </c>
    </row>
    <row r="512" spans="1:11">
      <c r="C512" s="578" t="s">
        <v>351</v>
      </c>
      <c r="D512" s="344"/>
      <c r="E512" s="196"/>
      <c r="G512" s="800">
        <f>$G$10</f>
        <v>3</v>
      </c>
      <c r="H512" s="801">
        <f>$H$10</f>
        <v>4</v>
      </c>
      <c r="I512" s="802">
        <f>$I$10</f>
        <v>5</v>
      </c>
    </row>
    <row r="513" spans="1:11">
      <c r="A513" s="333">
        <v>1</v>
      </c>
      <c r="B513" s="332" t="s">
        <v>69</v>
      </c>
      <c r="D513" s="344"/>
      <c r="E513" s="196"/>
      <c r="G513" s="547"/>
      <c r="H513" s="537"/>
      <c r="I513" s="538"/>
    </row>
    <row r="514" spans="1:11">
      <c r="A514" s="333">
        <v>2</v>
      </c>
      <c r="B514" s="332" t="s">
        <v>70</v>
      </c>
      <c r="D514" s="344"/>
      <c r="E514" s="196"/>
      <c r="F514" s="332" t="s">
        <v>343</v>
      </c>
      <c r="G514" s="547"/>
      <c r="H514" s="537"/>
      <c r="I514" s="538"/>
    </row>
    <row r="515" spans="1:11">
      <c r="A515" s="333">
        <v>3</v>
      </c>
      <c r="C515" s="359" t="str">
        <f>'FR-16(7)(v)-1 Functional'!C515</f>
        <v>AUTO PROC INTEREST DED</v>
      </c>
      <c r="D515" s="344" t="str">
        <f>'FR-16(7)(v)-1 Functional'!D515</f>
        <v>RB99</v>
      </c>
      <c r="E515" s="196"/>
      <c r="F515" s="479">
        <f>'FR-16(7)(v)-1 Functional'!H515</f>
        <v>0</v>
      </c>
      <c r="G515" s="548">
        <f>F515-SUM($H$515:$I$515)</f>
        <v>0</v>
      </c>
      <c r="H515" s="539">
        <f>ROUND(F515*VLOOKUP(D515,AllocTable_Classified_Storage,$H$10,FALSE),0)</f>
        <v>0</v>
      </c>
      <c r="I515" s="540">
        <f>ROUND(F515*VLOOKUP(D515,AllocTable_Classified_Storage,$I$10,FALSE),0)</f>
        <v>0</v>
      </c>
      <c r="J515" s="347">
        <f>SUM($G$515:$I$515)</f>
        <v>0</v>
      </c>
      <c r="K515" s="347">
        <f>F515-$J$515</f>
        <v>0</v>
      </c>
    </row>
    <row r="516" spans="1:11">
      <c r="A516" s="333">
        <v>4</v>
      </c>
      <c r="C516" s="332" t="str">
        <f>'FR-16(7)(v)-1 Functional'!C516</f>
        <v xml:space="preserve">  TOTAL INTEREST EXPENSE</v>
      </c>
      <c r="D516" s="344"/>
      <c r="E516" s="196"/>
      <c r="F516" s="348">
        <f>F515</f>
        <v>0</v>
      </c>
      <c r="G516" s="549">
        <f>$G$515</f>
        <v>0</v>
      </c>
      <c r="H516" s="541">
        <f>$H$515</f>
        <v>0</v>
      </c>
      <c r="I516" s="542">
        <f>$I$515</f>
        <v>0</v>
      </c>
      <c r="J516" s="348">
        <f>$J$515</f>
        <v>0</v>
      </c>
      <c r="K516" s="348">
        <f>$K$515</f>
        <v>0</v>
      </c>
    </row>
    <row r="517" spans="1:11">
      <c r="A517" s="333">
        <v>5</v>
      </c>
      <c r="D517" s="344"/>
      <c r="E517" s="196"/>
      <c r="F517" s="353"/>
      <c r="G517" s="547"/>
      <c r="H517" s="537"/>
      <c r="I517" s="538"/>
    </row>
    <row r="518" spans="1:11">
      <c r="A518" s="333">
        <v>6</v>
      </c>
      <c r="B518" s="332" t="s">
        <v>71</v>
      </c>
      <c r="D518" s="344"/>
      <c r="E518" s="196"/>
      <c r="F518" s="353"/>
      <c r="G518" s="547"/>
      <c r="H518" s="537"/>
      <c r="I518" s="538"/>
    </row>
    <row r="519" spans="1:11">
      <c r="A519" s="333">
        <v>7</v>
      </c>
      <c r="C519" s="332" t="str">
        <f>'FR-16(7)(v)-1 Functional'!C519</f>
        <v>DEPREC EXCESS TAX-BOOK</v>
      </c>
      <c r="D519" s="344" t="str">
        <f>'FR-16(7)(v)-1 Functional'!D519</f>
        <v>DE49</v>
      </c>
      <c r="E519" s="196"/>
      <c r="F519" s="479">
        <f>'FR-16(7)(v)-1 Functional'!H519</f>
        <v>0</v>
      </c>
      <c r="G519" s="548">
        <f>F519-SUM($H$519:$I$519)</f>
        <v>0</v>
      </c>
      <c r="H519" s="539">
        <f>ROUND(F519*VLOOKUP(D519,AllocTable_Classified_Storage,$H$10,FALSE),0)</f>
        <v>0</v>
      </c>
      <c r="I519" s="540">
        <f>ROUND(F519*VLOOKUP(D519,AllocTable_Classified_Storage,$I$10,FALSE),0)</f>
        <v>0</v>
      </c>
      <c r="J519" s="347">
        <f>SUM($G$519:$I$519)</f>
        <v>0</v>
      </c>
      <c r="K519" s="347">
        <f>F519-$J$519</f>
        <v>0</v>
      </c>
    </row>
    <row r="520" spans="1:11">
      <c r="A520" s="333">
        <v>8</v>
      </c>
      <c r="C520" s="332" t="str">
        <f>'FR-16(7)(v)-1 Functional'!C520</f>
        <v>PERMANENT DIFFERENCES</v>
      </c>
      <c r="D520" s="344" t="str">
        <f>'FR-16(7)(v)-1 Functional'!D520</f>
        <v>AG39</v>
      </c>
      <c r="E520" s="196"/>
      <c r="F520" s="479">
        <f>'FR-16(7)(v)-1 Functional'!H520</f>
        <v>0</v>
      </c>
      <c r="G520" s="548">
        <f>F520-SUM($H$520:$I$520)</f>
        <v>0</v>
      </c>
      <c r="H520" s="539">
        <f>ROUND(F520*VLOOKUP(D520,AllocTable_Classified_Storage,$H$10,FALSE),0)</f>
        <v>0</v>
      </c>
      <c r="I520" s="540">
        <f>ROUND(F520*VLOOKUP(D520,AllocTable_Classified_Storage,$I$10,FALSE),0)</f>
        <v>0</v>
      </c>
      <c r="J520" s="347">
        <f>SUM($G$520:$I$520)</f>
        <v>0</v>
      </c>
      <c r="K520" s="347">
        <f>F520-$J$520</f>
        <v>0</v>
      </c>
    </row>
    <row r="521" spans="1:11">
      <c r="A521" s="333">
        <v>9</v>
      </c>
      <c r="C521" s="359" t="str">
        <f>'FR-16(7)(v)-1 Functional'!C521</f>
        <v>TEMPORARY DIFFERENCES</v>
      </c>
      <c r="D521" s="344" t="str">
        <f>'FR-16(7)(v)-1 Functional'!D521</f>
        <v>DE49</v>
      </c>
      <c r="E521" s="196"/>
      <c r="F521" s="479">
        <f>'FR-16(7)(v)-1 Functional'!H521</f>
        <v>0</v>
      </c>
      <c r="G521" s="548">
        <f>F521-SUM($H$521:$I$521)</f>
        <v>0</v>
      </c>
      <c r="H521" s="539">
        <f>ROUND(F521*VLOOKUP(D521,AllocTable_Classified_Storage,$H$10,FALSE),0)</f>
        <v>0</v>
      </c>
      <c r="I521" s="540">
        <f>ROUND(F521*VLOOKUP(D521,AllocTable_Classified_Storage,$I$10,FALSE),0)</f>
        <v>0</v>
      </c>
      <c r="J521" s="347">
        <f>SUM($G$521:$I$521)</f>
        <v>0</v>
      </c>
      <c r="K521" s="347">
        <f>F521-$J$521</f>
        <v>0</v>
      </c>
    </row>
    <row r="522" spans="1:11">
      <c r="A522" s="333">
        <v>10</v>
      </c>
      <c r="C522" s="332" t="str">
        <f>'FR-16(7)(v)-1 Functional'!C522</f>
        <v xml:space="preserve">  TOTAL OTHER DEDUCTIONS</v>
      </c>
      <c r="D522" s="344"/>
      <c r="E522" s="196"/>
      <c r="F522" s="348">
        <f>SUM(F519:F521)</f>
        <v>0</v>
      </c>
      <c r="G522" s="549">
        <f>SUM($G$519:$G$521)</f>
        <v>0</v>
      </c>
      <c r="H522" s="541">
        <f>SUM($H$519:$H$521)</f>
        <v>0</v>
      </c>
      <c r="I522" s="542">
        <f>SUM($I$519:$I$521)</f>
        <v>0</v>
      </c>
      <c r="J522" s="348">
        <f>SUM($J$519:$J$521)</f>
        <v>0</v>
      </c>
      <c r="K522" s="348">
        <f>SUM($K$519:$K$521)</f>
        <v>0</v>
      </c>
    </row>
    <row r="523" spans="1:11">
      <c r="A523" s="333">
        <v>11</v>
      </c>
      <c r="D523" s="344"/>
      <c r="E523" s="196"/>
      <c r="F523" s="353"/>
      <c r="G523" s="547"/>
      <c r="H523" s="537"/>
      <c r="I523" s="538"/>
    </row>
    <row r="524" spans="1:11">
      <c r="A524" s="333">
        <v>12</v>
      </c>
      <c r="B524" s="332" t="s">
        <v>72</v>
      </c>
      <c r="D524" s="344"/>
      <c r="E524" s="196"/>
      <c r="F524" s="349">
        <f>F522+F516</f>
        <v>0</v>
      </c>
      <c r="G524" s="548">
        <f>$G$522+$G$516</f>
        <v>0</v>
      </c>
      <c r="H524" s="539">
        <f>$H$522+$H$516</f>
        <v>0</v>
      </c>
      <c r="I524" s="540">
        <f>$I$522+$I$516</f>
        <v>0</v>
      </c>
      <c r="J524" s="347">
        <f>$J$522+$J$516</f>
        <v>0</v>
      </c>
      <c r="K524" s="347">
        <f>$K$522+$K$516</f>
        <v>0</v>
      </c>
    </row>
    <row r="525" spans="1:11">
      <c r="A525" s="333">
        <v>13</v>
      </c>
      <c r="D525" s="344"/>
      <c r="E525" s="196"/>
      <c r="F525" s="353"/>
      <c r="G525" s="547"/>
      <c r="H525" s="537"/>
      <c r="I525" s="538"/>
    </row>
    <row r="526" spans="1:11">
      <c r="A526" s="333">
        <v>14</v>
      </c>
      <c r="B526" s="340" t="s">
        <v>544</v>
      </c>
      <c r="D526" s="344"/>
      <c r="E526" s="196"/>
      <c r="F526" s="353"/>
      <c r="G526" s="547"/>
      <c r="H526" s="537"/>
      <c r="I526" s="538"/>
    </row>
    <row r="527" spans="1:11">
      <c r="A527" s="333">
        <v>15</v>
      </c>
      <c r="C527" s="332" t="str">
        <f>'FR-16(7)(v)-1 Functional'!C527</f>
        <v>DEFERRED INCOME TAXES - NET</v>
      </c>
      <c r="D527" s="344" t="str">
        <f>'FR-16(7)(v)-1 Functional'!D527</f>
        <v>OM39</v>
      </c>
      <c r="E527" s="196"/>
      <c r="F527" s="479">
        <f>'FR-16(7)(v)-1 Functional'!H527</f>
        <v>0</v>
      </c>
      <c r="G527" s="548">
        <f>F527-SUM($H$527:$I$527)</f>
        <v>0</v>
      </c>
      <c r="H527" s="539">
        <f>ROUND(F527*VLOOKUP(D527,AllocTable_Classified_Storage,$H$10,FALSE),0)</f>
        <v>0</v>
      </c>
      <c r="I527" s="540">
        <f>ROUND(F527*VLOOKUP(D527,AllocTable_Classified_Storage,$I$10,FALSE),0)</f>
        <v>0</v>
      </c>
      <c r="J527" s="347">
        <f>SUM($G$527:$I$527)</f>
        <v>0</v>
      </c>
      <c r="K527" s="347">
        <f>F527-$J$527</f>
        <v>0</v>
      </c>
    </row>
    <row r="528" spans="1:11">
      <c r="A528" s="333">
        <v>16</v>
      </c>
      <c r="C528" s="332" t="str">
        <f>'FR-16(7)(v)-1 Functional'!C528</f>
        <v>AMORT OF DEFERRED MERGER COST</v>
      </c>
      <c r="D528" s="344" t="str">
        <f>'FR-16(7)(v)-1 Functional'!D528</f>
        <v>AG39</v>
      </c>
      <c r="E528" s="196"/>
      <c r="F528" s="479">
        <f>'FR-16(7)(v)-1 Functional'!H528</f>
        <v>0</v>
      </c>
      <c r="G528" s="548">
        <f>F528-SUM($H$528:$I$528)</f>
        <v>0</v>
      </c>
      <c r="H528" s="539">
        <f>ROUND(F528*VLOOKUP(D528,AllocTable_Classified_Storage,$H$10,FALSE),0)</f>
        <v>0</v>
      </c>
      <c r="I528" s="540">
        <f>ROUND(F528*VLOOKUP(D528,AllocTable_Classified_Storage,$I$10,FALSE),0)</f>
        <v>0</v>
      </c>
      <c r="J528" s="347">
        <f>SUM($G$528:$I$528)</f>
        <v>0</v>
      </c>
      <c r="K528" s="347">
        <f>F528-$J$528</f>
        <v>0</v>
      </c>
    </row>
    <row r="529" spans="1:11">
      <c r="A529" s="333">
        <v>17</v>
      </c>
      <c r="C529" s="618" t="str">
        <f>'FR-16(7)(v)-1 Functional'!C529</f>
        <v>DIT ADJUSTMENT - S/L DEPRECIATION</v>
      </c>
      <c r="D529" s="344" t="str">
        <f>'FR-16(7)(v)-1 Functional'!D529</f>
        <v>DE49</v>
      </c>
      <c r="E529" s="196"/>
      <c r="F529" s="479">
        <f>'FR-16(7)(v)-1 Functional'!H529</f>
        <v>0</v>
      </c>
      <c r="G529" s="548">
        <f>F529-SUM($H$529:$I$529)</f>
        <v>0</v>
      </c>
      <c r="H529" s="539">
        <f>ROUND(F529*VLOOKUP(D529,AllocTable_Classified_Storage,$H$10,FALSE),0)</f>
        <v>0</v>
      </c>
      <c r="I529" s="540">
        <f>ROUND(F529*VLOOKUP(D529,AllocTable_Classified_Storage,$I$10,FALSE),0)</f>
        <v>0</v>
      </c>
      <c r="J529" s="347">
        <f>SUM($G$529:$I$529)</f>
        <v>0</v>
      </c>
      <c r="K529" s="347">
        <f>F529-$J$529</f>
        <v>0</v>
      </c>
    </row>
    <row r="530" spans="1:11">
      <c r="A530" s="333">
        <v>18</v>
      </c>
      <c r="C530" s="332" t="str">
        <f>'FR-16(7)(v)-1 Functional'!C530</f>
        <v>DIT ADJUSTMENT - ARAM</v>
      </c>
      <c r="D530" s="344" t="str">
        <f>'FR-16(7)(v)-1 Functional'!D530</f>
        <v>K201</v>
      </c>
      <c r="E530" s="196"/>
      <c r="F530" s="479">
        <f>'FR-16(7)(v)-1 Functional'!H530</f>
        <v>0</v>
      </c>
      <c r="G530" s="548">
        <f>F530-SUM($H$530:$I$530)</f>
        <v>0</v>
      </c>
      <c r="H530" s="539">
        <f>ROUND(F530*VLOOKUP(D530,AllocTable_Classified_Storage,$H$10,FALSE),0)</f>
        <v>0</v>
      </c>
      <c r="I530" s="540">
        <f>ROUND(F530*VLOOKUP(D530,AllocTable_Classified_Storage,$I$10,FALSE),0)</f>
        <v>0</v>
      </c>
      <c r="J530" s="347">
        <f>SUM($G$530:$I$530)</f>
        <v>0</v>
      </c>
      <c r="K530" s="347">
        <f>F530-$J$530</f>
        <v>0</v>
      </c>
    </row>
    <row r="531" spans="1:11">
      <c r="A531" s="333">
        <v>19</v>
      </c>
      <c r="C531" s="359" t="s">
        <v>1495</v>
      </c>
      <c r="D531" s="344" t="str">
        <f>'FR-16(7)(v)-1 Functional'!D531</f>
        <v>AG39</v>
      </c>
      <c r="E531" s="196"/>
      <c r="F531" s="479">
        <f>'FR-16(7)(v)-1 Functional'!H531</f>
        <v>0</v>
      </c>
      <c r="G531" s="548">
        <f>F531-SUM($H$531:$I$531)</f>
        <v>0</v>
      </c>
      <c r="H531" s="539">
        <f>ROUND(F531*VLOOKUP(D531,AllocTable_Classified_Storage,$H$10,FALSE),0)</f>
        <v>0</v>
      </c>
      <c r="I531" s="540">
        <f>ROUND(F531*VLOOKUP(D531,AllocTable_Classified_Storage,$I$10,FALSE),0)</f>
        <v>0</v>
      </c>
      <c r="J531" s="347">
        <f>SUM($G$531:$I$531)</f>
        <v>0</v>
      </c>
      <c r="K531" s="347">
        <f>F531-$J$531</f>
        <v>0</v>
      </c>
    </row>
    <row r="532" spans="1:11">
      <c r="A532" s="333">
        <v>20</v>
      </c>
      <c r="C532" s="332" t="str">
        <f>'FR-16(7)(v)-1 Functional'!C532</f>
        <v xml:space="preserve">  TOTAL FED DEF IT (410 &amp; 411)</v>
      </c>
      <c r="D532" s="344"/>
      <c r="E532" s="196"/>
      <c r="F532" s="348">
        <f>SUM(F527:F531)</f>
        <v>0</v>
      </c>
      <c r="G532" s="549">
        <f>SUM($G$527:$G$531)</f>
        <v>0</v>
      </c>
      <c r="H532" s="541">
        <f>SUM($H$527:$H$531)</f>
        <v>0</v>
      </c>
      <c r="I532" s="542">
        <f>SUM($I$527:$I$531)</f>
        <v>0</v>
      </c>
      <c r="J532" s="348">
        <f>SUM($J$527:$J$531)</f>
        <v>0</v>
      </c>
      <c r="K532" s="348">
        <f>SUM($K$527:$K$531)</f>
        <v>0</v>
      </c>
    </row>
    <row r="533" spans="1:11">
      <c r="A533" s="333">
        <v>21</v>
      </c>
      <c r="D533" s="344"/>
      <c r="E533" s="196"/>
      <c r="F533" s="353"/>
      <c r="G533" s="547"/>
      <c r="H533" s="537"/>
      <c r="I533" s="538"/>
    </row>
    <row r="534" spans="1:11">
      <c r="A534" s="333">
        <v>22</v>
      </c>
      <c r="B534" s="332" t="s">
        <v>419</v>
      </c>
      <c r="D534" s="344"/>
      <c r="E534" s="196"/>
      <c r="F534" s="353"/>
      <c r="G534" s="547"/>
      <c r="H534" s="537"/>
      <c r="I534" s="538"/>
    </row>
    <row r="535" spans="1:11">
      <c r="A535" s="333">
        <v>23</v>
      </c>
      <c r="C535" s="359" t="str">
        <f>'FR-16(7)(v)-1 Functional'!C535</f>
        <v>AMORTIZE ITC</v>
      </c>
      <c r="D535" s="344" t="str">
        <f>'FR-16(7)(v)-1 Functional'!D535</f>
        <v>NP29</v>
      </c>
      <c r="E535" s="196"/>
      <c r="F535" s="479">
        <f>'FR-16(7)(v)-1 Functional'!H535</f>
        <v>0</v>
      </c>
      <c r="G535" s="548">
        <f>F535-SUM($H$535:$I$535)</f>
        <v>0</v>
      </c>
      <c r="H535" s="539">
        <f>ROUND(F535*VLOOKUP(D535,AllocTable_Classified_Storage,$H$10,FALSE),0)</f>
        <v>0</v>
      </c>
      <c r="I535" s="540">
        <f>ROUND(F535*VLOOKUP(D535,AllocTable_Classified_Storage,$I$10,FALSE),0)</f>
        <v>0</v>
      </c>
      <c r="J535" s="512">
        <f>SUM($G$535:$I$535)</f>
        <v>0</v>
      </c>
      <c r="K535" s="513">
        <f>F535-$J$535</f>
        <v>0</v>
      </c>
    </row>
    <row r="536" spans="1:11">
      <c r="A536" s="333">
        <v>24</v>
      </c>
      <c r="C536" s="332" t="str">
        <f>'FR-16(7)(v)-1 Functional'!C536</f>
        <v xml:space="preserve">  TOTAL AMORTIZED ITC</v>
      </c>
      <c r="D536" s="344"/>
      <c r="E536" s="196"/>
      <c r="F536" s="348">
        <f>SUM(F535:F535)</f>
        <v>0</v>
      </c>
      <c r="G536" s="549">
        <f>SUM($G$535:$G$535)</f>
        <v>0</v>
      </c>
      <c r="H536" s="541">
        <f>SUM($H$535:$H$535)</f>
        <v>0</v>
      </c>
      <c r="I536" s="542">
        <f>SUM($I$535:$I$535)</f>
        <v>0</v>
      </c>
      <c r="J536" s="348">
        <f>SUM($J$535:$J$535)</f>
        <v>0</v>
      </c>
      <c r="K536" s="348">
        <f>SUM($K$535:$K$535)</f>
        <v>0</v>
      </c>
    </row>
    <row r="537" spans="1:11">
      <c r="A537" s="333">
        <v>25</v>
      </c>
      <c r="D537" s="344"/>
      <c r="E537" s="196"/>
      <c r="F537" s="510"/>
      <c r="G537" s="572"/>
      <c r="H537" s="573"/>
      <c r="I537" s="574"/>
      <c r="J537" s="510"/>
      <c r="K537" s="510"/>
    </row>
    <row r="538" spans="1:11" ht="15.75">
      <c r="A538" s="333">
        <v>26</v>
      </c>
      <c r="B538" s="332" t="s">
        <v>73</v>
      </c>
      <c r="D538" s="735"/>
      <c r="E538" s="1"/>
      <c r="F538" s="510"/>
      <c r="G538" s="572"/>
      <c r="H538" s="573"/>
      <c r="I538" s="574"/>
      <c r="J538" s="510"/>
      <c r="K538" s="510"/>
    </row>
    <row r="539" spans="1:11">
      <c r="A539" s="333">
        <v>27</v>
      </c>
      <c r="C539" s="332" t="str">
        <f>'FR-16(7)(v)-1 Functional'!C539</f>
        <v>PROV INVEST TAX CREDIT</v>
      </c>
      <c r="D539" s="344" t="s">
        <v>315</v>
      </c>
      <c r="F539" s="479">
        <v>0</v>
      </c>
      <c r="G539" s="548">
        <f>ROUND(F539*VLOOKUP(D539,AllocTable_Classified_Storage,$G$10,FALSE),0)</f>
        <v>0</v>
      </c>
      <c r="H539" s="539">
        <f>ROUND(F539*VLOOKUP(D539,AllocTable_Classified_Storage,$H$10,FALSE),0)</f>
        <v>0</v>
      </c>
      <c r="I539" s="540">
        <f>ROUND(F539*VLOOKUP(D539,AllocTable_Classified_Storage,$I$10,FALSE),0)</f>
        <v>0</v>
      </c>
      <c r="J539" s="347">
        <f>SUM($G$539:$I$539)</f>
        <v>0</v>
      </c>
      <c r="K539" s="347">
        <f>F539-$J$539</f>
        <v>0</v>
      </c>
    </row>
    <row r="540" spans="1:11" ht="15.75">
      <c r="A540" s="333">
        <v>28</v>
      </c>
      <c r="C540" s="339" t="str">
        <f>'FR-16(7)(v)-1 Functional'!C540</f>
        <v xml:space="preserve">  TEST YEAR INV TAX CREDIT</v>
      </c>
      <c r="D540" s="735"/>
      <c r="E540" s="1"/>
      <c r="F540" s="348">
        <f>SUM(F539:F539)</f>
        <v>0</v>
      </c>
      <c r="G540" s="549">
        <f>SUM($G$539:$G$539)</f>
        <v>0</v>
      </c>
      <c r="H540" s="541">
        <f>SUM($H$539:$H$539)</f>
        <v>0</v>
      </c>
      <c r="I540" s="542">
        <f>SUM($I$539:$I$539)</f>
        <v>0</v>
      </c>
      <c r="J540" s="348">
        <f>SUM($J$539:$J$539)</f>
        <v>0</v>
      </c>
      <c r="K540" s="348">
        <f>SUM($K$539:$K$539)</f>
        <v>0</v>
      </c>
    </row>
    <row r="541" spans="1:11" ht="15.75">
      <c r="A541" s="333">
        <v>29</v>
      </c>
      <c r="B541" s="193"/>
      <c r="C541" s="193"/>
      <c r="D541" s="735"/>
      <c r="E541" s="1"/>
      <c r="F541" s="510"/>
      <c r="G541" s="572"/>
      <c r="H541" s="573"/>
      <c r="I541" s="574"/>
      <c r="J541" s="510"/>
      <c r="K541" s="510"/>
    </row>
    <row r="542" spans="1:11" ht="15.75">
      <c r="A542" s="333">
        <v>30</v>
      </c>
      <c r="B542" s="332" t="s">
        <v>40</v>
      </c>
      <c r="C542" s="193"/>
      <c r="D542" s="735"/>
      <c r="E542" s="1"/>
      <c r="F542" s="510"/>
      <c r="G542" s="572"/>
      <c r="H542" s="573"/>
      <c r="I542" s="574"/>
      <c r="J542" s="510"/>
      <c r="K542" s="510"/>
    </row>
    <row r="543" spans="1:11">
      <c r="A543" s="333">
        <v>31</v>
      </c>
      <c r="C543" s="332" t="str">
        <f>'FR-16(7)(v)-1 Functional'!C543</f>
        <v>TOTAL FED DEF IT (410 &amp; 411)</v>
      </c>
      <c r="D543" s="344"/>
      <c r="E543" s="196"/>
      <c r="F543" s="349">
        <f>F532</f>
        <v>0</v>
      </c>
      <c r="G543" s="548">
        <f>$G$532</f>
        <v>0</v>
      </c>
      <c r="H543" s="539">
        <f>$H$532</f>
        <v>0</v>
      </c>
      <c r="I543" s="540">
        <f>$I$532</f>
        <v>0</v>
      </c>
      <c r="J543" s="347">
        <f>$J$532</f>
        <v>0</v>
      </c>
      <c r="K543" s="347">
        <f>$K$532</f>
        <v>0</v>
      </c>
    </row>
    <row r="544" spans="1:11">
      <c r="A544" s="333">
        <v>32</v>
      </c>
      <c r="C544" s="359" t="str">
        <f>'FR-16(7)(v)-1 Functional'!C544</f>
        <v>TOTAL AMORTIZED ITC</v>
      </c>
      <c r="D544" s="344"/>
      <c r="E544" s="196"/>
      <c r="F544" s="349">
        <f>-F536</f>
        <v>0</v>
      </c>
      <c r="G544" s="548">
        <f>-$G$536</f>
        <v>0</v>
      </c>
      <c r="H544" s="539">
        <f>-$H$536</f>
        <v>0</v>
      </c>
      <c r="I544" s="540">
        <f>-$I$536</f>
        <v>0</v>
      </c>
      <c r="J544" s="347">
        <f>-$J$536</f>
        <v>0</v>
      </c>
      <c r="K544" s="347">
        <f>-$K$536</f>
        <v>0</v>
      </c>
    </row>
    <row r="545" spans="1:11">
      <c r="A545" s="333">
        <v>33</v>
      </c>
      <c r="C545" s="332" t="str">
        <f>'FR-16(7)(v)-1 Functional'!C545</f>
        <v xml:space="preserve">  TOTAL FEDERAL TAX ADJUSTMENTS</v>
      </c>
      <c r="D545" s="344"/>
      <c r="E545" s="196"/>
      <c r="F545" s="348">
        <f>SUM(F543:F544)</f>
        <v>0</v>
      </c>
      <c r="G545" s="549">
        <f>SUM($G$543:$G$544)</f>
        <v>0</v>
      </c>
      <c r="H545" s="541">
        <f>SUM($H$543:$H$544)</f>
        <v>0</v>
      </c>
      <c r="I545" s="542">
        <f>SUM($I$543:$I$544)</f>
        <v>0</v>
      </c>
      <c r="J545" s="348">
        <f>SUM($J$543:$J$544)</f>
        <v>0</v>
      </c>
      <c r="K545" s="348">
        <f>SUM($K$543:$K$544)</f>
        <v>0</v>
      </c>
    </row>
    <row r="546" spans="1:11">
      <c r="A546" s="333">
        <v>34</v>
      </c>
      <c r="D546" s="344"/>
      <c r="E546" s="196"/>
      <c r="F546" s="353"/>
      <c r="G546" s="547"/>
      <c r="H546" s="537"/>
      <c r="I546" s="538"/>
    </row>
    <row r="547" spans="1:11">
      <c r="A547" s="333">
        <v>35</v>
      </c>
      <c r="B547" s="332" t="s">
        <v>74</v>
      </c>
      <c r="D547" s="344"/>
      <c r="E547" s="196"/>
      <c r="F547" s="353"/>
      <c r="G547" s="547"/>
      <c r="H547" s="537"/>
      <c r="I547" s="538"/>
    </row>
    <row r="548" spans="1:11">
      <c r="A548" s="333">
        <v>36</v>
      </c>
      <c r="C548" s="332" t="str">
        <f>'FR-16(7)(v)-1 Functional'!C548</f>
        <v>RETURN ON RATE BASE</v>
      </c>
      <c r="D548" s="344"/>
      <c r="E548" s="196"/>
      <c r="F548" s="349">
        <f t="shared" ref="F548:K548" si="145">F334</f>
        <v>0</v>
      </c>
      <c r="G548" s="548">
        <f t="shared" si="145"/>
        <v>0</v>
      </c>
      <c r="H548" s="539">
        <f t="shared" si="145"/>
        <v>0</v>
      </c>
      <c r="I548" s="540">
        <f t="shared" si="145"/>
        <v>0</v>
      </c>
      <c r="J548" s="347">
        <f t="shared" si="145"/>
        <v>0</v>
      </c>
      <c r="K548" s="347">
        <f t="shared" si="145"/>
        <v>0</v>
      </c>
    </row>
    <row r="549" spans="1:11">
      <c r="A549" s="333">
        <v>37</v>
      </c>
      <c r="C549" s="332" t="str">
        <f>'FR-16(7)(v)-1 Functional'!C549</f>
        <v>NET DEDUCTIONS AND ADDITIONS</v>
      </c>
      <c r="D549" s="344"/>
      <c r="E549" s="196"/>
      <c r="F549" s="349">
        <f>-F524</f>
        <v>0</v>
      </c>
      <c r="G549" s="548">
        <f>-$G$524</f>
        <v>0</v>
      </c>
      <c r="H549" s="539">
        <f>-$H$524</f>
        <v>0</v>
      </c>
      <c r="I549" s="540">
        <f>-$I$524</f>
        <v>0</v>
      </c>
      <c r="J549" s="347">
        <f>-$J$524</f>
        <v>0</v>
      </c>
      <c r="K549" s="347">
        <f>-$K$524</f>
        <v>0</v>
      </c>
    </row>
    <row r="550" spans="1:11">
      <c r="A550" s="333">
        <v>38</v>
      </c>
      <c r="C550" s="332" t="s">
        <v>1496</v>
      </c>
      <c r="D550" s="344"/>
      <c r="E550" s="196"/>
      <c r="F550" s="349">
        <f t="shared" ref="F550:K550" si="146">F591</f>
        <v>450960</v>
      </c>
      <c r="G550" s="548" t="e">
        <f t="shared" si="146"/>
        <v>#N/A</v>
      </c>
      <c r="H550" s="539" t="e">
        <f t="shared" si="146"/>
        <v>#N/A</v>
      </c>
      <c r="I550" s="540" t="e">
        <f t="shared" si="146"/>
        <v>#N/A</v>
      </c>
      <c r="J550" s="347" t="e">
        <f t="shared" si="146"/>
        <v>#N/A</v>
      </c>
      <c r="K550" s="347" t="e">
        <f t="shared" si="146"/>
        <v>#N/A</v>
      </c>
    </row>
    <row r="551" spans="1:11">
      <c r="A551" s="333">
        <v>39</v>
      </c>
      <c r="C551" s="359" t="str">
        <f>'FR-16(7)(v)-1 Functional'!C551</f>
        <v>TOTAL FEDERAL TAX ADJUSTMENTS</v>
      </c>
      <c r="D551" s="344"/>
      <c r="E551" s="196"/>
      <c r="F551" s="349">
        <f>F545</f>
        <v>0</v>
      </c>
      <c r="G551" s="548">
        <f>$G$545</f>
        <v>0</v>
      </c>
      <c r="H551" s="539">
        <f>$H$545</f>
        <v>0</v>
      </c>
      <c r="I551" s="540">
        <f>$I$545</f>
        <v>0</v>
      </c>
      <c r="J551" s="347">
        <f>$J$545</f>
        <v>0</v>
      </c>
      <c r="K551" s="347">
        <f>$K$545</f>
        <v>0</v>
      </c>
    </row>
    <row r="552" spans="1:11">
      <c r="A552" s="333">
        <v>40</v>
      </c>
      <c r="C552" s="332" t="str">
        <f>'FR-16(7)(v)-1 Functional'!C552</f>
        <v xml:space="preserve">  BASE FOR FIT COMPUATION</v>
      </c>
      <c r="D552" s="344"/>
      <c r="E552" s="196"/>
      <c r="F552" s="348">
        <f>SUM(F548:F551)</f>
        <v>450960</v>
      </c>
      <c r="G552" s="549" t="e">
        <f>SUM($G$548:$G$551)</f>
        <v>#N/A</v>
      </c>
      <c r="H552" s="541" t="e">
        <f>SUM($H$548:$H$551)</f>
        <v>#N/A</v>
      </c>
      <c r="I552" s="542" t="e">
        <f>SUM($I$548:$I$551)</f>
        <v>#N/A</v>
      </c>
      <c r="J552" s="348" t="e">
        <f>SUM($J$548:$J$551)</f>
        <v>#N/A</v>
      </c>
      <c r="K552" s="348" t="e">
        <f>SUM($K$548:$K$551)</f>
        <v>#N/A</v>
      </c>
    </row>
    <row r="553" spans="1:11">
      <c r="A553" s="333">
        <v>41</v>
      </c>
      <c r="D553" s="344"/>
      <c r="E553" s="196"/>
      <c r="F553" s="353"/>
      <c r="G553" s="547"/>
      <c r="H553" s="537"/>
      <c r="I553" s="538"/>
    </row>
    <row r="554" spans="1:11">
      <c r="A554" s="333">
        <v>42</v>
      </c>
      <c r="C554" s="332" t="str">
        <f>'FR-16(7)(v)-1 Functional'!C554</f>
        <v>FIT FACTOR K190/(1-K190)</v>
      </c>
      <c r="D554" s="344"/>
      <c r="E554" s="196"/>
      <c r="F554" s="356">
        <f>ROUND(F692/(1-F692),9)</f>
        <v>0.53846153799999996</v>
      </c>
      <c r="G554" s="566">
        <f>ROUND(G692/(1-G692),9)</f>
        <v>0.26582278500000001</v>
      </c>
      <c r="H554" s="567">
        <f>ROUND(H692/(1-H692),9)</f>
        <v>0.26582278500000001</v>
      </c>
      <c r="I554" s="568">
        <f>ROUND(I692/(1-I692),9)</f>
        <v>0.26582278500000001</v>
      </c>
      <c r="J554" s="350"/>
      <c r="K554" s="350">
        <f>ROUND(K692/(1-K692),9)</f>
        <v>0.26582278500000001</v>
      </c>
    </row>
    <row r="555" spans="1:11">
      <c r="A555" s="333">
        <v>43</v>
      </c>
      <c r="C555" s="332" t="str">
        <f>'FR-16(7)(v)-1 Functional'!C555</f>
        <v>PRELIM FED INCOME TAX</v>
      </c>
      <c r="D555" s="344"/>
      <c r="E555" s="196"/>
      <c r="F555" s="349">
        <f>ROUND(F554*F552,0)</f>
        <v>242825</v>
      </c>
      <c r="G555" s="560" t="e">
        <f>ROUND($G$552*$G$554,0)</f>
        <v>#N/A</v>
      </c>
      <c r="H555" s="561" t="e">
        <f>ROUND($H$552*$H$554,0)</f>
        <v>#N/A</v>
      </c>
      <c r="I555" s="562" t="e">
        <f>ROUND($I$552*$I$554,0)</f>
        <v>#N/A</v>
      </c>
      <c r="J555" s="347" t="e">
        <f>SUM($G$555:$I$555)</f>
        <v>#N/A</v>
      </c>
      <c r="K555" s="347" t="e">
        <f>ROUND($K$552*$K$554,0)</f>
        <v>#N/A</v>
      </c>
    </row>
    <row r="556" spans="1:11">
      <c r="A556" s="333">
        <v>44</v>
      </c>
      <c r="C556" s="359" t="str">
        <f>'FR-16(7)(v)-1 Functional'!C556</f>
        <v>TOTAL FEDERAL TAX ADJUSTMENTS</v>
      </c>
      <c r="D556" s="344"/>
      <c r="E556" s="196"/>
      <c r="F556" s="349">
        <f>F545</f>
        <v>0</v>
      </c>
      <c r="G556" s="548">
        <f>$G$545</f>
        <v>0</v>
      </c>
      <c r="H556" s="539">
        <f>$H$545</f>
        <v>0</v>
      </c>
      <c r="I556" s="540">
        <f>$I$545</f>
        <v>0</v>
      </c>
      <c r="J556" s="347">
        <f>$J$545</f>
        <v>0</v>
      </c>
      <c r="K556" s="347">
        <f>$K$545</f>
        <v>0</v>
      </c>
    </row>
    <row r="557" spans="1:11">
      <c r="A557" s="333">
        <v>45</v>
      </c>
      <c r="C557" s="353" t="str">
        <f>'FR-16(7)(v)-1 Functional'!C557</f>
        <v xml:space="preserve">  NET FED INCOME TAX ALLOWABLE</v>
      </c>
      <c r="D557" s="344"/>
      <c r="E557" s="196"/>
      <c r="F557" s="348">
        <f>SUM(F555:F556)</f>
        <v>242825</v>
      </c>
      <c r="G557" s="549" t="e">
        <f>SUM($G$555:$G$556)</f>
        <v>#N/A</v>
      </c>
      <c r="H557" s="541" t="e">
        <f>SUM($H$555:$H$556)</f>
        <v>#N/A</v>
      </c>
      <c r="I557" s="542" t="e">
        <f>SUM($I$555:$I$556)</f>
        <v>#N/A</v>
      </c>
      <c r="J557" s="348" t="e">
        <f>SUM($J$555:$J$556)</f>
        <v>#N/A</v>
      </c>
      <c r="K557" s="348" t="e">
        <f>SUM($K$555:$K$556)</f>
        <v>#N/A</v>
      </c>
    </row>
    <row r="558" spans="1:11">
      <c r="A558" s="333">
        <v>46</v>
      </c>
      <c r="D558" s="344"/>
      <c r="E558" s="196"/>
      <c r="F558" s="353"/>
      <c r="G558" s="547"/>
      <c r="H558" s="537"/>
      <c r="I558" s="538"/>
    </row>
    <row r="559" spans="1:11">
      <c r="A559" s="333">
        <v>47</v>
      </c>
      <c r="B559" s="332" t="s">
        <v>68</v>
      </c>
      <c r="D559" s="344"/>
      <c r="E559" s="196"/>
      <c r="F559" s="353"/>
      <c r="G559" s="547"/>
      <c r="H559" s="537"/>
      <c r="I559" s="538"/>
    </row>
    <row r="560" spans="1:11">
      <c r="A560" s="333">
        <v>48</v>
      </c>
      <c r="B560" s="332" t="s">
        <v>75</v>
      </c>
      <c r="D560" s="344"/>
      <c r="E560" s="196"/>
      <c r="F560" s="353"/>
      <c r="G560" s="547"/>
      <c r="H560" s="537"/>
      <c r="I560" s="538"/>
    </row>
    <row r="561" spans="1:11">
      <c r="A561" s="333">
        <v>49</v>
      </c>
      <c r="C561" s="332" t="str">
        <f>'FR-16(7)(v)-1 Functional'!C561</f>
        <v>PRELIM FEDERAL INCOME TAX</v>
      </c>
      <c r="D561" s="344"/>
      <c r="E561" s="196"/>
      <c r="F561" s="349">
        <f>F555</f>
        <v>242825</v>
      </c>
      <c r="G561" s="548" t="e">
        <f>$G$555</f>
        <v>#N/A</v>
      </c>
      <c r="H561" s="539" t="e">
        <f>$H$555</f>
        <v>#N/A</v>
      </c>
      <c r="I561" s="540" t="e">
        <f>$I$555</f>
        <v>#N/A</v>
      </c>
      <c r="J561" s="347" t="e">
        <f>$J$555</f>
        <v>#N/A</v>
      </c>
      <c r="K561" s="347" t="e">
        <f>$K$555</f>
        <v>#N/A</v>
      </c>
    </row>
    <row r="562" spans="1:11">
      <c r="A562" s="333">
        <v>50</v>
      </c>
      <c r="C562" s="359" t="str">
        <f>'FR-16(7)(v)-1 Functional'!C562</f>
        <v>TEST YEAR INV TAX CREDIT</v>
      </c>
      <c r="D562" s="344"/>
      <c r="E562" s="196"/>
      <c r="F562" s="347">
        <f>-F540</f>
        <v>0</v>
      </c>
      <c r="G562" s="550">
        <f>-$G$540</f>
        <v>0</v>
      </c>
      <c r="H562" s="543">
        <f>-$H$540</f>
        <v>0</v>
      </c>
      <c r="I562" s="544">
        <f>-$I$540</f>
        <v>0</v>
      </c>
      <c r="J562" s="347">
        <f>-$J$540</f>
        <v>0</v>
      </c>
      <c r="K562" s="347">
        <f>-$K$540</f>
        <v>0</v>
      </c>
    </row>
    <row r="563" spans="1:11">
      <c r="A563" s="333">
        <v>51</v>
      </c>
      <c r="C563" s="332" t="str">
        <f>'FR-16(7)(v)-1 Functional'!C563</f>
        <v xml:space="preserve">  NET FED INCOME TAX PAYABLE</v>
      </c>
      <c r="D563" s="344"/>
      <c r="E563" s="196"/>
      <c r="F563" s="348">
        <f>SUM(F560:F562)</f>
        <v>242825</v>
      </c>
      <c r="G563" s="549" t="e">
        <f>SUM($G$560:$G$562)</f>
        <v>#N/A</v>
      </c>
      <c r="H563" s="541" t="e">
        <f>SUM($H$560:$H$562)</f>
        <v>#N/A</v>
      </c>
      <c r="I563" s="542" t="e">
        <f>SUM($I$560:$I$562)</f>
        <v>#N/A</v>
      </c>
      <c r="J563" s="348" t="e">
        <f>SUM($J$560:$J$562)</f>
        <v>#N/A</v>
      </c>
      <c r="K563" s="348" t="e">
        <f>SUM($K$560:$K$562)</f>
        <v>#N/A</v>
      </c>
    </row>
    <row r="564" spans="1:11">
      <c r="A564" s="333">
        <v>52</v>
      </c>
      <c r="D564" s="344"/>
      <c r="E564" s="196"/>
      <c r="G564" s="547"/>
      <c r="H564" s="537"/>
      <c r="I564" s="538"/>
    </row>
    <row r="565" spans="1:11">
      <c r="A565" s="333">
        <v>53</v>
      </c>
      <c r="B565" s="332" t="s">
        <v>76</v>
      </c>
      <c r="D565" s="344"/>
      <c r="E565" s="196"/>
      <c r="F565" s="332">
        <f>ROUND((F693*(1-F692))+((1-F693)*(1-F692)*F694)+F692,5)</f>
        <v>0.35</v>
      </c>
      <c r="G565" s="569">
        <f>ROUND((G693*(1-G692))+((1-G693)*(1-G692)*G694)+G692,5)</f>
        <v>0.24925</v>
      </c>
      <c r="H565" s="570">
        <f>ROUND((H693*(1-H692))+((1-H693)*(1-H692)*H694)+H692,5)</f>
        <v>0.24925</v>
      </c>
      <c r="I565" s="571">
        <f>ROUND((I693*(1-I692))+((1-I693)*(1-I692)*I694)+I692,5)</f>
        <v>0.24925</v>
      </c>
      <c r="K565" s="332">
        <f>ROUND((K693*(1-K692))+((1-K693)*(1-K692)*K694)+K692,5)</f>
        <v>0.24925</v>
      </c>
    </row>
    <row r="566" spans="1:11">
      <c r="B566" s="343"/>
      <c r="C566" s="196"/>
      <c r="D566" s="344"/>
      <c r="E566" s="196"/>
      <c r="F566" s="196"/>
      <c r="G566" s="196"/>
      <c r="H566" s="196"/>
      <c r="I566" s="196"/>
      <c r="J566" s="196"/>
      <c r="K566" s="196"/>
    </row>
    <row r="567" spans="1:11">
      <c r="A567" s="343" t="str">
        <f>co_name</f>
        <v>DUKE ENERGY KENTUCKY, INC.</v>
      </c>
      <c r="C567" s="196"/>
      <c r="D567" s="344"/>
      <c r="E567" s="196"/>
      <c r="F567" s="196"/>
      <c r="G567" s="196"/>
      <c r="H567" s="196"/>
      <c r="I567" s="196"/>
      <c r="J567" s="196" t="str">
        <f>$J$1</f>
        <v>FR-16(7)(v)-7</v>
      </c>
      <c r="K567" s="196"/>
    </row>
    <row r="568" spans="1:11">
      <c r="A568" s="343" t="str">
        <f>$A$2</f>
        <v>STORAGE CLASSIFIED -  GAS COST OF SERVICE</v>
      </c>
      <c r="C568" s="196"/>
      <c r="D568" s="344"/>
      <c r="E568" s="196"/>
      <c r="F568" s="196"/>
      <c r="G568" s="196"/>
      <c r="H568" s="196"/>
      <c r="I568" s="196"/>
      <c r="J568" s="196" t="str">
        <f>$J$2</f>
        <v>WITNESS RESPONSIBLE:</v>
      </c>
      <c r="K568" s="196"/>
    </row>
    <row r="569" spans="1:11">
      <c r="A569" s="343" t="str">
        <f>case_name</f>
        <v>CASE NO: 2018-00261</v>
      </c>
      <c r="C569" s="196"/>
      <c r="D569" s="344"/>
      <c r="E569" s="196"/>
      <c r="F569" s="196"/>
      <c r="G569" s="196"/>
      <c r="H569" s="196"/>
      <c r="I569" s="196"/>
      <c r="J569" s="196" t="str">
        <f>Witness</f>
        <v>JAMES E. ZIOLKOWSKI</v>
      </c>
      <c r="K569" s="196"/>
    </row>
    <row r="570" spans="1:11">
      <c r="A570" s="343" t="str">
        <f>data_filing</f>
        <v>DATA: 12 MONTH FORECASTED PERIOD</v>
      </c>
      <c r="C570" s="196"/>
      <c r="D570" s="344"/>
      <c r="E570" s="196"/>
      <c r="F570" s="196"/>
      <c r="G570" s="196"/>
      <c r="H570" s="196"/>
      <c r="I570" s="196"/>
      <c r="J570" s="196" t="str">
        <f>"PAGE "&amp;Pages2-2&amp;" OF "&amp;Pages2</f>
        <v>PAGE 13 OF 15</v>
      </c>
      <c r="K570" s="196"/>
    </row>
    <row r="571" spans="1:11">
      <c r="A571" s="343" t="str">
        <f>type</f>
        <v xml:space="preserve">TYPE OF FILING: "X" ORIGINAL   UPDATED    REVISED  </v>
      </c>
      <c r="C571" s="196"/>
      <c r="D571" s="344"/>
      <c r="E571" s="196"/>
      <c r="F571" s="196"/>
      <c r="G571" s="196"/>
      <c r="H571" s="196"/>
      <c r="I571" s="196"/>
      <c r="J571" s="196"/>
      <c r="K571" s="196"/>
    </row>
    <row r="574" spans="1:11">
      <c r="A574" s="344" t="s">
        <v>914</v>
      </c>
      <c r="B574" s="1392"/>
      <c r="C574" s="1091"/>
      <c r="D574" s="1091"/>
      <c r="E574" s="342"/>
      <c r="F574" s="354" t="s">
        <v>229</v>
      </c>
      <c r="G574" s="545" t="s">
        <v>1005</v>
      </c>
      <c r="H574" s="533"/>
      <c r="I574" s="534"/>
      <c r="J574" s="344" t="s">
        <v>229</v>
      </c>
      <c r="K574" s="344" t="s">
        <v>342</v>
      </c>
    </row>
    <row r="575" spans="1:11">
      <c r="A575" s="346" t="s">
        <v>915</v>
      </c>
      <c r="B575" s="1394" t="s">
        <v>1453</v>
      </c>
      <c r="C575" s="1395"/>
      <c r="D575" s="1396" t="s">
        <v>1454</v>
      </c>
      <c r="E575" s="1397"/>
      <c r="F575" s="355" t="str">
        <f>$F$9</f>
        <v>STORAGE</v>
      </c>
      <c r="G575" s="546" t="s">
        <v>847</v>
      </c>
      <c r="H575" s="535" t="s">
        <v>848</v>
      </c>
      <c r="I575" s="536" t="s">
        <v>849</v>
      </c>
      <c r="J575" s="346" t="s">
        <v>341</v>
      </c>
      <c r="K575" s="346" t="s">
        <v>340</v>
      </c>
    </row>
    <row r="576" spans="1:11" ht="15">
      <c r="A576" s="1398"/>
      <c r="B576" s="1399"/>
      <c r="C576" s="1400" t="s">
        <v>1455</v>
      </c>
      <c r="D576" s="1401"/>
      <c r="E576" s="342"/>
      <c r="F576" s="353"/>
      <c r="G576" s="1447">
        <f>$G$10</f>
        <v>3</v>
      </c>
      <c r="H576" s="1448">
        <f>$H$10</f>
        <v>4</v>
      </c>
      <c r="I576" s="1449">
        <f>$I$10</f>
        <v>5</v>
      </c>
    </row>
    <row r="577" spans="1:11">
      <c r="A577" s="968">
        <v>1</v>
      </c>
      <c r="B577" s="1405" t="s">
        <v>1456</v>
      </c>
      <c r="C577" s="1392"/>
      <c r="D577" s="1392"/>
      <c r="E577" s="342"/>
      <c r="F577" s="342"/>
      <c r="G577" s="1450"/>
      <c r="H577" s="1451"/>
      <c r="I577" s="1452"/>
      <c r="J577" s="196"/>
      <c r="K577" s="196"/>
    </row>
    <row r="578" spans="1:11">
      <c r="A578" s="968">
        <v>2</v>
      </c>
      <c r="B578" s="1409" t="s">
        <v>1457</v>
      </c>
      <c r="C578" s="1392"/>
      <c r="D578" s="1410" t="s">
        <v>315</v>
      </c>
      <c r="E578" s="342"/>
      <c r="F578" s="479">
        <f>'FR-16(7)(v)-1 Functional'!F578</f>
        <v>5681089</v>
      </c>
      <c r="G578" s="548">
        <f>ROUND(F578*VLOOKUP(D578,AllocTable_Functional,$G$10,FALSE),0)</f>
        <v>41813</v>
      </c>
      <c r="H578" s="539">
        <f>ROUND(F578*VLOOKUP(D578,AllocTable_Functional,$H$10,FALSE),0)</f>
        <v>0</v>
      </c>
      <c r="I578" s="540">
        <f>ROUND(F578*VLOOKUP(D578,AllocTable_Functional,$I$10,FALSE),0)</f>
        <v>5639276</v>
      </c>
      <c r="J578" s="347">
        <f>SUM(G578:I578)</f>
        <v>5681089</v>
      </c>
      <c r="K578" s="347">
        <f>F578-J578</f>
        <v>0</v>
      </c>
    </row>
    <row r="579" spans="1:11">
      <c r="A579" s="968">
        <v>3</v>
      </c>
      <c r="B579" s="1409" t="s">
        <v>1171</v>
      </c>
      <c r="C579" s="1411"/>
      <c r="D579" s="1410" t="s">
        <v>315</v>
      </c>
      <c r="E579" s="342"/>
      <c r="F579" s="1412"/>
      <c r="G579" s="550">
        <f>ROUND(F579*VLOOKUP(D579,AllocTable_Functional,$G$10,FALSE),0)</f>
        <v>0</v>
      </c>
      <c r="H579" s="543">
        <f>ROUND(F579*VLOOKUP(D579,AllocTable_Functional,$H$10,FALSE),0)</f>
        <v>0</v>
      </c>
      <c r="I579" s="544">
        <f>ROUND(F579*VLOOKUP(D579,AllocTable_Functional,$I$10,FALSE),0)</f>
        <v>0</v>
      </c>
      <c r="J579" s="502">
        <f>SUM(G579:I579)</f>
        <v>0</v>
      </c>
      <c r="K579" s="502">
        <f>F579-J579</f>
        <v>0</v>
      </c>
    </row>
    <row r="580" spans="1:11">
      <c r="A580" s="968">
        <v>4</v>
      </c>
      <c r="B580" s="1413" t="s">
        <v>1458</v>
      </c>
      <c r="C580" s="1392"/>
      <c r="D580" s="1414"/>
      <c r="E580" s="342"/>
      <c r="F580" s="1291">
        <f t="shared" ref="F580:K580" si="147">SUM(F578:F579)</f>
        <v>5681089</v>
      </c>
      <c r="G580" s="1453">
        <f t="shared" si="147"/>
        <v>41813</v>
      </c>
      <c r="H580" s="1454">
        <f t="shared" si="147"/>
        <v>0</v>
      </c>
      <c r="I580" s="1455">
        <f t="shared" si="147"/>
        <v>5639276</v>
      </c>
      <c r="J580" s="335">
        <f t="shared" si="147"/>
        <v>5681089</v>
      </c>
      <c r="K580" s="335">
        <f t="shared" si="147"/>
        <v>0</v>
      </c>
    </row>
    <row r="581" spans="1:11" ht="15">
      <c r="A581" s="968">
        <v>5</v>
      </c>
      <c r="B581" s="1398"/>
      <c r="C581" s="1401"/>
      <c r="D581" s="1415"/>
      <c r="E581" s="342"/>
      <c r="F581" s="353"/>
      <c r="G581" s="547"/>
      <c r="H581" s="537"/>
      <c r="I581" s="538"/>
    </row>
    <row r="582" spans="1:11">
      <c r="A582" s="968">
        <v>6</v>
      </c>
      <c r="B582" s="1416" t="s">
        <v>1459</v>
      </c>
      <c r="C582" s="1392"/>
      <c r="D582" s="1414"/>
      <c r="E582" s="342"/>
      <c r="F582" s="353"/>
      <c r="G582" s="547"/>
      <c r="H582" s="537"/>
      <c r="I582" s="538"/>
    </row>
    <row r="583" spans="1:11">
      <c r="A583" s="968">
        <v>7</v>
      </c>
      <c r="B583" s="1417" t="s">
        <v>1460</v>
      </c>
      <c r="C583" s="1392"/>
      <c r="D583" s="1414"/>
      <c r="E583" s="342"/>
      <c r="F583" s="353"/>
      <c r="G583" s="547"/>
      <c r="H583" s="537"/>
      <c r="I583" s="538"/>
    </row>
    <row r="584" spans="1:11">
      <c r="A584" s="968">
        <v>8</v>
      </c>
      <c r="B584" s="1418" t="s">
        <v>1461</v>
      </c>
      <c r="C584" s="1411"/>
      <c r="D584" s="1410" t="s">
        <v>1462</v>
      </c>
      <c r="E584" s="342"/>
      <c r="F584" s="1471">
        <f>'FR-16(7)(v)-1 Functional'!F584</f>
        <v>450960</v>
      </c>
      <c r="G584" s="550" t="e">
        <f>F584-SUM(H584:I584)</f>
        <v>#N/A</v>
      </c>
      <c r="H584" s="543" t="e">
        <f>ROUND(F584*VLOOKUP(D584,AllocTable_Functional,$H$10,FALSE),0)</f>
        <v>#N/A</v>
      </c>
      <c r="I584" s="544" t="e">
        <f>ROUND(F584*VLOOKUP(D584,AllocTable_Functional,$I$10,FALSE),0)</f>
        <v>#N/A</v>
      </c>
      <c r="J584" s="502" t="e">
        <f>SUM(G584:I584)</f>
        <v>#N/A</v>
      </c>
      <c r="K584" s="502" t="e">
        <f>F584-J584</f>
        <v>#N/A</v>
      </c>
    </row>
    <row r="585" spans="1:11">
      <c r="A585" s="968">
        <v>9</v>
      </c>
      <c r="B585" s="1413" t="s">
        <v>1463</v>
      </c>
      <c r="C585" s="1392"/>
      <c r="D585" s="1414"/>
      <c r="E585" s="342"/>
      <c r="F585" s="1291">
        <f t="shared" ref="F585:K585" si="148">SUM(F584)</f>
        <v>450960</v>
      </c>
      <c r="G585" s="1453" t="e">
        <f t="shared" si="148"/>
        <v>#N/A</v>
      </c>
      <c r="H585" s="1454" t="e">
        <f t="shared" si="148"/>
        <v>#N/A</v>
      </c>
      <c r="I585" s="1455" t="e">
        <f t="shared" si="148"/>
        <v>#N/A</v>
      </c>
      <c r="J585" s="335" t="e">
        <f t="shared" si="148"/>
        <v>#N/A</v>
      </c>
      <c r="K585" s="335" t="e">
        <f t="shared" si="148"/>
        <v>#N/A</v>
      </c>
    </row>
    <row r="586" spans="1:11">
      <c r="A586" s="968">
        <v>10</v>
      </c>
      <c r="B586" s="1090"/>
      <c r="C586" s="1392"/>
      <c r="D586" s="1414"/>
      <c r="E586" s="342"/>
      <c r="F586" s="353"/>
      <c r="G586" s="547"/>
      <c r="H586" s="537"/>
      <c r="I586" s="538"/>
    </row>
    <row r="587" spans="1:11">
      <c r="A587" s="968">
        <v>11</v>
      </c>
      <c r="B587" s="1419" t="s">
        <v>1464</v>
      </c>
      <c r="C587" s="1420"/>
      <c r="D587" s="1421"/>
      <c r="E587" s="342"/>
      <c r="F587" s="353"/>
      <c r="G587" s="547"/>
      <c r="H587" s="537"/>
      <c r="I587" s="538"/>
    </row>
    <row r="588" spans="1:11">
      <c r="A588" s="968">
        <v>12</v>
      </c>
      <c r="B588" s="1409" t="s">
        <v>1465</v>
      </c>
      <c r="C588" s="1411"/>
      <c r="D588" s="1410" t="s">
        <v>315</v>
      </c>
      <c r="E588" s="342"/>
      <c r="F588" s="1471">
        <f>'FR-16(7)(v)-1 Functional'!F588</f>
        <v>0</v>
      </c>
      <c r="G588" s="550">
        <f>ROUND(F588*VLOOKUP(D588,AllocTable_Functional,$G$10,FALSE),0)</f>
        <v>0</v>
      </c>
      <c r="H588" s="543">
        <f>ROUND(F588*VLOOKUP(D588,AllocTable_Functional,$H$10,FALSE),0)</f>
        <v>0</v>
      </c>
      <c r="I588" s="544">
        <f>ROUND(F588*VLOOKUP(D588,AllocTable_Functional,$I$10,FALSE),0)</f>
        <v>0</v>
      </c>
      <c r="J588" s="502">
        <f>SUM(G588:I588)</f>
        <v>0</v>
      </c>
      <c r="K588" s="502">
        <f>F588-J588</f>
        <v>0</v>
      </c>
    </row>
    <row r="589" spans="1:11">
      <c r="A589" s="968">
        <v>13</v>
      </c>
      <c r="B589" s="1413" t="s">
        <v>1466</v>
      </c>
      <c r="C589" s="1392"/>
      <c r="D589" s="1414"/>
      <c r="E589" s="342"/>
      <c r="F589" s="1291">
        <f t="shared" ref="F589:K589" si="149">SUM(F588)</f>
        <v>0</v>
      </c>
      <c r="G589" s="1453">
        <f t="shared" si="149"/>
        <v>0</v>
      </c>
      <c r="H589" s="1454">
        <f t="shared" si="149"/>
        <v>0</v>
      </c>
      <c r="I589" s="1455">
        <f t="shared" si="149"/>
        <v>0</v>
      </c>
      <c r="J589" s="335">
        <f t="shared" si="149"/>
        <v>0</v>
      </c>
      <c r="K589" s="335">
        <f t="shared" si="149"/>
        <v>0</v>
      </c>
    </row>
    <row r="590" spans="1:11">
      <c r="A590" s="968">
        <v>14</v>
      </c>
      <c r="B590" s="1392"/>
      <c r="C590" s="1392"/>
      <c r="D590" s="1414"/>
      <c r="E590" s="342"/>
      <c r="F590" s="353"/>
      <c r="G590" s="547"/>
      <c r="H590" s="537"/>
      <c r="I590" s="538"/>
    </row>
    <row r="591" spans="1:11">
      <c r="A591" s="968">
        <v>15</v>
      </c>
      <c r="B591" s="1392" t="s">
        <v>1467</v>
      </c>
      <c r="C591" s="1392"/>
      <c r="D591" s="1414"/>
      <c r="E591" s="342"/>
      <c r="F591" s="1291">
        <f>F589+F585</f>
        <v>450960</v>
      </c>
      <c r="G591" s="1453" t="e">
        <f t="shared" ref="G591:K591" si="150">G589+G585</f>
        <v>#N/A</v>
      </c>
      <c r="H591" s="1454" t="e">
        <f t="shared" si="150"/>
        <v>#N/A</v>
      </c>
      <c r="I591" s="1455" t="e">
        <f t="shared" si="150"/>
        <v>#N/A</v>
      </c>
      <c r="J591" s="335" t="e">
        <f t="shared" si="150"/>
        <v>#N/A</v>
      </c>
      <c r="K591" s="335" t="e">
        <f t="shared" si="150"/>
        <v>#N/A</v>
      </c>
    </row>
    <row r="592" spans="1:11">
      <c r="A592" s="968">
        <v>16</v>
      </c>
      <c r="B592" s="1392"/>
      <c r="C592" s="1392"/>
      <c r="D592" s="1414"/>
      <c r="E592" s="342"/>
      <c r="F592" s="353"/>
      <c r="G592" s="547"/>
      <c r="H592" s="537"/>
      <c r="I592" s="538"/>
    </row>
    <row r="593" spans="1:11">
      <c r="A593" s="968">
        <v>17</v>
      </c>
      <c r="B593" s="1422" t="s">
        <v>68</v>
      </c>
      <c r="C593" s="1423"/>
      <c r="D593" s="968"/>
      <c r="E593" s="342"/>
      <c r="F593" s="353"/>
      <c r="G593" s="547"/>
      <c r="H593" s="537"/>
      <c r="I593" s="538"/>
    </row>
    <row r="594" spans="1:11">
      <c r="A594" s="968">
        <v>18</v>
      </c>
      <c r="B594" s="1417" t="s">
        <v>1468</v>
      </c>
      <c r="C594" s="1392"/>
      <c r="D594" s="1414"/>
      <c r="E594" s="342"/>
      <c r="F594" s="353"/>
      <c r="G594" s="547"/>
      <c r="H594" s="537"/>
      <c r="I594" s="538"/>
    </row>
    <row r="595" spans="1:11">
      <c r="A595" s="968">
        <v>19</v>
      </c>
      <c r="B595" s="1392" t="s">
        <v>43</v>
      </c>
      <c r="C595" s="1392"/>
      <c r="D595" s="1414"/>
      <c r="E595" s="342"/>
      <c r="F595" s="1291">
        <f t="shared" ref="F595:K595" si="151">F316</f>
        <v>0</v>
      </c>
      <c r="G595" s="1453">
        <f t="shared" si="151"/>
        <v>0</v>
      </c>
      <c r="H595" s="1454">
        <f t="shared" si="151"/>
        <v>0</v>
      </c>
      <c r="I595" s="1455">
        <f t="shared" si="151"/>
        <v>0</v>
      </c>
      <c r="J595" s="1291">
        <f t="shared" si="151"/>
        <v>0</v>
      </c>
      <c r="K595" s="1291">
        <f t="shared" si="151"/>
        <v>0</v>
      </c>
    </row>
    <row r="596" spans="1:11">
      <c r="A596" s="968">
        <v>20</v>
      </c>
      <c r="B596" s="1392" t="s">
        <v>199</v>
      </c>
      <c r="C596" s="1392"/>
      <c r="D596" s="1414"/>
      <c r="E596" s="342"/>
      <c r="F596" s="1291">
        <f t="shared" ref="F596:K596" si="152">F557</f>
        <v>242825</v>
      </c>
      <c r="G596" s="1453" t="e">
        <f t="shared" si="152"/>
        <v>#N/A</v>
      </c>
      <c r="H596" s="1454" t="e">
        <f t="shared" si="152"/>
        <v>#N/A</v>
      </c>
      <c r="I596" s="1455" t="e">
        <f t="shared" si="152"/>
        <v>#N/A</v>
      </c>
      <c r="J596" s="335" t="e">
        <f t="shared" si="152"/>
        <v>#N/A</v>
      </c>
      <c r="K596" s="335" t="e">
        <f t="shared" si="152"/>
        <v>#N/A</v>
      </c>
    </row>
    <row r="597" spans="1:11">
      <c r="A597" s="968">
        <v>21</v>
      </c>
      <c r="B597" s="1392" t="s">
        <v>1469</v>
      </c>
      <c r="C597" s="1392"/>
      <c r="D597" s="1414"/>
      <c r="E597" s="342"/>
      <c r="F597" s="1291">
        <f>-F524</f>
        <v>0</v>
      </c>
      <c r="G597" s="1453">
        <f t="shared" ref="G597:K597" si="153">-G524</f>
        <v>0</v>
      </c>
      <c r="H597" s="1454">
        <f t="shared" si="153"/>
        <v>0</v>
      </c>
      <c r="I597" s="1455">
        <f t="shared" si="153"/>
        <v>0</v>
      </c>
      <c r="J597" s="335">
        <f t="shared" si="153"/>
        <v>0</v>
      </c>
      <c r="K597" s="335">
        <f t="shared" si="153"/>
        <v>0</v>
      </c>
    </row>
    <row r="598" spans="1:11">
      <c r="A598" s="968">
        <v>22</v>
      </c>
      <c r="B598" s="1392" t="s">
        <v>1470</v>
      </c>
      <c r="C598" s="1392"/>
      <c r="D598" s="1414"/>
      <c r="E598" s="342"/>
      <c r="F598" s="1291">
        <f t="shared" ref="F598:K598" si="154">-F580</f>
        <v>-5681089</v>
      </c>
      <c r="G598" s="1453">
        <f t="shared" si="154"/>
        <v>-41813</v>
      </c>
      <c r="H598" s="1454">
        <f t="shared" si="154"/>
        <v>0</v>
      </c>
      <c r="I598" s="1455">
        <f t="shared" si="154"/>
        <v>-5639276</v>
      </c>
      <c r="J598" s="335">
        <f t="shared" si="154"/>
        <v>-5681089</v>
      </c>
      <c r="K598" s="335">
        <f t="shared" si="154"/>
        <v>0</v>
      </c>
    </row>
    <row r="599" spans="1:11">
      <c r="A599" s="968">
        <v>23</v>
      </c>
      <c r="B599" s="1411" t="s">
        <v>1471</v>
      </c>
      <c r="C599" s="1411"/>
      <c r="D599" s="1414"/>
      <c r="E599" s="342"/>
      <c r="F599" s="1424">
        <f t="shared" ref="F599:K599" si="155">F591</f>
        <v>450960</v>
      </c>
      <c r="G599" s="1456" t="e">
        <f t="shared" si="155"/>
        <v>#N/A</v>
      </c>
      <c r="H599" s="1457" t="e">
        <f t="shared" si="155"/>
        <v>#N/A</v>
      </c>
      <c r="I599" s="1458" t="e">
        <f t="shared" si="155"/>
        <v>#N/A</v>
      </c>
      <c r="J599" s="1428" t="e">
        <f t="shared" si="155"/>
        <v>#N/A</v>
      </c>
      <c r="K599" s="1428" t="e">
        <f t="shared" si="155"/>
        <v>#N/A</v>
      </c>
    </row>
    <row r="600" spans="1:11">
      <c r="A600" s="968">
        <v>24</v>
      </c>
      <c r="B600" s="1090" t="s">
        <v>1472</v>
      </c>
      <c r="C600" s="1392"/>
      <c r="D600" s="1414"/>
      <c r="E600" s="342"/>
      <c r="F600" s="1291">
        <f t="shared" ref="F600:K600" si="156">SUM(F595:F599)</f>
        <v>-4987304</v>
      </c>
      <c r="G600" s="1453" t="e">
        <f t="shared" si="156"/>
        <v>#N/A</v>
      </c>
      <c r="H600" s="1454" t="e">
        <f t="shared" si="156"/>
        <v>#N/A</v>
      </c>
      <c r="I600" s="1455" t="e">
        <f t="shared" si="156"/>
        <v>#N/A</v>
      </c>
      <c r="J600" s="335" t="e">
        <f t="shared" si="156"/>
        <v>#N/A</v>
      </c>
      <c r="K600" s="335" t="e">
        <f t="shared" si="156"/>
        <v>#N/A</v>
      </c>
    </row>
    <row r="601" spans="1:11">
      <c r="A601" s="968">
        <v>25</v>
      </c>
      <c r="B601" s="1392"/>
      <c r="C601" s="1392"/>
      <c r="D601" s="1414"/>
      <c r="E601" s="342"/>
      <c r="F601" s="353"/>
      <c r="G601" s="547"/>
      <c r="H601" s="537"/>
      <c r="I601" s="538"/>
    </row>
    <row r="602" spans="1:11">
      <c r="A602" s="968">
        <v>26</v>
      </c>
      <c r="B602" s="1392" t="s">
        <v>1473</v>
      </c>
      <c r="C602" s="1392"/>
      <c r="D602" s="1414"/>
      <c r="E602" s="342"/>
      <c r="F602" s="1429">
        <f>ROUND(SIT/(1-SIT),8)</f>
        <v>5.2282660000000002E-2</v>
      </c>
      <c r="G602" s="1459">
        <f t="shared" ref="G602:K602" si="157">ROUND(SIT/(1-SIT),8)</f>
        <v>5.2282660000000002E-2</v>
      </c>
      <c r="H602" s="1460">
        <f t="shared" si="157"/>
        <v>5.2282660000000002E-2</v>
      </c>
      <c r="I602" s="1461">
        <f t="shared" si="157"/>
        <v>5.2282660000000002E-2</v>
      </c>
      <c r="J602" s="1429">
        <f t="shared" si="157"/>
        <v>5.2282660000000002E-2</v>
      </c>
      <c r="K602" s="1429">
        <f t="shared" si="157"/>
        <v>5.2282660000000002E-2</v>
      </c>
    </row>
    <row r="603" spans="1:11">
      <c r="A603" s="968">
        <v>27</v>
      </c>
      <c r="B603" s="1392" t="s">
        <v>1474</v>
      </c>
      <c r="C603" s="1392"/>
      <c r="D603" s="1433" t="s">
        <v>1475</v>
      </c>
      <c r="E603" s="342"/>
      <c r="F603" s="1434">
        <f>ROUND(F600*F602,0)</f>
        <v>-260750</v>
      </c>
      <c r="G603" s="1454" t="e">
        <f>ROUND(G600*G602,0)</f>
        <v>#N/A</v>
      </c>
      <c r="H603" s="1454" t="e">
        <f>ROUND(H600*H602,0)</f>
        <v>#N/A</v>
      </c>
      <c r="I603" s="1455" t="e">
        <f>ROUND(I600*I602,0)</f>
        <v>#N/A</v>
      </c>
      <c r="J603" s="347" t="e">
        <f>SUM(G603:I603)</f>
        <v>#N/A</v>
      </c>
      <c r="K603" s="347" t="e">
        <f>F603-J603</f>
        <v>#N/A</v>
      </c>
    </row>
    <row r="604" spans="1:11">
      <c r="A604" s="968">
        <v>28</v>
      </c>
      <c r="B604" s="1411" t="s">
        <v>1476</v>
      </c>
      <c r="C604" s="1411"/>
      <c r="D604" s="1414"/>
      <c r="E604" s="1435"/>
      <c r="F604" s="1434">
        <f>F591</f>
        <v>450960</v>
      </c>
      <c r="G604" s="1462" t="e">
        <f>G591</f>
        <v>#N/A</v>
      </c>
      <c r="H604" s="1463" t="e">
        <f>H591</f>
        <v>#N/A</v>
      </c>
      <c r="I604" s="1464" t="e">
        <f>I591</f>
        <v>#N/A</v>
      </c>
      <c r="J604" s="347" t="e">
        <f>SUM(G604:I604)</f>
        <v>#N/A</v>
      </c>
      <c r="K604" s="347" t="e">
        <f>F604-J604</f>
        <v>#N/A</v>
      </c>
    </row>
    <row r="605" spans="1:11">
      <c r="A605" s="968">
        <v>29</v>
      </c>
      <c r="B605" s="1090" t="s">
        <v>1477</v>
      </c>
      <c r="C605" s="1392"/>
      <c r="D605" s="1414"/>
      <c r="E605" s="342"/>
      <c r="F605" s="1439">
        <f t="shared" ref="F605:K605" si="158">F604+F603</f>
        <v>190210</v>
      </c>
      <c r="G605" s="1465" t="e">
        <f t="shared" si="158"/>
        <v>#N/A</v>
      </c>
      <c r="H605" s="1466" t="e">
        <f t="shared" si="158"/>
        <v>#N/A</v>
      </c>
      <c r="I605" s="1467" t="e">
        <f t="shared" si="158"/>
        <v>#N/A</v>
      </c>
      <c r="J605" s="1439" t="e">
        <f t="shared" si="158"/>
        <v>#N/A</v>
      </c>
      <c r="K605" s="1439" t="e">
        <f t="shared" si="158"/>
        <v>#N/A</v>
      </c>
    </row>
    <row r="606" spans="1:11">
      <c r="A606" s="968">
        <v>30</v>
      </c>
      <c r="B606" s="1392"/>
      <c r="C606" s="1392"/>
      <c r="D606" s="1414"/>
      <c r="E606" s="342"/>
      <c r="F606" s="353"/>
      <c r="G606" s="547"/>
      <c r="H606" s="537"/>
      <c r="I606" s="538"/>
    </row>
    <row r="607" spans="1:11">
      <c r="A607" s="968">
        <v>31</v>
      </c>
      <c r="B607" s="1392" t="s">
        <v>1478</v>
      </c>
      <c r="C607" s="1392"/>
      <c r="D607" s="1414"/>
      <c r="E607" s="342"/>
      <c r="F607" s="353"/>
      <c r="G607" s="547"/>
      <c r="H607" s="537"/>
      <c r="I607" s="538"/>
    </row>
    <row r="608" spans="1:11">
      <c r="A608" s="968">
        <v>32</v>
      </c>
      <c r="B608" s="1392" t="s">
        <v>1474</v>
      </c>
      <c r="C608" s="1392"/>
      <c r="D608" s="1414"/>
      <c r="E608" s="342"/>
      <c r="F608" s="1434">
        <f t="shared" ref="F608:K608" si="159">F603</f>
        <v>-260750</v>
      </c>
      <c r="G608" s="1462" t="e">
        <f t="shared" si="159"/>
        <v>#N/A</v>
      </c>
      <c r="H608" s="1463" t="e">
        <f t="shared" si="159"/>
        <v>#N/A</v>
      </c>
      <c r="I608" s="1464" t="e">
        <f t="shared" si="159"/>
        <v>#N/A</v>
      </c>
      <c r="J608" s="1434" t="e">
        <f t="shared" si="159"/>
        <v>#N/A</v>
      </c>
      <c r="K608" s="1434" t="e">
        <f t="shared" si="159"/>
        <v>#N/A</v>
      </c>
    </row>
    <row r="609" spans="1:11">
      <c r="A609" s="968">
        <v>33</v>
      </c>
      <c r="B609" s="1411" t="s">
        <v>1464</v>
      </c>
      <c r="C609" s="1411"/>
      <c r="D609" s="1414"/>
      <c r="E609" s="342"/>
      <c r="F609" s="1434">
        <f t="shared" ref="F609:K609" si="160">F589</f>
        <v>0</v>
      </c>
      <c r="G609" s="1462">
        <f t="shared" si="160"/>
        <v>0</v>
      </c>
      <c r="H609" s="1463">
        <f t="shared" si="160"/>
        <v>0</v>
      </c>
      <c r="I609" s="1464">
        <f t="shared" si="160"/>
        <v>0</v>
      </c>
      <c r="J609" s="1434">
        <f t="shared" si="160"/>
        <v>0</v>
      </c>
      <c r="K609" s="1434">
        <f t="shared" si="160"/>
        <v>0</v>
      </c>
    </row>
    <row r="610" spans="1:11">
      <c r="A610" s="968">
        <v>34</v>
      </c>
      <c r="B610" s="1090" t="s">
        <v>1479</v>
      </c>
      <c r="C610" s="1392"/>
      <c r="D610" s="1414"/>
      <c r="E610" s="342"/>
      <c r="F610" s="1439">
        <f t="shared" ref="F610:K610" si="161">F608+F609</f>
        <v>-260750</v>
      </c>
      <c r="G610" s="1465" t="e">
        <f t="shared" si="161"/>
        <v>#N/A</v>
      </c>
      <c r="H610" s="1466" t="e">
        <f t="shared" si="161"/>
        <v>#N/A</v>
      </c>
      <c r="I610" s="1467" t="e">
        <f t="shared" si="161"/>
        <v>#N/A</v>
      </c>
      <c r="J610" s="1439" t="e">
        <f t="shared" si="161"/>
        <v>#N/A</v>
      </c>
      <c r="K610" s="1439" t="e">
        <f t="shared" si="161"/>
        <v>#N/A</v>
      </c>
    </row>
    <row r="611" spans="1:11">
      <c r="A611" s="968">
        <v>35</v>
      </c>
      <c r="B611" s="1392"/>
      <c r="C611" s="1392"/>
      <c r="D611" s="1392"/>
      <c r="E611" s="342"/>
      <c r="F611" s="1434"/>
      <c r="G611" s="1462"/>
      <c r="H611" s="1463"/>
      <c r="I611" s="1464"/>
      <c r="J611" s="1434"/>
      <c r="K611" s="1434"/>
    </row>
    <row r="612" spans="1:11">
      <c r="A612" s="968">
        <v>36</v>
      </c>
      <c r="B612" s="1392" t="s">
        <v>76</v>
      </c>
      <c r="C612" s="1392"/>
      <c r="D612" s="1392"/>
      <c r="E612" s="342"/>
      <c r="F612" s="1443">
        <f t="shared" ref="F612:K612" si="162">(SIT*(1-FIT))+((1-SIT)*(1-FIT)*RevTax)+FIT</f>
        <v>0.24925115</v>
      </c>
      <c r="G612" s="1468">
        <f t="shared" si="162"/>
        <v>0.24925115</v>
      </c>
      <c r="H612" s="1469">
        <f t="shared" si="162"/>
        <v>0.24925115</v>
      </c>
      <c r="I612" s="1470">
        <f t="shared" si="162"/>
        <v>0.24925115</v>
      </c>
      <c r="J612" s="1443">
        <f t="shared" si="162"/>
        <v>0.24925115</v>
      </c>
      <c r="K612" s="1443">
        <f t="shared" si="162"/>
        <v>0.24925115</v>
      </c>
    </row>
    <row r="614" spans="1:11">
      <c r="A614" s="343" t="str">
        <f>co_name</f>
        <v>DUKE ENERGY KENTUCKY, INC.</v>
      </c>
      <c r="C614" s="196"/>
      <c r="D614" s="344"/>
      <c r="E614" s="196"/>
      <c r="F614" s="196"/>
      <c r="G614" s="196"/>
      <c r="H614" s="196"/>
      <c r="I614" s="196"/>
      <c r="J614" s="196" t="str">
        <f>$J$1</f>
        <v>FR-16(7)(v)-7</v>
      </c>
      <c r="K614" s="196"/>
    </row>
    <row r="615" spans="1:11">
      <c r="A615" s="343" t="str">
        <f>$A$2</f>
        <v>STORAGE CLASSIFIED -  GAS COST OF SERVICE</v>
      </c>
      <c r="C615" s="196"/>
      <c r="D615" s="344"/>
      <c r="E615" s="196"/>
      <c r="F615" s="196"/>
      <c r="G615" s="196"/>
      <c r="H615" s="196"/>
      <c r="I615" s="196"/>
      <c r="J615" s="196" t="str">
        <f>$J$2</f>
        <v>WITNESS RESPONSIBLE:</v>
      </c>
      <c r="K615" s="196"/>
    </row>
    <row r="616" spans="1:11">
      <c r="A616" s="343" t="str">
        <f>case_name</f>
        <v>CASE NO: 2018-00261</v>
      </c>
      <c r="C616" s="196"/>
      <c r="D616" s="344"/>
      <c r="E616" s="196"/>
      <c r="F616" s="196"/>
      <c r="G616" s="196"/>
      <c r="H616" s="196"/>
      <c r="I616" s="196"/>
      <c r="J616" s="196" t="str">
        <f>Witness</f>
        <v>JAMES E. ZIOLKOWSKI</v>
      </c>
      <c r="K616" s="196"/>
    </row>
    <row r="617" spans="1:11">
      <c r="A617" s="343" t="str">
        <f>data_filing</f>
        <v>DATA: 12 MONTH FORECASTED PERIOD</v>
      </c>
      <c r="C617" s="196"/>
      <c r="D617" s="344"/>
      <c r="E617" s="196"/>
      <c r="F617" s="196"/>
      <c r="G617" s="196"/>
      <c r="H617" s="196"/>
      <c r="I617" s="196"/>
      <c r="J617" s="196" t="str">
        <f>"PAGE "&amp;Pages-4&amp;" OF "&amp;Pages</f>
        <v>PAGE 14 OF 18</v>
      </c>
      <c r="K617" s="196"/>
    </row>
    <row r="618" spans="1:11">
      <c r="A618" s="343" t="str">
        <f>type</f>
        <v xml:space="preserve">TYPE OF FILING: "X" ORIGINAL   UPDATED    REVISED  </v>
      </c>
      <c r="C618" s="196"/>
      <c r="D618" s="344"/>
      <c r="E618" s="196"/>
      <c r="F618" s="196"/>
      <c r="G618" s="196"/>
      <c r="H618" s="196"/>
      <c r="I618" s="196"/>
      <c r="J618" s="196"/>
      <c r="K618" s="196"/>
    </row>
    <row r="619" spans="1:11">
      <c r="B619" s="343"/>
      <c r="C619" s="196"/>
      <c r="D619" s="344"/>
      <c r="E619" s="196"/>
      <c r="F619" s="196"/>
      <c r="G619" s="196"/>
      <c r="H619" s="196"/>
      <c r="I619" s="196"/>
      <c r="J619" s="196"/>
      <c r="K619" s="196"/>
    </row>
    <row r="620" spans="1:11">
      <c r="B620" s="343"/>
      <c r="C620" s="196"/>
      <c r="D620" s="344"/>
      <c r="E620" s="196"/>
      <c r="F620" s="196"/>
      <c r="G620" s="196"/>
      <c r="H620" s="196"/>
      <c r="I620" s="196"/>
      <c r="J620" s="196"/>
      <c r="K620" s="196"/>
    </row>
    <row r="621" spans="1:11">
      <c r="A621" s="344" t="s">
        <v>914</v>
      </c>
      <c r="B621" s="196"/>
      <c r="C621" s="196"/>
      <c r="D621" s="344"/>
      <c r="E621" s="196"/>
      <c r="F621" s="344" t="str">
        <f>$F$8</f>
        <v>TOTAL</v>
      </c>
      <c r="G621" s="545" t="s">
        <v>1005</v>
      </c>
      <c r="H621" s="533"/>
      <c r="I621" s="534"/>
      <c r="J621" s="344" t="s">
        <v>229</v>
      </c>
      <c r="K621" s="344" t="s">
        <v>342</v>
      </c>
    </row>
    <row r="622" spans="1:11">
      <c r="A622" s="346" t="s">
        <v>915</v>
      </c>
      <c r="B622" s="345" t="s">
        <v>77</v>
      </c>
      <c r="C622" s="345"/>
      <c r="D622" s="346" t="s">
        <v>337</v>
      </c>
      <c r="E622" s="345"/>
      <c r="F622" s="346" t="str">
        <f>$F$9</f>
        <v>STORAGE</v>
      </c>
      <c r="G622" s="546" t="s">
        <v>847</v>
      </c>
      <c r="H622" s="535" t="s">
        <v>848</v>
      </c>
      <c r="I622" s="536" t="s">
        <v>849</v>
      </c>
      <c r="J622" s="346" t="s">
        <v>341</v>
      </c>
      <c r="K622" s="346" t="s">
        <v>340</v>
      </c>
    </row>
    <row r="623" spans="1:11">
      <c r="C623" s="578" t="s">
        <v>352</v>
      </c>
      <c r="D623" s="344"/>
      <c r="E623" s="196"/>
      <c r="G623" s="800">
        <f>$G$10</f>
        <v>3</v>
      </c>
      <c r="H623" s="801">
        <f>$H$10</f>
        <v>4</v>
      </c>
      <c r="I623" s="802">
        <f>$I$10</f>
        <v>5</v>
      </c>
    </row>
    <row r="624" spans="1:11">
      <c r="A624" s="333">
        <v>1</v>
      </c>
      <c r="B624" s="332" t="s">
        <v>78</v>
      </c>
      <c r="D624" s="344"/>
      <c r="E624" s="196"/>
      <c r="G624" s="547"/>
      <c r="H624" s="537"/>
      <c r="I624" s="538"/>
    </row>
    <row r="625" spans="1:11">
      <c r="A625" s="333">
        <v>2</v>
      </c>
      <c r="C625" s="332" t="str">
        <f>'FR-16(7)(v)-1 Functional'!C625</f>
        <v>MISC SERVICE REVENUE</v>
      </c>
      <c r="D625" s="344" t="str">
        <f>'FR-16(7)(v)-1 Functional'!D625</f>
        <v>K401</v>
      </c>
      <c r="E625" s="196"/>
      <c r="F625" s="479">
        <f>'FR-16(7)(v)-1 Functional'!H625</f>
        <v>0</v>
      </c>
      <c r="G625" s="548">
        <f>ROUND(F625*VLOOKUP(D625,AllocTable_Classified_Storage,$G$10,FALSE),0)</f>
        <v>0</v>
      </c>
      <c r="H625" s="539">
        <f>ROUND(F625*VLOOKUP(D625,AllocTable_Classified_Storage,$H$10,FALSE),0)</f>
        <v>0</v>
      </c>
      <c r="I625" s="540">
        <f>ROUND(F625*VLOOKUP(D625,AllocTable_Classified_Storage,$I$10,FALSE),0)</f>
        <v>0</v>
      </c>
      <c r="J625" s="347">
        <f>SUM($G$625:$I$625)</f>
        <v>0</v>
      </c>
      <c r="K625" s="347">
        <f>F625-$J$625</f>
        <v>0</v>
      </c>
    </row>
    <row r="626" spans="1:11">
      <c r="A626" s="333">
        <v>3</v>
      </c>
      <c r="C626" s="332" t="str">
        <f>'FR-16(7)(v)-1 Functional'!C626</f>
        <v>INTERDEPARTMENTAL</v>
      </c>
      <c r="D626" s="344" t="str">
        <f>'FR-16(7)(v)-1 Functional'!D626</f>
        <v>AG39</v>
      </c>
      <c r="E626" s="196"/>
      <c r="F626" s="479">
        <f>'FR-16(7)(v)-1 Functional'!H626</f>
        <v>0</v>
      </c>
      <c r="G626" s="548">
        <f>ROUND(F626*VLOOKUP(D626,AllocTable_Classified_Storage,$G$10,FALSE),0)</f>
        <v>0</v>
      </c>
      <c r="H626" s="539">
        <f>ROUND(F626*VLOOKUP(D626,AllocTable_Classified_Storage,$H$10,FALSE),0)</f>
        <v>0</v>
      </c>
      <c r="I626" s="540">
        <f>ROUND(F626*VLOOKUP(D626,AllocTable_Classified_Storage,$I$10,FALSE),0)</f>
        <v>0</v>
      </c>
      <c r="J626" s="347">
        <f>SUM($G$626:$I$626)</f>
        <v>0</v>
      </c>
      <c r="K626" s="347">
        <f>F626-$J$626</f>
        <v>0</v>
      </c>
    </row>
    <row r="627" spans="1:11">
      <c r="A627" s="333">
        <v>4</v>
      </c>
      <c r="C627" s="332" t="str">
        <f>'FR-16(7)(v)-1 Functional'!C627</f>
        <v>OTH MISC REVENUE</v>
      </c>
      <c r="D627" s="344" t="str">
        <f>'FR-16(7)(v)-1 Functional'!D627</f>
        <v>K401</v>
      </c>
      <c r="E627" s="196"/>
      <c r="F627" s="479">
        <f>'FR-16(7)(v)-1 Functional'!H627</f>
        <v>0</v>
      </c>
      <c r="G627" s="548">
        <f>ROUND(F627*VLOOKUP(D627,AllocTable_Classified_Storage,$G$10,FALSE),0)</f>
        <v>0</v>
      </c>
      <c r="H627" s="539">
        <f>ROUND(F627*VLOOKUP(D627,AllocTable_Classified_Storage,$H$10,FALSE),0)</f>
        <v>0</v>
      </c>
      <c r="I627" s="540">
        <f>ROUND(F627*VLOOKUP(D627,AllocTable_Classified_Storage,$I$10,FALSE),0)</f>
        <v>0</v>
      </c>
      <c r="J627" s="347">
        <f>SUM($G$627:$I$627)</f>
        <v>0</v>
      </c>
      <c r="K627" s="347">
        <f>F627-$J$627</f>
        <v>0</v>
      </c>
    </row>
    <row r="628" spans="1:11">
      <c r="A628" s="333">
        <v>5</v>
      </c>
      <c r="C628" s="332" t="str">
        <f>'FR-16(7)(v)-1 Functional'!C628</f>
        <v>RENTS</v>
      </c>
      <c r="D628" s="344" t="str">
        <f>'FR-16(7)(v)-1 Functional'!D628</f>
        <v>D249</v>
      </c>
      <c r="E628" s="196"/>
      <c r="F628" s="479">
        <f>'FR-16(7)(v)-1 Functional'!H628</f>
        <v>0</v>
      </c>
      <c r="G628" s="548">
        <f>ROUND(F628*VLOOKUP(D628,AllocTable_Classified_Storage,$G$10,FALSE),0)</f>
        <v>0</v>
      </c>
      <c r="H628" s="539">
        <f>ROUND(F628*VLOOKUP(D628,AllocTable_Classified_Storage,$H$10,FALSE),0)</f>
        <v>0</v>
      </c>
      <c r="I628" s="540">
        <f>ROUND(F628*VLOOKUP(D628,AllocTable_Classified_Storage,$I$10,FALSE),0)</f>
        <v>0</v>
      </c>
      <c r="J628" s="347">
        <f>SUM($G$628:$I$628)</f>
        <v>0</v>
      </c>
      <c r="K628" s="347">
        <f>F628-$J$628</f>
        <v>0</v>
      </c>
    </row>
    <row r="629" spans="1:11">
      <c r="A629" s="333">
        <v>6</v>
      </c>
      <c r="C629" s="359" t="str">
        <f>'FR-16(7)(v)-1 Functional'!C629</f>
        <v>IT TRANSPORT SPECIAL CONTRACTS</v>
      </c>
      <c r="D629" s="344" t="str">
        <f>'FR-16(7)(v)-1 Functional'!D629</f>
        <v>AG39</v>
      </c>
      <c r="E629" s="196"/>
      <c r="F629" s="479">
        <f>'FR-16(7)(v)-1 Functional'!H629</f>
        <v>0</v>
      </c>
      <c r="G629" s="548">
        <f>ROUND(F629*VLOOKUP(D629,AllocTable_Classified_Storage,$G$10,FALSE),0)</f>
        <v>0</v>
      </c>
      <c r="H629" s="539">
        <f>ROUND(F629*VLOOKUP(D629,AllocTable_Classified_Storage,$H$10,FALSE),0)</f>
        <v>0</v>
      </c>
      <c r="I629" s="540">
        <f>ROUND(F629*VLOOKUP(D629,AllocTable_Classified_Storage,$I$10,FALSE),0)</f>
        <v>0</v>
      </c>
      <c r="J629" s="347">
        <f>SUM($G$629:$I$629)</f>
        <v>0</v>
      </c>
      <c r="K629" s="347">
        <f>F629-$J$629</f>
        <v>0</v>
      </c>
    </row>
    <row r="630" spans="1:11">
      <c r="A630" s="333">
        <v>7</v>
      </c>
      <c r="C630" s="332" t="str">
        <f>'FR-16(7)(v)-1 Functional'!C630</f>
        <v xml:space="preserve">  TOTAL OTHER OPERATING REVS</v>
      </c>
      <c r="D630" s="344"/>
      <c r="E630" s="196"/>
      <c r="F630" s="348">
        <f>SUM(F625:F629)</f>
        <v>0</v>
      </c>
      <c r="G630" s="549">
        <f>SUM($G$625:$G$629)</f>
        <v>0</v>
      </c>
      <c r="H630" s="541">
        <f>SUM($H$625:$H$629)</f>
        <v>0</v>
      </c>
      <c r="I630" s="542">
        <f>SUM($I$625:$I$629)</f>
        <v>0</v>
      </c>
      <c r="J630" s="348">
        <f>SUM($J$625:$J$629)</f>
        <v>0</v>
      </c>
      <c r="K630" s="348">
        <f>SUM($K$625:$K$629)</f>
        <v>0</v>
      </c>
    </row>
    <row r="631" spans="1:11">
      <c r="A631" s="333">
        <v>8</v>
      </c>
      <c r="D631" s="344"/>
      <c r="E631" s="196"/>
      <c r="G631" s="547"/>
      <c r="H631" s="537"/>
      <c r="I631" s="538"/>
    </row>
    <row r="632" spans="1:11">
      <c r="A632" s="333">
        <v>9</v>
      </c>
      <c r="B632" s="332" t="s">
        <v>77</v>
      </c>
      <c r="D632" s="344"/>
      <c r="E632" s="196"/>
      <c r="G632" s="547"/>
      <c r="H632" s="537"/>
      <c r="I632" s="538"/>
    </row>
    <row r="633" spans="1:11">
      <c r="A633" s="333">
        <v>10</v>
      </c>
      <c r="C633" s="332" t="str">
        <f>'FR-16(7)(v)-1 Functional'!C633</f>
        <v>TOTAL OP EXP EXC INC &amp; REV TAX</v>
      </c>
      <c r="D633" s="344"/>
      <c r="E633" s="196"/>
      <c r="F633" s="347">
        <f>F501</f>
        <v>0</v>
      </c>
      <c r="G633" s="548">
        <f>$G$501</f>
        <v>0</v>
      </c>
      <c r="H633" s="539">
        <f>$H$501</f>
        <v>0</v>
      </c>
      <c r="I633" s="540">
        <f>$I$501</f>
        <v>0</v>
      </c>
      <c r="J633" s="347">
        <f>$J$501</f>
        <v>0</v>
      </c>
      <c r="K633" s="347">
        <f>$K$501</f>
        <v>0</v>
      </c>
    </row>
    <row r="634" spans="1:11">
      <c r="A634" s="333">
        <v>11</v>
      </c>
      <c r="C634" s="332" t="str">
        <f>'FR-16(7)(v)-1 Functional'!C634</f>
        <v>RETURN ON RATE BASE</v>
      </c>
      <c r="D634" s="344"/>
      <c r="E634" s="196"/>
      <c r="F634" s="347">
        <f t="shared" ref="F634:K634" si="163">F334</f>
        <v>0</v>
      </c>
      <c r="G634" s="548">
        <f t="shared" si="163"/>
        <v>0</v>
      </c>
      <c r="H634" s="539">
        <f t="shared" si="163"/>
        <v>0</v>
      </c>
      <c r="I634" s="540">
        <f t="shared" si="163"/>
        <v>0</v>
      </c>
      <c r="J634" s="347">
        <f t="shared" si="163"/>
        <v>0</v>
      </c>
      <c r="K634" s="347">
        <f t="shared" si="163"/>
        <v>0</v>
      </c>
    </row>
    <row r="635" spans="1:11">
      <c r="A635" s="333">
        <v>12</v>
      </c>
      <c r="C635" s="332" t="str">
        <f>'FR-16(7)(v)-1 Functional'!C635</f>
        <v>NET FED INCOME TAX ALLOWABLE</v>
      </c>
      <c r="D635" s="344"/>
      <c r="E635" s="196"/>
      <c r="F635" s="347">
        <f>F557</f>
        <v>242825</v>
      </c>
      <c r="G635" s="548" t="e">
        <f>$G$557</f>
        <v>#N/A</v>
      </c>
      <c r="H635" s="539" t="e">
        <f>$H$557</f>
        <v>#N/A</v>
      </c>
      <c r="I635" s="540" t="e">
        <f>$I$557</f>
        <v>#N/A</v>
      </c>
      <c r="J635" s="347" t="e">
        <f>$J$557</f>
        <v>#N/A</v>
      </c>
      <c r="K635" s="347" t="e">
        <f>$K$557</f>
        <v>#N/A</v>
      </c>
    </row>
    <row r="636" spans="1:11">
      <c r="A636" s="333">
        <v>13</v>
      </c>
      <c r="C636" s="359" t="str">
        <f>'FR-16(7)(v)-1 Functional'!C636</f>
        <v>TOTAL OTHER OPERATING REVENUES</v>
      </c>
      <c r="D636" s="344"/>
      <c r="E636" s="196"/>
      <c r="F636" s="347">
        <f>-F630</f>
        <v>0</v>
      </c>
      <c r="G636" s="548">
        <f>-$G$630</f>
        <v>0</v>
      </c>
      <c r="H636" s="539">
        <f>-$H$630</f>
        <v>0</v>
      </c>
      <c r="I636" s="540">
        <f>-$I$630</f>
        <v>0</v>
      </c>
      <c r="J636" s="347">
        <f>-$J$630</f>
        <v>0</v>
      </c>
      <c r="K636" s="347">
        <f>-$K$630</f>
        <v>0</v>
      </c>
    </row>
    <row r="637" spans="1:11">
      <c r="A637" s="333">
        <v>14</v>
      </c>
      <c r="C637" s="332" t="str">
        <f>'FR-16(7)(v)-1 Functional'!C637</f>
        <v xml:space="preserve">  SUBTOTAL B</v>
      </c>
      <c r="D637" s="344"/>
      <c r="E637" s="196"/>
      <c r="F637" s="348">
        <f>SUM(F632:F636)</f>
        <v>242825</v>
      </c>
      <c r="G637" s="549" t="e">
        <f>SUM($G$632:$G$636)</f>
        <v>#N/A</v>
      </c>
      <c r="H637" s="541" t="e">
        <f>SUM($H$632:$H$636)</f>
        <v>#N/A</v>
      </c>
      <c r="I637" s="542" t="e">
        <f>SUM($I$632:$I$636)</f>
        <v>#N/A</v>
      </c>
      <c r="J637" s="348" t="e">
        <f>SUM($J$632:$J$636)</f>
        <v>#N/A</v>
      </c>
      <c r="K637" s="348" t="e">
        <f>$J$637-F637</f>
        <v>#N/A</v>
      </c>
    </row>
    <row r="638" spans="1:11">
      <c r="A638" s="333">
        <v>15</v>
      </c>
      <c r="D638" s="344"/>
      <c r="E638" s="196"/>
      <c r="G638" s="547"/>
      <c r="H638" s="537"/>
      <c r="I638" s="538"/>
    </row>
    <row r="639" spans="1:11">
      <c r="A639" s="333">
        <v>16</v>
      </c>
      <c r="C639" s="332" t="str">
        <f>'FR-16(7)(v)-1 Functional'!C639</f>
        <v>TOTAL OTHER OPERATING REVENUES</v>
      </c>
      <c r="D639" s="344"/>
      <c r="E639" s="196"/>
      <c r="F639" s="347">
        <f>-F636</f>
        <v>0</v>
      </c>
      <c r="G639" s="548">
        <f>-$G$636</f>
        <v>0</v>
      </c>
      <c r="H639" s="539">
        <f>-$H$636</f>
        <v>0</v>
      </c>
      <c r="I639" s="540">
        <f>-$I$636</f>
        <v>0</v>
      </c>
      <c r="J639" s="347">
        <f>-$J$636</f>
        <v>0</v>
      </c>
      <c r="K639" s="347">
        <f>-$K$636</f>
        <v>0</v>
      </c>
    </row>
    <row r="640" spans="1:11">
      <c r="A640" s="333">
        <v>17</v>
      </c>
      <c r="C640" s="359" t="str">
        <f>'FR-16(7)(v)-1 Functional'!C640</f>
        <v>LESS: REVS EXCL FROM REV TAX CALC</v>
      </c>
      <c r="D640" s="344"/>
      <c r="E640" s="196"/>
      <c r="F640" s="349">
        <f>'FR-16(7)(v)-3 PROD Comm Alloc'!F855</f>
        <v>0</v>
      </c>
      <c r="G640" s="548" t="e">
        <f ca="1">G855</f>
        <v>#N/A</v>
      </c>
      <c r="H640" s="539" t="e">
        <f ca="1">H855</f>
        <v>#N/A</v>
      </c>
      <c r="I640" s="540" t="e">
        <f ca="1">I855</f>
        <v>#N/A</v>
      </c>
      <c r="J640" s="347" t="e">
        <f ca="1">SUM(G640:I640)</f>
        <v>#N/A</v>
      </c>
      <c r="K640" s="347">
        <f>'FR-16(7)(v)-3 PROD Comm Alloc'!L855</f>
        <v>0</v>
      </c>
    </row>
    <row r="641" spans="1:11">
      <c r="A641" s="333">
        <v>18</v>
      </c>
      <c r="C641" s="332" t="str">
        <f>'FR-16(7)(v)-1 Functional'!C641</f>
        <v>OTHER OPERATING REVS TO BE TAXED</v>
      </c>
      <c r="D641" s="344"/>
      <c r="E641" s="196"/>
      <c r="F641" s="348">
        <f>F639-F640</f>
        <v>0</v>
      </c>
      <c r="G641" s="549" t="e">
        <f ca="1">$G$639-G640</f>
        <v>#N/A</v>
      </c>
      <c r="H641" s="541" t="e">
        <f ca="1">$H$639-H640</f>
        <v>#N/A</v>
      </c>
      <c r="I641" s="542" t="e">
        <f ca="1">$I$639-I640</f>
        <v>#N/A</v>
      </c>
      <c r="J641" s="348" t="e">
        <f ca="1">$J$639-J640</f>
        <v>#N/A</v>
      </c>
      <c r="K641" s="348">
        <f>$K$639-K640</f>
        <v>0</v>
      </c>
    </row>
    <row r="642" spans="1:11">
      <c r="A642" s="333">
        <v>19</v>
      </c>
      <c r="D642" s="344"/>
      <c r="E642" s="196"/>
      <c r="G642" s="547"/>
      <c r="H642" s="537"/>
      <c r="I642" s="538"/>
    </row>
    <row r="643" spans="1:11">
      <c r="A643" s="333">
        <v>20</v>
      </c>
      <c r="C643" s="332" t="str">
        <f>'FR-16(7)(v)-1 Functional'!C643</f>
        <v>REVENUE TAX FACTOR</v>
      </c>
      <c r="D643" s="344"/>
      <c r="E643" s="196"/>
      <c r="F643" s="350">
        <f t="shared" ref="F643:K643" si="164">ROUND(F694/(1-F694),8)</f>
        <v>0</v>
      </c>
      <c r="G643" s="566">
        <f t="shared" si="164"/>
        <v>0</v>
      </c>
      <c r="H643" s="567">
        <f t="shared" si="164"/>
        <v>0</v>
      </c>
      <c r="I643" s="568">
        <f t="shared" si="164"/>
        <v>0</v>
      </c>
      <c r="J643" s="350">
        <f t="shared" si="164"/>
        <v>0</v>
      </c>
      <c r="K643" s="350">
        <f t="shared" si="164"/>
        <v>0</v>
      </c>
    </row>
    <row r="644" spans="1:11">
      <c r="A644" s="333">
        <v>21</v>
      </c>
      <c r="C644" s="332" t="str">
        <f>'FR-16(7)(v)-1 Functional'!C644</f>
        <v>REVENUE TAX ON OTHER OPER. REVS</v>
      </c>
      <c r="D644" s="344"/>
      <c r="E644" s="196"/>
      <c r="F644" s="347">
        <f>ROUND(F643*F641,0)</f>
        <v>0</v>
      </c>
      <c r="G644" s="548" t="e">
        <f ca="1">ROUND(G643*G641,0)</f>
        <v>#N/A</v>
      </c>
      <c r="H644" s="539" t="e">
        <f ca="1">ROUND(H643*H641,0)</f>
        <v>#N/A</v>
      </c>
      <c r="I644" s="540" t="e">
        <f ca="1">ROUND(I643*I641,0)</f>
        <v>#N/A</v>
      </c>
      <c r="J644" s="347" t="e">
        <f ca="1">SUM(G644:I644)</f>
        <v>#N/A</v>
      </c>
      <c r="K644" s="347">
        <f>ROUND(K643*K641,0)</f>
        <v>0</v>
      </c>
    </row>
    <row r="645" spans="1:11">
      <c r="A645" s="333">
        <v>22</v>
      </c>
      <c r="C645" s="332" t="str">
        <f>'FR-16(7)(v)-1 Functional'!C645</f>
        <v>REVENUE TAX ON COST OF SERVICE</v>
      </c>
      <c r="D645" s="344"/>
      <c r="E645" s="196"/>
      <c r="F645" s="512">
        <f>ROUND(F643*F637,0)</f>
        <v>0</v>
      </c>
      <c r="G645" s="548" t="e">
        <f>ROUND(G643*$G$637,0)</f>
        <v>#N/A</v>
      </c>
      <c r="H645" s="539" t="e">
        <f>ROUND(H643*$H$637,0)</f>
        <v>#N/A</v>
      </c>
      <c r="I645" s="540" t="e">
        <f>ROUND(I643*$I$637,0)</f>
        <v>#N/A</v>
      </c>
      <c r="J645" s="512" t="e">
        <f>SUM(G645:I645)</f>
        <v>#N/A</v>
      </c>
      <c r="K645" s="512" t="e">
        <f>ROUND(K643*$K$637,0)</f>
        <v>#N/A</v>
      </c>
    </row>
    <row r="646" spans="1:11">
      <c r="A646" s="333">
        <v>23</v>
      </c>
      <c r="C646" s="359" t="str">
        <f>'FR-16(7)(v)-1 Functional'!C646</f>
        <v>TOTAL REVENUE TAX</v>
      </c>
      <c r="D646" s="344"/>
      <c r="E646" s="196"/>
      <c r="F646" s="510">
        <f t="shared" ref="F646:K646" si="165">F645+F644</f>
        <v>0</v>
      </c>
      <c r="G646" s="572" t="e">
        <f t="shared" ca="1" si="165"/>
        <v>#N/A</v>
      </c>
      <c r="H646" s="573" t="e">
        <f t="shared" ca="1" si="165"/>
        <v>#N/A</v>
      </c>
      <c r="I646" s="574" t="e">
        <f t="shared" ca="1" si="165"/>
        <v>#N/A</v>
      </c>
      <c r="J646" s="510" t="e">
        <f t="shared" ca="1" si="165"/>
        <v>#N/A</v>
      </c>
      <c r="K646" s="510" t="e">
        <f t="shared" si="165"/>
        <v>#N/A</v>
      </c>
    </row>
    <row r="647" spans="1:11">
      <c r="A647" s="333">
        <v>24</v>
      </c>
      <c r="C647" s="332" t="str">
        <f>'FR-16(7)(v)-1 Functional'!C647</f>
        <v xml:space="preserve">  TOTAL GAS COST OF SERVICE</v>
      </c>
      <c r="D647" s="344"/>
      <c r="E647" s="196"/>
      <c r="F647" s="348">
        <f>F646+F637</f>
        <v>242825</v>
      </c>
      <c r="G647" s="549" t="e">
        <f ca="1">G646+$G$637</f>
        <v>#N/A</v>
      </c>
      <c r="H647" s="541" t="e">
        <f ca="1">H646+$H$637</f>
        <v>#N/A</v>
      </c>
      <c r="I647" s="542" t="e">
        <f ca="1">I646+$I$637</f>
        <v>#N/A</v>
      </c>
      <c r="J647" s="348" t="e">
        <f ca="1">J646+$J$637</f>
        <v>#N/A</v>
      </c>
      <c r="K647" s="348" t="e">
        <f>K646+$K$637</f>
        <v>#N/A</v>
      </c>
    </row>
    <row r="648" spans="1:11">
      <c r="A648" s="333">
        <v>25</v>
      </c>
      <c r="D648" s="344"/>
      <c r="E648" s="196"/>
      <c r="G648" s="547"/>
      <c r="H648" s="537"/>
      <c r="I648" s="538"/>
    </row>
    <row r="649" spans="1:11">
      <c r="A649" s="333">
        <v>26</v>
      </c>
      <c r="B649" s="332" t="s">
        <v>850</v>
      </c>
      <c r="D649" s="344"/>
      <c r="E649" s="196"/>
      <c r="F649" s="349">
        <f>F745</f>
        <v>0</v>
      </c>
      <c r="G649" s="548" t="e">
        <f ca="1">G745</f>
        <v>#N/A</v>
      </c>
      <c r="H649" s="539" t="e">
        <f ca="1">H745</f>
        <v>#N/A</v>
      </c>
      <c r="I649" s="540" t="e">
        <f ca="1">I745</f>
        <v>#N/A</v>
      </c>
      <c r="J649" s="347" t="e">
        <f ca="1">K745</f>
        <v>#N/A</v>
      </c>
      <c r="K649" s="347">
        <f>L745</f>
        <v>0</v>
      </c>
    </row>
    <row r="650" spans="1:11">
      <c r="A650" s="333">
        <v>27</v>
      </c>
      <c r="B650" s="332" t="s">
        <v>79</v>
      </c>
      <c r="D650" s="344"/>
      <c r="E650" s="196"/>
      <c r="F650" s="347">
        <f t="shared" ref="F650:K650" si="166">-F647</f>
        <v>-242825</v>
      </c>
      <c r="G650" s="548" t="e">
        <f t="shared" ca="1" si="166"/>
        <v>#N/A</v>
      </c>
      <c r="H650" s="539" t="e">
        <f t="shared" ca="1" si="166"/>
        <v>#N/A</v>
      </c>
      <c r="I650" s="540" t="e">
        <f t="shared" ca="1" si="166"/>
        <v>#N/A</v>
      </c>
      <c r="J650" s="347" t="e">
        <f t="shared" ca="1" si="166"/>
        <v>#N/A</v>
      </c>
      <c r="K650" s="347" t="e">
        <f t="shared" si="166"/>
        <v>#N/A</v>
      </c>
    </row>
    <row r="651" spans="1:11">
      <c r="A651" s="333">
        <v>28</v>
      </c>
      <c r="B651" s="332" t="s">
        <v>80</v>
      </c>
      <c r="D651" s="344"/>
      <c r="E651" s="196"/>
      <c r="F651" s="347">
        <f>F650+F649</f>
        <v>-242825</v>
      </c>
      <c r="G651" s="548" t="e">
        <f ca="1">G650+G649</f>
        <v>#N/A</v>
      </c>
      <c r="H651" s="539" t="e">
        <f ca="1">H650+H649</f>
        <v>#N/A</v>
      </c>
      <c r="I651" s="540" t="e">
        <f ca="1">I650+I649</f>
        <v>#N/A</v>
      </c>
      <c r="J651" s="347" t="e">
        <f ca="1">SUM(G651:I651)</f>
        <v>#N/A</v>
      </c>
      <c r="K651" s="347" t="e">
        <f>K650+K649</f>
        <v>#N/A</v>
      </c>
    </row>
    <row r="652" spans="1:11">
      <c r="A652" s="333">
        <v>29</v>
      </c>
      <c r="B652" s="332" t="s">
        <v>76</v>
      </c>
      <c r="D652" s="344"/>
      <c r="E652" s="196"/>
      <c r="F652" s="350">
        <f>F565</f>
        <v>0.35</v>
      </c>
      <c r="G652" s="566">
        <f>$G$565</f>
        <v>0.24925</v>
      </c>
      <c r="H652" s="567">
        <f>$H$565</f>
        <v>0.24925</v>
      </c>
      <c r="I652" s="568">
        <f>$I$565</f>
        <v>0.24925</v>
      </c>
      <c r="J652" s="350">
        <f>$K$565</f>
        <v>0.24925</v>
      </c>
      <c r="K652" s="350">
        <f>$K$565</f>
        <v>0.24925</v>
      </c>
    </row>
    <row r="653" spans="1:11">
      <c r="A653" s="333">
        <v>30</v>
      </c>
      <c r="B653" s="332" t="s">
        <v>81</v>
      </c>
      <c r="D653" s="344"/>
      <c r="E653" s="196"/>
      <c r="F653" s="347">
        <f>ROUND(F652*F651,0)</f>
        <v>-84989</v>
      </c>
      <c r="G653" s="548" t="e">
        <f ca="1">ROUND(G652*G651,0)</f>
        <v>#N/A</v>
      </c>
      <c r="H653" s="539" t="e">
        <f ca="1">ROUND(H652*H651,0)</f>
        <v>#N/A</v>
      </c>
      <c r="I653" s="540" t="e">
        <f ca="1">ROUND(I652*I651,0)</f>
        <v>#N/A</v>
      </c>
      <c r="J653" s="347" t="e">
        <f ca="1">SUM(G653:I653)</f>
        <v>#N/A</v>
      </c>
      <c r="K653" s="347" t="e">
        <f>ROUND(K652*K651,0)</f>
        <v>#N/A</v>
      </c>
    </row>
    <row r="654" spans="1:11">
      <c r="A654" s="333">
        <v>31</v>
      </c>
      <c r="B654" s="332" t="s">
        <v>82</v>
      </c>
      <c r="D654" s="344"/>
      <c r="E654" s="196"/>
      <c r="F654" s="347">
        <f>F651-F653</f>
        <v>-157836</v>
      </c>
      <c r="G654" s="550" t="e">
        <f ca="1">G651-G653</f>
        <v>#N/A</v>
      </c>
      <c r="H654" s="543" t="e">
        <f ca="1">H651-H653</f>
        <v>#N/A</v>
      </c>
      <c r="I654" s="544" t="e">
        <f ca="1">I651-I653</f>
        <v>#N/A</v>
      </c>
      <c r="J654" s="347" t="e">
        <f ca="1">SUM(G654:I654)</f>
        <v>#N/A</v>
      </c>
      <c r="K654" s="347" t="e">
        <f>K651-K653</f>
        <v>#N/A</v>
      </c>
    </row>
    <row r="655" spans="1:11">
      <c r="A655" s="532"/>
      <c r="B655" s="584"/>
      <c r="C655" s="584"/>
      <c r="D655" s="736"/>
      <c r="E655" s="584"/>
      <c r="F655" s="532"/>
      <c r="G655" s="532"/>
      <c r="H655" s="532"/>
      <c r="I655" s="532"/>
      <c r="J655" s="532"/>
      <c r="K655" s="532"/>
    </row>
    <row r="656" spans="1:11">
      <c r="A656" s="343" t="str">
        <f>co_name</f>
        <v>DUKE ENERGY KENTUCKY, INC.</v>
      </c>
      <c r="C656" s="196"/>
      <c r="D656" s="344"/>
      <c r="E656" s="196"/>
      <c r="F656" s="196"/>
      <c r="G656" s="196"/>
      <c r="H656" s="196"/>
      <c r="I656" s="196"/>
      <c r="J656" s="196" t="str">
        <f>$J$1</f>
        <v>FR-16(7)(v)-7</v>
      </c>
      <c r="K656" s="196"/>
    </row>
    <row r="657" spans="1:11">
      <c r="A657" s="343" t="str">
        <f>$A$2</f>
        <v>STORAGE CLASSIFIED -  GAS COST OF SERVICE</v>
      </c>
      <c r="C657" s="196"/>
      <c r="D657" s="344"/>
      <c r="E657" s="196"/>
      <c r="F657" s="196"/>
      <c r="G657" s="196"/>
      <c r="H657" s="196"/>
      <c r="I657" s="196"/>
      <c r="J657" s="196" t="str">
        <f>$J$2</f>
        <v>WITNESS RESPONSIBLE:</v>
      </c>
      <c r="K657" s="196"/>
    </row>
    <row r="658" spans="1:11">
      <c r="A658" s="343" t="str">
        <f>case_name</f>
        <v>CASE NO: 2018-00261</v>
      </c>
      <c r="C658" s="196"/>
      <c r="D658" s="344"/>
      <c r="E658" s="196"/>
      <c r="F658" s="196"/>
      <c r="G658" s="196"/>
      <c r="H658" s="196"/>
      <c r="I658" s="196"/>
      <c r="J658" s="196" t="str">
        <f>Witness</f>
        <v>JAMES E. ZIOLKOWSKI</v>
      </c>
      <c r="K658" s="196"/>
    </row>
    <row r="659" spans="1:11">
      <c r="A659" s="343" t="str">
        <f>data_filing</f>
        <v>DATA: 12 MONTH FORECASTED PERIOD</v>
      </c>
      <c r="C659" s="196"/>
      <c r="D659" s="344"/>
      <c r="E659" s="196"/>
      <c r="F659" s="196"/>
      <c r="G659" s="196"/>
      <c r="H659" s="196"/>
      <c r="I659" s="196"/>
      <c r="J659" s="196" t="str">
        <f>"PAGE "&amp;Pages-3&amp;" OF "&amp;Pages</f>
        <v>PAGE 15 OF 18</v>
      </c>
      <c r="K659" s="196"/>
    </row>
    <row r="660" spans="1:11">
      <c r="A660" s="343" t="str">
        <f>type</f>
        <v xml:space="preserve">TYPE OF FILING: "X" ORIGINAL   UPDATED    REVISED  </v>
      </c>
      <c r="C660" s="196"/>
      <c r="D660" s="344"/>
      <c r="E660" s="196"/>
      <c r="F660" s="196"/>
      <c r="G660" s="196"/>
      <c r="H660" s="196"/>
      <c r="I660" s="196"/>
      <c r="J660" s="196"/>
      <c r="K660" s="196"/>
    </row>
    <row r="661" spans="1:11">
      <c r="B661" s="343"/>
      <c r="C661" s="196"/>
      <c r="D661" s="344"/>
      <c r="E661" s="196"/>
      <c r="F661" s="196"/>
      <c r="G661" s="196"/>
      <c r="H661" s="196"/>
      <c r="I661" s="196"/>
      <c r="J661" s="196"/>
      <c r="K661" s="196"/>
    </row>
    <row r="662" spans="1:11">
      <c r="B662" s="343"/>
      <c r="C662" s="196"/>
      <c r="D662" s="344"/>
      <c r="E662" s="196"/>
      <c r="F662" s="196"/>
      <c r="G662" s="196"/>
      <c r="H662" s="196"/>
      <c r="I662" s="196"/>
      <c r="J662" s="196"/>
      <c r="K662" s="196"/>
    </row>
    <row r="663" spans="1:11">
      <c r="A663" s="344" t="s">
        <v>914</v>
      </c>
      <c r="B663" s="196"/>
      <c r="C663" s="196"/>
      <c r="D663" s="344"/>
      <c r="E663" s="196"/>
      <c r="F663" s="344" t="str">
        <f>$F$8</f>
        <v>TOTAL</v>
      </c>
      <c r="G663" s="545" t="s">
        <v>1005</v>
      </c>
      <c r="H663" s="533"/>
      <c r="I663" s="534"/>
      <c r="J663" s="344" t="s">
        <v>229</v>
      </c>
      <c r="K663" s="344" t="s">
        <v>342</v>
      </c>
    </row>
    <row r="664" spans="1:11">
      <c r="A664" s="346" t="s">
        <v>915</v>
      </c>
      <c r="B664" s="345" t="s">
        <v>83</v>
      </c>
      <c r="C664" s="345"/>
      <c r="D664" s="346" t="s">
        <v>337</v>
      </c>
      <c r="E664" s="345"/>
      <c r="F664" s="346" t="str">
        <f>$F$9</f>
        <v>STORAGE</v>
      </c>
      <c r="G664" s="546" t="s">
        <v>847</v>
      </c>
      <c r="H664" s="535" t="s">
        <v>848</v>
      </c>
      <c r="I664" s="536" t="s">
        <v>849</v>
      </c>
      <c r="J664" s="346" t="s">
        <v>341</v>
      </c>
      <c r="K664" s="346" t="s">
        <v>340</v>
      </c>
    </row>
    <row r="665" spans="1:11">
      <c r="C665" s="578" t="s">
        <v>353</v>
      </c>
      <c r="D665" s="344"/>
      <c r="E665" s="196"/>
      <c r="G665" s="824">
        <f>$G$10</f>
        <v>3</v>
      </c>
      <c r="H665" s="824">
        <f>$H$10</f>
        <v>4</v>
      </c>
      <c r="I665" s="824">
        <f>$I$10</f>
        <v>5</v>
      </c>
    </row>
    <row r="666" spans="1:11">
      <c r="A666" s="333">
        <v>1</v>
      </c>
      <c r="B666" s="332" t="s">
        <v>84</v>
      </c>
      <c r="D666" s="344"/>
      <c r="E666" s="196"/>
    </row>
    <row r="667" spans="1:11">
      <c r="A667" s="333">
        <v>2</v>
      </c>
      <c r="B667" s="332" t="s">
        <v>85</v>
      </c>
      <c r="D667" s="344"/>
      <c r="E667" s="196"/>
      <c r="G667" s="519" t="s">
        <v>339</v>
      </c>
    </row>
    <row r="668" spans="1:11">
      <c r="A668" s="333">
        <v>3</v>
      </c>
      <c r="C668" s="332" t="str">
        <f>'FR-16(7)(v)-1 Functional'!C668</f>
        <v>LONG TERM DEBT</v>
      </c>
      <c r="D668" s="344"/>
      <c r="E668" s="196"/>
      <c r="F668" s="479">
        <f>'FR-16(7)(v)-1 Functional'!$F$668</f>
        <v>518128763</v>
      </c>
      <c r="G668" s="520">
        <f>IF($F$673=0,0,ROUND(F668/$F$673,4))</f>
        <v>0.4234</v>
      </c>
    </row>
    <row r="669" spans="1:11">
      <c r="A669" s="333">
        <v>4</v>
      </c>
      <c r="C669" s="332" t="str">
        <f>'FR-16(7)(v)-1 Functional'!C669</f>
        <v>PREFERRED STOCK</v>
      </c>
      <c r="D669" s="344"/>
      <c r="E669" s="196"/>
      <c r="F669" s="479">
        <f>'FR-16(7)(v)-1 Functional'!$F$669</f>
        <v>0</v>
      </c>
      <c r="G669" s="520">
        <f>IF($F$673=0,0,ROUND(F669/$F$673,4))</f>
        <v>0</v>
      </c>
    </row>
    <row r="670" spans="1:11">
      <c r="A670" s="333">
        <v>5</v>
      </c>
      <c r="C670" s="332" t="str">
        <f>'FR-16(7)(v)-1 Functional'!C670</f>
        <v>COMMON STOCK</v>
      </c>
      <c r="D670" s="344"/>
      <c r="E670" s="196"/>
      <c r="F670" s="479">
        <f>'FR-16(7)(v)-1 Functional'!$F$670</f>
        <v>621113054</v>
      </c>
      <c r="G670" s="520">
        <f>1-G668-G669-G671-G672</f>
        <v>0.50750000000000006</v>
      </c>
    </row>
    <row r="671" spans="1:11">
      <c r="A671" s="333">
        <v>6</v>
      </c>
      <c r="C671" s="332" t="str">
        <f>'FR-16(7)(v)-1 Functional'!C671</f>
        <v>SHORT TERM DEBT</v>
      </c>
      <c r="D671" s="344"/>
      <c r="E671" s="196"/>
      <c r="F671" s="479">
        <f>'FR-16(7)(v)-1 Functional'!$F$671</f>
        <v>84508435</v>
      </c>
      <c r="G671" s="520">
        <f>IF($F$673=0,0,ROUND(F671/$F$673,4))</f>
        <v>6.9099999999999995E-2</v>
      </c>
    </row>
    <row r="672" spans="1:11">
      <c r="A672" s="333">
        <v>7</v>
      </c>
      <c r="C672" s="332" t="str">
        <f>'FR-16(7)(v)-1 Functional'!C672</f>
        <v>UNAMORTIZED DISCOUNT</v>
      </c>
      <c r="D672" s="344"/>
      <c r="E672" s="196"/>
      <c r="F672" s="479">
        <f>'FR-16(7)(v)-1 Functional'!$F$672</f>
        <v>0</v>
      </c>
      <c r="G672" s="520">
        <f>IF($F$673=0,0,ROUND(F672/$F$673,4))</f>
        <v>0</v>
      </c>
    </row>
    <row r="673" spans="1:9">
      <c r="A673" s="333">
        <v>8</v>
      </c>
      <c r="C673" s="332" t="str">
        <f>'FR-16(7)(v)-1 Functional'!C673</f>
        <v xml:space="preserve">  TOTAL</v>
      </c>
      <c r="D673" s="344"/>
      <c r="E673" s="196"/>
      <c r="F673" s="480">
        <f>SUM(F667:F672)</f>
        <v>1223750252</v>
      </c>
      <c r="G673" s="521">
        <f>SUM(G668:G672)</f>
        <v>1</v>
      </c>
    </row>
    <row r="674" spans="1:9">
      <c r="A674" s="333">
        <v>9</v>
      </c>
      <c r="D674" s="344"/>
      <c r="E674" s="196"/>
    </row>
    <row r="675" spans="1:9">
      <c r="A675" s="333">
        <v>10</v>
      </c>
      <c r="B675" s="332" t="s">
        <v>86</v>
      </c>
      <c r="D675" s="344"/>
      <c r="E675" s="196"/>
    </row>
    <row r="676" spans="1:9">
      <c r="A676" s="333">
        <v>11</v>
      </c>
      <c r="C676" s="332" t="str">
        <f>'FR-16(7)(v)-1 Functional'!C676</f>
        <v>LONG TERM DEBT</v>
      </c>
      <c r="D676" s="344"/>
      <c r="E676" s="196"/>
      <c r="F676" s="586">
        <f>'FR-16(7)(v)-1 Functional'!$F$676</f>
        <v>4.3979999999999998E-2</v>
      </c>
      <c r="G676" s="522"/>
      <c r="H676" s="522"/>
      <c r="I676" s="522"/>
    </row>
    <row r="677" spans="1:9">
      <c r="A677" s="333">
        <v>12</v>
      </c>
      <c r="C677" s="332" t="str">
        <f>'FR-16(7)(v)-1 Functional'!C677</f>
        <v>PREFERRED STOCK</v>
      </c>
      <c r="D677" s="344"/>
      <c r="E677" s="196"/>
      <c r="F677" s="586">
        <f>'FR-16(7)(v)-1 Functional'!$F$677</f>
        <v>0</v>
      </c>
      <c r="G677" s="522"/>
      <c r="H677" s="522"/>
      <c r="I677" s="522"/>
    </row>
    <row r="678" spans="1:9">
      <c r="A678" s="333">
        <v>13</v>
      </c>
      <c r="C678" s="332" t="str">
        <f>'FR-16(7)(v)-1 Functional'!C678</f>
        <v>COMMON STOCK</v>
      </c>
      <c r="D678" s="344"/>
      <c r="E678" s="196"/>
      <c r="F678" s="586">
        <f>'FR-16(7)(v)-1 Functional'!$F$678</f>
        <v>9.9000000000000005E-2</v>
      </c>
      <c r="G678" s="522"/>
      <c r="H678" s="522"/>
      <c r="I678" s="522"/>
    </row>
    <row r="679" spans="1:9">
      <c r="A679" s="333">
        <v>14</v>
      </c>
      <c r="C679" s="332" t="str">
        <f>'FR-16(7)(v)-1 Functional'!C679</f>
        <v>SHORT TERM DEBT</v>
      </c>
      <c r="D679" s="344"/>
      <c r="E679" s="196"/>
      <c r="F679" s="586">
        <f>'FR-16(7)(v)-1 Functional'!$F$679</f>
        <v>4.2500000000000003E-2</v>
      </c>
      <c r="G679" s="522"/>
      <c r="H679" s="522"/>
      <c r="I679" s="522"/>
    </row>
    <row r="680" spans="1:9">
      <c r="A680" s="333">
        <v>15</v>
      </c>
      <c r="C680" s="332" t="str">
        <f>'FR-16(7)(v)-1 Functional'!C680</f>
        <v>UNAMORTIZED DISCOUNT</v>
      </c>
      <c r="D680" s="344"/>
      <c r="E680" s="196"/>
      <c r="F680" s="586">
        <f>'FR-16(7)(v)-1 Functional'!$F$680</f>
        <v>0</v>
      </c>
      <c r="G680" s="522"/>
      <c r="H680" s="522"/>
      <c r="I680" s="522"/>
    </row>
    <row r="681" spans="1:9">
      <c r="A681" s="333">
        <v>16</v>
      </c>
      <c r="D681" s="344"/>
      <c r="E681" s="196"/>
    </row>
    <row r="682" spans="1:9">
      <c r="A682" s="333">
        <v>17</v>
      </c>
      <c r="B682" s="332" t="s">
        <v>87</v>
      </c>
      <c r="D682" s="344"/>
      <c r="E682" s="196"/>
    </row>
    <row r="683" spans="1:9">
      <c r="A683" s="333">
        <v>18</v>
      </c>
      <c r="C683" s="332" t="str">
        <f>'FR-16(7)(v)-1 Functional'!C683</f>
        <v>LONG TERM DEBT</v>
      </c>
      <c r="D683" s="344"/>
      <c r="E683" s="196"/>
      <c r="F683" s="520">
        <f>ROUND(G668*F676,4)</f>
        <v>1.8599999999999998E-2</v>
      </c>
      <c r="G683" s="520"/>
      <c r="H683" s="520"/>
      <c r="I683" s="520"/>
    </row>
    <row r="684" spans="1:9">
      <c r="A684" s="333">
        <v>19</v>
      </c>
      <c r="C684" s="332" t="str">
        <f>'FR-16(7)(v)-1 Functional'!C684</f>
        <v>PREFERRED STOCK</v>
      </c>
      <c r="D684" s="344"/>
      <c r="E684" s="196"/>
      <c r="F684" s="520">
        <f>ROUND(G669*F677,4)</f>
        <v>0</v>
      </c>
      <c r="G684" s="520"/>
      <c r="H684" s="520"/>
      <c r="I684" s="520"/>
    </row>
    <row r="685" spans="1:9">
      <c r="A685" s="333">
        <v>20</v>
      </c>
      <c r="C685" s="332" t="str">
        <f>'FR-16(7)(v)-1 Functional'!C685</f>
        <v>COMMON STOCK</v>
      </c>
      <c r="D685" s="344"/>
      <c r="E685" s="196"/>
      <c r="F685" s="520">
        <f>ROUND(G670*F678,4)</f>
        <v>5.0200000000000002E-2</v>
      </c>
      <c r="G685" s="520"/>
      <c r="H685" s="520"/>
      <c r="I685" s="520"/>
    </row>
    <row r="686" spans="1:9">
      <c r="A686" s="333">
        <v>21</v>
      </c>
      <c r="C686" s="332" t="str">
        <f>'FR-16(7)(v)-1 Functional'!C686</f>
        <v>SHORT TERM DEBT</v>
      </c>
      <c r="D686" s="344"/>
      <c r="E686" s="196"/>
      <c r="F686" s="520">
        <f>ROUND(G671*F679,4)</f>
        <v>2.8999999999999998E-3</v>
      </c>
      <c r="G686" s="520"/>
      <c r="H686" s="520"/>
      <c r="I686" s="520"/>
    </row>
    <row r="687" spans="1:9">
      <c r="A687" s="333">
        <v>22</v>
      </c>
      <c r="C687" s="332" t="str">
        <f>'FR-16(7)(v)-1 Functional'!C687</f>
        <v>UNAMORTIZED DISCOUNT</v>
      </c>
      <c r="D687" s="344"/>
      <c r="E687" s="196"/>
      <c r="F687" s="520">
        <f>ROUND(G672*F680,4)</f>
        <v>0</v>
      </c>
      <c r="G687" s="520"/>
      <c r="H687" s="520"/>
      <c r="I687" s="520"/>
    </row>
    <row r="688" spans="1:9">
      <c r="A688" s="333">
        <v>23</v>
      </c>
      <c r="C688" s="332" t="str">
        <f>'FR-16(7)(v)-1 Functional'!C688</f>
        <v xml:space="preserve">  TOT RATE OF RETURN ALLOWABLE</v>
      </c>
      <c r="D688" s="344"/>
      <c r="E688" s="196"/>
      <c r="F688" s="523">
        <f>SUM(F683:F687)</f>
        <v>7.17E-2</v>
      </c>
      <c r="G688" s="524"/>
      <c r="H688" s="524"/>
      <c r="I688" s="524"/>
    </row>
    <row r="689" spans="1:15">
      <c r="A689" s="333">
        <v>24</v>
      </c>
      <c r="D689" s="344"/>
      <c r="E689" s="196"/>
    </row>
    <row r="690" spans="1:15">
      <c r="A690" s="333">
        <v>25</v>
      </c>
      <c r="B690" s="332" t="s">
        <v>88</v>
      </c>
      <c r="D690" s="344"/>
      <c r="E690" s="196"/>
    </row>
    <row r="691" spans="1:15">
      <c r="A691" s="333">
        <v>26</v>
      </c>
      <c r="C691" s="332" t="str">
        <f>'FR-16(7)(v)-1 Functional'!C691</f>
        <v>SHORT TERM DEBT COST</v>
      </c>
      <c r="D691" s="344"/>
      <c r="E691" s="196"/>
      <c r="F691" s="766">
        <v>0</v>
      </c>
      <c r="G691" s="525">
        <f>$F$691</f>
        <v>0</v>
      </c>
      <c r="H691" s="525">
        <f>$F$691</f>
        <v>0</v>
      </c>
      <c r="I691" s="525">
        <f>$F$691</f>
        <v>0</v>
      </c>
      <c r="J691" s="525">
        <f>$F$691</f>
        <v>0</v>
      </c>
      <c r="K691" s="525">
        <f>$F$691</f>
        <v>0</v>
      </c>
    </row>
    <row r="692" spans="1:15">
      <c r="A692" s="333">
        <v>27</v>
      </c>
      <c r="C692" s="332" t="str">
        <f>'FR-16(7)(v)-1 Functional'!C692</f>
        <v>FEDERAL INCOME TAX RATE</v>
      </c>
      <c r="D692" s="344"/>
      <c r="E692" s="196"/>
      <c r="F692" s="522">
        <v>0.35</v>
      </c>
      <c r="G692" s="525">
        <f>FIT</f>
        <v>0.21</v>
      </c>
      <c r="H692" s="525">
        <f>FIT</f>
        <v>0.21</v>
      </c>
      <c r="I692" s="525">
        <f>FIT</f>
        <v>0.21</v>
      </c>
      <c r="J692" s="525">
        <f>FIT</f>
        <v>0.21</v>
      </c>
      <c r="K692" s="525">
        <f>FIT</f>
        <v>0.21</v>
      </c>
    </row>
    <row r="693" spans="1:15">
      <c r="A693" s="333">
        <v>28</v>
      </c>
      <c r="C693" s="332" t="str">
        <f>'FR-16(7)(v)-1 Functional'!C693</f>
        <v>STATE INCOME TAX RATE</v>
      </c>
      <c r="D693" s="344"/>
      <c r="E693" s="196"/>
      <c r="F693" s="522">
        <v>0</v>
      </c>
      <c r="G693" s="525">
        <f>SIT</f>
        <v>4.9685000000000007E-2</v>
      </c>
      <c r="H693" s="525">
        <f>SIT</f>
        <v>4.9685000000000007E-2</v>
      </c>
      <c r="I693" s="525">
        <f>SIT</f>
        <v>4.9685000000000007E-2</v>
      </c>
      <c r="J693" s="525">
        <f>SIT</f>
        <v>4.9685000000000007E-2</v>
      </c>
      <c r="K693" s="525">
        <f>SIT</f>
        <v>4.9685000000000007E-2</v>
      </c>
    </row>
    <row r="694" spans="1:15">
      <c r="A694" s="333">
        <v>29</v>
      </c>
      <c r="C694" s="332" t="str">
        <f>'FR-16(7)(v)-1 Functional'!C694</f>
        <v>REVENUE TAX RATE</v>
      </c>
      <c r="D694" s="344"/>
      <c r="E694" s="196"/>
      <c r="F694" s="522">
        <v>0</v>
      </c>
      <c r="G694" s="525">
        <f>RevTax</f>
        <v>0</v>
      </c>
      <c r="H694" s="525">
        <f>RevTax</f>
        <v>0</v>
      </c>
      <c r="I694" s="525">
        <f>RevTax</f>
        <v>0</v>
      </c>
      <c r="J694" s="525">
        <f>RevTax</f>
        <v>0</v>
      </c>
      <c r="K694" s="525">
        <f>RevTax</f>
        <v>0</v>
      </c>
    </row>
    <row r="696" spans="1:15">
      <c r="A696" s="343" t="str">
        <f>co_name</f>
        <v>DUKE ENERGY KENTUCKY, INC.</v>
      </c>
      <c r="C696" s="196"/>
      <c r="D696" s="344"/>
      <c r="E696" s="196"/>
      <c r="F696" s="196"/>
      <c r="G696" s="196"/>
      <c r="H696" s="196"/>
      <c r="I696" s="196"/>
      <c r="J696" s="196" t="str">
        <f>$J$1</f>
        <v>FR-16(7)(v)-7</v>
      </c>
      <c r="K696" s="196"/>
    </row>
    <row r="697" spans="1:15">
      <c r="A697" s="343" t="str">
        <f>$A$2</f>
        <v>STORAGE CLASSIFIED -  GAS COST OF SERVICE</v>
      </c>
      <c r="C697" s="196"/>
      <c r="D697" s="344"/>
      <c r="E697" s="196"/>
      <c r="F697" s="196"/>
      <c r="G697" s="196"/>
      <c r="H697" s="196"/>
      <c r="I697" s="196"/>
      <c r="J697" s="196" t="str">
        <f>$J$2</f>
        <v>WITNESS RESPONSIBLE:</v>
      </c>
      <c r="K697" s="196"/>
    </row>
    <row r="698" spans="1:15">
      <c r="A698" s="343" t="str">
        <f>case_name</f>
        <v>CASE NO: 2018-00261</v>
      </c>
      <c r="C698" s="196"/>
      <c r="D698" s="344"/>
      <c r="E698" s="196"/>
      <c r="F698" s="196"/>
      <c r="G698" s="196"/>
      <c r="H698" s="196"/>
      <c r="I698" s="196"/>
      <c r="J698" s="196" t="str">
        <f>Witness</f>
        <v>JAMES E. ZIOLKOWSKI</v>
      </c>
      <c r="K698" s="196"/>
    </row>
    <row r="699" spans="1:15">
      <c r="A699" s="343" t="str">
        <f>data_filing</f>
        <v>DATA: 12 MONTH FORECASTED PERIOD</v>
      </c>
      <c r="C699" s="196"/>
      <c r="D699" s="344"/>
      <c r="E699" s="196"/>
      <c r="F699" s="196"/>
      <c r="G699" s="196"/>
      <c r="H699" s="196"/>
      <c r="I699" s="196"/>
      <c r="J699" s="196" t="str">
        <f>"PAGE "&amp;Pages-2&amp;" OF "&amp;Pages</f>
        <v>PAGE 16 OF 18</v>
      </c>
      <c r="K699" s="196"/>
    </row>
    <row r="700" spans="1:15">
      <c r="A700" s="343" t="str">
        <f>type</f>
        <v xml:space="preserve">TYPE OF FILING: "X" ORIGINAL   UPDATED    REVISED  </v>
      </c>
      <c r="C700" s="196"/>
      <c r="D700" s="344"/>
      <c r="E700" s="196"/>
      <c r="F700" s="196"/>
      <c r="G700" s="196"/>
      <c r="H700" s="196"/>
      <c r="I700" s="196"/>
      <c r="J700" s="196"/>
      <c r="K700" s="196"/>
    </row>
    <row r="702" spans="1:15" ht="13.5" thickBot="1"/>
    <row r="703" spans="1:15">
      <c r="A703" s="344" t="s">
        <v>914</v>
      </c>
      <c r="B703" s="196"/>
      <c r="C703" s="196"/>
      <c r="D703" s="344"/>
      <c r="E703" s="344"/>
      <c r="F703" s="344" t="str">
        <f>$F$8</f>
        <v>TOTAL</v>
      </c>
      <c r="G703" s="671" t="s">
        <v>1005</v>
      </c>
      <c r="H703" s="672"/>
      <c r="I703" s="673"/>
      <c r="J703" s="344" t="s">
        <v>229</v>
      </c>
      <c r="K703" s="344" t="s">
        <v>342</v>
      </c>
      <c r="O703" s="751" t="s">
        <v>1005</v>
      </c>
    </row>
    <row r="704" spans="1:15">
      <c r="A704" s="346" t="s">
        <v>915</v>
      </c>
      <c r="B704" s="590" t="s">
        <v>89</v>
      </c>
      <c r="C704" s="345"/>
      <c r="D704" s="591" t="s">
        <v>1011</v>
      </c>
      <c r="E704" s="591" t="s">
        <v>337</v>
      </c>
      <c r="F704" s="346" t="str">
        <f>$F$9</f>
        <v>STORAGE</v>
      </c>
      <c r="G704" s="674" t="s">
        <v>847</v>
      </c>
      <c r="H704" s="675" t="s">
        <v>848</v>
      </c>
      <c r="I704" s="676" t="s">
        <v>849</v>
      </c>
      <c r="J704" s="346" t="s">
        <v>341</v>
      </c>
      <c r="K704" s="346" t="s">
        <v>340</v>
      </c>
      <c r="O704" s="752" t="s">
        <v>1008</v>
      </c>
    </row>
    <row r="705" spans="1:15">
      <c r="A705" s="196"/>
      <c r="B705" s="594"/>
      <c r="C705" s="845" t="s">
        <v>561</v>
      </c>
      <c r="D705" s="718"/>
      <c r="E705" s="786">
        <v>1</v>
      </c>
      <c r="F705" s="786">
        <v>2</v>
      </c>
      <c r="G705" s="800">
        <f>$G$10</f>
        <v>3</v>
      </c>
      <c r="H705" s="801">
        <f>$H$10</f>
        <v>4</v>
      </c>
      <c r="I705" s="802">
        <f>$I$10</f>
        <v>5</v>
      </c>
      <c r="O705" s="753"/>
    </row>
    <row r="706" spans="1:15">
      <c r="A706" s="344">
        <v>1</v>
      </c>
      <c r="B706" s="597" t="s">
        <v>90</v>
      </c>
      <c r="C706" s="490"/>
      <c r="D706" s="712"/>
      <c r="E706" s="712"/>
      <c r="F706" s="510"/>
      <c r="G706" s="677"/>
      <c r="H706" s="678"/>
      <c r="I706" s="679"/>
      <c r="O706" s="754"/>
    </row>
    <row r="707" spans="1:15">
      <c r="A707" s="344">
        <v>2</v>
      </c>
      <c r="C707" s="598" t="s">
        <v>221</v>
      </c>
      <c r="D707" s="723" t="s">
        <v>1012</v>
      </c>
      <c r="E707" s="713"/>
      <c r="F707" s="479">
        <f>'Alloc Factors Summary'!$D$16</f>
        <v>10485450</v>
      </c>
      <c r="G707" s="680">
        <f>F707</f>
        <v>10485450</v>
      </c>
      <c r="H707" s="681">
        <v>0</v>
      </c>
      <c r="I707" s="682">
        <v>0</v>
      </c>
      <c r="J707" s="738">
        <f>SUM(G707:I707)</f>
        <v>10485450</v>
      </c>
      <c r="K707" s="501">
        <f>F707-J707</f>
        <v>0</v>
      </c>
      <c r="O707" s="753"/>
    </row>
    <row r="708" spans="1:15">
      <c r="A708" s="344">
        <v>3</v>
      </c>
      <c r="B708" s="196"/>
      <c r="C708" s="497" t="s">
        <v>355</v>
      </c>
      <c r="D708" s="589"/>
      <c r="E708" s="714" t="str">
        <f>'FR-16(7)(v)-1 Functional'!E708</f>
        <v>K201</v>
      </c>
      <c r="F708" s="649">
        <v>1</v>
      </c>
      <c r="G708" s="683">
        <f>ROUND(G707/(G707+H707+I707),5)</f>
        <v>1</v>
      </c>
      <c r="H708" s="684">
        <f>ROUND(H707/(G707+H707+I707),5)</f>
        <v>0</v>
      </c>
      <c r="I708" s="685">
        <f>ROUND(I707/(G707+H707+I707),5)</f>
        <v>0</v>
      </c>
      <c r="J708" s="739">
        <f t="shared" ref="J708:J742" si="167">SUM(G708:I708)</f>
        <v>1</v>
      </c>
      <c r="K708" s="737">
        <f t="shared" ref="K708:K742" si="168">F708-J708</f>
        <v>0</v>
      </c>
      <c r="O708" s="755">
        <f>SUM(G708:I708)</f>
        <v>1</v>
      </c>
    </row>
    <row r="709" spans="1:15">
      <c r="A709" s="344">
        <v>4</v>
      </c>
      <c r="C709" s="598" t="s">
        <v>862</v>
      </c>
      <c r="D709" s="723" t="s">
        <v>1012</v>
      </c>
      <c r="E709" s="729"/>
      <c r="F709" s="604">
        <v>100</v>
      </c>
      <c r="G709" s="683">
        <f>ROUND('Alloc Factors Summary'!$D$21*100,3)</f>
        <v>56.466999999999999</v>
      </c>
      <c r="H709" s="681">
        <v>0</v>
      </c>
      <c r="I709" s="682">
        <v>0</v>
      </c>
      <c r="J709" s="740">
        <f t="shared" si="167"/>
        <v>56.466999999999999</v>
      </c>
      <c r="K709" s="743">
        <f t="shared" si="168"/>
        <v>43.533000000000001</v>
      </c>
      <c r="O709" s="754"/>
    </row>
    <row r="710" spans="1:15">
      <c r="A710" s="344">
        <v>5</v>
      </c>
      <c r="B710" s="196"/>
      <c r="C710" s="497" t="s">
        <v>355</v>
      </c>
      <c r="D710" s="589"/>
      <c r="E710" s="714" t="str">
        <f>'FR-16(7)(v)-1 Functional'!E710</f>
        <v>K203</v>
      </c>
      <c r="F710" s="649">
        <v>1</v>
      </c>
      <c r="G710" s="683">
        <f>ROUND(G709/(G709+H709+I709),5)</f>
        <v>1</v>
      </c>
      <c r="H710" s="684">
        <f>ROUND(H709/(G709+H709+I709),5)</f>
        <v>0</v>
      </c>
      <c r="I710" s="685">
        <f>ROUND(I709/(G709+H709+I709),5)</f>
        <v>0</v>
      </c>
      <c r="J710" s="739">
        <f t="shared" si="167"/>
        <v>1</v>
      </c>
      <c r="K710" s="737">
        <f t="shared" si="168"/>
        <v>0</v>
      </c>
      <c r="O710" s="755">
        <f>SUM(G710:I710)</f>
        <v>1</v>
      </c>
    </row>
    <row r="711" spans="1:15">
      <c r="A711" s="344">
        <v>6</v>
      </c>
      <c r="C711" s="598" t="s">
        <v>863</v>
      </c>
      <c r="D711" s="723" t="s">
        <v>1012</v>
      </c>
      <c r="E711" s="729"/>
      <c r="F711" s="604">
        <v>100</v>
      </c>
      <c r="G711" s="683">
        <f>ROUND('Alloc Factors Summary'!$E21*100,3)</f>
        <v>58.337000000000003</v>
      </c>
      <c r="H711" s="681">
        <v>0</v>
      </c>
      <c r="I711" s="682">
        <v>0</v>
      </c>
      <c r="J711" s="740">
        <f t="shared" si="167"/>
        <v>58.337000000000003</v>
      </c>
      <c r="K711" s="743">
        <f t="shared" si="168"/>
        <v>41.662999999999997</v>
      </c>
      <c r="O711" s="754"/>
    </row>
    <row r="712" spans="1:15">
      <c r="A712" s="344">
        <v>7</v>
      </c>
      <c r="B712" s="196"/>
      <c r="C712" s="497" t="s">
        <v>355</v>
      </c>
      <c r="D712" s="589"/>
      <c r="E712" s="714" t="str">
        <f>'FR-16(7)(v)-1 Functional'!E712</f>
        <v>K205</v>
      </c>
      <c r="F712" s="649">
        <v>1</v>
      </c>
      <c r="G712" s="683">
        <f>ROUND(G711/(G711+H711+I711),5)</f>
        <v>1</v>
      </c>
      <c r="H712" s="684">
        <f>ROUND(H711/(G711+H711+I711),5)</f>
        <v>0</v>
      </c>
      <c r="I712" s="685">
        <f>ROUND(I711/(G711+H711+I711),5)</f>
        <v>0</v>
      </c>
      <c r="J712" s="739">
        <f t="shared" si="167"/>
        <v>1</v>
      </c>
      <c r="K712" s="737">
        <f t="shared" si="168"/>
        <v>0</v>
      </c>
      <c r="O712" s="755">
        <f>SUM(G712:I712)</f>
        <v>1</v>
      </c>
    </row>
    <row r="713" spans="1:15">
      <c r="A713" s="344">
        <v>8</v>
      </c>
      <c r="B713" s="196"/>
      <c r="C713" s="598" t="s">
        <v>406</v>
      </c>
      <c r="D713" s="723" t="s">
        <v>1012</v>
      </c>
      <c r="E713" s="729"/>
      <c r="F713" s="479">
        <f>'Alloc Factors Summary'!$D$34</f>
        <v>12030761</v>
      </c>
      <c r="G713" s="680">
        <f>'Alloc Factors Summary'!$D34</f>
        <v>12030761</v>
      </c>
      <c r="H713" s="681">
        <v>0</v>
      </c>
      <c r="I713" s="682">
        <v>0</v>
      </c>
      <c r="J713" s="738">
        <f t="shared" si="167"/>
        <v>12030761</v>
      </c>
      <c r="K713" s="501">
        <f t="shared" si="168"/>
        <v>0</v>
      </c>
      <c r="O713" s="753"/>
    </row>
    <row r="714" spans="1:15">
      <c r="A714" s="344">
        <v>9</v>
      </c>
      <c r="B714" s="196"/>
      <c r="C714" s="497" t="s">
        <v>355</v>
      </c>
      <c r="D714" s="589"/>
      <c r="E714" s="714" t="str">
        <f>'FR-16(7)(v)-1 Functional'!E714</f>
        <v>K300</v>
      </c>
      <c r="F714" s="649">
        <v>1</v>
      </c>
      <c r="G714" s="683">
        <f>ROUND(G713/(G713+H713+I713),5)</f>
        <v>1</v>
      </c>
      <c r="H714" s="684">
        <f>ROUND(H713/(G713+H713+I713),5)</f>
        <v>0</v>
      </c>
      <c r="I714" s="685">
        <f>ROUND(I713/(G713+H713+I713),5)</f>
        <v>0</v>
      </c>
      <c r="J714" s="739">
        <f t="shared" si="167"/>
        <v>1</v>
      </c>
      <c r="K714" s="737">
        <f t="shared" si="168"/>
        <v>0</v>
      </c>
      <c r="O714" s="755">
        <f>SUM(G714:I714)</f>
        <v>1</v>
      </c>
    </row>
    <row r="715" spans="1:15">
      <c r="A715" s="344">
        <v>10</v>
      </c>
      <c r="C715" s="598" t="s">
        <v>375</v>
      </c>
      <c r="D715" s="723" t="s">
        <v>1012</v>
      </c>
      <c r="E715" s="729"/>
      <c r="F715" s="479">
        <f>'Alloc Factors Summary'!$D$43</f>
        <v>10485450</v>
      </c>
      <c r="G715" s="680">
        <f>'Alloc Factors Summary'!$D$43</f>
        <v>10485450</v>
      </c>
      <c r="H715" s="681">
        <v>0</v>
      </c>
      <c r="I715" s="682">
        <v>0</v>
      </c>
      <c r="J715" s="738">
        <f t="shared" si="167"/>
        <v>10485450</v>
      </c>
      <c r="K715" s="501">
        <f t="shared" si="168"/>
        <v>0</v>
      </c>
      <c r="O715" s="754"/>
    </row>
    <row r="716" spans="1:15">
      <c r="A716" s="344">
        <v>11</v>
      </c>
      <c r="B716" s="196"/>
      <c r="C716" s="497" t="s">
        <v>355</v>
      </c>
      <c r="D716" s="589"/>
      <c r="E716" s="714" t="str">
        <f>'FR-16(7)(v)-1 Functional'!E716</f>
        <v>K301</v>
      </c>
      <c r="F716" s="649">
        <v>1</v>
      </c>
      <c r="G716" s="683">
        <f>ROUND(G715/(G715+H715+I715),5)</f>
        <v>1</v>
      </c>
      <c r="H716" s="684">
        <f>ROUND(H715/(G715+H715+I715),5)</f>
        <v>0</v>
      </c>
      <c r="I716" s="685">
        <f>ROUND(I715/(G715+H715+I715),5)</f>
        <v>0</v>
      </c>
      <c r="J716" s="739">
        <f t="shared" si="167"/>
        <v>1</v>
      </c>
      <c r="K716" s="737">
        <f t="shared" si="168"/>
        <v>0</v>
      </c>
      <c r="O716" s="755">
        <f>SUM(G716:I716)</f>
        <v>1</v>
      </c>
    </row>
    <row r="717" spans="1:15">
      <c r="A717" s="344">
        <v>12</v>
      </c>
      <c r="C717" s="598" t="s">
        <v>222</v>
      </c>
      <c r="D717" s="723" t="s">
        <v>1012</v>
      </c>
      <c r="E717" s="729"/>
      <c r="F717" s="479">
        <f>'Alloc Factors Summary'!$D$64</f>
        <v>98442</v>
      </c>
      <c r="G717" s="680">
        <f>'Alloc Factors Summary'!$D$64</f>
        <v>98442</v>
      </c>
      <c r="H717" s="681">
        <v>0</v>
      </c>
      <c r="I717" s="682">
        <v>0</v>
      </c>
      <c r="J717" s="740">
        <f t="shared" si="167"/>
        <v>98442</v>
      </c>
      <c r="K717" s="743">
        <f t="shared" si="168"/>
        <v>0</v>
      </c>
      <c r="O717" s="754"/>
    </row>
    <row r="718" spans="1:15">
      <c r="A718" s="344">
        <v>13</v>
      </c>
      <c r="B718" s="196"/>
      <c r="C718" s="497" t="s">
        <v>355</v>
      </c>
      <c r="D718" s="589"/>
      <c r="E718" s="714" t="str">
        <f>'FR-16(7)(v)-1 Functional'!E718</f>
        <v>K401</v>
      </c>
      <c r="F718" s="649">
        <v>1</v>
      </c>
      <c r="G718" s="683">
        <f>ROUND(G717/(G717+H717+I717),5)</f>
        <v>1</v>
      </c>
      <c r="H718" s="684">
        <f>ROUND(H717/(G717+H717+I717),5)</f>
        <v>0</v>
      </c>
      <c r="I718" s="685">
        <f>ROUND(I717/(G717+H717+I717),5)</f>
        <v>0</v>
      </c>
      <c r="J718" s="739">
        <f t="shared" si="167"/>
        <v>1</v>
      </c>
      <c r="K718" s="737">
        <f t="shared" si="168"/>
        <v>0</v>
      </c>
      <c r="O718" s="755">
        <f>SUM(G718:I718)</f>
        <v>1</v>
      </c>
    </row>
    <row r="719" spans="1:15">
      <c r="A719" s="344">
        <v>14</v>
      </c>
      <c r="C719" s="598" t="s">
        <v>223</v>
      </c>
      <c r="D719" s="723" t="s">
        <v>1012</v>
      </c>
      <c r="E719" s="729"/>
      <c r="F719" s="479">
        <f>'Alloc Factors Summary'!$F$76</f>
        <v>104676</v>
      </c>
      <c r="G719" s="680">
        <f>'Alloc Factors Summary'!$F$76</f>
        <v>104676</v>
      </c>
      <c r="H719" s="681">
        <v>0</v>
      </c>
      <c r="I719" s="682">
        <v>0</v>
      </c>
      <c r="J719" s="740">
        <f t="shared" si="167"/>
        <v>104676</v>
      </c>
      <c r="K719" s="743">
        <f t="shared" si="168"/>
        <v>0</v>
      </c>
      <c r="O719" s="754"/>
    </row>
    <row r="720" spans="1:15">
      <c r="A720" s="344">
        <v>15</v>
      </c>
      <c r="B720" s="196"/>
      <c r="C720" s="497" t="s">
        <v>355</v>
      </c>
      <c r="D720" s="589"/>
      <c r="E720" s="714" t="str">
        <f>'FR-16(7)(v)-1 Functional'!E720</f>
        <v>K403</v>
      </c>
      <c r="F720" s="649">
        <v>1</v>
      </c>
      <c r="G720" s="683">
        <f>ROUND(G719/(G719+H719+I719),5)</f>
        <v>1</v>
      </c>
      <c r="H720" s="684">
        <f>ROUND(H719/(G719+H719+I719),5)</f>
        <v>0</v>
      </c>
      <c r="I720" s="685">
        <f>ROUND(I719/(G719+H719+I719),5)</f>
        <v>0</v>
      </c>
      <c r="J720" s="739">
        <f t="shared" si="167"/>
        <v>1</v>
      </c>
      <c r="K720" s="737">
        <f t="shared" si="168"/>
        <v>0</v>
      </c>
      <c r="O720" s="755">
        <f>SUM(G720:I720)</f>
        <v>1</v>
      </c>
    </row>
    <row r="721" spans="1:15">
      <c r="A721" s="344">
        <v>16</v>
      </c>
      <c r="C721" s="598" t="s">
        <v>385</v>
      </c>
      <c r="D721" s="723" t="s">
        <v>1012</v>
      </c>
      <c r="E721" s="729"/>
      <c r="F721" s="479">
        <f>'Alloc Factors Summary'!$G$88</f>
        <v>3624077</v>
      </c>
      <c r="G721" s="680">
        <f>'Alloc Factors Summary'!$G$88</f>
        <v>3624077</v>
      </c>
      <c r="H721" s="681">
        <v>0</v>
      </c>
      <c r="I721" s="682">
        <v>0</v>
      </c>
      <c r="J721" s="740">
        <f t="shared" si="167"/>
        <v>3624077</v>
      </c>
      <c r="K721" s="743">
        <f t="shared" si="168"/>
        <v>0</v>
      </c>
      <c r="O721" s="754"/>
    </row>
    <row r="722" spans="1:15">
      <c r="A722" s="344">
        <v>17</v>
      </c>
      <c r="B722" s="196"/>
      <c r="C722" s="497" t="s">
        <v>355</v>
      </c>
      <c r="D722" s="589"/>
      <c r="E722" s="714" t="str">
        <f>'FR-16(7)(v)-1 Functional'!E722</f>
        <v>K405</v>
      </c>
      <c r="F722" s="649">
        <v>1</v>
      </c>
      <c r="G722" s="683">
        <f>ROUND(G721/(G721+H721+I721),5)</f>
        <v>1</v>
      </c>
      <c r="H722" s="684">
        <f>ROUND(H721/(G721+H721+I721),5)</f>
        <v>0</v>
      </c>
      <c r="I722" s="685">
        <f>ROUND(I721/(G721+H721+I721),5)</f>
        <v>0</v>
      </c>
      <c r="J722" s="739">
        <f t="shared" si="167"/>
        <v>1</v>
      </c>
      <c r="K722" s="737">
        <f t="shared" si="168"/>
        <v>0</v>
      </c>
      <c r="O722" s="755">
        <f>SUM(G722:I722)</f>
        <v>1</v>
      </c>
    </row>
    <row r="723" spans="1:15">
      <c r="A723" s="344">
        <v>18</v>
      </c>
      <c r="C723" s="598" t="s">
        <v>373</v>
      </c>
      <c r="D723" s="723" t="s">
        <v>1012</v>
      </c>
      <c r="E723" s="729"/>
      <c r="F723" s="479">
        <f>'Alloc Factors Summary'!$D$98</f>
        <v>3920</v>
      </c>
      <c r="G723" s="680">
        <f>'Alloc Factors Summary'!$D$98</f>
        <v>3920</v>
      </c>
      <c r="H723" s="681">
        <v>0</v>
      </c>
      <c r="I723" s="682">
        <v>0</v>
      </c>
      <c r="J723" s="740">
        <f t="shared" si="167"/>
        <v>3920</v>
      </c>
      <c r="K723" s="743">
        <f t="shared" si="168"/>
        <v>0</v>
      </c>
      <c r="O723" s="754"/>
    </row>
    <row r="724" spans="1:15">
      <c r="A724" s="344">
        <v>19</v>
      </c>
      <c r="B724" s="196"/>
      <c r="C724" s="497" t="s">
        <v>355</v>
      </c>
      <c r="D724" s="589"/>
      <c r="E724" s="714" t="str">
        <f>'FR-16(7)(v)-1 Functional'!E724</f>
        <v>K406</v>
      </c>
      <c r="F724" s="649">
        <v>1</v>
      </c>
      <c r="G724" s="683">
        <f>ROUND(G723/(G723+H723+I723),5)</f>
        <v>1</v>
      </c>
      <c r="H724" s="684">
        <f>ROUND(H723/(G723+H723+I723),5)</f>
        <v>0</v>
      </c>
      <c r="I724" s="685">
        <f>ROUND(I723/(G723+H723+I723),5)</f>
        <v>0</v>
      </c>
      <c r="J724" s="739">
        <f t="shared" si="167"/>
        <v>1</v>
      </c>
      <c r="K724" s="737">
        <f t="shared" si="168"/>
        <v>0</v>
      </c>
      <c r="O724" s="755">
        <f>SUM(G724:I724)</f>
        <v>1</v>
      </c>
    </row>
    <row r="725" spans="1:15">
      <c r="A725" s="344">
        <v>20</v>
      </c>
      <c r="C725" s="598" t="s">
        <v>1035</v>
      </c>
      <c r="D725" s="723" t="s">
        <v>1012</v>
      </c>
      <c r="E725" s="729"/>
      <c r="F725" s="479">
        <f>'Alloc Factors Summary'!$G$108</f>
        <v>140653.00000000003</v>
      </c>
      <c r="G725" s="680">
        <f>'Alloc Factors Summary'!$G$108</f>
        <v>140653.00000000003</v>
      </c>
      <c r="H725" s="681">
        <v>0</v>
      </c>
      <c r="I725" s="682">
        <v>0</v>
      </c>
      <c r="J725" s="740">
        <f t="shared" si="167"/>
        <v>140653.00000000003</v>
      </c>
      <c r="K725" s="743">
        <f t="shared" si="168"/>
        <v>0</v>
      </c>
      <c r="O725" s="754"/>
    </row>
    <row r="726" spans="1:15">
      <c r="A726" s="344">
        <v>21</v>
      </c>
      <c r="B726" s="196"/>
      <c r="C726" s="497" t="s">
        <v>355</v>
      </c>
      <c r="D726" s="589"/>
      <c r="E726" s="714" t="str">
        <f>'FR-16(7)(v)-1 Functional'!E726</f>
        <v>K407</v>
      </c>
      <c r="F726" s="649">
        <v>1</v>
      </c>
      <c r="G726" s="683">
        <f>ROUND(G725/(G725+H725+I725),5)</f>
        <v>1</v>
      </c>
      <c r="H726" s="684">
        <f>ROUND(H725/(G725+H725+I725),5)</f>
        <v>0</v>
      </c>
      <c r="I726" s="685">
        <f>ROUND(I725/(G725+H725+I725),5)</f>
        <v>0</v>
      </c>
      <c r="J726" s="739">
        <f t="shared" si="167"/>
        <v>1</v>
      </c>
      <c r="K726" s="737">
        <f t="shared" si="168"/>
        <v>0</v>
      </c>
      <c r="O726" s="755">
        <f>SUM(G726:I726)</f>
        <v>1</v>
      </c>
    </row>
    <row r="727" spans="1:15">
      <c r="A727" s="344">
        <v>22</v>
      </c>
      <c r="C727" s="598" t="s">
        <v>1036</v>
      </c>
      <c r="D727" s="723" t="s">
        <v>1012</v>
      </c>
      <c r="E727" s="729"/>
      <c r="F727" s="479">
        <f>'Alloc Factors Summary'!$F$118</f>
        <v>7322</v>
      </c>
      <c r="G727" s="680">
        <f>'Alloc Factors Summary'!$F$118</f>
        <v>7322</v>
      </c>
      <c r="H727" s="681">
        <v>0</v>
      </c>
      <c r="I727" s="682">
        <v>0</v>
      </c>
      <c r="J727" s="740">
        <f t="shared" si="167"/>
        <v>7322</v>
      </c>
      <c r="K727" s="743">
        <f t="shared" si="168"/>
        <v>0</v>
      </c>
      <c r="O727" s="754"/>
    </row>
    <row r="728" spans="1:15">
      <c r="A728" s="344">
        <v>23</v>
      </c>
      <c r="B728" s="196"/>
      <c r="C728" s="497" t="s">
        <v>355</v>
      </c>
      <c r="D728" s="589"/>
      <c r="E728" s="714" t="str">
        <f>'FR-16(7)(v)-1 Functional'!E728</f>
        <v>K408</v>
      </c>
      <c r="F728" s="649">
        <v>1</v>
      </c>
      <c r="G728" s="683">
        <f>ROUND(G727/(G727+H727+I727),5)</f>
        <v>1</v>
      </c>
      <c r="H728" s="684">
        <f>ROUND(H727/(G727+H727+I727),5)</f>
        <v>0</v>
      </c>
      <c r="I728" s="685">
        <f>ROUND(I727/(G727+H727+I727),5)</f>
        <v>0</v>
      </c>
      <c r="J728" s="739">
        <f t="shared" si="167"/>
        <v>1</v>
      </c>
      <c r="K728" s="737">
        <f t="shared" si="168"/>
        <v>0</v>
      </c>
      <c r="O728" s="755">
        <f>SUM(G728:I728)</f>
        <v>1</v>
      </c>
    </row>
    <row r="729" spans="1:15">
      <c r="A729" s="344">
        <v>24</v>
      </c>
      <c r="C729" s="598" t="s">
        <v>224</v>
      </c>
      <c r="D729" s="723" t="s">
        <v>1012</v>
      </c>
      <c r="E729" s="729"/>
      <c r="F729" s="479">
        <f>'Alloc Factors Summary'!$D$141</f>
        <v>22926071</v>
      </c>
      <c r="G729" s="680">
        <f>'Alloc Factors Summary'!$D$141</f>
        <v>22926071</v>
      </c>
      <c r="H729" s="681">
        <v>0</v>
      </c>
      <c r="I729" s="682">
        <v>0</v>
      </c>
      <c r="J729" s="740">
        <f t="shared" si="167"/>
        <v>22926071</v>
      </c>
      <c r="K729" s="743">
        <f t="shared" si="168"/>
        <v>0</v>
      </c>
      <c r="O729" s="754"/>
    </row>
    <row r="730" spans="1:15">
      <c r="A730" s="344">
        <v>25</v>
      </c>
      <c r="B730" s="196"/>
      <c r="C730" s="497" t="s">
        <v>355</v>
      </c>
      <c r="D730" s="589"/>
      <c r="E730" s="714" t="str">
        <f>'FR-16(7)(v)-1 Functional'!E730</f>
        <v>K413</v>
      </c>
      <c r="F730" s="649">
        <v>1</v>
      </c>
      <c r="G730" s="683">
        <f>ROUND(G729/(G729+H729+I729),5)</f>
        <v>1</v>
      </c>
      <c r="H730" s="684">
        <f>ROUND(H729/(G729+H729+I729),5)</f>
        <v>0</v>
      </c>
      <c r="I730" s="685">
        <f>ROUND(I729/(G729+H729+I729),5)</f>
        <v>0</v>
      </c>
      <c r="J730" s="739">
        <f t="shared" si="167"/>
        <v>1</v>
      </c>
      <c r="K730" s="737">
        <f t="shared" si="168"/>
        <v>0</v>
      </c>
      <c r="O730" s="755">
        <f>SUM(G730:I730)</f>
        <v>1</v>
      </c>
    </row>
    <row r="731" spans="1:15">
      <c r="A731" s="344">
        <v>26</v>
      </c>
      <c r="C731" s="669" t="s">
        <v>1014</v>
      </c>
      <c r="D731" s="723" t="s">
        <v>1012</v>
      </c>
      <c r="E731" s="729"/>
      <c r="F731" s="479">
        <f>ROUND('Alloc Factors Summary'!$H$171*100,0)</f>
        <v>100</v>
      </c>
      <c r="G731" s="680">
        <f>ROUND('Alloc Factors Summary'!$H$171*100,0)</f>
        <v>100</v>
      </c>
      <c r="H731" s="681">
        <v>0</v>
      </c>
      <c r="I731" s="682">
        <v>0</v>
      </c>
      <c r="J731" s="740">
        <f t="shared" si="167"/>
        <v>100</v>
      </c>
      <c r="K731" s="743">
        <f t="shared" si="168"/>
        <v>0</v>
      </c>
      <c r="O731" s="754"/>
    </row>
    <row r="732" spans="1:15">
      <c r="A732" s="344">
        <v>27</v>
      </c>
      <c r="B732" s="196"/>
      <c r="C732" s="497" t="s">
        <v>355</v>
      </c>
      <c r="D732" s="589"/>
      <c r="E732" s="714" t="str">
        <f>'FR-16(7)(v)-1 Functional'!E732</f>
        <v>K415</v>
      </c>
      <c r="F732" s="649">
        <v>1</v>
      </c>
      <c r="G732" s="683">
        <f>ROUND(G731/(G731+H731+I731),5)</f>
        <v>1</v>
      </c>
      <c r="H732" s="684">
        <f>ROUND(H731/(G731+H731+I731),5)</f>
        <v>0</v>
      </c>
      <c r="I732" s="685">
        <f>ROUND(I731/(G731+H731+I731),5)</f>
        <v>0</v>
      </c>
      <c r="J732" s="739">
        <f t="shared" si="167"/>
        <v>1</v>
      </c>
      <c r="K732" s="737">
        <f t="shared" si="168"/>
        <v>0</v>
      </c>
      <c r="O732" s="755">
        <f>SUM(G732:I732)</f>
        <v>1</v>
      </c>
    </row>
    <row r="733" spans="1:15">
      <c r="A733" s="344">
        <v>28</v>
      </c>
      <c r="C733" s="598" t="s">
        <v>376</v>
      </c>
      <c r="D733" s="723" t="s">
        <v>1012</v>
      </c>
      <c r="E733" s="729"/>
      <c r="F733" s="479">
        <f>'Alloc Factors Summary'!$D$151</f>
        <v>138304</v>
      </c>
      <c r="G733" s="680">
        <f>'Alloc Factors Summary'!$D$151</f>
        <v>138304</v>
      </c>
      <c r="H733" s="681">
        <v>0</v>
      </c>
      <c r="I733" s="682">
        <v>0</v>
      </c>
      <c r="J733" s="740">
        <f t="shared" si="167"/>
        <v>138304</v>
      </c>
      <c r="K733" s="743">
        <f t="shared" si="168"/>
        <v>0</v>
      </c>
      <c r="O733" s="754"/>
    </row>
    <row r="734" spans="1:15">
      <c r="A734" s="344">
        <v>29</v>
      </c>
      <c r="B734" s="196"/>
      <c r="C734" s="497" t="s">
        <v>355</v>
      </c>
      <c r="D734" s="589"/>
      <c r="E734" s="714" t="str">
        <f>'FR-16(7)(v)-1 Functional'!E734</f>
        <v>K417</v>
      </c>
      <c r="F734" s="649">
        <v>1</v>
      </c>
      <c r="G734" s="683">
        <f>ROUND(G733/(G733+H733+I733),5)</f>
        <v>1</v>
      </c>
      <c r="H734" s="684">
        <f>ROUND(H733/(G733+H733+I733),5)</f>
        <v>0</v>
      </c>
      <c r="I734" s="685">
        <f>ROUND(I733/(G733+H733+I733),5)</f>
        <v>0</v>
      </c>
      <c r="J734" s="739">
        <f t="shared" si="167"/>
        <v>1</v>
      </c>
      <c r="K734" s="737">
        <f t="shared" si="168"/>
        <v>0</v>
      </c>
      <c r="O734" s="755">
        <f>SUM(G734:I734)</f>
        <v>1</v>
      </c>
    </row>
    <row r="735" spans="1:15">
      <c r="A735" s="344">
        <v>30</v>
      </c>
      <c r="B735" s="491"/>
      <c r="C735" s="598" t="s">
        <v>226</v>
      </c>
      <c r="D735" s="723" t="s">
        <v>1012</v>
      </c>
      <c r="E735" s="745"/>
      <c r="F735" s="349">
        <f>'Alloc Factors Summary'!$D$62+'Alloc Factors Summary'!$D$63</f>
        <v>117</v>
      </c>
      <c r="G735" s="686">
        <f>F735</f>
        <v>117</v>
      </c>
      <c r="H735" s="681">
        <v>0</v>
      </c>
      <c r="I735" s="682">
        <v>0</v>
      </c>
      <c r="J735" s="740">
        <f t="shared" si="167"/>
        <v>117</v>
      </c>
      <c r="K735" s="743">
        <f t="shared" si="168"/>
        <v>0</v>
      </c>
      <c r="O735" s="756"/>
    </row>
    <row r="736" spans="1:15">
      <c r="A736" s="344">
        <v>31</v>
      </c>
      <c r="B736" s="196"/>
      <c r="C736" s="497" t="str">
        <f>C734</f>
        <v>RATIO TO TOTAL GAS</v>
      </c>
      <c r="D736" s="589"/>
      <c r="E736" s="714" t="str">
        <f>'FR-16(7)(v)-1 Functional'!E736</f>
        <v>K431</v>
      </c>
      <c r="F736" s="350">
        <v>1</v>
      </c>
      <c r="G736" s="683">
        <f>ROUND(G735/(G735+H735+I735),5)</f>
        <v>1</v>
      </c>
      <c r="H736" s="684">
        <f>ROUND(H735/(G735+H735+I735),5)</f>
        <v>0</v>
      </c>
      <c r="I736" s="685">
        <f>ROUND(I735/(G735+H735+I735),5)</f>
        <v>0</v>
      </c>
      <c r="J736" s="739">
        <f t="shared" si="167"/>
        <v>1</v>
      </c>
      <c r="K736" s="737">
        <f t="shared" si="168"/>
        <v>0</v>
      </c>
      <c r="O736" s="755">
        <f>SUM(G736:I736)</f>
        <v>1</v>
      </c>
    </row>
    <row r="737" spans="1:15">
      <c r="A737" s="344">
        <v>32</v>
      </c>
      <c r="C737" s="608" t="s">
        <v>407</v>
      </c>
      <c r="D737" s="723" t="s">
        <v>1012</v>
      </c>
      <c r="E737" s="729"/>
      <c r="F737" s="479">
        <f>'Alloc Factors Summary'!$D$159</f>
        <v>3688683</v>
      </c>
      <c r="G737" s="686">
        <v>0</v>
      </c>
      <c r="H737" s="687">
        <f>'Alloc Factors Summary'!$D$159</f>
        <v>3688683</v>
      </c>
      <c r="I737" s="682">
        <v>0</v>
      </c>
      <c r="J737" s="740">
        <f t="shared" si="167"/>
        <v>3688683</v>
      </c>
      <c r="K737" s="743">
        <f t="shared" si="168"/>
        <v>0</v>
      </c>
      <c r="O737" s="757"/>
    </row>
    <row r="738" spans="1:15">
      <c r="A738" s="344">
        <v>33</v>
      </c>
      <c r="B738" s="196"/>
      <c r="C738" s="497" t="s">
        <v>355</v>
      </c>
      <c r="D738" s="589"/>
      <c r="E738" s="714" t="str">
        <f>'FR-16(7)(v)-1 Functional'!E738</f>
        <v>K595</v>
      </c>
      <c r="F738" s="649">
        <v>1</v>
      </c>
      <c r="G738" s="683">
        <f>ROUND(G737/(G737+H737+I737),5)</f>
        <v>0</v>
      </c>
      <c r="H738" s="684">
        <f>ROUND(H737/(G737+H737+I737),5)</f>
        <v>1</v>
      </c>
      <c r="I738" s="685">
        <f>ROUND(I737/(G737+H737+I737),5)</f>
        <v>0</v>
      </c>
      <c r="J738" s="739">
        <f t="shared" si="167"/>
        <v>1</v>
      </c>
      <c r="K738" s="737">
        <f t="shared" si="168"/>
        <v>0</v>
      </c>
      <c r="O738" s="755">
        <f>SUM(G738:I738)</f>
        <v>1</v>
      </c>
    </row>
    <row r="739" spans="1:15">
      <c r="A739" s="344">
        <v>34</v>
      </c>
      <c r="B739" s="599"/>
      <c r="C739" s="598" t="s">
        <v>225</v>
      </c>
      <c r="D739" s="723" t="s">
        <v>1012</v>
      </c>
      <c r="E739" s="729"/>
      <c r="F739" s="476">
        <v>1</v>
      </c>
      <c r="G739" s="689">
        <v>1</v>
      </c>
      <c r="H739" s="681">
        <v>0</v>
      </c>
      <c r="I739" s="682">
        <v>0</v>
      </c>
      <c r="J739" s="740">
        <f t="shared" si="167"/>
        <v>1</v>
      </c>
      <c r="K739" s="743">
        <f t="shared" si="168"/>
        <v>0</v>
      </c>
      <c r="O739" s="757"/>
    </row>
    <row r="740" spans="1:15">
      <c r="A740" s="344">
        <v>35</v>
      </c>
      <c r="B740" s="196"/>
      <c r="C740" s="497" t="s">
        <v>355</v>
      </c>
      <c r="D740" s="589"/>
      <c r="E740" s="714" t="str">
        <f>'FR-16(7)(v)-1 Functional'!E740</f>
        <v>K597</v>
      </c>
      <c r="F740" s="649">
        <v>1</v>
      </c>
      <c r="G740" s="683">
        <f>ROUND(G739/(G739+H739+I739),5)</f>
        <v>1</v>
      </c>
      <c r="H740" s="684">
        <f>ROUND(H739/(G739+H739+I739),5)</f>
        <v>0</v>
      </c>
      <c r="I740" s="685">
        <f>ROUND(I739/(G739+H739+I739),5)</f>
        <v>0</v>
      </c>
      <c r="J740" s="739">
        <f t="shared" si="167"/>
        <v>1</v>
      </c>
      <c r="K740" s="737">
        <f t="shared" si="168"/>
        <v>0</v>
      </c>
      <c r="O740" s="755">
        <f>SUM(G740:I740)</f>
        <v>1</v>
      </c>
    </row>
    <row r="741" spans="1:15">
      <c r="A741" s="344">
        <v>36</v>
      </c>
      <c r="C741" s="598" t="s">
        <v>433</v>
      </c>
      <c r="D741" s="627"/>
      <c r="E741" s="746"/>
      <c r="F741" s="494">
        <v>1</v>
      </c>
      <c r="G741" s="689">
        <v>1</v>
      </c>
      <c r="H741" s="681">
        <v>0</v>
      </c>
      <c r="I741" s="682">
        <v>0</v>
      </c>
      <c r="J741" s="740">
        <f t="shared" si="167"/>
        <v>1</v>
      </c>
      <c r="K741" s="743">
        <f t="shared" si="168"/>
        <v>0</v>
      </c>
      <c r="O741" s="754"/>
    </row>
    <row r="742" spans="1:15">
      <c r="A742" s="344">
        <v>37</v>
      </c>
      <c r="C742" s="497" t="s">
        <v>355</v>
      </c>
      <c r="D742" s="589"/>
      <c r="E742" s="714" t="str">
        <f>'FR-16(7)(v)-1 Functional'!E742</f>
        <v>K903</v>
      </c>
      <c r="F742" s="648">
        <v>1</v>
      </c>
      <c r="G742" s="683">
        <f>ROUND(G741/(G741+H741+I741),5)</f>
        <v>1</v>
      </c>
      <c r="H742" s="684">
        <f>ROUND(H741/(G741+H741+I741),5)</f>
        <v>0</v>
      </c>
      <c r="I742" s="685">
        <f>ROUND(I741/(G741+H741+I741),5)</f>
        <v>0</v>
      </c>
      <c r="J742" s="739">
        <f t="shared" si="167"/>
        <v>1</v>
      </c>
      <c r="K742" s="737">
        <f t="shared" si="168"/>
        <v>0</v>
      </c>
      <c r="O742" s="755">
        <f>SUM(G742:I742)</f>
        <v>1</v>
      </c>
    </row>
    <row r="743" spans="1:15">
      <c r="A743" s="344">
        <v>38</v>
      </c>
      <c r="B743" s="365"/>
      <c r="C743" s="365"/>
      <c r="D743" s="724"/>
      <c r="E743" s="333"/>
      <c r="G743" s="690"/>
      <c r="H743" s="691"/>
      <c r="I743" s="692"/>
      <c r="J743" s="741"/>
      <c r="K743" s="532"/>
      <c r="O743" s="758"/>
    </row>
    <row r="744" spans="1:15">
      <c r="A744" s="344">
        <v>39</v>
      </c>
      <c r="C744" s="598" t="s">
        <v>1006</v>
      </c>
      <c r="D744" s="344" t="str">
        <f>'FR-16(7)(v)-1 Functional'!D744</f>
        <v>CS09</v>
      </c>
      <c r="E744" s="714" t="str">
        <f>'FR-16(7)(v)-1 Functional'!E744</f>
        <v>R600</v>
      </c>
      <c r="F744" s="479">
        <f>'FR-16(7)(v)-1 Functional'!H744</f>
        <v>0</v>
      </c>
      <c r="G744" s="696" t="e">
        <f ca="1">ROUND(F744*VLOOKUP(D744,AllocTable_Classified_Storage,$G$10,FALSE),0)</f>
        <v>#N/A</v>
      </c>
      <c r="H744" s="697" t="e">
        <f ca="1">ROUND(F744*VLOOKUP(D744,AllocTable_Classified_Storage,$H$10,FALSE),0)</f>
        <v>#N/A</v>
      </c>
      <c r="I744" s="698" t="e">
        <f ca="1">ROUND(F744*VLOOKUP(D744,AllocTable_Classified_Storage,$I$10,FALSE),0)</f>
        <v>#N/A</v>
      </c>
      <c r="J744" s="742" t="e">
        <f ca="1">SUM(G744:I744)</f>
        <v>#N/A</v>
      </c>
      <c r="K744" s="670" t="e">
        <f ca="1">F744-J744</f>
        <v>#N/A</v>
      </c>
      <c r="M744" s="659" t="s">
        <v>1204</v>
      </c>
      <c r="O744" s="754"/>
    </row>
    <row r="745" spans="1:15">
      <c r="A745" s="344">
        <v>40</v>
      </c>
      <c r="C745" s="598" t="s">
        <v>1007</v>
      </c>
      <c r="D745" s="344" t="str">
        <f>'FR-16(7)(v)-1 Functional'!D745</f>
        <v>CS09</v>
      </c>
      <c r="E745" s="714" t="str">
        <f>'FR-16(7)(v)-1 Functional'!E745</f>
        <v>R602</v>
      </c>
      <c r="F745" s="479">
        <f>'FR-16(7)(v)-1 Functional'!H745</f>
        <v>0</v>
      </c>
      <c r="G745" s="699" t="e">
        <f ca="1">ROUND(F745*VLOOKUP(D745,AllocTable_Classified_Storage,$G$10,FALSE),0)</f>
        <v>#N/A</v>
      </c>
      <c r="H745" s="700" t="e">
        <f ca="1">ROUND(F745*VLOOKUP(D745,AllocTable_Classified_Storage,$H$10,FALSE),0)</f>
        <v>#N/A</v>
      </c>
      <c r="I745" s="701" t="e">
        <f ca="1">ROUND(F745*VLOOKUP(D745,AllocTable_Classified_Storage,$I$10,FALSE),0)</f>
        <v>#N/A</v>
      </c>
      <c r="J745" s="742" t="e">
        <f ca="1">SUM(G745:I745)</f>
        <v>#N/A</v>
      </c>
      <c r="K745" s="670" t="e">
        <f ca="1">F745-J745</f>
        <v>#N/A</v>
      </c>
      <c r="M745" s="659" t="s">
        <v>1205</v>
      </c>
      <c r="O745" s="755"/>
    </row>
    <row r="746" spans="1:15">
      <c r="E746" s="333"/>
      <c r="O746" s="755"/>
    </row>
    <row r="747" spans="1:15">
      <c r="A747" s="343" t="str">
        <f>co_name</f>
        <v>DUKE ENERGY KENTUCKY, INC.</v>
      </c>
      <c r="C747" s="196"/>
      <c r="D747" s="344"/>
      <c r="E747" s="196"/>
      <c r="F747" s="196"/>
      <c r="G747" s="196"/>
      <c r="H747" s="196"/>
      <c r="I747" s="196"/>
      <c r="J747" s="196" t="str">
        <f>$J$1</f>
        <v>FR-16(7)(v)-7</v>
      </c>
      <c r="K747" s="196"/>
      <c r="O747" s="754"/>
    </row>
    <row r="748" spans="1:15">
      <c r="A748" s="343" t="str">
        <f>$A$2</f>
        <v>STORAGE CLASSIFIED -  GAS COST OF SERVICE</v>
      </c>
      <c r="C748" s="196"/>
      <c r="D748" s="344"/>
      <c r="E748" s="196"/>
      <c r="F748" s="196"/>
      <c r="G748" s="196"/>
      <c r="H748" s="196"/>
      <c r="I748" s="196"/>
      <c r="J748" s="196" t="str">
        <f>$J$2</f>
        <v>WITNESS RESPONSIBLE:</v>
      </c>
      <c r="K748" s="196"/>
      <c r="O748" s="754"/>
    </row>
    <row r="749" spans="1:15">
      <c r="A749" s="343" t="str">
        <f>case_name</f>
        <v>CASE NO: 2018-00261</v>
      </c>
      <c r="C749" s="196"/>
      <c r="D749" s="344"/>
      <c r="E749" s="196"/>
      <c r="F749" s="196"/>
      <c r="G749" s="196"/>
      <c r="H749" s="196"/>
      <c r="I749" s="196"/>
      <c r="J749" s="196" t="str">
        <f>Witness</f>
        <v>JAMES E. ZIOLKOWSKI</v>
      </c>
      <c r="K749" s="196"/>
      <c r="O749" s="754"/>
    </row>
    <row r="750" spans="1:15">
      <c r="A750" s="343" t="str">
        <f>data_filing</f>
        <v>DATA: 12 MONTH FORECASTED PERIOD</v>
      </c>
      <c r="C750" s="196"/>
      <c r="D750" s="344"/>
      <c r="E750" s="196"/>
      <c r="F750" s="196"/>
      <c r="G750" s="196"/>
      <c r="H750" s="196"/>
      <c r="I750" s="196"/>
      <c r="J750" s="196" t="str">
        <f>"PAGE "&amp;Pages-1&amp;" OF "&amp;Pages</f>
        <v>PAGE 17 OF 18</v>
      </c>
      <c r="K750" s="196"/>
      <c r="O750" s="754"/>
    </row>
    <row r="751" spans="1:15">
      <c r="A751" s="343" t="str">
        <f>type</f>
        <v xml:space="preserve">TYPE OF FILING: "X" ORIGINAL   UPDATED    REVISED  </v>
      </c>
      <c r="C751" s="196"/>
      <c r="D751" s="344"/>
      <c r="E751" s="196"/>
      <c r="F751" s="196"/>
      <c r="G751" s="196"/>
      <c r="H751" s="196"/>
      <c r="I751" s="196"/>
      <c r="J751" s="196"/>
      <c r="K751" s="196"/>
      <c r="O751" s="754"/>
    </row>
    <row r="752" spans="1:15">
      <c r="B752" s="196"/>
      <c r="E752" s="333"/>
      <c r="G752" s="547"/>
      <c r="H752" s="537"/>
      <c r="I752" s="538"/>
      <c r="O752" s="754"/>
    </row>
    <row r="753" spans="1:15">
      <c r="B753" s="196"/>
      <c r="E753" s="333"/>
      <c r="G753" s="547"/>
      <c r="H753" s="537"/>
      <c r="I753" s="538"/>
      <c r="O753" s="754"/>
    </row>
    <row r="754" spans="1:15">
      <c r="A754" s="344" t="s">
        <v>914</v>
      </c>
      <c r="B754" s="196"/>
      <c r="C754" s="196"/>
      <c r="D754" s="344"/>
      <c r="E754" s="344"/>
      <c r="F754" s="344" t="str">
        <f>$F$8</f>
        <v>TOTAL</v>
      </c>
      <c r="G754" s="657" t="s">
        <v>1005</v>
      </c>
      <c r="H754" s="653"/>
      <c r="I754" s="654"/>
      <c r="J754" s="344" t="s">
        <v>229</v>
      </c>
      <c r="K754" s="344" t="s">
        <v>342</v>
      </c>
      <c r="O754" s="753"/>
    </row>
    <row r="755" spans="1:15">
      <c r="A755" s="346" t="s">
        <v>915</v>
      </c>
      <c r="B755" s="590" t="s">
        <v>89</v>
      </c>
      <c r="C755" s="345"/>
      <c r="D755" s="591" t="s">
        <v>1011</v>
      </c>
      <c r="E755" s="591" t="s">
        <v>337</v>
      </c>
      <c r="F755" s="346" t="str">
        <f>$F$9</f>
        <v>STORAGE</v>
      </c>
      <c r="G755" s="658" t="s">
        <v>847</v>
      </c>
      <c r="H755" s="655" t="s">
        <v>848</v>
      </c>
      <c r="I755" s="656" t="s">
        <v>849</v>
      </c>
      <c r="J755" s="346" t="s">
        <v>341</v>
      </c>
      <c r="K755" s="346" t="s">
        <v>340</v>
      </c>
      <c r="O755" s="753"/>
    </row>
    <row r="756" spans="1:15">
      <c r="C756" s="846" t="s">
        <v>562</v>
      </c>
      <c r="E756" s="633">
        <v>1</v>
      </c>
      <c r="F756" s="633">
        <v>2</v>
      </c>
      <c r="G756" s="800">
        <f>$G$10</f>
        <v>3</v>
      </c>
      <c r="H756" s="801">
        <f>$H$10</f>
        <v>4</v>
      </c>
      <c r="I756" s="802">
        <f>$I$10</f>
        <v>5</v>
      </c>
      <c r="O756" s="754"/>
    </row>
    <row r="757" spans="1:15">
      <c r="A757" s="344">
        <v>1</v>
      </c>
      <c r="B757" s="605"/>
      <c r="C757" s="660" t="s">
        <v>1022</v>
      </c>
      <c r="D757" s="725" t="s">
        <v>1013</v>
      </c>
      <c r="E757" s="716"/>
      <c r="F757" s="347">
        <f>F771</f>
        <v>285936571</v>
      </c>
      <c r="G757" s="696">
        <f>G771</f>
        <v>0</v>
      </c>
      <c r="H757" s="697">
        <f>H771</f>
        <v>0</v>
      </c>
      <c r="I757" s="698">
        <f>I771</f>
        <v>0</v>
      </c>
      <c r="J757" s="742">
        <f t="shared" ref="J757:J762" si="169">SUM(G757:I757)</f>
        <v>0</v>
      </c>
      <c r="K757" s="670">
        <f t="shared" ref="K757:K762" si="170">F757-J757</f>
        <v>285936571</v>
      </c>
      <c r="O757" s="757"/>
    </row>
    <row r="758" spans="1:15">
      <c r="A758" s="344">
        <v>2</v>
      </c>
      <c r="B758" s="196"/>
      <c r="C758" s="497" t="s">
        <v>355</v>
      </c>
      <c r="D758" s="589"/>
      <c r="E758" s="714" t="str">
        <f>'FR-16(7)(v)-1 Functional'!E758</f>
        <v>K667</v>
      </c>
      <c r="F758" s="648">
        <v>1</v>
      </c>
      <c r="G758" s="683">
        <f>IF(G757=0,0,ROUND(G757/(G757+H757+I757),5))</f>
        <v>0</v>
      </c>
      <c r="H758" s="684">
        <f>IF(H757=0,0,ROUND(H757/(H757+I757+J757),5))</f>
        <v>0</v>
      </c>
      <c r="I758" s="685">
        <f>IF(I757=0,0,ROUND(I757/(I757+J757+K757),5))</f>
        <v>0</v>
      </c>
      <c r="J758" s="737">
        <f t="shared" si="169"/>
        <v>0</v>
      </c>
      <c r="K758" s="737">
        <f t="shared" si="170"/>
        <v>1</v>
      </c>
      <c r="O758" s="755">
        <f>SUM(G758:I758)</f>
        <v>0</v>
      </c>
    </row>
    <row r="759" spans="1:15">
      <c r="A759" s="344">
        <v>3</v>
      </c>
      <c r="B759" s="605"/>
      <c r="C759" s="660" t="s">
        <v>1031</v>
      </c>
      <c r="D759" s="725" t="s">
        <v>1013</v>
      </c>
      <c r="E759" s="729"/>
      <c r="F759" s="347">
        <f>F778</f>
        <v>33539867</v>
      </c>
      <c r="G759" s="696">
        <f>G778</f>
        <v>0</v>
      </c>
      <c r="H759" s="697">
        <f>H778</f>
        <v>0</v>
      </c>
      <c r="I759" s="698">
        <f>I778</f>
        <v>0</v>
      </c>
      <c r="J759" s="670">
        <f t="shared" si="169"/>
        <v>0</v>
      </c>
      <c r="K759" s="670">
        <f t="shared" si="170"/>
        <v>33539867</v>
      </c>
      <c r="O759" s="754"/>
    </row>
    <row r="760" spans="1:15">
      <c r="A760" s="344">
        <v>4</v>
      </c>
      <c r="B760" s="196"/>
      <c r="C760" s="497" t="s">
        <v>355</v>
      </c>
      <c r="D760" s="589"/>
      <c r="E760" s="714" t="str">
        <f>'FR-16(7)(v)-1 Functional'!E760</f>
        <v>K697</v>
      </c>
      <c r="F760" s="648">
        <v>1</v>
      </c>
      <c r="G760" s="683">
        <f>IF(G759=0,0,ROUND(G759/(G759+H759+I759),5))</f>
        <v>0</v>
      </c>
      <c r="H760" s="684">
        <f>IF(H759=0,0,ROUND(H759/(H759+I759+J759),5))</f>
        <v>0</v>
      </c>
      <c r="I760" s="685">
        <f>IF(I759=0,0,ROUND(I759/(I759+J759+K759),5))</f>
        <v>0</v>
      </c>
      <c r="J760" s="737">
        <f t="shared" si="169"/>
        <v>0</v>
      </c>
      <c r="K760" s="737">
        <f t="shared" si="170"/>
        <v>1</v>
      </c>
      <c r="O760" s="755">
        <f>SUM(G760:I760)</f>
        <v>0</v>
      </c>
    </row>
    <row r="761" spans="1:15">
      <c r="A761" s="344">
        <v>5</v>
      </c>
      <c r="B761" s="606"/>
      <c r="C761" s="660" t="s">
        <v>108</v>
      </c>
      <c r="D761" s="725" t="s">
        <v>1013</v>
      </c>
      <c r="E761" s="729"/>
      <c r="F761" s="347">
        <f>F744</f>
        <v>0</v>
      </c>
      <c r="G761" s="696" t="e">
        <f ca="1">G744</f>
        <v>#N/A</v>
      </c>
      <c r="H761" s="697" t="e">
        <f ca="1">H744</f>
        <v>#N/A</v>
      </c>
      <c r="I761" s="698" t="e">
        <f ca="1">I744</f>
        <v>#N/A</v>
      </c>
      <c r="J761" s="670" t="e">
        <f t="shared" ca="1" si="169"/>
        <v>#N/A</v>
      </c>
      <c r="K761" s="670" t="e">
        <f t="shared" ca="1" si="170"/>
        <v>#N/A</v>
      </c>
      <c r="O761" s="754"/>
    </row>
    <row r="762" spans="1:15">
      <c r="A762" s="344">
        <v>6</v>
      </c>
      <c r="B762" s="196"/>
      <c r="C762" s="497" t="s">
        <v>355</v>
      </c>
      <c r="D762" s="589"/>
      <c r="E762" s="714" t="str">
        <f>'FR-16(7)(v)-1 Functional'!E762</f>
        <v>K901</v>
      </c>
      <c r="F762" s="648">
        <v>1</v>
      </c>
      <c r="G762" s="683" t="e">
        <f ca="1">IF(G761=0,0,ROUND(G761/(G761+H761+I761),5))</f>
        <v>#N/A</v>
      </c>
      <c r="H762" s="684" t="e">
        <f ca="1">IF(H761=0,0,ROUND(H761/(H761+I761+J761),5))</f>
        <v>#N/A</v>
      </c>
      <c r="I762" s="685" t="e">
        <f ca="1">IF(I761=0,0,ROUND(I761/(I761+J761+K761),5))</f>
        <v>#N/A</v>
      </c>
      <c r="J762" s="737" t="e">
        <f t="shared" ca="1" si="169"/>
        <v>#N/A</v>
      </c>
      <c r="K762" s="737" t="e">
        <f t="shared" ca="1" si="170"/>
        <v>#N/A</v>
      </c>
      <c r="O762" s="755" t="e">
        <f ca="1">SUM(G762:I762)</f>
        <v>#N/A</v>
      </c>
    </row>
    <row r="763" spans="1:15">
      <c r="A763" s="344">
        <v>7</v>
      </c>
      <c r="C763" s="660" t="s">
        <v>850</v>
      </c>
      <c r="D763" s="725" t="s">
        <v>1013</v>
      </c>
      <c r="E763" s="729"/>
      <c r="F763" s="347">
        <f>F745</f>
        <v>0</v>
      </c>
      <c r="G763" s="696" t="e">
        <f ca="1">G745</f>
        <v>#N/A</v>
      </c>
      <c r="H763" s="697" t="e">
        <f ca="1">H745</f>
        <v>#N/A</v>
      </c>
      <c r="I763" s="698" t="e">
        <f ca="1">I745</f>
        <v>#N/A</v>
      </c>
      <c r="J763" s="670" t="e">
        <f ca="1">SUM(G763:I763)</f>
        <v>#N/A</v>
      </c>
      <c r="K763" s="670" t="e">
        <f ca="1">F763-J763</f>
        <v>#N/A</v>
      </c>
      <c r="O763" s="758"/>
    </row>
    <row r="764" spans="1:15">
      <c r="A764" s="344">
        <v>8</v>
      </c>
      <c r="C764" s="497" t="s">
        <v>355</v>
      </c>
      <c r="D764" s="589"/>
      <c r="E764" s="714" t="s">
        <v>1201</v>
      </c>
      <c r="F764" s="648">
        <v>1</v>
      </c>
      <c r="G764" s="683" t="e">
        <f ca="1">IF(G763=0,0,ROUND(G763/(G763+H763+I763),5))</f>
        <v>#N/A</v>
      </c>
      <c r="H764" s="684" t="e">
        <f ca="1">IF(H763=0,0,ROUND(H763/(H763+I763+J763),5))</f>
        <v>#N/A</v>
      </c>
      <c r="I764" s="685" t="e">
        <f ca="1">IF(I763=0,0,ROUND(I763/(I763+J763+K763),5))</f>
        <v>#N/A</v>
      </c>
      <c r="J764" s="737" t="e">
        <f ca="1">SUM(G764:I764)</f>
        <v>#N/A</v>
      </c>
      <c r="K764" s="737" t="e">
        <f ca="1">F764-J764</f>
        <v>#N/A</v>
      </c>
      <c r="O764" s="758"/>
    </row>
    <row r="765" spans="1:15">
      <c r="A765" s="344">
        <v>9</v>
      </c>
      <c r="E765" s="746"/>
      <c r="G765" s="690"/>
      <c r="H765" s="691"/>
      <c r="I765" s="692"/>
      <c r="J765" s="532"/>
      <c r="K765" s="532"/>
      <c r="O765" s="758"/>
    </row>
    <row r="766" spans="1:15">
      <c r="A766" s="344">
        <v>10</v>
      </c>
      <c r="B766" s="708" t="s">
        <v>92</v>
      </c>
      <c r="C766" s="709"/>
      <c r="D766" s="726"/>
      <c r="E766" s="729"/>
      <c r="F766" s="621"/>
      <c r="G766" s="693"/>
      <c r="H766" s="694"/>
      <c r="I766" s="695"/>
      <c r="J766" s="744"/>
      <c r="K766" s="744"/>
      <c r="O766" s="759"/>
    </row>
    <row r="767" spans="1:15">
      <c r="A767" s="344">
        <v>11</v>
      </c>
      <c r="B767" s="659"/>
      <c r="C767" s="660" t="s">
        <v>1025</v>
      </c>
      <c r="D767" s="725"/>
      <c r="E767" s="729"/>
      <c r="F767" s="347">
        <f>'FR-16(7)(v)-1 Functional'!$F$71</f>
        <v>283446655</v>
      </c>
      <c r="G767" s="696">
        <f t="shared" ref="G767:I768" si="171">G71</f>
        <v>0</v>
      </c>
      <c r="H767" s="697">
        <f t="shared" si="171"/>
        <v>0</v>
      </c>
      <c r="I767" s="698">
        <f t="shared" si="171"/>
        <v>0</v>
      </c>
      <c r="J767" s="670">
        <f>SUM(G767:I767)</f>
        <v>0</v>
      </c>
      <c r="K767" s="670">
        <f>F767-J767</f>
        <v>283446655</v>
      </c>
      <c r="O767" s="759"/>
    </row>
    <row r="768" spans="1:15">
      <c r="A768" s="344">
        <v>12</v>
      </c>
      <c r="B768" s="659"/>
      <c r="C768" s="660" t="s">
        <v>1026</v>
      </c>
      <c r="D768" s="725"/>
      <c r="E768" s="713"/>
      <c r="F768" s="347">
        <f>'FR-16(7)(v)-1 Functional'!$F$72</f>
        <v>163028490</v>
      </c>
      <c r="G768" s="696">
        <f t="shared" si="171"/>
        <v>0</v>
      </c>
      <c r="H768" s="697">
        <f t="shared" si="171"/>
        <v>0</v>
      </c>
      <c r="I768" s="698">
        <f t="shared" si="171"/>
        <v>0</v>
      </c>
      <c r="J768" s="670">
        <f>SUM(G768:I768)</f>
        <v>0</v>
      </c>
      <c r="K768" s="670">
        <f>F768-J768</f>
        <v>163028490</v>
      </c>
      <c r="O768" s="759"/>
    </row>
    <row r="769" spans="1:15">
      <c r="A769" s="344">
        <v>13</v>
      </c>
      <c r="B769" s="659"/>
      <c r="C769" s="660" t="s">
        <v>1023</v>
      </c>
      <c r="D769" s="725"/>
      <c r="E769" s="713"/>
      <c r="F769" s="347">
        <f>-'FR-16(7)(v)-1 Functional'!$F$125</f>
        <v>-106766757</v>
      </c>
      <c r="G769" s="696">
        <f t="shared" ref="G769:I770" si="172">-G125</f>
        <v>0</v>
      </c>
      <c r="H769" s="697">
        <f t="shared" si="172"/>
        <v>0</v>
      </c>
      <c r="I769" s="698">
        <f t="shared" si="172"/>
        <v>0</v>
      </c>
      <c r="J769" s="670">
        <f>SUM(G769:I769)</f>
        <v>0</v>
      </c>
      <c r="K769" s="670">
        <f>F769-J769</f>
        <v>-106766757</v>
      </c>
      <c r="O769" s="759"/>
    </row>
    <row r="770" spans="1:15">
      <c r="A770" s="344">
        <v>14</v>
      </c>
      <c r="B770" s="659"/>
      <c r="C770" s="660" t="s">
        <v>1024</v>
      </c>
      <c r="D770" s="725"/>
      <c r="E770" s="717"/>
      <c r="F770" s="502">
        <f>-'FR-16(7)(v)-1 Functional'!$F$126</f>
        <v>-53771817</v>
      </c>
      <c r="G770" s="699">
        <f t="shared" si="172"/>
        <v>0</v>
      </c>
      <c r="H770" s="700">
        <f t="shared" si="172"/>
        <v>0</v>
      </c>
      <c r="I770" s="701">
        <f t="shared" si="172"/>
        <v>0</v>
      </c>
      <c r="J770" s="626">
        <f>SUM(G770:I770)</f>
        <v>0</v>
      </c>
      <c r="K770" s="626">
        <f>F770-J770</f>
        <v>-53771817</v>
      </c>
      <c r="O770" s="759"/>
    </row>
    <row r="771" spans="1:15">
      <c r="A771" s="344">
        <v>15</v>
      </c>
      <c r="B771" s="659"/>
      <c r="C771" s="710" t="s">
        <v>1033</v>
      </c>
      <c r="D771" s="725"/>
      <c r="E771" s="713"/>
      <c r="F771" s="347">
        <f>SUM(F767:F770)</f>
        <v>285936571</v>
      </c>
      <c r="G771" s="696">
        <f>SUM(G767:G770)</f>
        <v>0</v>
      </c>
      <c r="H771" s="697">
        <f>SUM(H767:H770)</f>
        <v>0</v>
      </c>
      <c r="I771" s="698">
        <f>SUM(I767:I770)</f>
        <v>0</v>
      </c>
      <c r="J771" s="670">
        <f>SUM(G771:I771)</f>
        <v>0</v>
      </c>
      <c r="K771" s="670">
        <f>F771-J771</f>
        <v>285936571</v>
      </c>
      <c r="O771" s="759"/>
    </row>
    <row r="772" spans="1:15">
      <c r="A772" s="344">
        <v>16</v>
      </c>
      <c r="B772" s="659"/>
      <c r="C772" s="659"/>
      <c r="D772" s="713"/>
      <c r="E772" s="713"/>
      <c r="G772" s="690"/>
      <c r="H772" s="691"/>
      <c r="I772" s="692"/>
      <c r="J772" s="532"/>
      <c r="K772" s="532"/>
      <c r="O772" s="759"/>
    </row>
    <row r="773" spans="1:15">
      <c r="A773" s="344">
        <v>17</v>
      </c>
      <c r="B773" s="711" t="s">
        <v>93</v>
      </c>
      <c r="C773" s="616"/>
      <c r="D773" s="713"/>
      <c r="E773" s="713"/>
      <c r="G773" s="690"/>
      <c r="H773" s="691"/>
      <c r="I773" s="692"/>
      <c r="J773" s="532"/>
      <c r="K773" s="532"/>
      <c r="O773" s="759"/>
    </row>
    <row r="774" spans="1:15">
      <c r="A774" s="344">
        <v>18</v>
      </c>
      <c r="B774" s="659"/>
      <c r="C774" s="660" t="s">
        <v>1027</v>
      </c>
      <c r="D774" s="713"/>
      <c r="E774" s="713"/>
      <c r="F774" s="347">
        <f>'FR-16(7)(v)-1 Functional'!$F$73</f>
        <v>23257250</v>
      </c>
      <c r="G774" s="696">
        <f>G73</f>
        <v>0</v>
      </c>
      <c r="H774" s="697">
        <f>H73</f>
        <v>0</v>
      </c>
      <c r="I774" s="698">
        <f>I73</f>
        <v>0</v>
      </c>
      <c r="J774" s="670">
        <f>SUM(G774:I774)</f>
        <v>0</v>
      </c>
      <c r="K774" s="670">
        <f>F774-J774</f>
        <v>23257250</v>
      </c>
      <c r="O774" s="759"/>
    </row>
    <row r="775" spans="1:15">
      <c r="A775" s="344">
        <v>19</v>
      </c>
      <c r="B775" s="659"/>
      <c r="C775" s="660" t="s">
        <v>1028</v>
      </c>
      <c r="D775" s="713"/>
      <c r="E775" s="713"/>
      <c r="F775" s="347">
        <f>'FR-16(7)(v)-1 Functional'!$F$75</f>
        <v>12497082</v>
      </c>
      <c r="G775" s="696">
        <f>G75</f>
        <v>0</v>
      </c>
      <c r="H775" s="697">
        <f>H75</f>
        <v>0</v>
      </c>
      <c r="I775" s="698">
        <f>I75</f>
        <v>0</v>
      </c>
      <c r="J775" s="670">
        <f>SUM(G775:I775)</f>
        <v>0</v>
      </c>
      <c r="K775" s="670">
        <f>F775-J775</f>
        <v>12497082</v>
      </c>
      <c r="O775" s="759"/>
    </row>
    <row r="776" spans="1:15">
      <c r="A776" s="344">
        <v>20</v>
      </c>
      <c r="B776" s="659"/>
      <c r="C776" s="660" t="s">
        <v>1029</v>
      </c>
      <c r="D776" s="713"/>
      <c r="E776" s="713"/>
      <c r="F776" s="347">
        <f>-'FR-16(7)(v)-1 Functional'!$F$127</f>
        <v>2918585</v>
      </c>
      <c r="G776" s="696">
        <f>-G127</f>
        <v>0</v>
      </c>
      <c r="H776" s="697">
        <f>-H127</f>
        <v>0</v>
      </c>
      <c r="I776" s="698">
        <f>-I127</f>
        <v>0</v>
      </c>
      <c r="J776" s="670">
        <f>SUM(G776:I776)</f>
        <v>0</v>
      </c>
      <c r="K776" s="670">
        <f>F776-J776</f>
        <v>2918585</v>
      </c>
      <c r="O776" s="759"/>
    </row>
    <row r="777" spans="1:15">
      <c r="A777" s="344">
        <v>21</v>
      </c>
      <c r="B777" s="659"/>
      <c r="C777" s="660" t="s">
        <v>1030</v>
      </c>
      <c r="D777" s="713"/>
      <c r="E777" s="713"/>
      <c r="F777" s="502">
        <f>-'FR-16(7)(v)-1 Functional'!$F$129</f>
        <v>-5133050</v>
      </c>
      <c r="G777" s="699">
        <f>-G129</f>
        <v>0</v>
      </c>
      <c r="H777" s="700">
        <f>-H129</f>
        <v>0</v>
      </c>
      <c r="I777" s="701">
        <f>-I129</f>
        <v>0</v>
      </c>
      <c r="J777" s="626">
        <f>SUM(G777:I777)</f>
        <v>0</v>
      </c>
      <c r="K777" s="626">
        <f>F777-J777</f>
        <v>-5133050</v>
      </c>
      <c r="O777" s="759"/>
    </row>
    <row r="778" spans="1:15">
      <c r="A778" s="344">
        <v>22</v>
      </c>
      <c r="B778" s="659"/>
      <c r="C778" s="710" t="s">
        <v>1034</v>
      </c>
      <c r="D778" s="713"/>
      <c r="E778" s="713"/>
      <c r="F778" s="347">
        <f>SUM(F774:F777)</f>
        <v>33539867</v>
      </c>
      <c r="G778" s="696">
        <f>SUM(G774:G777)</f>
        <v>0</v>
      </c>
      <c r="H778" s="697">
        <f>SUM(H774:H777)</f>
        <v>0</v>
      </c>
      <c r="I778" s="698">
        <f>SUM(I774:I777)</f>
        <v>0</v>
      </c>
      <c r="J778" s="670">
        <f>SUM(G778:I778)</f>
        <v>0</v>
      </c>
      <c r="K778" s="670">
        <f>F778-J778</f>
        <v>33539867</v>
      </c>
      <c r="O778" s="759"/>
    </row>
    <row r="779" spans="1:15">
      <c r="A779" s="344">
        <v>23</v>
      </c>
      <c r="E779" s="333"/>
      <c r="G779" s="690"/>
      <c r="H779" s="691"/>
      <c r="I779" s="692"/>
      <c r="O779" s="758"/>
    </row>
    <row r="780" spans="1:15">
      <c r="A780" s="344">
        <v>24</v>
      </c>
      <c r="B780" s="631" t="s">
        <v>94</v>
      </c>
      <c r="C780" s="196"/>
      <c r="D780" s="718"/>
      <c r="E780" s="718"/>
      <c r="F780" s="632"/>
      <c r="G780" s="706"/>
      <c r="H780" s="702"/>
      <c r="I780" s="703"/>
      <c r="O780" s="753"/>
    </row>
    <row r="781" spans="1:15">
      <c r="A781" s="344">
        <v>25</v>
      </c>
      <c r="B781" s="597" t="s">
        <v>95</v>
      </c>
      <c r="C781" s="634"/>
      <c r="D781" s="719"/>
      <c r="E781" s="719"/>
      <c r="F781" s="510"/>
      <c r="G781" s="677"/>
      <c r="H781" s="678"/>
      <c r="I781" s="679"/>
      <c r="O781" s="753"/>
    </row>
    <row r="782" spans="1:15">
      <c r="A782" s="344">
        <v>26</v>
      </c>
      <c r="B782" s="196"/>
      <c r="C782" s="587" t="s">
        <v>230</v>
      </c>
      <c r="D782" s="725" t="s">
        <v>1013</v>
      </c>
      <c r="E782" s="714" t="str">
        <f>'FR-16(7)(v)-1 Functional'!E782</f>
        <v>P129</v>
      </c>
      <c r="F782" s="648">
        <v>1</v>
      </c>
      <c r="G782" s="683">
        <f>ROUND(IF($F$59=0,0,$G$59/$F$59),5)</f>
        <v>0</v>
      </c>
      <c r="H782" s="684">
        <f>ROUND(IF($F$59=0,0,$H$59/$F$59),5)</f>
        <v>0</v>
      </c>
      <c r="I782" s="685">
        <f>ROUND(IF($F$59=0,0,$I$59/$F$59),5)</f>
        <v>0</v>
      </c>
      <c r="J782" s="737">
        <f t="shared" ref="J782:J789" si="173">SUM(G782:I782)</f>
        <v>0</v>
      </c>
      <c r="K782" s="737">
        <f t="shared" ref="K782:K789" si="174">F782-J782</f>
        <v>1</v>
      </c>
      <c r="O782" s="755">
        <f t="shared" ref="O782:O789" si="175">SUM(G782:I782)</f>
        <v>0</v>
      </c>
    </row>
    <row r="783" spans="1:15">
      <c r="A783" s="344">
        <v>27</v>
      </c>
      <c r="B783" s="196"/>
      <c r="C783" s="587" t="s">
        <v>231</v>
      </c>
      <c r="D783" s="725" t="s">
        <v>1013</v>
      </c>
      <c r="E783" s="714" t="str">
        <f>'FR-16(7)(v)-1 Functional'!E783</f>
        <v>D149</v>
      </c>
      <c r="F783" s="648">
        <v>1</v>
      </c>
      <c r="G783" s="683">
        <f>ROUND(IF($F$78=0,0,G78/$F$78),5)</f>
        <v>0</v>
      </c>
      <c r="H783" s="684">
        <f>ROUND(IF($F$78=0,0,H78/$F$78),5)</f>
        <v>0</v>
      </c>
      <c r="I783" s="685">
        <f t="shared" ref="I783:I789" si="176">1-SUM(G783:H783)</f>
        <v>1</v>
      </c>
      <c r="J783" s="737">
        <f t="shared" si="173"/>
        <v>1</v>
      </c>
      <c r="K783" s="737">
        <f t="shared" si="174"/>
        <v>0</v>
      </c>
      <c r="O783" s="755">
        <f t="shared" si="175"/>
        <v>1</v>
      </c>
    </row>
    <row r="784" spans="1:15">
      <c r="A784" s="344">
        <v>28</v>
      </c>
      <c r="B784" s="196"/>
      <c r="C784" s="587" t="s">
        <v>232</v>
      </c>
      <c r="D784" s="725" t="s">
        <v>1013</v>
      </c>
      <c r="E784" s="714" t="str">
        <f>'FR-16(7)(v)-1 Functional'!E784</f>
        <v>PD29</v>
      </c>
      <c r="F784" s="648">
        <v>1</v>
      </c>
      <c r="G784" s="683">
        <f>ROUND(IF($F$81=0,0,G81/$F$81),5)</f>
        <v>0</v>
      </c>
      <c r="H784" s="684">
        <f>ROUND(IF($F$81=0,0,H81/$F$81),5)</f>
        <v>0</v>
      </c>
      <c r="I784" s="685">
        <f t="shared" si="176"/>
        <v>1</v>
      </c>
      <c r="J784" s="737">
        <f t="shared" si="173"/>
        <v>1</v>
      </c>
      <c r="K784" s="737">
        <f t="shared" si="174"/>
        <v>0</v>
      </c>
      <c r="O784" s="755">
        <f t="shared" si="175"/>
        <v>1</v>
      </c>
    </row>
    <row r="785" spans="1:15">
      <c r="A785" s="344">
        <v>29</v>
      </c>
      <c r="B785" s="196"/>
      <c r="C785" s="587" t="s">
        <v>233</v>
      </c>
      <c r="D785" s="725" t="s">
        <v>1013</v>
      </c>
      <c r="E785" s="714" t="str">
        <f>'FR-16(7)(v)-1 Functional'!E785</f>
        <v>G129</v>
      </c>
      <c r="F785" s="648">
        <v>1</v>
      </c>
      <c r="G785" s="683">
        <f>ROUND(IF($F$90=0,0,G90/$F$90),5)</f>
        <v>0</v>
      </c>
      <c r="H785" s="684">
        <f>ROUND(IF($F$90=0,0,H90/$F$90),5)</f>
        <v>0</v>
      </c>
      <c r="I785" s="685">
        <f t="shared" si="176"/>
        <v>1</v>
      </c>
      <c r="J785" s="737">
        <f t="shared" si="173"/>
        <v>1</v>
      </c>
      <c r="K785" s="737">
        <f t="shared" si="174"/>
        <v>0</v>
      </c>
      <c r="O785" s="755">
        <f t="shared" si="175"/>
        <v>1</v>
      </c>
    </row>
    <row r="786" spans="1:15">
      <c r="A786" s="344">
        <v>30</v>
      </c>
      <c r="B786" s="196"/>
      <c r="C786" s="587" t="s">
        <v>234</v>
      </c>
      <c r="D786" s="725" t="s">
        <v>1013</v>
      </c>
      <c r="E786" s="714" t="str">
        <f>'FR-16(7)(v)-1 Functional'!E786</f>
        <v>C129</v>
      </c>
      <c r="F786" s="648">
        <v>1</v>
      </c>
      <c r="G786" s="683">
        <f>ROUND(IF($F$99=0,0,G99/$F$99),5)</f>
        <v>0</v>
      </c>
      <c r="H786" s="684">
        <f>ROUND(IF($F$99=0,0,H99/$F$99),5)</f>
        <v>0</v>
      </c>
      <c r="I786" s="685">
        <f t="shared" si="176"/>
        <v>1</v>
      </c>
      <c r="J786" s="737">
        <f t="shared" si="173"/>
        <v>1</v>
      </c>
      <c r="K786" s="737">
        <f t="shared" si="174"/>
        <v>0</v>
      </c>
      <c r="O786" s="755">
        <f t="shared" si="175"/>
        <v>1</v>
      </c>
    </row>
    <row r="787" spans="1:15">
      <c r="A787" s="344">
        <v>31</v>
      </c>
      <c r="B787" s="196"/>
      <c r="C787" s="587" t="s">
        <v>235</v>
      </c>
      <c r="D787" s="725" t="s">
        <v>1013</v>
      </c>
      <c r="E787" s="714" t="str">
        <f>'FR-16(7)(v)-1 Functional'!E787</f>
        <v>GP19</v>
      </c>
      <c r="F787" s="648">
        <v>1</v>
      </c>
      <c r="G787" s="683">
        <f>ROUND(IF($F$101=0,0,G101/$F$101),5)</f>
        <v>0</v>
      </c>
      <c r="H787" s="684">
        <f>ROUND(IF($F$101=0,0,H101/$F$101),5)</f>
        <v>0</v>
      </c>
      <c r="I787" s="685">
        <f t="shared" si="176"/>
        <v>1</v>
      </c>
      <c r="J787" s="737">
        <f t="shared" si="173"/>
        <v>1</v>
      </c>
      <c r="K787" s="737">
        <f t="shared" si="174"/>
        <v>0</v>
      </c>
      <c r="O787" s="755">
        <f t="shared" si="175"/>
        <v>1</v>
      </c>
    </row>
    <row r="788" spans="1:15">
      <c r="A788" s="344">
        <v>32</v>
      </c>
      <c r="B788" s="196"/>
      <c r="C788" s="587" t="s">
        <v>236</v>
      </c>
      <c r="D788" s="725" t="s">
        <v>1013</v>
      </c>
      <c r="E788" s="714" t="str">
        <f>'FR-16(7)(v)-1 Functional'!E788</f>
        <v>D199</v>
      </c>
      <c r="F788" s="648">
        <v>1</v>
      </c>
      <c r="G788" s="683">
        <f>ROUND(IF($F$131=0,0,G131/$F$131),5)</f>
        <v>0</v>
      </c>
      <c r="H788" s="684">
        <f>ROUND(IF($F$131=0,0,H131/$F$131),5)</f>
        <v>0</v>
      </c>
      <c r="I788" s="685">
        <f t="shared" si="176"/>
        <v>1</v>
      </c>
      <c r="J788" s="737">
        <f t="shared" si="173"/>
        <v>1</v>
      </c>
      <c r="K788" s="737">
        <f t="shared" si="174"/>
        <v>0</v>
      </c>
      <c r="O788" s="755">
        <f t="shared" si="175"/>
        <v>1</v>
      </c>
    </row>
    <row r="789" spans="1:15">
      <c r="A789" s="344">
        <v>33</v>
      </c>
      <c r="B789" s="196"/>
      <c r="C789" s="587" t="s">
        <v>237</v>
      </c>
      <c r="D789" s="725" t="s">
        <v>1013</v>
      </c>
      <c r="E789" s="714" t="str">
        <f>'FR-16(7)(v)-1 Functional'!E789</f>
        <v>DR19</v>
      </c>
      <c r="F789" s="648">
        <v>1</v>
      </c>
      <c r="G789" s="683">
        <f>ROUND(IF($F$151=0,0,G151/$F$151),5)</f>
        <v>0</v>
      </c>
      <c r="H789" s="684">
        <f>ROUND(IF($F$151=0,0,H151/$F$151),5)</f>
        <v>0</v>
      </c>
      <c r="I789" s="685">
        <f t="shared" si="176"/>
        <v>1</v>
      </c>
      <c r="J789" s="737">
        <f t="shared" si="173"/>
        <v>1</v>
      </c>
      <c r="K789" s="737">
        <f t="shared" si="174"/>
        <v>0</v>
      </c>
      <c r="O789" s="755">
        <f t="shared" si="175"/>
        <v>1</v>
      </c>
    </row>
    <row r="790" spans="1:15">
      <c r="A790" s="344">
        <v>34</v>
      </c>
      <c r="B790" s="196"/>
      <c r="C790" s="196"/>
      <c r="D790" s="344"/>
      <c r="E790" s="729"/>
      <c r="F790" s="648"/>
      <c r="G790" s="683"/>
      <c r="H790" s="684"/>
      <c r="I790" s="685"/>
      <c r="J790" s="737"/>
      <c r="K790" s="737"/>
      <c r="O790" s="753"/>
    </row>
    <row r="791" spans="1:15">
      <c r="A791" s="344">
        <v>35</v>
      </c>
      <c r="B791" s="587" t="s">
        <v>96</v>
      </c>
      <c r="C791" s="196"/>
      <c r="D791" s="344"/>
      <c r="E791" s="729"/>
      <c r="F791" s="648"/>
      <c r="G791" s="683"/>
      <c r="H791" s="684"/>
      <c r="I791" s="685"/>
      <c r="J791" s="737"/>
      <c r="K791" s="737"/>
      <c r="O791" s="753"/>
    </row>
    <row r="792" spans="1:15">
      <c r="A792" s="344">
        <v>36</v>
      </c>
      <c r="B792" s="196"/>
      <c r="C792" s="587" t="s">
        <v>238</v>
      </c>
      <c r="D792" s="725" t="s">
        <v>1013</v>
      </c>
      <c r="E792" s="714" t="str">
        <f>'FR-16(7)(v)-1 Functional'!E792</f>
        <v>P229</v>
      </c>
      <c r="F792" s="648">
        <v>1</v>
      </c>
      <c r="G792" s="683">
        <f>ROUND(IF($F$166=0,0,G166/$F$166),5)</f>
        <v>0</v>
      </c>
      <c r="H792" s="684">
        <f>ROUND(IF($F$166=0,0,H166/$F$166),5)</f>
        <v>0</v>
      </c>
      <c r="I792" s="685">
        <f>ROUND(IF($F$166=0,0,I166/$F$166),5)</f>
        <v>0</v>
      </c>
      <c r="J792" s="737">
        <f>SUM(G792:I792)</f>
        <v>0</v>
      </c>
      <c r="K792" s="737">
        <f>F792-J792</f>
        <v>1</v>
      </c>
      <c r="O792" s="755">
        <f>SUM(G792:I792)</f>
        <v>0</v>
      </c>
    </row>
    <row r="793" spans="1:15">
      <c r="A793" s="344">
        <v>37</v>
      </c>
      <c r="B793" s="196"/>
      <c r="C793" s="587" t="s">
        <v>239</v>
      </c>
      <c r="D793" s="725" t="s">
        <v>1013</v>
      </c>
      <c r="E793" s="714" t="str">
        <f>'FR-16(7)(v)-1 Functional'!E793</f>
        <v>D249</v>
      </c>
      <c r="F793" s="648">
        <v>1</v>
      </c>
      <c r="G793" s="683">
        <f>ROUND(IF($F$176=0,0,G176/$F$176),5)</f>
        <v>0</v>
      </c>
      <c r="H793" s="684">
        <f>ROUND(IF($F$176=0,0,H176/$F$176),5)</f>
        <v>0</v>
      </c>
      <c r="I793" s="685">
        <f>1-SUM(G793:H793)</f>
        <v>1</v>
      </c>
      <c r="J793" s="737">
        <f>SUM(G793:I793)</f>
        <v>1</v>
      </c>
      <c r="K793" s="737">
        <f>F793-J793</f>
        <v>0</v>
      </c>
      <c r="O793" s="755">
        <f>SUM(G793:I793)</f>
        <v>1</v>
      </c>
    </row>
    <row r="794" spans="1:15">
      <c r="A794" s="344">
        <v>38</v>
      </c>
      <c r="B794" s="196"/>
      <c r="C794" s="587" t="s">
        <v>240</v>
      </c>
      <c r="D794" s="725" t="s">
        <v>1013</v>
      </c>
      <c r="E794" s="714" t="str">
        <f>'FR-16(7)(v)-1 Functional'!E794</f>
        <v>G229</v>
      </c>
      <c r="F794" s="648">
        <v>1</v>
      </c>
      <c r="G794" s="683">
        <f>ROUND(IF($F$184=0,0,G184/$F$184),5)</f>
        <v>0</v>
      </c>
      <c r="H794" s="684">
        <f>ROUND(IF($F$184=0,0,H184/$F$184),5)</f>
        <v>0</v>
      </c>
      <c r="I794" s="685">
        <f>1-SUM(G794:H794)</f>
        <v>1</v>
      </c>
      <c r="J794" s="737">
        <f>SUM(G794:I794)</f>
        <v>1</v>
      </c>
      <c r="K794" s="737">
        <f>F794-J794</f>
        <v>0</v>
      </c>
      <c r="O794" s="755">
        <f>SUM(G794:I794)</f>
        <v>1</v>
      </c>
    </row>
    <row r="795" spans="1:15">
      <c r="A795" s="344">
        <v>39</v>
      </c>
      <c r="B795" s="196"/>
      <c r="C795" s="587" t="s">
        <v>241</v>
      </c>
      <c r="D795" s="725" t="s">
        <v>1013</v>
      </c>
      <c r="E795" s="714" t="str">
        <f>'FR-16(7)(v)-1 Functional'!E795</f>
        <v>C229</v>
      </c>
      <c r="F795" s="648">
        <v>1</v>
      </c>
      <c r="G795" s="683">
        <f>ROUND(IF($F$189=0,0,G189/$F$189),5)</f>
        <v>0</v>
      </c>
      <c r="H795" s="684">
        <f>ROUND(IF($F$189=0,0,H189/$F$189),5)</f>
        <v>0</v>
      </c>
      <c r="I795" s="685">
        <f>1-SUM(G795:H795)</f>
        <v>1</v>
      </c>
      <c r="J795" s="737">
        <f>SUM(G795:I795)</f>
        <v>1</v>
      </c>
      <c r="K795" s="737">
        <f>F795-J795</f>
        <v>0</v>
      </c>
      <c r="O795" s="755">
        <f>SUM(G795:I795)</f>
        <v>1</v>
      </c>
    </row>
    <row r="796" spans="1:15">
      <c r="A796" s="344">
        <v>40</v>
      </c>
      <c r="B796" s="196"/>
      <c r="C796" s="587" t="s">
        <v>242</v>
      </c>
      <c r="D796" s="725" t="s">
        <v>1013</v>
      </c>
      <c r="E796" s="714" t="str">
        <f>'FR-16(7)(v)-1 Functional'!E796</f>
        <v>NP29</v>
      </c>
      <c r="F796" s="648">
        <v>1</v>
      </c>
      <c r="G796" s="683">
        <f>ROUND(IF($F$191=0,0,G191/$F$191),5)</f>
        <v>0</v>
      </c>
      <c r="H796" s="684">
        <f>ROUND(IF($F$191=0,0,H191/$F$191),5)</f>
        <v>0</v>
      </c>
      <c r="I796" s="685">
        <f>1-SUM(G796:H796)</f>
        <v>1</v>
      </c>
      <c r="J796" s="737">
        <f>SUM(G796:I796)</f>
        <v>1</v>
      </c>
      <c r="K796" s="737">
        <f>F796-J796</f>
        <v>0</v>
      </c>
      <c r="O796" s="753"/>
    </row>
    <row r="797" spans="1:15">
      <c r="A797" s="344">
        <v>41</v>
      </c>
      <c r="B797" s="196"/>
      <c r="C797" s="587"/>
      <c r="D797" s="714"/>
      <c r="E797" s="734"/>
      <c r="F797" s="350"/>
      <c r="G797" s="683"/>
      <c r="H797" s="684"/>
      <c r="I797" s="685"/>
      <c r="J797" s="737"/>
      <c r="K797" s="737"/>
      <c r="O797" s="753"/>
    </row>
    <row r="798" spans="1:15">
      <c r="A798" s="344">
        <v>42</v>
      </c>
      <c r="B798" s="587" t="s">
        <v>32</v>
      </c>
      <c r="C798" s="196"/>
      <c r="D798" s="344"/>
      <c r="E798" s="729"/>
      <c r="F798" s="350"/>
      <c r="G798" s="683"/>
      <c r="H798" s="684"/>
      <c r="I798" s="685"/>
      <c r="J798" s="737"/>
      <c r="K798" s="737"/>
      <c r="O798" s="753"/>
    </row>
    <row r="799" spans="1:15">
      <c r="A799" s="344">
        <v>43</v>
      </c>
      <c r="B799" s="196"/>
      <c r="C799" s="587" t="s">
        <v>243</v>
      </c>
      <c r="D799" s="725" t="s">
        <v>1013</v>
      </c>
      <c r="E799" s="714" t="str">
        <f>'FR-16(7)(v)-1 Functional'!E799</f>
        <v>W669</v>
      </c>
      <c r="F799" s="648">
        <v>1</v>
      </c>
      <c r="G799" s="683">
        <f>ROUND(IF($F$304=0,0,G304/$F$304),5)</f>
        <v>0</v>
      </c>
      <c r="H799" s="684">
        <f>ROUND(IF($F$304=0,0,H304/$F$304),5)</f>
        <v>0</v>
      </c>
      <c r="I799" s="685">
        <f>ROUND(IF($F$304=0,0,I304/$F$304),5)</f>
        <v>0</v>
      </c>
      <c r="J799" s="737">
        <f>SUM(G799:I799)</f>
        <v>0</v>
      </c>
      <c r="K799" s="737">
        <f>F799-J799</f>
        <v>1</v>
      </c>
      <c r="O799" s="755">
        <f>SUM(G799:I799)</f>
        <v>0</v>
      </c>
    </row>
    <row r="800" spans="1:15">
      <c r="A800" s="344">
        <v>44</v>
      </c>
      <c r="B800" s="196"/>
      <c r="C800" s="587" t="s">
        <v>244</v>
      </c>
      <c r="D800" s="725" t="s">
        <v>1013</v>
      </c>
      <c r="E800" s="714" t="str">
        <f>'FR-16(7)(v)-1 Functional'!E800</f>
        <v>W689</v>
      </c>
      <c r="F800" s="648">
        <v>1</v>
      </c>
      <c r="G800" s="683">
        <f>ROUND(IF($F$310=0,0,G310/$F$310),5)</f>
        <v>0</v>
      </c>
      <c r="H800" s="684">
        <f>ROUND(IF($F$310=0,0,H310/$F$310),5)</f>
        <v>0</v>
      </c>
      <c r="I800" s="685">
        <f>ROUND(IF($F$310=0,0,I310/$F$310),5)</f>
        <v>0</v>
      </c>
      <c r="J800" s="737">
        <f>SUM(G800:I800)</f>
        <v>0</v>
      </c>
      <c r="K800" s="737">
        <f>F800-J800</f>
        <v>1</v>
      </c>
      <c r="O800" s="755">
        <f>SUM(G800:I800)</f>
        <v>0</v>
      </c>
    </row>
    <row r="801" spans="1:15">
      <c r="A801" s="344">
        <v>45</v>
      </c>
      <c r="B801" s="196"/>
      <c r="C801" s="587" t="s">
        <v>245</v>
      </c>
      <c r="D801" s="725" t="s">
        <v>1013</v>
      </c>
      <c r="E801" s="714" t="str">
        <f>'FR-16(7)(v)-1 Functional'!E801</f>
        <v>W729</v>
      </c>
      <c r="F801" s="648">
        <v>1</v>
      </c>
      <c r="G801" s="683">
        <f>ROUND(IF($F$313=0,0,G313/$F$313),5)</f>
        <v>0</v>
      </c>
      <c r="H801" s="684">
        <f>ROUND(IF($F$313=0,0,H313/$F$313),5)</f>
        <v>0</v>
      </c>
      <c r="I801" s="685">
        <f>ROUND(IF($F$313=0,0,I313/$F$313),5)</f>
        <v>0</v>
      </c>
      <c r="J801" s="737">
        <f>SUM(G801:I801)</f>
        <v>0</v>
      </c>
      <c r="K801" s="737">
        <f>F801-J801</f>
        <v>1</v>
      </c>
      <c r="O801" s="755">
        <f>SUM(G801:I801)</f>
        <v>0</v>
      </c>
    </row>
    <row r="802" spans="1:15">
      <c r="A802" s="344">
        <v>46</v>
      </c>
      <c r="B802" s="196"/>
      <c r="C802" s="587" t="s">
        <v>246</v>
      </c>
      <c r="D802" s="725" t="s">
        <v>1013</v>
      </c>
      <c r="E802" s="714" t="str">
        <f>'FR-16(7)(v)-1 Functional'!E802</f>
        <v>W749</v>
      </c>
      <c r="F802" s="648">
        <v>1</v>
      </c>
      <c r="G802" s="683">
        <f>ROUND(IF($F$319=0,0,G319/$F$319),5)</f>
        <v>0</v>
      </c>
      <c r="H802" s="684">
        <f>ROUND(IF($F$319=0,0,H319/$F$319),5)</f>
        <v>0</v>
      </c>
      <c r="I802" s="685">
        <f>ROUND(IF($F$319=0,0,I319/$F$319),5)</f>
        <v>0</v>
      </c>
      <c r="J802" s="737">
        <f>SUM(G802:I802)</f>
        <v>0</v>
      </c>
      <c r="K802" s="737">
        <f>F802-J802</f>
        <v>1</v>
      </c>
      <c r="O802" s="755">
        <f>SUM(G802:I802)</f>
        <v>0</v>
      </c>
    </row>
    <row r="803" spans="1:15">
      <c r="A803" s="344">
        <v>47</v>
      </c>
      <c r="B803" s="196"/>
      <c r="C803" s="587" t="s">
        <v>247</v>
      </c>
      <c r="D803" s="725" t="s">
        <v>1013</v>
      </c>
      <c r="E803" s="714" t="str">
        <f>'FR-16(7)(v)-1 Functional'!E803</f>
        <v>WC79</v>
      </c>
      <c r="F803" s="648">
        <v>1</v>
      </c>
      <c r="G803" s="707">
        <f>ROUND(IF($F$321=0,0,G321/$F$321),5)</f>
        <v>0</v>
      </c>
      <c r="H803" s="704">
        <f>ROUND(IF($F$321=0,0,H321/$F$321),5)</f>
        <v>0</v>
      </c>
      <c r="I803" s="705">
        <f>ROUND(IF($F$321=0,0,I321/$F$321),5)</f>
        <v>0</v>
      </c>
      <c r="J803" s="737">
        <f>SUM(G803:I803)</f>
        <v>0</v>
      </c>
      <c r="K803" s="737">
        <f>F803-J803</f>
        <v>1</v>
      </c>
      <c r="O803" s="755">
        <f>SUM(G803:I803)</f>
        <v>0</v>
      </c>
    </row>
    <row r="804" spans="1:15">
      <c r="A804" s="344"/>
      <c r="B804" s="196"/>
      <c r="C804" s="196"/>
      <c r="D804" s="344"/>
      <c r="E804" s="729"/>
      <c r="F804" s="648"/>
      <c r="G804" s="737"/>
      <c r="H804" s="737"/>
      <c r="I804" s="737"/>
      <c r="J804" s="737"/>
      <c r="K804" s="737"/>
      <c r="O804" s="753"/>
    </row>
    <row r="805" spans="1:15">
      <c r="A805" s="343" t="str">
        <f>co_name</f>
        <v>DUKE ENERGY KENTUCKY, INC.</v>
      </c>
      <c r="C805" s="196"/>
      <c r="D805" s="344"/>
      <c r="E805" s="196"/>
      <c r="F805" s="196"/>
      <c r="G805" s="196"/>
      <c r="H805" s="196"/>
      <c r="I805" s="196"/>
      <c r="J805" s="196" t="str">
        <f>$J$1</f>
        <v>FR-16(7)(v)-7</v>
      </c>
      <c r="K805" s="196"/>
      <c r="O805" s="754"/>
    </row>
    <row r="806" spans="1:15">
      <c r="A806" s="343" t="str">
        <f>$A$2</f>
        <v>STORAGE CLASSIFIED -  GAS COST OF SERVICE</v>
      </c>
      <c r="C806" s="196"/>
      <c r="D806" s="344"/>
      <c r="E806" s="196"/>
      <c r="F806" s="196"/>
      <c r="G806" s="196"/>
      <c r="H806" s="196"/>
      <c r="I806" s="196"/>
      <c r="J806" s="196" t="str">
        <f>$J$2</f>
        <v>WITNESS RESPONSIBLE:</v>
      </c>
      <c r="K806" s="196"/>
      <c r="O806" s="754"/>
    </row>
    <row r="807" spans="1:15">
      <c r="A807" s="343" t="str">
        <f>case_name</f>
        <v>CASE NO: 2018-00261</v>
      </c>
      <c r="C807" s="196"/>
      <c r="D807" s="344"/>
      <c r="E807" s="196"/>
      <c r="F807" s="196"/>
      <c r="G807" s="196"/>
      <c r="H807" s="196"/>
      <c r="I807" s="196"/>
      <c r="J807" s="196" t="str">
        <f>Witness</f>
        <v>JAMES E. ZIOLKOWSKI</v>
      </c>
      <c r="K807" s="196"/>
      <c r="O807" s="754"/>
    </row>
    <row r="808" spans="1:15">
      <c r="A808" s="343" t="str">
        <f>data_filing</f>
        <v>DATA: 12 MONTH FORECASTED PERIOD</v>
      </c>
      <c r="C808" s="196"/>
      <c r="D808" s="344"/>
      <c r="E808" s="196"/>
      <c r="F808" s="196"/>
      <c r="G808" s="196"/>
      <c r="H808" s="196"/>
      <c r="I808" s="196"/>
      <c r="J808" s="196" t="str">
        <f>"PAGE "&amp;Pages&amp;" OF "&amp;Pages</f>
        <v>PAGE 18 OF 18</v>
      </c>
      <c r="K808" s="196"/>
      <c r="O808" s="754"/>
    </row>
    <row r="809" spans="1:15">
      <c r="A809" s="343" t="str">
        <f>type</f>
        <v xml:space="preserve">TYPE OF FILING: "X" ORIGINAL   UPDATED    REVISED  </v>
      </c>
      <c r="C809" s="196"/>
      <c r="D809" s="344"/>
      <c r="E809" s="196"/>
      <c r="F809" s="196"/>
      <c r="G809" s="196"/>
      <c r="H809" s="196"/>
      <c r="I809" s="196"/>
      <c r="J809" s="196"/>
      <c r="K809" s="196"/>
      <c r="O809" s="754"/>
    </row>
    <row r="810" spans="1:15">
      <c r="B810" s="196"/>
      <c r="E810" s="333"/>
      <c r="G810" s="547"/>
      <c r="H810" s="537"/>
      <c r="I810" s="538"/>
      <c r="O810" s="754"/>
    </row>
    <row r="811" spans="1:15">
      <c r="B811" s="196"/>
      <c r="E811" s="333"/>
      <c r="G811" s="547"/>
      <c r="H811" s="537"/>
      <c r="I811" s="538"/>
      <c r="O811" s="754"/>
    </row>
    <row r="812" spans="1:15">
      <c r="A812" s="344" t="s">
        <v>914</v>
      </c>
      <c r="B812" s="196"/>
      <c r="C812" s="196"/>
      <c r="D812" s="344"/>
      <c r="E812" s="344"/>
      <c r="F812" s="344" t="str">
        <f>$F$8</f>
        <v>TOTAL</v>
      </c>
      <c r="G812" s="657" t="s">
        <v>1005</v>
      </c>
      <c r="H812" s="653"/>
      <c r="I812" s="654"/>
      <c r="J812" s="344" t="s">
        <v>229</v>
      </c>
      <c r="K812" s="344" t="s">
        <v>342</v>
      </c>
      <c r="O812" s="753"/>
    </row>
    <row r="813" spans="1:15">
      <c r="A813" s="346" t="s">
        <v>915</v>
      </c>
      <c r="B813" s="590" t="s">
        <v>89</v>
      </c>
      <c r="C813" s="345"/>
      <c r="D813" s="591" t="s">
        <v>1011</v>
      </c>
      <c r="E813" s="591" t="s">
        <v>337</v>
      </c>
      <c r="F813" s="346" t="str">
        <f>$F$9</f>
        <v>STORAGE</v>
      </c>
      <c r="G813" s="658" t="s">
        <v>847</v>
      </c>
      <c r="H813" s="655" t="s">
        <v>848</v>
      </c>
      <c r="I813" s="656" t="s">
        <v>849</v>
      </c>
      <c r="J813" s="346" t="s">
        <v>341</v>
      </c>
      <c r="K813" s="346" t="s">
        <v>340</v>
      </c>
      <c r="O813" s="753"/>
    </row>
    <row r="814" spans="1:15">
      <c r="C814" s="846" t="s">
        <v>1055</v>
      </c>
      <c r="E814" s="633">
        <v>1</v>
      </c>
      <c r="F814" s="633">
        <v>2</v>
      </c>
      <c r="G814" s="800">
        <f>$G$10</f>
        <v>3</v>
      </c>
      <c r="H814" s="801">
        <f>$H$10</f>
        <v>4</v>
      </c>
      <c r="I814" s="802">
        <f>$I$10</f>
        <v>5</v>
      </c>
      <c r="O814" s="754"/>
    </row>
    <row r="815" spans="1:15">
      <c r="A815" s="344">
        <v>1</v>
      </c>
      <c r="B815" s="587" t="s">
        <v>25</v>
      </c>
      <c r="C815" s="196"/>
      <c r="D815" s="344"/>
      <c r="E815" s="729"/>
      <c r="F815" s="648"/>
      <c r="G815" s="566"/>
      <c r="H815" s="567"/>
      <c r="I815" s="568"/>
      <c r="J815" s="737"/>
      <c r="K815" s="737"/>
      <c r="O815" s="753"/>
    </row>
    <row r="816" spans="1:15">
      <c r="A816" s="344">
        <v>2</v>
      </c>
      <c r="B816" s="196"/>
      <c r="C816" s="587" t="s">
        <v>248</v>
      </c>
      <c r="D816" s="725" t="s">
        <v>1013</v>
      </c>
      <c r="E816" s="714" t="str">
        <f>'FR-16(7)(v)-1 Functional'!E816</f>
        <v>RB29</v>
      </c>
      <c r="F816" s="648">
        <v>1</v>
      </c>
      <c r="G816" s="566">
        <f>ROUND(IF($F$296=0,0,G296/$F$296),5)</f>
        <v>0</v>
      </c>
      <c r="H816" s="567">
        <f>ROUND(IF($F$296=0,0,H296/$F$296),5)</f>
        <v>0</v>
      </c>
      <c r="I816" s="568">
        <f>ROUND(IF($F$296=0,0,I296/$F$296),5)</f>
        <v>0</v>
      </c>
      <c r="J816" s="737">
        <f>SUM(G816:I816)</f>
        <v>0</v>
      </c>
      <c r="K816" s="737">
        <f>F816-J816</f>
        <v>1</v>
      </c>
      <c r="O816" s="755">
        <f>SUM(G816:I816)</f>
        <v>0</v>
      </c>
    </row>
    <row r="817" spans="1:15">
      <c r="A817" s="344">
        <v>3</v>
      </c>
      <c r="B817" s="196"/>
      <c r="C817" s="587" t="s">
        <v>249</v>
      </c>
      <c r="D817" s="725" t="s">
        <v>1013</v>
      </c>
      <c r="E817" s="714" t="str">
        <f>'FR-16(7)(v)-1 Functional'!E817</f>
        <v>RB99</v>
      </c>
      <c r="F817" s="648">
        <v>1</v>
      </c>
      <c r="G817" s="566">
        <f>ROUND(IF($F$331=0,0,G331/$F$331),5)</f>
        <v>0</v>
      </c>
      <c r="H817" s="567">
        <f>ROUND(IF($F$331=0,0,H331/$F$331),5)</f>
        <v>0</v>
      </c>
      <c r="I817" s="568">
        <f>ROUND(IF($F$331=0,0,I331/$F$331),5)</f>
        <v>0</v>
      </c>
      <c r="J817" s="737">
        <f>SUM(G817:I817)</f>
        <v>0</v>
      </c>
      <c r="K817" s="737">
        <f>F817-J817</f>
        <v>1</v>
      </c>
      <c r="O817" s="755">
        <f>SUM(G817:I817)</f>
        <v>0</v>
      </c>
    </row>
    <row r="818" spans="1:15">
      <c r="A818" s="344">
        <v>4</v>
      </c>
      <c r="B818" s="196"/>
      <c r="C818" s="587" t="s">
        <v>383</v>
      </c>
      <c r="D818" s="725" t="s">
        <v>1013</v>
      </c>
      <c r="E818" s="714" t="str">
        <f>'FR-16(7)(v)-1 Functional'!E818</f>
        <v>CW29</v>
      </c>
      <c r="F818" s="648">
        <v>0</v>
      </c>
      <c r="G818" s="811">
        <v>0</v>
      </c>
      <c r="H818" s="812">
        <v>0</v>
      </c>
      <c r="I818" s="813">
        <v>0</v>
      </c>
      <c r="J818" s="651">
        <f>SUM(G818:I818)</f>
        <v>0</v>
      </c>
      <c r="K818" s="651">
        <f>F818-J818</f>
        <v>0</v>
      </c>
      <c r="O818" s="755">
        <f>SUM(G818:I818)</f>
        <v>0</v>
      </c>
    </row>
    <row r="819" spans="1:15">
      <c r="A819" s="344">
        <v>5</v>
      </c>
      <c r="B819" s="635"/>
      <c r="C819" s="368"/>
      <c r="D819" s="585"/>
      <c r="E819" s="749"/>
      <c r="F819" s="650"/>
      <c r="G819" s="814"/>
      <c r="H819" s="815"/>
      <c r="I819" s="816"/>
      <c r="J819" s="637"/>
      <c r="K819" s="637"/>
      <c r="O819" s="753"/>
    </row>
    <row r="820" spans="1:15">
      <c r="A820" s="344">
        <v>6</v>
      </c>
      <c r="B820" s="597" t="s">
        <v>1021</v>
      </c>
      <c r="C820" s="634"/>
      <c r="D820" s="719"/>
      <c r="E820" s="745"/>
      <c r="F820" s="651"/>
      <c r="G820" s="817"/>
      <c r="H820" s="818"/>
      <c r="I820" s="819"/>
      <c r="J820" s="641"/>
      <c r="K820" s="641"/>
      <c r="O820" s="753"/>
    </row>
    <row r="821" spans="1:15">
      <c r="A821" s="344">
        <v>7</v>
      </c>
      <c r="B821" s="196"/>
      <c r="C821" s="587" t="s">
        <v>1016</v>
      </c>
      <c r="D821" s="725" t="s">
        <v>1013</v>
      </c>
      <c r="E821" s="714" t="str">
        <f>'FR-16(7)(v)-1 Functional'!E821</f>
        <v>P349</v>
      </c>
      <c r="F821" s="648">
        <v>1</v>
      </c>
      <c r="G821" s="566">
        <f>ROUND(IF($F$350=0,0,G350/$F$350),5)</f>
        <v>0</v>
      </c>
      <c r="H821" s="567">
        <f>ROUND(IF($F$350=0,0,H350/$F$350),5)</f>
        <v>0</v>
      </c>
      <c r="I821" s="568">
        <f>ROUND(IF($F$350=0,0,I350/$F$350),5)</f>
        <v>0</v>
      </c>
      <c r="J821" s="737">
        <f t="shared" ref="J821:J828" si="177">SUM(G821:I821)</f>
        <v>0</v>
      </c>
      <c r="K821" s="737">
        <f t="shared" ref="K821:K828" si="178">F821-J821</f>
        <v>1</v>
      </c>
      <c r="O821" s="755">
        <f>SUM(G821:I821)</f>
        <v>0</v>
      </c>
    </row>
    <row r="822" spans="1:15">
      <c r="A822" s="344">
        <v>8</v>
      </c>
      <c r="B822" s="196"/>
      <c r="C822" s="587" t="s">
        <v>264</v>
      </c>
      <c r="D822" s="725" t="s">
        <v>1013</v>
      </c>
      <c r="E822" s="714" t="str">
        <f>'FR-16(7)(v)-1 Functional'!E822</f>
        <v>P459</v>
      </c>
      <c r="F822" s="648">
        <v>1</v>
      </c>
      <c r="G822" s="566">
        <f>ROUND(IF($F$360=0,0,G360/$F$360),5)</f>
        <v>0</v>
      </c>
      <c r="H822" s="567">
        <f>ROUND(IF($F$360=0,0,H360/$F$360),5)</f>
        <v>0</v>
      </c>
      <c r="I822" s="568">
        <f>ROUND(IF($F$360=0,0,I360/$F$360),5)</f>
        <v>0</v>
      </c>
      <c r="J822" s="737">
        <f t="shared" si="177"/>
        <v>0</v>
      </c>
      <c r="K822" s="737">
        <f t="shared" si="178"/>
        <v>1</v>
      </c>
      <c r="O822" s="755">
        <f>SUM(G822:I822)</f>
        <v>0</v>
      </c>
    </row>
    <row r="823" spans="1:15">
      <c r="A823" s="344">
        <v>9</v>
      </c>
      <c r="B823" s="196"/>
      <c r="C823" s="587" t="s">
        <v>250</v>
      </c>
      <c r="D823" s="725" t="s">
        <v>1013</v>
      </c>
      <c r="E823" s="714" t="str">
        <f>'FR-16(7)(v)-1 Functional'!E823</f>
        <v>D349</v>
      </c>
      <c r="F823" s="648">
        <v>1</v>
      </c>
      <c r="G823" s="566">
        <f>ROUND(IF($F$378=0,0,G378/$F$378),5)</f>
        <v>0</v>
      </c>
      <c r="H823" s="567">
        <f>ROUND(IF($F$378=0,0,H378/$F$378),5)</f>
        <v>0</v>
      </c>
      <c r="I823" s="568">
        <f>1-SUM(G823:H823)</f>
        <v>1</v>
      </c>
      <c r="J823" s="737">
        <f t="shared" si="177"/>
        <v>1</v>
      </c>
      <c r="K823" s="737">
        <f t="shared" si="178"/>
        <v>0</v>
      </c>
      <c r="O823" s="755">
        <f>SUM(G823:I823)</f>
        <v>1</v>
      </c>
    </row>
    <row r="824" spans="1:15">
      <c r="A824" s="344">
        <v>10</v>
      </c>
      <c r="B824" s="196"/>
      <c r="C824" s="587" t="s">
        <v>251</v>
      </c>
      <c r="D824" s="725" t="s">
        <v>1013</v>
      </c>
      <c r="E824" s="714" t="str">
        <f>'FR-16(7)(v)-1 Functional'!E824</f>
        <v>CA19</v>
      </c>
      <c r="F824" s="648">
        <v>1</v>
      </c>
      <c r="G824" s="566">
        <f>ROUND(IF($F$389=0,0,G389/$F$389),5)</f>
        <v>0</v>
      </c>
      <c r="H824" s="567">
        <f>ROUND(IF($F$389=0,0,H389/$F$389),5)</f>
        <v>0</v>
      </c>
      <c r="I824" s="568">
        <f>1-SUM(G824:H824)</f>
        <v>1</v>
      </c>
      <c r="J824" s="737">
        <f t="shared" si="177"/>
        <v>1</v>
      </c>
      <c r="K824" s="737">
        <f t="shared" si="178"/>
        <v>0</v>
      </c>
      <c r="O824" s="755">
        <f>SUM(G824:I824)</f>
        <v>1</v>
      </c>
    </row>
    <row r="825" spans="1:15">
      <c r="A825" s="344">
        <v>11</v>
      </c>
      <c r="B825" s="196"/>
      <c r="C825" s="587" t="s">
        <v>1019</v>
      </c>
      <c r="D825" s="725" t="s">
        <v>1013</v>
      </c>
      <c r="E825" s="714" t="str">
        <f>'FR-16(7)(v)-1 Functional'!E825</f>
        <v>CS19</v>
      </c>
      <c r="F825" s="648">
        <v>1</v>
      </c>
      <c r="G825" s="566">
        <f>ROUND(IF($F$403=0,0,G403/$F$403),5)</f>
        <v>0</v>
      </c>
      <c r="H825" s="567">
        <f>ROUND(IF($F$403=0,0,H403/$F$403),5)</f>
        <v>0</v>
      </c>
      <c r="I825" s="568">
        <f>1-SUM(G825:H825)</f>
        <v>1</v>
      </c>
      <c r="J825" s="737">
        <f t="shared" si="177"/>
        <v>1</v>
      </c>
      <c r="K825" s="737">
        <f t="shared" si="178"/>
        <v>0</v>
      </c>
      <c r="O825" s="755"/>
    </row>
    <row r="826" spans="1:15">
      <c r="A826" s="344">
        <v>12</v>
      </c>
      <c r="B826" s="196"/>
      <c r="C826" s="587" t="s">
        <v>252</v>
      </c>
      <c r="D826" s="725" t="s">
        <v>1013</v>
      </c>
      <c r="E826" s="714" t="str">
        <f>'FR-16(7)(v)-1 Functional'!E826</f>
        <v>SE19</v>
      </c>
      <c r="F826" s="648">
        <v>1</v>
      </c>
      <c r="G826" s="566">
        <f>ROUND(IF($F$407=0,0,G407/$F$407),5)</f>
        <v>0</v>
      </c>
      <c r="H826" s="567">
        <f>ROUND(IF($F$407=0,0,H407/$F$407),5)</f>
        <v>0</v>
      </c>
      <c r="I826" s="568">
        <f>ROUND(IF($F$407=0,0,I407/$F$407),5)</f>
        <v>0</v>
      </c>
      <c r="J826" s="737">
        <f t="shared" si="177"/>
        <v>0</v>
      </c>
      <c r="K826" s="737">
        <f t="shared" si="178"/>
        <v>1</v>
      </c>
      <c r="O826" s="755">
        <f>SUM(G826:I826)</f>
        <v>0</v>
      </c>
    </row>
    <row r="827" spans="1:15">
      <c r="A827" s="344">
        <v>13</v>
      </c>
      <c r="B827" s="196"/>
      <c r="C827" s="587" t="s">
        <v>253</v>
      </c>
      <c r="D827" s="725" t="s">
        <v>1013</v>
      </c>
      <c r="E827" s="714" t="str">
        <f>'FR-16(7)(v)-1 Functional'!E827</f>
        <v>AG39</v>
      </c>
      <c r="F827" s="648">
        <v>1</v>
      </c>
      <c r="G827" s="566">
        <f>ROUND(IF($F$416=0,0,G416/$F$416),5)</f>
        <v>0</v>
      </c>
      <c r="H827" s="567">
        <f>ROUND(IF($F$416=0,0,H416/$F$416),5)</f>
        <v>0</v>
      </c>
      <c r="I827" s="568">
        <f>1-SUM(G827:H827)</f>
        <v>1</v>
      </c>
      <c r="J827" s="737">
        <f t="shared" si="177"/>
        <v>1</v>
      </c>
      <c r="K827" s="737">
        <f t="shared" si="178"/>
        <v>0</v>
      </c>
      <c r="O827" s="755">
        <f>SUM(G827:I827)</f>
        <v>1</v>
      </c>
    </row>
    <row r="828" spans="1:15">
      <c r="A828" s="344">
        <v>14</v>
      </c>
      <c r="B828" s="196"/>
      <c r="C828" s="587" t="s">
        <v>254</v>
      </c>
      <c r="D828" s="725" t="s">
        <v>1013</v>
      </c>
      <c r="E828" s="714" t="str">
        <f>'FR-16(7)(v)-1 Functional'!E828</f>
        <v>OM39</v>
      </c>
      <c r="F828" s="648">
        <v>1</v>
      </c>
      <c r="G828" s="566">
        <f>ROUND(IF($F$433=0,0,G433/$F$433),5)</f>
        <v>0</v>
      </c>
      <c r="H828" s="567">
        <f>ROUND(IF($F$433=0,0,H433/$F$433),5)</f>
        <v>0</v>
      </c>
      <c r="I828" s="568">
        <f>1-SUM(G828:H828)</f>
        <v>1</v>
      </c>
      <c r="J828" s="737">
        <f t="shared" si="177"/>
        <v>1</v>
      </c>
      <c r="K828" s="737">
        <f t="shared" si="178"/>
        <v>0</v>
      </c>
      <c r="O828" s="755">
        <f>SUM(G828:I828)</f>
        <v>1</v>
      </c>
    </row>
    <row r="829" spans="1:15">
      <c r="A829" s="344">
        <v>15</v>
      </c>
      <c r="B829" s="196"/>
      <c r="C829" s="196"/>
      <c r="D829" s="344"/>
      <c r="E829" s="729"/>
      <c r="F829" s="648"/>
      <c r="G829" s="566"/>
      <c r="H829" s="567"/>
      <c r="I829" s="568"/>
      <c r="J829" s="737"/>
      <c r="K829" s="737"/>
      <c r="O829" s="753"/>
    </row>
    <row r="830" spans="1:15">
      <c r="A830" s="344">
        <v>16</v>
      </c>
      <c r="B830" s="587" t="s">
        <v>97</v>
      </c>
      <c r="C830" s="196"/>
      <c r="D830" s="344"/>
      <c r="E830" s="729"/>
      <c r="F830" s="648"/>
      <c r="G830" s="566"/>
      <c r="H830" s="567"/>
      <c r="I830" s="568"/>
      <c r="J830" s="737"/>
      <c r="K830" s="737"/>
      <c r="O830" s="753"/>
    </row>
    <row r="831" spans="1:15">
      <c r="A831" s="344">
        <v>17</v>
      </c>
      <c r="B831" s="196"/>
      <c r="C831" s="587" t="s">
        <v>255</v>
      </c>
      <c r="D831" s="725" t="s">
        <v>1013</v>
      </c>
      <c r="E831" s="714" t="str">
        <f>'FR-16(7)(v)-1 Functional'!E831</f>
        <v>P489</v>
      </c>
      <c r="F831" s="648">
        <v>1</v>
      </c>
      <c r="G831" s="566">
        <f>ROUND(IF($F$447=0,0,G447/$F$447),5)</f>
        <v>0</v>
      </c>
      <c r="H831" s="567">
        <f>ROUND(IF($F$447=0,0,H447/$F$447),5)</f>
        <v>0</v>
      </c>
      <c r="I831" s="568">
        <f>ROUND(IF($F$447=0,0,I447/$F$447),5)</f>
        <v>0</v>
      </c>
      <c r="J831" s="737">
        <f>SUM(G831:I831)</f>
        <v>0</v>
      </c>
      <c r="K831" s="737">
        <f>F831-J831</f>
        <v>1</v>
      </c>
      <c r="O831" s="755">
        <f>SUM(G831:I831)</f>
        <v>0</v>
      </c>
    </row>
    <row r="832" spans="1:15">
      <c r="A832" s="344">
        <v>18</v>
      </c>
      <c r="B832" s="196"/>
      <c r="C832" s="587" t="s">
        <v>256</v>
      </c>
      <c r="D832" s="725" t="s">
        <v>1013</v>
      </c>
      <c r="E832" s="714" t="str">
        <f>'FR-16(7)(v)-1 Functional'!E832</f>
        <v>D489</v>
      </c>
      <c r="F832" s="648">
        <v>1</v>
      </c>
      <c r="G832" s="566">
        <f>ROUND(IF($F$454=0,0,G454/$F$454),5)</f>
        <v>0</v>
      </c>
      <c r="H832" s="567">
        <f>ROUND(IF($F$454=0,0,H454/$F$454),5)</f>
        <v>0</v>
      </c>
      <c r="I832" s="568">
        <f>1-SUM(G832:H832)</f>
        <v>1</v>
      </c>
      <c r="J832" s="737">
        <f>SUM(G832:I832)</f>
        <v>1</v>
      </c>
      <c r="K832" s="737">
        <f>F832-J832</f>
        <v>0</v>
      </c>
      <c r="O832" s="755">
        <f>SUM(G832:I832)</f>
        <v>1</v>
      </c>
    </row>
    <row r="833" spans="1:15">
      <c r="A833" s="344">
        <v>19</v>
      </c>
      <c r="B833" s="196"/>
      <c r="C833" s="587" t="s">
        <v>257</v>
      </c>
      <c r="D833" s="725" t="s">
        <v>1013</v>
      </c>
      <c r="E833" s="714" t="str">
        <f>'FR-16(7)(v)-1 Functional'!E833</f>
        <v>G489</v>
      </c>
      <c r="F833" s="648">
        <v>1</v>
      </c>
      <c r="G833" s="566">
        <f>ROUND(IF($F$458=0,0,G458/$F$458),5)</f>
        <v>0</v>
      </c>
      <c r="H833" s="567">
        <f>ROUND(IF($F$458=0,0,H458/$F$458),5)</f>
        <v>0</v>
      </c>
      <c r="I833" s="568">
        <f>1-SUM(G833:H833)</f>
        <v>1</v>
      </c>
      <c r="J833" s="737">
        <f>SUM(G833:I833)</f>
        <v>1</v>
      </c>
      <c r="K833" s="737">
        <f>F833-J833</f>
        <v>0</v>
      </c>
      <c r="O833" s="755">
        <f>SUM(G833:I833)</f>
        <v>1</v>
      </c>
    </row>
    <row r="834" spans="1:15">
      <c r="A834" s="344">
        <v>20</v>
      </c>
      <c r="B834" s="196"/>
      <c r="C834" s="587" t="s">
        <v>258</v>
      </c>
      <c r="D834" s="725" t="s">
        <v>1013</v>
      </c>
      <c r="E834" s="714" t="str">
        <f>'FR-16(7)(v)-1 Functional'!E834</f>
        <v>C489</v>
      </c>
      <c r="F834" s="648">
        <v>1</v>
      </c>
      <c r="G834" s="566">
        <f>ROUND(IF($F$462=0,0,G462/$F$462),5)</f>
        <v>0</v>
      </c>
      <c r="H834" s="567">
        <f>ROUND(IF($F$462=0,0,H462/$F$462),5)</f>
        <v>0</v>
      </c>
      <c r="I834" s="568">
        <f>1-SUM(G834:H834)</f>
        <v>1</v>
      </c>
      <c r="J834" s="737">
        <f>SUM(G834:I834)</f>
        <v>1</v>
      </c>
      <c r="K834" s="737">
        <f>F834-J834</f>
        <v>0</v>
      </c>
      <c r="O834" s="755">
        <f>SUM(G834:I834)</f>
        <v>1</v>
      </c>
    </row>
    <row r="835" spans="1:15">
      <c r="A835" s="344">
        <v>21</v>
      </c>
      <c r="B835" s="196"/>
      <c r="C835" s="587" t="s">
        <v>259</v>
      </c>
      <c r="D835" s="725" t="s">
        <v>1013</v>
      </c>
      <c r="E835" s="714" t="str">
        <f>'FR-16(7)(v)-1 Functional'!E835</f>
        <v>DE49</v>
      </c>
      <c r="F835" s="648">
        <v>1</v>
      </c>
      <c r="G835" s="566">
        <f>ROUND(IF($F$465=0,0,G465/$F$465),5)</f>
        <v>0</v>
      </c>
      <c r="H835" s="567">
        <f>ROUND(IF($F$465=0,0,H465/$F$465),5)</f>
        <v>0</v>
      </c>
      <c r="I835" s="568">
        <f>1-SUM(G835:H835)</f>
        <v>1</v>
      </c>
      <c r="J835" s="737">
        <f>SUM(G835:I835)</f>
        <v>1</v>
      </c>
      <c r="K835" s="737">
        <f>F835-J835</f>
        <v>0</v>
      </c>
      <c r="O835" s="755">
        <f>SUM(G835:I835)</f>
        <v>1</v>
      </c>
    </row>
    <row r="836" spans="1:15">
      <c r="A836" s="344">
        <v>22</v>
      </c>
      <c r="B836" s="196"/>
      <c r="C836" s="196"/>
      <c r="D836" s="344"/>
      <c r="E836" s="729"/>
      <c r="F836" s="652"/>
      <c r="G836" s="547"/>
      <c r="H836" s="537"/>
      <c r="I836" s="538"/>
      <c r="J836" s="532"/>
      <c r="K836" s="532"/>
      <c r="O836" s="753"/>
    </row>
    <row r="837" spans="1:15">
      <c r="A837" s="344">
        <v>23</v>
      </c>
      <c r="B837" s="587" t="s">
        <v>62</v>
      </c>
      <c r="C837" s="196"/>
      <c r="D837" s="344"/>
      <c r="E837" s="729"/>
      <c r="F837" s="493"/>
      <c r="G837" s="548"/>
      <c r="H837" s="539"/>
      <c r="I837" s="540"/>
      <c r="J837" s="670"/>
      <c r="K837" s="670"/>
      <c r="O837" s="753"/>
    </row>
    <row r="838" spans="1:15">
      <c r="A838" s="344">
        <v>24</v>
      </c>
      <c r="B838" s="196"/>
      <c r="C838" s="587" t="s">
        <v>260</v>
      </c>
      <c r="D838" s="725" t="s">
        <v>1013</v>
      </c>
      <c r="E838" s="714" t="str">
        <f>'FR-16(7)(v)-1 Functional'!E838</f>
        <v>L529</v>
      </c>
      <c r="F838" s="648">
        <v>1</v>
      </c>
      <c r="G838" s="566">
        <f>ROUND(IF($F$481=0,0,$G$481/$F$481),5)</f>
        <v>0</v>
      </c>
      <c r="H838" s="567">
        <f>ROUND(IF($F$481=0,0,$H$481/$F$481),5)</f>
        <v>0</v>
      </c>
      <c r="I838" s="568">
        <f>1-SUM(G838:H838)</f>
        <v>1</v>
      </c>
      <c r="J838" s="737">
        <f>SUM(G838:I838)</f>
        <v>1</v>
      </c>
      <c r="K838" s="737">
        <f>F838-J838</f>
        <v>0</v>
      </c>
      <c r="O838" s="755">
        <f>SUM(G838:I838)</f>
        <v>1</v>
      </c>
    </row>
    <row r="839" spans="1:15">
      <c r="A839" s="344">
        <v>25</v>
      </c>
      <c r="B839" s="196"/>
      <c r="C839" s="587" t="s">
        <v>261</v>
      </c>
      <c r="D839" s="725" t="s">
        <v>1013</v>
      </c>
      <c r="E839" s="714" t="str">
        <f>'FR-16(7)(v)-1 Functional'!E839</f>
        <v>L589</v>
      </c>
      <c r="F839" s="648">
        <v>1</v>
      </c>
      <c r="G839" s="566">
        <f>ROUND(IF($F$488=0,0,$G$488/$F$488),5)</f>
        <v>0</v>
      </c>
      <c r="H839" s="567">
        <f>ROUND(IF($F$488=0,0,$H$488/$F$488),5)</f>
        <v>0</v>
      </c>
      <c r="I839" s="568">
        <f>1-SUM(G839:H839)</f>
        <v>1</v>
      </c>
      <c r="J839" s="737">
        <f>SUM(G839:I839)</f>
        <v>1</v>
      </c>
      <c r="K839" s="737">
        <f>F839-J839</f>
        <v>0</v>
      </c>
      <c r="O839" s="755">
        <f>SUM(G839:I839)</f>
        <v>1</v>
      </c>
    </row>
    <row r="840" spans="1:15">
      <c r="A840" s="344">
        <v>26</v>
      </c>
      <c r="B840" s="196"/>
      <c r="C840" s="587" t="s">
        <v>262</v>
      </c>
      <c r="D840" s="725" t="s">
        <v>1013</v>
      </c>
      <c r="E840" s="714" t="str">
        <f>'FR-16(7)(v)-1 Functional'!E840</f>
        <v>L599</v>
      </c>
      <c r="F840" s="648">
        <v>1</v>
      </c>
      <c r="G840" s="566">
        <f>ROUND(IF($F$500=0,0,$G$500/$F$500),5)</f>
        <v>0</v>
      </c>
      <c r="H840" s="567">
        <f>ROUND(IF($F$500=0,0,$H$500/$F$500),5)</f>
        <v>0</v>
      </c>
      <c r="I840" s="568">
        <f>1-SUM(G840:H840)</f>
        <v>1</v>
      </c>
      <c r="J840" s="737">
        <f>SUM(G840:I840)</f>
        <v>1</v>
      </c>
      <c r="K840" s="737">
        <f>F840-J840</f>
        <v>0</v>
      </c>
      <c r="O840" s="755">
        <f>SUM(G840:I840)</f>
        <v>1</v>
      </c>
    </row>
    <row r="841" spans="1:15">
      <c r="A841" s="344">
        <v>27</v>
      </c>
      <c r="B841" s="196"/>
      <c r="C841" s="587" t="s">
        <v>263</v>
      </c>
      <c r="D841" s="725" t="s">
        <v>1013</v>
      </c>
      <c r="E841" s="714" t="str">
        <f>'FR-16(7)(v)-1 Functional'!E841</f>
        <v>OP69</v>
      </c>
      <c r="F841" s="648">
        <v>1</v>
      </c>
      <c r="G841" s="566">
        <f>ROUND(IF($F$501=0,0,$G$501/$F$501),5)</f>
        <v>0</v>
      </c>
      <c r="H841" s="567">
        <f>ROUND(IF($F$501=0,0,$H$501/$F$501),5)</f>
        <v>0</v>
      </c>
      <c r="I841" s="568">
        <f>1-SUM(G841:H841)</f>
        <v>1</v>
      </c>
      <c r="J841" s="737">
        <f>SUM(G841:I841)</f>
        <v>1</v>
      </c>
      <c r="K841" s="737">
        <f>F841-J841</f>
        <v>0</v>
      </c>
      <c r="O841" s="755">
        <f>SUM(G841:I841)</f>
        <v>1</v>
      </c>
    </row>
    <row r="842" spans="1:15">
      <c r="A842" s="344">
        <v>28</v>
      </c>
      <c r="B842" s="196"/>
      <c r="C842" s="196"/>
      <c r="D842" s="344"/>
      <c r="E842" s="729"/>
      <c r="F842" s="648"/>
      <c r="G842" s="566"/>
      <c r="H842" s="567"/>
      <c r="I842" s="568"/>
      <c r="J842" s="737"/>
      <c r="K842" s="737"/>
      <c r="O842" s="753"/>
    </row>
    <row r="843" spans="1:15">
      <c r="A843" s="344">
        <v>29</v>
      </c>
      <c r="B843" s="587" t="s">
        <v>1176</v>
      </c>
      <c r="C843" s="196"/>
      <c r="D843" s="344"/>
      <c r="E843" s="729"/>
      <c r="F843" s="648"/>
      <c r="G843" s="566"/>
      <c r="H843" s="567"/>
      <c r="I843" s="568"/>
      <c r="J843" s="737"/>
      <c r="K843" s="737"/>
      <c r="O843" s="753"/>
    </row>
    <row r="844" spans="1:15" ht="13.5" thickBot="1">
      <c r="A844" s="344">
        <v>30</v>
      </c>
      <c r="B844" s="196"/>
      <c r="C844" s="587" t="s">
        <v>1041</v>
      </c>
      <c r="D844" s="725" t="s">
        <v>1013</v>
      </c>
      <c r="E844" s="714" t="str">
        <f>'FR-16(7)(v)-1 Functional'!E844</f>
        <v>CS09</v>
      </c>
      <c r="F844" s="648">
        <v>1</v>
      </c>
      <c r="G844" s="575" t="e">
        <f ca="1">ROUND(IF($F$647=0,0,G647/$F$647),5)</f>
        <v>#N/A</v>
      </c>
      <c r="H844" s="576" t="e">
        <f ca="1">ROUND(IF($F$647=0,0,H647/$F$647),5)</f>
        <v>#N/A</v>
      </c>
      <c r="I844" s="577" t="e">
        <f ca="1">1-SUM(G844:H844)</f>
        <v>#N/A</v>
      </c>
      <c r="J844" s="739" t="e">
        <f ca="1">SUM(G844:I844)</f>
        <v>#N/A</v>
      </c>
      <c r="K844" s="737" t="e">
        <f ca="1">F844-J844</f>
        <v>#N/A</v>
      </c>
      <c r="O844" s="760" t="e">
        <f ca="1">SUM(G844:I844)</f>
        <v>#N/A</v>
      </c>
    </row>
    <row r="848" spans="1:15">
      <c r="A848" s="344">
        <v>1</v>
      </c>
      <c r="B848" s="617" t="s">
        <v>91</v>
      </c>
      <c r="C848" s="618"/>
      <c r="D848" s="727"/>
      <c r="E848" s="720"/>
      <c r="F848" s="350"/>
      <c r="G848" s="347"/>
      <c r="J848" s="353"/>
      <c r="K848" s="353"/>
    </row>
    <row r="849" spans="1:11">
      <c r="A849" s="344">
        <v>2</v>
      </c>
      <c r="B849" s="619"/>
      <c r="C849" s="620" t="s">
        <v>227</v>
      </c>
      <c r="D849" s="728"/>
      <c r="E849" s="721" t="s">
        <v>297</v>
      </c>
      <c r="F849" s="477">
        <f>ROUND(0.06889*0,0)</f>
        <v>0</v>
      </c>
      <c r="G849" s="615">
        <f t="shared" ref="G849:G854" si="179">ROUND(F849*VLOOKUP(E849,AllocTable_Classified_Storage,$H$10,FALSE),0)</f>
        <v>0</v>
      </c>
      <c r="H849" s="615">
        <f t="shared" ref="H849:H854" si="180">ROUND(F849*VLOOKUP(E849,AllocTable_Classified_Storage,$H$10,FALSE),0)</f>
        <v>0</v>
      </c>
      <c r="I849" s="615">
        <f t="shared" ref="I849:I854" si="181">ROUND(F849*VLOOKUP(E849,AllocTable_Classified_Storage,$I$10,FALSE),0)</f>
        <v>0</v>
      </c>
      <c r="J849" s="737">
        <f t="shared" ref="J849:J854" si="182">SUM(G849:I849)</f>
        <v>0</v>
      </c>
      <c r="K849" s="737">
        <f t="shared" ref="K849:K854" si="183">F849-J849</f>
        <v>0</v>
      </c>
    </row>
    <row r="850" spans="1:11">
      <c r="A850" s="344">
        <v>3</v>
      </c>
      <c r="B850" s="618"/>
      <c r="C850" s="293" t="s">
        <v>228</v>
      </c>
      <c r="D850" s="722"/>
      <c r="E850" s="722" t="s">
        <v>300</v>
      </c>
      <c r="F850" s="494">
        <v>0</v>
      </c>
      <c r="G850" s="615" t="e">
        <f t="shared" ca="1" si="179"/>
        <v>#N/A</v>
      </c>
      <c r="H850" s="615" t="e">
        <f t="shared" ca="1" si="180"/>
        <v>#N/A</v>
      </c>
      <c r="I850" s="615" t="e">
        <f t="shared" ca="1" si="181"/>
        <v>#N/A</v>
      </c>
      <c r="J850" s="737" t="e">
        <f t="shared" ca="1" si="182"/>
        <v>#N/A</v>
      </c>
      <c r="K850" s="737" t="e">
        <f t="shared" ca="1" si="183"/>
        <v>#N/A</v>
      </c>
    </row>
    <row r="851" spans="1:11">
      <c r="A851" s="344">
        <v>4</v>
      </c>
      <c r="B851" s="618"/>
      <c r="C851" s="293" t="s">
        <v>428</v>
      </c>
      <c r="D851" s="722"/>
      <c r="E851" s="722" t="s">
        <v>300</v>
      </c>
      <c r="F851" s="494">
        <v>0</v>
      </c>
      <c r="G851" s="615" t="e">
        <f t="shared" ca="1" si="179"/>
        <v>#N/A</v>
      </c>
      <c r="H851" s="615" t="e">
        <f t="shared" ca="1" si="180"/>
        <v>#N/A</v>
      </c>
      <c r="I851" s="615" t="e">
        <f t="shared" ca="1" si="181"/>
        <v>#N/A</v>
      </c>
      <c r="J851" s="737" t="e">
        <f t="shared" ca="1" si="182"/>
        <v>#N/A</v>
      </c>
      <c r="K851" s="737" t="e">
        <f t="shared" ca="1" si="183"/>
        <v>#N/A</v>
      </c>
    </row>
    <row r="852" spans="1:11">
      <c r="A852" s="344">
        <v>5</v>
      </c>
      <c r="B852" s="618"/>
      <c r="C852" s="293" t="s">
        <v>423</v>
      </c>
      <c r="D852" s="722" t="s">
        <v>343</v>
      </c>
      <c r="E852" s="722" t="s">
        <v>290</v>
      </c>
      <c r="F852" s="494">
        <v>0</v>
      </c>
      <c r="G852" s="615">
        <f t="shared" si="179"/>
        <v>0</v>
      </c>
      <c r="H852" s="615">
        <f t="shared" si="180"/>
        <v>0</v>
      </c>
      <c r="I852" s="615">
        <f t="shared" si="181"/>
        <v>0</v>
      </c>
      <c r="J852" s="737">
        <f t="shared" si="182"/>
        <v>0</v>
      </c>
      <c r="K852" s="737">
        <f t="shared" si="183"/>
        <v>0</v>
      </c>
    </row>
    <row r="853" spans="1:11">
      <c r="A853" s="344">
        <v>6</v>
      </c>
      <c r="B853" s="618"/>
      <c r="C853" s="293" t="s">
        <v>409</v>
      </c>
      <c r="D853" s="722"/>
      <c r="E853" s="722" t="s">
        <v>295</v>
      </c>
      <c r="F853" s="494">
        <v>0</v>
      </c>
      <c r="G853" s="615">
        <f t="shared" si="179"/>
        <v>0</v>
      </c>
      <c r="H853" s="615">
        <f t="shared" si="180"/>
        <v>0</v>
      </c>
      <c r="I853" s="615">
        <f t="shared" si="181"/>
        <v>0</v>
      </c>
      <c r="J853" s="737">
        <f t="shared" si="182"/>
        <v>0</v>
      </c>
      <c r="K853" s="737">
        <f t="shared" si="183"/>
        <v>0</v>
      </c>
    </row>
    <row r="854" spans="1:11">
      <c r="A854" s="344">
        <v>7</v>
      </c>
      <c r="B854" s="618"/>
      <c r="C854" s="293" t="s">
        <v>424</v>
      </c>
      <c r="D854" s="722" t="s">
        <v>343</v>
      </c>
      <c r="E854" s="722" t="s">
        <v>315</v>
      </c>
      <c r="F854" s="494">
        <v>0</v>
      </c>
      <c r="G854" s="615">
        <f t="shared" si="179"/>
        <v>0</v>
      </c>
      <c r="H854" s="615">
        <f t="shared" si="180"/>
        <v>0</v>
      </c>
      <c r="I854" s="615">
        <f t="shared" si="181"/>
        <v>0</v>
      </c>
      <c r="J854" s="737">
        <f t="shared" si="182"/>
        <v>0</v>
      </c>
      <c r="K854" s="737">
        <f t="shared" si="183"/>
        <v>0</v>
      </c>
    </row>
    <row r="855" spans="1:11">
      <c r="A855" s="344">
        <v>8</v>
      </c>
      <c r="C855" s="488" t="s">
        <v>229</v>
      </c>
      <c r="D855" s="589" t="s">
        <v>285</v>
      </c>
      <c r="E855" s="333"/>
      <c r="F855" s="348">
        <f t="shared" ref="F855:K855" si="184">SUM(F849:F854)</f>
        <v>0</v>
      </c>
      <c r="G855" s="348" t="e">
        <f t="shared" ca="1" si="184"/>
        <v>#N/A</v>
      </c>
      <c r="H855" s="348" t="e">
        <f t="shared" ca="1" si="184"/>
        <v>#N/A</v>
      </c>
      <c r="I855" s="348" t="e">
        <f t="shared" ca="1" si="184"/>
        <v>#N/A</v>
      </c>
      <c r="J855" s="348" t="e">
        <f t="shared" ca="1" si="184"/>
        <v>#N/A</v>
      </c>
      <c r="K855" s="348" t="e">
        <f t="shared" ca="1" si="184"/>
        <v>#N/A</v>
      </c>
    </row>
    <row r="861" spans="1:11" ht="20.25">
      <c r="A861" s="1192" t="s">
        <v>1215</v>
      </c>
    </row>
    <row r="863" spans="1:11">
      <c r="A863" s="344" t="s">
        <v>914</v>
      </c>
      <c r="B863" s="196"/>
      <c r="C863" s="196"/>
      <c r="D863" s="344"/>
      <c r="E863" s="196"/>
      <c r="F863" s="344" t="str">
        <f>$F$8</f>
        <v>TOTAL</v>
      </c>
      <c r="G863" s="545" t="s">
        <v>1005</v>
      </c>
      <c r="H863" s="533"/>
      <c r="I863" s="534"/>
      <c r="J863" s="344" t="s">
        <v>229</v>
      </c>
      <c r="K863" s="344" t="s">
        <v>342</v>
      </c>
    </row>
    <row r="864" spans="1:11">
      <c r="A864" s="346" t="s">
        <v>915</v>
      </c>
      <c r="B864" s="345" t="s">
        <v>99</v>
      </c>
      <c r="C864" s="345"/>
      <c r="D864" s="346" t="s">
        <v>337</v>
      </c>
      <c r="E864" s="345"/>
      <c r="F864" s="346" t="str">
        <f>$F$9</f>
        <v>STORAGE</v>
      </c>
      <c r="G864" s="546" t="s">
        <v>847</v>
      </c>
      <c r="H864" s="535" t="s">
        <v>848</v>
      </c>
      <c r="I864" s="536" t="s">
        <v>849</v>
      </c>
      <c r="J864" s="346" t="s">
        <v>341</v>
      </c>
      <c r="K864" s="346" t="s">
        <v>340</v>
      </c>
    </row>
    <row r="865" spans="1:11">
      <c r="B865" s="196"/>
      <c r="C865" s="578" t="s">
        <v>4</v>
      </c>
      <c r="D865" s="344"/>
      <c r="E865" s="196"/>
      <c r="G865" s="800">
        <f>$G$10</f>
        <v>3</v>
      </c>
      <c r="H865" s="801">
        <f>$H$10</f>
        <v>4</v>
      </c>
      <c r="I865" s="802">
        <f>$I$10</f>
        <v>5</v>
      </c>
    </row>
    <row r="866" spans="1:11">
      <c r="A866" s="333">
        <v>1</v>
      </c>
      <c r="B866" s="332" t="s">
        <v>100</v>
      </c>
      <c r="D866" s="344"/>
      <c r="E866" s="196"/>
      <c r="G866" s="547"/>
      <c r="H866" s="537"/>
      <c r="I866" s="538"/>
    </row>
    <row r="867" spans="1:11">
      <c r="A867" s="333">
        <v>2</v>
      </c>
      <c r="C867" s="332" t="str">
        <f>'FR-16(7)(v)-1 Functional'!C867</f>
        <v>TOTAL GAS COST OF SERVICE</v>
      </c>
      <c r="D867" s="344"/>
      <c r="E867" s="196"/>
      <c r="F867" s="347">
        <f t="shared" ref="F867:K867" si="185">F647</f>
        <v>242825</v>
      </c>
      <c r="G867" s="548" t="e">
        <f t="shared" ca="1" si="185"/>
        <v>#N/A</v>
      </c>
      <c r="H867" s="539" t="e">
        <f t="shared" ca="1" si="185"/>
        <v>#N/A</v>
      </c>
      <c r="I867" s="540" t="e">
        <f t="shared" ca="1" si="185"/>
        <v>#N/A</v>
      </c>
      <c r="J867" s="347" t="e">
        <f t="shared" ca="1" si="185"/>
        <v>#N/A</v>
      </c>
      <c r="K867" s="347" t="e">
        <f t="shared" si="185"/>
        <v>#N/A</v>
      </c>
    </row>
    <row r="868" spans="1:11">
      <c r="A868" s="333">
        <v>3</v>
      </c>
      <c r="C868" s="359" t="str">
        <f>'FR-16(7)(v)-1 Functional'!C868</f>
        <v>TOTAL OTHER OPERATING REVENUES</v>
      </c>
      <c r="D868" s="344"/>
      <c r="E868" s="196"/>
      <c r="F868" s="347">
        <f>F630</f>
        <v>0</v>
      </c>
      <c r="G868" s="548">
        <f>$G$630</f>
        <v>0</v>
      </c>
      <c r="H868" s="539">
        <f>$H$630</f>
        <v>0</v>
      </c>
      <c r="I868" s="540">
        <f>$I$630</f>
        <v>0</v>
      </c>
      <c r="J868" s="347">
        <f>$J$630</f>
        <v>0</v>
      </c>
      <c r="K868" s="347">
        <f>$K$630</f>
        <v>0</v>
      </c>
    </row>
    <row r="869" spans="1:11">
      <c r="A869" s="333">
        <v>4</v>
      </c>
      <c r="C869" s="332" t="str">
        <f>'FR-16(7)(v)-1 Functional'!C869</f>
        <v xml:space="preserve">  TOTAL GAS REVENUE</v>
      </c>
      <c r="D869" s="344"/>
      <c r="E869" s="196"/>
      <c r="F869" s="348">
        <f t="shared" ref="F869:K869" si="186">SUM(F866:F868)</f>
        <v>242825</v>
      </c>
      <c r="G869" s="549" t="e">
        <f t="shared" ca="1" si="186"/>
        <v>#N/A</v>
      </c>
      <c r="H869" s="541" t="e">
        <f t="shared" ca="1" si="186"/>
        <v>#N/A</v>
      </c>
      <c r="I869" s="542" t="e">
        <f t="shared" ca="1" si="186"/>
        <v>#N/A</v>
      </c>
      <c r="J869" s="348" t="e">
        <f t="shared" ca="1" si="186"/>
        <v>#N/A</v>
      </c>
      <c r="K869" s="348" t="e">
        <f t="shared" si="186"/>
        <v>#N/A</v>
      </c>
    </row>
    <row r="870" spans="1:11">
      <c r="A870" s="333">
        <v>5</v>
      </c>
      <c r="C870" s="332" t="str">
        <f>'FR-16(7)(v)-1 Functional'!C870</f>
        <v>TOTAL OP EXP EX INC &amp; REV TAX</v>
      </c>
      <c r="D870" s="344"/>
      <c r="E870" s="196"/>
      <c r="F870" s="347">
        <f>-F501</f>
        <v>0</v>
      </c>
      <c r="G870" s="548">
        <f>-$G$501</f>
        <v>0</v>
      </c>
      <c r="H870" s="539">
        <f>-$H$501</f>
        <v>0</v>
      </c>
      <c r="I870" s="540">
        <f>-$I$501</f>
        <v>0</v>
      </c>
      <c r="J870" s="512">
        <f>-$J$501</f>
        <v>0</v>
      </c>
      <c r="K870" s="347">
        <f>-$K$501</f>
        <v>0</v>
      </c>
    </row>
    <row r="871" spans="1:11">
      <c r="A871" s="333">
        <v>6</v>
      </c>
      <c r="C871" s="359" t="str">
        <f>'FR-16(7)(v)-1 Functional'!C871</f>
        <v>FIRM SERVICE REVENUE TAX</v>
      </c>
      <c r="D871" s="344"/>
      <c r="E871" s="196"/>
      <c r="F871" s="347">
        <f>-ROUND(F694*F867,0)</f>
        <v>0</v>
      </c>
      <c r="G871" s="548" t="e">
        <f ca="1">-ROUND(G694*G867,0)</f>
        <v>#N/A</v>
      </c>
      <c r="H871" s="539" t="e">
        <f ca="1">-ROUND(H694*H867,0)</f>
        <v>#N/A</v>
      </c>
      <c r="I871" s="540" t="e">
        <f ca="1">-ROUND(I694*I867,0)</f>
        <v>#N/A</v>
      </c>
      <c r="J871" s="510" t="e">
        <f ca="1">SUM(G871:I871)</f>
        <v>#N/A</v>
      </c>
      <c r="K871" s="347" t="e">
        <f>-ROUND('FR-16(7)(v)-1 Functional'!K694*K867,0)</f>
        <v>#N/A</v>
      </c>
    </row>
    <row r="872" spans="1:11">
      <c r="A872" s="333">
        <v>7</v>
      </c>
      <c r="C872" s="332" t="str">
        <f>'FR-16(7)(v)-1 Functional'!C872</f>
        <v xml:space="preserve">  NET INCOME</v>
      </c>
      <c r="D872" s="344"/>
      <c r="E872" s="196"/>
      <c r="F872" s="348">
        <f>SUM(F869:F871)</f>
        <v>242825</v>
      </c>
      <c r="G872" s="549" t="e">
        <f ca="1">SUM(G869:G871)</f>
        <v>#N/A</v>
      </c>
      <c r="H872" s="541" t="e">
        <f ca="1">SUM(H869:H871)</f>
        <v>#N/A</v>
      </c>
      <c r="I872" s="542" t="e">
        <f ca="1">SUM(I869:I871)</f>
        <v>#N/A</v>
      </c>
      <c r="J872" s="348" t="e">
        <f ca="1">SUM(G872:I872)</f>
        <v>#N/A</v>
      </c>
      <c r="K872" s="348" t="e">
        <f>SUM(K869:K871)</f>
        <v>#N/A</v>
      </c>
    </row>
    <row r="873" spans="1:11">
      <c r="A873" s="333">
        <v>8</v>
      </c>
      <c r="D873" s="344"/>
      <c r="E873" s="196"/>
      <c r="G873" s="547"/>
      <c r="H873" s="537"/>
      <c r="I873" s="538"/>
    </row>
    <row r="874" spans="1:11">
      <c r="A874" s="333">
        <v>9</v>
      </c>
      <c r="B874" s="332" t="s">
        <v>101</v>
      </c>
      <c r="D874" s="344"/>
      <c r="E874" s="196"/>
      <c r="G874" s="547"/>
      <c r="H874" s="537"/>
      <c r="I874" s="538"/>
    </row>
    <row r="875" spans="1:11">
      <c r="A875" s="333">
        <v>10</v>
      </c>
      <c r="C875" s="332" t="str">
        <f>'FR-16(7)(v)-1 Functional'!C875</f>
        <v>TOTAL INTEREST EXPENSE</v>
      </c>
      <c r="D875" s="344"/>
      <c r="E875" s="196"/>
      <c r="F875" s="347">
        <f>-F516</f>
        <v>0</v>
      </c>
      <c r="G875" s="548">
        <f>-$G$516</f>
        <v>0</v>
      </c>
      <c r="H875" s="539">
        <f>-$H$516</f>
        <v>0</v>
      </c>
      <c r="I875" s="540">
        <f>-$I$516</f>
        <v>0</v>
      </c>
      <c r="J875" s="347">
        <f>-$J$516</f>
        <v>0</v>
      </c>
      <c r="K875" s="347">
        <f>-$K$516</f>
        <v>0</v>
      </c>
    </row>
    <row r="876" spans="1:11">
      <c r="A876" s="333">
        <v>11</v>
      </c>
      <c r="C876" s="359" t="str">
        <f>'FR-16(7)(v)-1 Functional'!C876</f>
        <v>TOTAL OTHER DEDUCTIONS</v>
      </c>
      <c r="D876" s="344"/>
      <c r="E876" s="196"/>
      <c r="F876" s="347">
        <f>-F522</f>
        <v>0</v>
      </c>
      <c r="G876" s="548">
        <f>-$G$522</f>
        <v>0</v>
      </c>
      <c r="H876" s="539">
        <f>-$H$522</f>
        <v>0</v>
      </c>
      <c r="I876" s="540">
        <f>-$I$522</f>
        <v>0</v>
      </c>
      <c r="J876" s="347">
        <f>-$J$522</f>
        <v>0</v>
      </c>
      <c r="K876" s="347">
        <f>-$K$522</f>
        <v>0</v>
      </c>
    </row>
    <row r="877" spans="1:11">
      <c r="A877" s="333">
        <v>12</v>
      </c>
      <c r="C877" s="332" t="str">
        <f>'FR-16(7)(v)-1 Functional'!C877</f>
        <v xml:space="preserve">  PRELIMINARY TAXABLE INCOME</v>
      </c>
      <c r="D877" s="344"/>
      <c r="E877" s="196"/>
      <c r="F877" s="348">
        <f>SUM(F874:F876)+F872</f>
        <v>242825</v>
      </c>
      <c r="G877" s="549" t="e">
        <f ca="1">SUM(G874:G876)+G872</f>
        <v>#N/A</v>
      </c>
      <c r="H877" s="541" t="e">
        <f ca="1">SUM(H874:H876)+H872</f>
        <v>#N/A</v>
      </c>
      <c r="I877" s="542" t="e">
        <f ca="1">SUM(I874:I876)+I872</f>
        <v>#N/A</v>
      </c>
      <c r="J877" s="348" t="e">
        <f ca="1">SUM(G877:I877)</f>
        <v>#N/A</v>
      </c>
      <c r="K877" s="348" t="e">
        <f>SUM(K874:K876)+K872</f>
        <v>#N/A</v>
      </c>
    </row>
    <row r="878" spans="1:11">
      <c r="A878" s="333">
        <v>13</v>
      </c>
      <c r="D878" s="344"/>
      <c r="E878" s="196"/>
      <c r="G878" s="547"/>
      <c r="H878" s="537"/>
      <c r="I878" s="538"/>
    </row>
    <row r="879" spans="1:11">
      <c r="A879" s="333">
        <v>14</v>
      </c>
      <c r="B879" s="332" t="s">
        <v>99</v>
      </c>
      <c r="D879" s="344"/>
      <c r="E879" s="196"/>
      <c r="G879" s="547"/>
      <c r="H879" s="537"/>
      <c r="I879" s="538"/>
    </row>
    <row r="880" spans="1:11">
      <c r="A880" s="333">
        <v>15</v>
      </c>
      <c r="B880" s="332" t="s">
        <v>74</v>
      </c>
      <c r="D880" s="344"/>
      <c r="E880" s="196"/>
      <c r="G880" s="547"/>
      <c r="H880" s="537"/>
      <c r="I880" s="538"/>
    </row>
    <row r="881" spans="1:11">
      <c r="A881" s="333">
        <v>16</v>
      </c>
      <c r="C881" s="332" t="str">
        <f>'FR-16(7)(v)-1 Functional'!C881</f>
        <v>PRELIMINARY TAXABLE INCOME</v>
      </c>
      <c r="D881" s="344"/>
      <c r="E881" s="196"/>
      <c r="F881" s="347">
        <f t="shared" ref="F881:K881" si="187">F877</f>
        <v>242825</v>
      </c>
      <c r="G881" s="548" t="e">
        <f t="shared" ca="1" si="187"/>
        <v>#N/A</v>
      </c>
      <c r="H881" s="539" t="e">
        <f t="shared" ca="1" si="187"/>
        <v>#N/A</v>
      </c>
      <c r="I881" s="540" t="e">
        <f t="shared" ca="1" si="187"/>
        <v>#N/A</v>
      </c>
      <c r="J881" s="347" t="e">
        <f t="shared" ca="1" si="187"/>
        <v>#N/A</v>
      </c>
      <c r="K881" s="347" t="e">
        <f t="shared" si="187"/>
        <v>#N/A</v>
      </c>
    </row>
    <row r="882" spans="1:11">
      <c r="A882" s="333">
        <v>17</v>
      </c>
      <c r="C882" s="332" t="str">
        <f>'FR-16(7)(v)-1 Functional'!C882</f>
        <v xml:space="preserve">  NET FEDERAL TAXABLE INCOME</v>
      </c>
      <c r="D882" s="344"/>
      <c r="E882" s="196"/>
      <c r="F882" s="347">
        <f t="shared" ref="F882:K882" si="188">SUM(F881:F881)</f>
        <v>242825</v>
      </c>
      <c r="G882" s="548" t="e">
        <f t="shared" ca="1" si="188"/>
        <v>#N/A</v>
      </c>
      <c r="H882" s="539" t="e">
        <f t="shared" ca="1" si="188"/>
        <v>#N/A</v>
      </c>
      <c r="I882" s="540" t="e">
        <f t="shared" ca="1" si="188"/>
        <v>#N/A</v>
      </c>
      <c r="J882" s="347" t="e">
        <f t="shared" ca="1" si="188"/>
        <v>#N/A</v>
      </c>
      <c r="K882" s="347" t="e">
        <f t="shared" si="188"/>
        <v>#N/A</v>
      </c>
    </row>
    <row r="883" spans="1:11">
      <c r="A883" s="333">
        <v>18</v>
      </c>
      <c r="C883" s="332" t="str">
        <f>'FR-16(7)(v)-1 Functional'!C883</f>
        <v xml:space="preserve">  FEDERAL INCOME TAX RATE</v>
      </c>
      <c r="D883" s="344"/>
      <c r="E883" s="196"/>
      <c r="F883" s="350">
        <f>F692</f>
        <v>0.35</v>
      </c>
      <c r="G883" s="566">
        <f>G692</f>
        <v>0.21</v>
      </c>
      <c r="H883" s="567">
        <f>H692</f>
        <v>0.21</v>
      </c>
      <c r="I883" s="568">
        <f>I692</f>
        <v>0.21</v>
      </c>
      <c r="J883" s="350"/>
      <c r="K883" s="350">
        <f>'FR-16(7)(v)-1 Functional'!K692</f>
        <v>0.21</v>
      </c>
    </row>
    <row r="884" spans="1:11">
      <c r="A884" s="333">
        <v>19</v>
      </c>
      <c r="C884" s="332" t="str">
        <f>'FR-16(7)(v)-1 Functional'!C884</f>
        <v>PRELIMINARY FIT = FI01 * K190</v>
      </c>
      <c r="D884" s="344"/>
      <c r="E884" s="196"/>
      <c r="F884" s="347">
        <f>ROUND(F883*F882,0)</f>
        <v>84989</v>
      </c>
      <c r="G884" s="548" t="e">
        <f ca="1">ROUND(G883*G882,0)</f>
        <v>#N/A</v>
      </c>
      <c r="H884" s="539" t="e">
        <f ca="1">ROUND(H883*H882,0)</f>
        <v>#N/A</v>
      </c>
      <c r="I884" s="540" t="e">
        <f ca="1">ROUND(I883*I882,0)</f>
        <v>#N/A</v>
      </c>
      <c r="J884" s="347" t="e">
        <f ca="1">SUM(G884:I884)</f>
        <v>#N/A</v>
      </c>
      <c r="K884" s="347" t="e">
        <f>ROUND(K883*K882,0)</f>
        <v>#N/A</v>
      </c>
    </row>
    <row r="885" spans="1:11">
      <c r="A885" s="333">
        <v>20</v>
      </c>
      <c r="C885" s="332" t="str">
        <f>'FR-16(7)(v)-1 Functional'!C885</f>
        <v>TOTAL FED DEF IT (410 &amp; 411)</v>
      </c>
      <c r="D885" s="344"/>
      <c r="E885" s="196"/>
      <c r="F885" s="347">
        <f>F532</f>
        <v>0</v>
      </c>
      <c r="G885" s="548">
        <f>$G$532</f>
        <v>0</v>
      </c>
      <c r="H885" s="539">
        <f>$H$532</f>
        <v>0</v>
      </c>
      <c r="I885" s="540">
        <f>$I$532</f>
        <v>0</v>
      </c>
      <c r="J885" s="347">
        <f>$J$532</f>
        <v>0</v>
      </c>
      <c r="K885" s="347">
        <f>$K$532</f>
        <v>0</v>
      </c>
    </row>
    <row r="886" spans="1:11">
      <c r="A886" s="333">
        <v>21</v>
      </c>
      <c r="C886" s="359" t="str">
        <f>'FR-16(7)(v)-1 Functional'!C886</f>
        <v>TOTAL AMORTIZED ITC</v>
      </c>
      <c r="D886" s="344"/>
      <c r="E886" s="196"/>
      <c r="F886" s="347">
        <f>-F536</f>
        <v>0</v>
      </c>
      <c r="G886" s="548">
        <f>-$G$536</f>
        <v>0</v>
      </c>
      <c r="H886" s="539">
        <f>-$H$536</f>
        <v>0</v>
      </c>
      <c r="I886" s="540">
        <f>-$I$536</f>
        <v>0</v>
      </c>
      <c r="J886" s="347">
        <f>-$J$536</f>
        <v>0</v>
      </c>
      <c r="K886" s="347">
        <f>-$K$536</f>
        <v>0</v>
      </c>
    </row>
    <row r="887" spans="1:11">
      <c r="A887" s="333">
        <v>22</v>
      </c>
      <c r="C887" s="332" t="str">
        <f>'FR-16(7)(v)-1 Functional'!C887</f>
        <v xml:space="preserve">  NET FED INC TAX ALLOWABLE</v>
      </c>
      <c r="D887" s="344"/>
      <c r="E887" s="196"/>
      <c r="F887" s="348">
        <f t="shared" ref="F887:K887" si="189">SUM(F884:F886)</f>
        <v>84989</v>
      </c>
      <c r="G887" s="549" t="e">
        <f t="shared" ca="1" si="189"/>
        <v>#N/A</v>
      </c>
      <c r="H887" s="541" t="e">
        <f t="shared" ca="1" si="189"/>
        <v>#N/A</v>
      </c>
      <c r="I887" s="542" t="e">
        <f t="shared" ca="1" si="189"/>
        <v>#N/A</v>
      </c>
      <c r="J887" s="348" t="e">
        <f t="shared" ca="1" si="189"/>
        <v>#N/A</v>
      </c>
      <c r="K887" s="348" t="e">
        <f t="shared" si="189"/>
        <v>#N/A</v>
      </c>
    </row>
    <row r="888" spans="1:11">
      <c r="A888" s="333">
        <v>23</v>
      </c>
      <c r="D888" s="344"/>
      <c r="E888" s="196"/>
      <c r="G888" s="547"/>
      <c r="H888" s="537"/>
      <c r="I888" s="538"/>
    </row>
    <row r="889" spans="1:11">
      <c r="A889" s="333">
        <v>24</v>
      </c>
      <c r="B889" s="332" t="s">
        <v>75</v>
      </c>
      <c r="D889" s="344"/>
      <c r="E889" s="196"/>
      <c r="G889" s="547"/>
      <c r="H889" s="537"/>
      <c r="I889" s="538"/>
    </row>
    <row r="890" spans="1:11">
      <c r="A890" s="333">
        <v>25</v>
      </c>
      <c r="C890" s="332" t="str">
        <f>'FR-16(7)(v)-1 Functional'!C890</f>
        <v>PRELIM FIT</v>
      </c>
      <c r="D890" s="344"/>
      <c r="E890" s="196"/>
      <c r="F890" s="347">
        <f t="shared" ref="F890:K890" si="190">F884</f>
        <v>84989</v>
      </c>
      <c r="G890" s="548" t="e">
        <f t="shared" ca="1" si="190"/>
        <v>#N/A</v>
      </c>
      <c r="H890" s="539" t="e">
        <f t="shared" ca="1" si="190"/>
        <v>#N/A</v>
      </c>
      <c r="I890" s="540" t="e">
        <f t="shared" ca="1" si="190"/>
        <v>#N/A</v>
      </c>
      <c r="J890" s="347" t="e">
        <f t="shared" ca="1" si="190"/>
        <v>#N/A</v>
      </c>
      <c r="K890" s="347" t="e">
        <f t="shared" si="190"/>
        <v>#N/A</v>
      </c>
    </row>
    <row r="891" spans="1:11">
      <c r="A891" s="333">
        <v>26</v>
      </c>
      <c r="C891" s="359" t="str">
        <f>'FR-16(7)(v)-1 Functional'!C891</f>
        <v>TEST YEAR INV TAX CREDIT</v>
      </c>
      <c r="D891" s="344"/>
      <c r="E891" s="196"/>
      <c r="F891" s="347">
        <f>-F540</f>
        <v>0</v>
      </c>
      <c r="G891" s="550">
        <f>-$G$540</f>
        <v>0</v>
      </c>
      <c r="H891" s="543">
        <f>-$H$540</f>
        <v>0</v>
      </c>
      <c r="I891" s="544">
        <f>-$I$540</f>
        <v>0</v>
      </c>
      <c r="J891" s="347">
        <f>-$J$540</f>
        <v>0</v>
      </c>
      <c r="K891" s="347">
        <f>-$K$540</f>
        <v>0</v>
      </c>
    </row>
    <row r="892" spans="1:11">
      <c r="A892" s="333">
        <v>27</v>
      </c>
      <c r="C892" s="332" t="str">
        <f>'FR-16(7)(v)-1 Functional'!C892</f>
        <v xml:space="preserve">  FED INC TAX PAYABLE</v>
      </c>
      <c r="D892" s="344"/>
      <c r="E892" s="196"/>
      <c r="F892" s="348">
        <f t="shared" ref="F892:K892" si="191">SUM(F889:F891)</f>
        <v>84989</v>
      </c>
      <c r="G892" s="549" t="e">
        <f t="shared" ca="1" si="191"/>
        <v>#N/A</v>
      </c>
      <c r="H892" s="541" t="e">
        <f t="shared" ca="1" si="191"/>
        <v>#N/A</v>
      </c>
      <c r="I892" s="542" t="e">
        <f t="shared" ca="1" si="191"/>
        <v>#N/A</v>
      </c>
      <c r="J892" s="348" t="e">
        <f t="shared" ca="1" si="191"/>
        <v>#N/A</v>
      </c>
      <c r="K892" s="348" t="e">
        <f t="shared" si="191"/>
        <v>#N/A</v>
      </c>
    </row>
    <row r="893" spans="1:11">
      <c r="A893" s="333">
        <v>28</v>
      </c>
      <c r="D893" s="344"/>
      <c r="E893" s="196"/>
      <c r="G893" s="547"/>
      <c r="H893" s="537"/>
      <c r="I893" s="538"/>
    </row>
    <row r="894" spans="1:11">
      <c r="A894" s="333">
        <v>29</v>
      </c>
      <c r="B894" s="332" t="s">
        <v>40</v>
      </c>
      <c r="D894" s="344"/>
      <c r="E894" s="196"/>
      <c r="G894" s="547"/>
      <c r="H894" s="537"/>
      <c r="I894" s="538"/>
    </row>
    <row r="895" spans="1:11">
      <c r="A895" s="333">
        <v>30</v>
      </c>
      <c r="C895" s="332" t="str">
        <f>'FR-16(7)(v)-1 Functional'!C895</f>
        <v>NET INCOME</v>
      </c>
      <c r="D895" s="344"/>
      <c r="E895" s="196"/>
      <c r="F895" s="347">
        <f t="shared" ref="F895:K895" si="192">F872</f>
        <v>242825</v>
      </c>
      <c r="G895" s="548" t="e">
        <f t="shared" ca="1" si="192"/>
        <v>#N/A</v>
      </c>
      <c r="H895" s="539" t="e">
        <f t="shared" ca="1" si="192"/>
        <v>#N/A</v>
      </c>
      <c r="I895" s="540" t="e">
        <f t="shared" ca="1" si="192"/>
        <v>#N/A</v>
      </c>
      <c r="J895" s="347" t="e">
        <f t="shared" ca="1" si="192"/>
        <v>#N/A</v>
      </c>
      <c r="K895" s="347" t="e">
        <f t="shared" si="192"/>
        <v>#N/A</v>
      </c>
    </row>
    <row r="896" spans="1:11">
      <c r="A896" s="333">
        <v>31</v>
      </c>
      <c r="C896" s="359" t="str">
        <f>'FR-16(7)(v)-1 Functional'!C896</f>
        <v>NET FED INC TAX ALLOWABLE</v>
      </c>
      <c r="D896" s="344"/>
      <c r="E896" s="196"/>
      <c r="F896" s="347">
        <f t="shared" ref="F896:K896" si="193">-F887</f>
        <v>-84989</v>
      </c>
      <c r="G896" s="548" t="e">
        <f t="shared" ca="1" si="193"/>
        <v>#N/A</v>
      </c>
      <c r="H896" s="539" t="e">
        <f t="shared" ca="1" si="193"/>
        <v>#N/A</v>
      </c>
      <c r="I896" s="540" t="e">
        <f t="shared" ca="1" si="193"/>
        <v>#N/A</v>
      </c>
      <c r="J896" s="347" t="e">
        <f t="shared" ca="1" si="193"/>
        <v>#N/A</v>
      </c>
      <c r="K896" s="347" t="e">
        <f t="shared" si="193"/>
        <v>#N/A</v>
      </c>
    </row>
    <row r="897" spans="1:11">
      <c r="A897" s="333">
        <v>32</v>
      </c>
      <c r="C897" s="332" t="str">
        <f>'FR-16(7)(v)-1 Functional'!C897</f>
        <v xml:space="preserve">  OVERALL RETURN EARNED</v>
      </c>
      <c r="D897" s="344"/>
      <c r="E897" s="196"/>
      <c r="F897" s="348">
        <f t="shared" ref="F897:K897" si="194">SUM(F894:F896)</f>
        <v>157836</v>
      </c>
      <c r="G897" s="549" t="e">
        <f t="shared" ca="1" si="194"/>
        <v>#N/A</v>
      </c>
      <c r="H897" s="541" t="e">
        <f t="shared" ca="1" si="194"/>
        <v>#N/A</v>
      </c>
      <c r="I897" s="542" t="e">
        <f t="shared" ca="1" si="194"/>
        <v>#N/A</v>
      </c>
      <c r="J897" s="348" t="e">
        <f t="shared" ca="1" si="194"/>
        <v>#N/A</v>
      </c>
      <c r="K897" s="348" t="e">
        <f t="shared" si="194"/>
        <v>#N/A</v>
      </c>
    </row>
    <row r="898" spans="1:11">
      <c r="A898" s="333">
        <v>33</v>
      </c>
      <c r="D898" s="344"/>
      <c r="E898" s="196"/>
      <c r="G898" s="547"/>
      <c r="H898" s="537"/>
      <c r="I898" s="538"/>
    </row>
    <row r="899" spans="1:11">
      <c r="A899" s="333">
        <v>34</v>
      </c>
      <c r="C899" s="332" t="str">
        <f>'FR-16(7)(v)-1 Functional'!C899</f>
        <v xml:space="preserve">  RATE OF RETURN EARNED</v>
      </c>
      <c r="D899" s="344"/>
      <c r="E899" s="196"/>
      <c r="F899" s="350">
        <f t="shared" ref="F899:K899" si="195">IF(F331=0,0,ROUND(F897/F331,5))</f>
        <v>0</v>
      </c>
      <c r="G899" s="575">
        <f t="shared" si="195"/>
        <v>0</v>
      </c>
      <c r="H899" s="576">
        <f t="shared" si="195"/>
        <v>0</v>
      </c>
      <c r="I899" s="577">
        <f t="shared" si="195"/>
        <v>0</v>
      </c>
      <c r="J899" s="350">
        <f t="shared" si="195"/>
        <v>0</v>
      </c>
      <c r="K899" s="350">
        <f t="shared" si="195"/>
        <v>0</v>
      </c>
    </row>
  </sheetData>
  <conditionalFormatting sqref="O766:O778 O708:O742 O744:O762 O780:O844">
    <cfRule type="cellIs" dxfId="0" priority="1" operator="notEqual">
      <formula>1</formula>
    </cfRule>
  </conditionalFormatting>
  <pageMargins left="1" right="1" top="1" bottom="1" header="1" footer="0.5"/>
  <pageSetup scale="55" orientation="landscape" blackAndWhite="1" r:id="rId1"/>
  <headerFooter alignWithMargins="0"/>
  <rowBreaks count="14" manualBreakCount="14">
    <brk id="44" max="10" man="1"/>
    <brk id="101" max="10" man="1"/>
    <brk id="151" max="10" man="1"/>
    <brk id="191" max="10" man="1"/>
    <brk id="238" max="10" man="1"/>
    <brk id="283" max="10" man="1"/>
    <brk id="334" max="10" man="1"/>
    <brk id="389" max="10" man="1"/>
    <brk id="433" max="10" man="1"/>
    <brk id="465" max="10" man="1"/>
    <brk id="501" max="10" man="1"/>
    <brk id="565" max="10" man="1"/>
    <brk id="694" max="10" man="1"/>
    <brk id="746" max="10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0">
    <tabColor rgb="FFFFFF00"/>
    <pageSetUpPr fitToPage="1"/>
  </sheetPr>
  <dimension ref="A1:P900"/>
  <sheetViews>
    <sheetView zoomScale="80" zoomScaleNormal="80" zoomScaleSheetLayoutView="80" workbookViewId="0">
      <selection activeCell="I85" sqref="I85"/>
    </sheetView>
  </sheetViews>
  <sheetFormatPr defaultColWidth="8.77734375" defaultRowHeight="12.75"/>
  <cols>
    <col min="1" max="1" width="6.44140625" style="332" customWidth="1"/>
    <col min="2" max="2" width="3.5546875" style="332" customWidth="1"/>
    <col min="3" max="3" width="39.21875" style="332" customWidth="1"/>
    <col min="4" max="4" width="7.5546875" style="333" customWidth="1"/>
    <col min="5" max="5" width="7.6640625" style="332" customWidth="1"/>
    <col min="6" max="6" width="13.6640625" style="332" customWidth="1"/>
    <col min="7" max="7" width="11.77734375" style="332" customWidth="1"/>
    <col min="8" max="8" width="11.88671875" style="332" customWidth="1"/>
    <col min="9" max="9" width="11.88671875" style="353" customWidth="1"/>
    <col min="10" max="11" width="11.88671875" style="332" customWidth="1"/>
    <col min="12" max="12" width="12.77734375" style="332" customWidth="1"/>
    <col min="13" max="13" width="8.77734375" style="332"/>
    <col min="14" max="14" width="9.6640625" style="332" bestFit="1" customWidth="1"/>
    <col min="15" max="15" width="8.77734375" style="332"/>
    <col min="16" max="16" width="11.44140625" style="532" customWidth="1"/>
    <col min="17" max="16384" width="8.77734375" style="332"/>
  </cols>
  <sheetData>
    <row r="1" spans="1:16">
      <c r="A1" s="343" t="str">
        <f>co_name</f>
        <v>DUKE ENERGY KENTUCKY, INC.</v>
      </c>
      <c r="C1" s="196"/>
      <c r="D1" s="344"/>
      <c r="E1" s="196"/>
      <c r="G1" s="196"/>
      <c r="H1" s="196"/>
      <c r="I1" s="342"/>
      <c r="K1" s="1195" t="s">
        <v>1545</v>
      </c>
      <c r="L1" s="196"/>
    </row>
    <row r="2" spans="1:16">
      <c r="A2" s="583" t="s">
        <v>1226</v>
      </c>
      <c r="C2" s="196"/>
      <c r="D2" s="344"/>
      <c r="E2" s="196"/>
      <c r="F2" s="344"/>
      <c r="G2" s="196"/>
      <c r="H2" s="196"/>
      <c r="I2" s="342"/>
      <c r="K2" s="1195" t="s">
        <v>437</v>
      </c>
      <c r="L2" s="196"/>
    </row>
    <row r="3" spans="1:16">
      <c r="A3" s="343" t="str">
        <f>case_name</f>
        <v>CASE NO: 2018-00261</v>
      </c>
      <c r="C3" s="196"/>
      <c r="D3" s="344"/>
      <c r="E3" s="196"/>
      <c r="F3" s="344"/>
      <c r="G3" s="196"/>
      <c r="H3" s="196"/>
      <c r="I3" s="342"/>
      <c r="K3" s="361" t="str">
        <f>Witness</f>
        <v>JAMES E. ZIOLKOWSKI</v>
      </c>
      <c r="L3" s="196"/>
    </row>
    <row r="4" spans="1:16">
      <c r="A4" s="343" t="str">
        <f>data_filing</f>
        <v>DATA: 12 MONTH FORECASTED PERIOD</v>
      </c>
      <c r="C4" s="196"/>
      <c r="D4" s="344"/>
      <c r="E4" s="196"/>
      <c r="F4" s="344"/>
      <c r="G4" s="196"/>
      <c r="H4" s="196"/>
      <c r="I4" s="342"/>
      <c r="K4" s="361" t="str">
        <f>"PAGE "&amp;Pages2-14&amp;" OF "&amp;Pages2</f>
        <v>PAGE 1 OF 15</v>
      </c>
      <c r="L4" s="196"/>
    </row>
    <row r="5" spans="1:16">
      <c r="A5" s="343" t="str">
        <f>type</f>
        <v xml:space="preserve">TYPE OF FILING: "X" ORIGINAL   UPDATED    REVISED  </v>
      </c>
      <c r="C5" s="196"/>
      <c r="D5" s="344"/>
      <c r="E5" s="196"/>
      <c r="F5" s="344"/>
      <c r="G5" s="196"/>
      <c r="H5" s="196"/>
      <c r="I5" s="342"/>
      <c r="J5" s="344"/>
      <c r="K5" s="196"/>
      <c r="L5" s="196"/>
    </row>
    <row r="6" spans="1:16">
      <c r="A6" s="343"/>
      <c r="C6" s="196"/>
      <c r="D6" s="344"/>
      <c r="E6" s="196"/>
      <c r="F6" s="344"/>
      <c r="G6" s="196"/>
      <c r="H6" s="196"/>
      <c r="I6" s="342"/>
      <c r="J6" s="344"/>
      <c r="K6" s="196"/>
      <c r="L6" s="196"/>
    </row>
    <row r="7" spans="1:16">
      <c r="A7" s="343"/>
      <c r="C7" s="196"/>
      <c r="D7" s="344"/>
      <c r="E7" s="196"/>
      <c r="F7" s="344" t="s">
        <v>229</v>
      </c>
      <c r="G7" s="196"/>
      <c r="H7" s="196"/>
      <c r="I7" s="342"/>
      <c r="J7" s="344"/>
      <c r="K7" s="196"/>
      <c r="L7" s="196"/>
    </row>
    <row r="8" spans="1:16">
      <c r="A8" s="344" t="s">
        <v>914</v>
      </c>
      <c r="B8" s="196"/>
      <c r="C8" s="196"/>
      <c r="D8" s="344"/>
      <c r="E8" s="196"/>
      <c r="F8" s="828" t="s">
        <v>1039</v>
      </c>
      <c r="G8" s="354" t="s">
        <v>773</v>
      </c>
      <c r="H8" s="354" t="s">
        <v>1282</v>
      </c>
      <c r="I8" s="354" t="s">
        <v>984</v>
      </c>
      <c r="J8" s="354" t="s">
        <v>549</v>
      </c>
      <c r="K8" s="354" t="s">
        <v>229</v>
      </c>
      <c r="L8" s="344" t="s">
        <v>342</v>
      </c>
    </row>
    <row r="9" spans="1:16">
      <c r="A9" s="346" t="s">
        <v>915</v>
      </c>
      <c r="B9" s="345" t="s">
        <v>102</v>
      </c>
      <c r="C9" s="345"/>
      <c r="D9" s="346" t="s">
        <v>337</v>
      </c>
      <c r="E9" s="345"/>
      <c r="F9" s="829" t="s">
        <v>1040</v>
      </c>
      <c r="G9" s="355" t="s">
        <v>338</v>
      </c>
      <c r="H9" s="355" t="s">
        <v>405</v>
      </c>
      <c r="I9" s="355" t="s">
        <v>1283</v>
      </c>
      <c r="J9" s="355" t="s">
        <v>550</v>
      </c>
      <c r="K9" s="355" t="s">
        <v>341</v>
      </c>
      <c r="L9" s="346" t="s">
        <v>340</v>
      </c>
    </row>
    <row r="10" spans="1:16">
      <c r="C10" s="578" t="s">
        <v>354</v>
      </c>
      <c r="D10" s="344"/>
      <c r="E10" s="196"/>
      <c r="G10" s="786">
        <v>3</v>
      </c>
      <c r="H10" s="786">
        <v>4</v>
      </c>
      <c r="I10" s="786">
        <v>5</v>
      </c>
      <c r="J10" s="786">
        <v>6</v>
      </c>
      <c r="K10" s="353"/>
    </row>
    <row r="11" spans="1:16">
      <c r="A11" s="333">
        <v>1</v>
      </c>
      <c r="B11" s="332" t="s">
        <v>100</v>
      </c>
      <c r="D11" s="344"/>
      <c r="E11" s="196"/>
      <c r="G11" s="353"/>
      <c r="H11" s="353"/>
      <c r="J11" s="353"/>
      <c r="K11" s="353"/>
    </row>
    <row r="12" spans="1:16">
      <c r="A12" s="333">
        <v>2</v>
      </c>
      <c r="C12" s="332" t="str">
        <f>'FR-16(7)(v)-1 Functional'!C12</f>
        <v>GROSS GAS PLANT IN SERVICE</v>
      </c>
      <c r="D12" s="344"/>
      <c r="E12" s="196"/>
      <c r="F12" s="347">
        <f t="shared" ref="F12:K12" si="0">F101</f>
        <v>588627191</v>
      </c>
      <c r="G12" s="349">
        <f t="shared" si="0"/>
        <v>411599984</v>
      </c>
      <c r="H12" s="349">
        <f t="shared" si="0"/>
        <v>129395039</v>
      </c>
      <c r="I12" s="349">
        <f t="shared" si="0"/>
        <v>36724321</v>
      </c>
      <c r="J12" s="349">
        <f t="shared" si="0"/>
        <v>10907847</v>
      </c>
      <c r="K12" s="349">
        <f t="shared" si="0"/>
        <v>588627191</v>
      </c>
      <c r="L12" s="349">
        <f>F12-K12</f>
        <v>0</v>
      </c>
      <c r="P12" s="349">
        <f>H12+I12</f>
        <v>166119360</v>
      </c>
    </row>
    <row r="13" spans="1:16">
      <c r="A13" s="333">
        <v>3</v>
      </c>
      <c r="C13" s="332" t="str">
        <f>'FR-16(7)(v)-1 Functional'!C13</f>
        <v>TOTAL DEPRECIATION RESERVE</v>
      </c>
      <c r="D13" s="344"/>
      <c r="E13" s="196"/>
      <c r="F13" s="347">
        <f t="shared" ref="F13:K13" si="1">-F151</f>
        <v>-187541693</v>
      </c>
      <c r="G13" s="349">
        <f t="shared" si="1"/>
        <v>-132832282</v>
      </c>
      <c r="H13" s="349">
        <f t="shared" si="1"/>
        <v>-38975357</v>
      </c>
      <c r="I13" s="349">
        <f t="shared" si="1"/>
        <v>-12138011</v>
      </c>
      <c r="J13" s="349">
        <f t="shared" si="1"/>
        <v>-3596043</v>
      </c>
      <c r="K13" s="349">
        <f t="shared" si="1"/>
        <v>-187541693</v>
      </c>
      <c r="L13" s="349">
        <f>F13-K13</f>
        <v>0</v>
      </c>
      <c r="P13" s="349">
        <f>H13+I13</f>
        <v>-51113368</v>
      </c>
    </row>
    <row r="14" spans="1:16">
      <c r="A14" s="333">
        <v>4</v>
      </c>
      <c r="C14" s="359" t="str">
        <f>'FR-16(7)(v)-1 Functional'!C14</f>
        <v>TOTAL RATE BASE ADJUSTMENTS</v>
      </c>
      <c r="D14" s="344"/>
      <c r="E14" s="196"/>
      <c r="F14" s="347">
        <f t="shared" ref="F14:K14" si="2">F326</f>
        <v>-87410258.857534245</v>
      </c>
      <c r="G14" s="349">
        <f t="shared" si="2"/>
        <v>-62365719</v>
      </c>
      <c r="H14" s="349">
        <f t="shared" si="2"/>
        <v>-19058287</v>
      </c>
      <c r="I14" s="349">
        <f t="shared" si="2"/>
        <v>-4513178</v>
      </c>
      <c r="J14" s="349">
        <f t="shared" si="2"/>
        <v>-1473075</v>
      </c>
      <c r="K14" s="349">
        <f t="shared" si="2"/>
        <v>-87410259</v>
      </c>
      <c r="L14" s="349">
        <f>F14-K14</f>
        <v>0.14246575534343719</v>
      </c>
      <c r="P14" s="349">
        <f>H14+I14</f>
        <v>-23571465</v>
      </c>
    </row>
    <row r="15" spans="1:16">
      <c r="A15" s="333">
        <v>5</v>
      </c>
      <c r="C15" s="332" t="str">
        <f>'FR-16(7)(v)-1 Functional'!C15</f>
        <v xml:space="preserve">  TOTAL RATE BASE</v>
      </c>
      <c r="D15" s="344"/>
      <c r="E15" s="196"/>
      <c r="F15" s="348">
        <f t="shared" ref="F15:K15" si="3">SUM(F12:F14)</f>
        <v>313675239.14246577</v>
      </c>
      <c r="G15" s="348">
        <f t="shared" si="3"/>
        <v>216401983</v>
      </c>
      <c r="H15" s="348">
        <f t="shared" si="3"/>
        <v>71361395</v>
      </c>
      <c r="I15" s="348">
        <f t="shared" si="3"/>
        <v>20073132</v>
      </c>
      <c r="J15" s="348">
        <f t="shared" si="3"/>
        <v>5838729</v>
      </c>
      <c r="K15" s="348">
        <f t="shared" si="3"/>
        <v>313675239</v>
      </c>
      <c r="L15" s="348">
        <f>F15-K15</f>
        <v>0.14246577024459839</v>
      </c>
      <c r="P15" s="348">
        <f>H15+I15</f>
        <v>91434527</v>
      </c>
    </row>
    <row r="16" spans="1:16">
      <c r="A16" s="333">
        <v>6</v>
      </c>
      <c r="D16" s="344"/>
      <c r="E16" s="196"/>
      <c r="G16" s="353"/>
      <c r="H16" s="353"/>
      <c r="J16" s="353"/>
      <c r="K16" s="353"/>
      <c r="L16" s="353"/>
      <c r="P16" s="353"/>
    </row>
    <row r="17" spans="1:16">
      <c r="A17" s="333">
        <v>7</v>
      </c>
      <c r="B17" s="332" t="s">
        <v>98</v>
      </c>
      <c r="D17" s="344"/>
      <c r="E17" s="196"/>
      <c r="G17" s="353"/>
      <c r="H17" s="353"/>
      <c r="J17" s="353"/>
      <c r="K17" s="353"/>
      <c r="L17" s="353"/>
      <c r="P17" s="353"/>
    </row>
    <row r="18" spans="1:16">
      <c r="A18" s="333">
        <v>8</v>
      </c>
      <c r="C18" s="332" t="str">
        <f>'FR-16(7)(v)-1 Functional'!C18</f>
        <v>TOTAL O&amp;M EXPENSE</v>
      </c>
      <c r="D18" s="344"/>
      <c r="E18" s="196"/>
      <c r="F18" s="347">
        <f t="shared" ref="F18:K18" si="4">F433</f>
        <v>60507968</v>
      </c>
      <c r="G18" s="349">
        <f t="shared" si="4"/>
        <v>35800714</v>
      </c>
      <c r="H18" s="349">
        <f t="shared" si="4"/>
        <v>15474188</v>
      </c>
      <c r="I18" s="349">
        <f t="shared" si="4"/>
        <v>8824202</v>
      </c>
      <c r="J18" s="349">
        <f t="shared" si="4"/>
        <v>408864</v>
      </c>
      <c r="K18" s="349">
        <f t="shared" si="4"/>
        <v>60507968</v>
      </c>
      <c r="L18" s="349">
        <f t="shared" ref="L18:L24" si="5">F18-K18</f>
        <v>0</v>
      </c>
      <c r="P18" s="349">
        <f t="shared" ref="P18:P24" si="6">H18+I18</f>
        <v>24298390</v>
      </c>
    </row>
    <row r="19" spans="1:16">
      <c r="A19" s="333">
        <v>9</v>
      </c>
      <c r="C19" s="332" t="str">
        <f>'FR-16(7)(v)-1 Functional'!C19</f>
        <v>TOTAL DEPRECIATION EXPENSE</v>
      </c>
      <c r="D19" s="344"/>
      <c r="E19" s="196"/>
      <c r="F19" s="347">
        <f t="shared" ref="F19:K19" si="7">F465</f>
        <v>14615192.067600001</v>
      </c>
      <c r="G19" s="349">
        <f t="shared" si="7"/>
        <v>10203657</v>
      </c>
      <c r="H19" s="349">
        <f t="shared" si="7"/>
        <v>3260617</v>
      </c>
      <c r="I19" s="349">
        <f t="shared" si="7"/>
        <v>901967</v>
      </c>
      <c r="J19" s="349">
        <f t="shared" si="7"/>
        <v>248951</v>
      </c>
      <c r="K19" s="349">
        <f t="shared" si="7"/>
        <v>14615192</v>
      </c>
      <c r="L19" s="349">
        <f t="shared" si="5"/>
        <v>6.7600000649690628E-2</v>
      </c>
      <c r="P19" s="349">
        <f t="shared" si="6"/>
        <v>4162584</v>
      </c>
    </row>
    <row r="20" spans="1:16">
      <c r="A20" s="333">
        <v>10</v>
      </c>
      <c r="C20" s="359" t="str">
        <f>'FR-16(7)(v)-1 Functional'!C20</f>
        <v>TOTAL OTHER TAX &amp; MISC EXPENSE</v>
      </c>
      <c r="D20" s="344"/>
      <c r="E20" s="196"/>
      <c r="F20" s="347">
        <f>F495</f>
        <v>4118771</v>
      </c>
      <c r="G20" s="349">
        <f>$G$495</f>
        <v>2889707</v>
      </c>
      <c r="H20" s="349">
        <f>$H$495</f>
        <v>908553</v>
      </c>
      <c r="I20" s="349">
        <f>$I$495</f>
        <v>251215</v>
      </c>
      <c r="J20" s="349">
        <f>$J$495</f>
        <v>69296</v>
      </c>
      <c r="K20" s="349">
        <f>$K$495</f>
        <v>4118771</v>
      </c>
      <c r="L20" s="349">
        <f t="shared" si="5"/>
        <v>0</v>
      </c>
      <c r="P20" s="349">
        <f t="shared" si="6"/>
        <v>1159768</v>
      </c>
    </row>
    <row r="21" spans="1:16">
      <c r="A21" s="333">
        <v>11</v>
      </c>
      <c r="C21" s="332" t="str">
        <f>'FR-16(7)(v)-1 Functional'!C21</f>
        <v xml:space="preserve">  TOTAL OP EXP EXCLUDING INC &amp; REV TAX</v>
      </c>
      <c r="D21" s="344"/>
      <c r="E21" s="196"/>
      <c r="F21" s="348">
        <f t="shared" ref="F21:K21" si="8">SUM(F17:F20)</f>
        <v>79241931.067599997</v>
      </c>
      <c r="G21" s="348">
        <f t="shared" si="8"/>
        <v>48894078</v>
      </c>
      <c r="H21" s="348">
        <f t="shared" si="8"/>
        <v>19643358</v>
      </c>
      <c r="I21" s="348">
        <f t="shared" si="8"/>
        <v>9977384</v>
      </c>
      <c r="J21" s="348">
        <f t="shared" si="8"/>
        <v>727111</v>
      </c>
      <c r="K21" s="348">
        <f t="shared" si="8"/>
        <v>79241931</v>
      </c>
      <c r="L21" s="348">
        <f t="shared" si="5"/>
        <v>6.759999692440033E-2</v>
      </c>
      <c r="P21" s="348">
        <f t="shared" si="6"/>
        <v>29620742</v>
      </c>
    </row>
    <row r="22" spans="1:16">
      <c r="A22" s="333">
        <v>12</v>
      </c>
      <c r="C22" s="332" t="str">
        <f>'FR-16(7)(v)-1 Functional'!C22</f>
        <v>NET FED INCOME TAX EXP ALLOWABLE</v>
      </c>
      <c r="D22" s="344"/>
      <c r="E22" s="196"/>
      <c r="F22" s="347">
        <f>F557</f>
        <v>3326901</v>
      </c>
      <c r="G22" s="349">
        <f ca="1">$G$557</f>
        <v>2095412</v>
      </c>
      <c r="H22" s="349">
        <f>$H$557</f>
        <v>830072</v>
      </c>
      <c r="I22" s="349">
        <f ca="1">$I$557</f>
        <v>349461</v>
      </c>
      <c r="J22" s="349">
        <f>$J$557</f>
        <v>51956</v>
      </c>
      <c r="K22" s="349">
        <f ca="1">$K$557</f>
        <v>3326901</v>
      </c>
      <c r="L22" s="349">
        <f t="shared" ca="1" si="5"/>
        <v>0</v>
      </c>
      <c r="P22" s="349">
        <f t="shared" ca="1" si="6"/>
        <v>1179533</v>
      </c>
    </row>
    <row r="23" spans="1:16">
      <c r="A23" s="333">
        <v>13</v>
      </c>
      <c r="C23" s="359" t="str">
        <f>'FR-16(7)(v)-1 Functional'!C23</f>
        <v>NET STATE INCOME TAX EXP ALLOWABLE</v>
      </c>
      <c r="D23" s="344"/>
      <c r="E23" s="196"/>
      <c r="F23" s="347">
        <f>F605</f>
        <v>830493</v>
      </c>
      <c r="G23" s="347">
        <f t="shared" ref="G23:K23" ca="1" si="9">G605</f>
        <v>560670</v>
      </c>
      <c r="H23" s="347">
        <f t="shared" si="9"/>
        <v>193787</v>
      </c>
      <c r="I23" s="347">
        <f t="shared" ca="1" si="9"/>
        <v>60549</v>
      </c>
      <c r="J23" s="347">
        <f t="shared" si="9"/>
        <v>15489</v>
      </c>
      <c r="K23" s="347">
        <f t="shared" ca="1" si="9"/>
        <v>830494</v>
      </c>
      <c r="L23" s="349">
        <f t="shared" ca="1" si="5"/>
        <v>-1</v>
      </c>
      <c r="P23" s="349">
        <f t="shared" ca="1" si="6"/>
        <v>254336</v>
      </c>
    </row>
    <row r="24" spans="1:16">
      <c r="A24" s="333">
        <v>14</v>
      </c>
      <c r="C24" s="332" t="str">
        <f>'FR-16(7)(v)-1 Functional'!C24</f>
        <v xml:space="preserve">  TOTAL OPERATING EXPENSE</v>
      </c>
      <c r="D24" s="344"/>
      <c r="E24" s="196"/>
      <c r="F24" s="348">
        <f t="shared" ref="F24:K24" si="10">SUM(F21:F23)</f>
        <v>83399325.067599997</v>
      </c>
      <c r="G24" s="348">
        <f t="shared" ca="1" si="10"/>
        <v>51550160</v>
      </c>
      <c r="H24" s="348">
        <f t="shared" si="10"/>
        <v>20667217</v>
      </c>
      <c r="I24" s="348">
        <f t="shared" ca="1" si="10"/>
        <v>10387394</v>
      </c>
      <c r="J24" s="348">
        <f t="shared" si="10"/>
        <v>794556</v>
      </c>
      <c r="K24" s="348">
        <f t="shared" ca="1" si="10"/>
        <v>83399326</v>
      </c>
      <c r="L24" s="348">
        <f t="shared" ca="1" si="5"/>
        <v>-0.93240000307559967</v>
      </c>
      <c r="P24" s="348">
        <f t="shared" ca="1" si="6"/>
        <v>31054611</v>
      </c>
    </row>
    <row r="25" spans="1:16">
      <c r="A25" s="333">
        <v>15</v>
      </c>
      <c r="D25" s="344"/>
      <c r="E25" s="196"/>
      <c r="G25" s="353"/>
      <c r="H25" s="353"/>
      <c r="J25" s="353"/>
      <c r="K25" s="353"/>
      <c r="L25" s="353"/>
      <c r="P25" s="353"/>
    </row>
    <row r="26" spans="1:16">
      <c r="A26" s="333">
        <v>16</v>
      </c>
      <c r="B26" s="332" t="s">
        <v>43</v>
      </c>
      <c r="D26" s="344"/>
      <c r="E26" s="196"/>
      <c r="F26" s="347">
        <f t="shared" ref="F26:K26" si="11">F334</f>
        <v>22525019</v>
      </c>
      <c r="G26" s="349">
        <f t="shared" si="11"/>
        <v>15539826</v>
      </c>
      <c r="H26" s="349">
        <f t="shared" si="11"/>
        <v>5124462</v>
      </c>
      <c r="I26" s="349">
        <f t="shared" si="11"/>
        <v>1441452</v>
      </c>
      <c r="J26" s="349">
        <f t="shared" si="11"/>
        <v>419279</v>
      </c>
      <c r="K26" s="349">
        <f t="shared" si="11"/>
        <v>22525019</v>
      </c>
      <c r="L26" s="349">
        <f t="shared" ref="L26:L32" si="12">F26-K26</f>
        <v>0</v>
      </c>
      <c r="P26" s="349">
        <f>H26+I26</f>
        <v>6565914</v>
      </c>
    </row>
    <row r="27" spans="1:16">
      <c r="A27" s="333">
        <v>17</v>
      </c>
      <c r="B27" s="359" t="s">
        <v>103</v>
      </c>
      <c r="C27" s="359"/>
      <c r="D27" s="344"/>
      <c r="E27" s="196"/>
      <c r="F27" s="347">
        <f>-F630</f>
        <v>-94257</v>
      </c>
      <c r="G27" s="349">
        <f>-$G$630</f>
        <v>-78649</v>
      </c>
      <c r="H27" s="349">
        <f>-$H$630</f>
        <v>-12450</v>
      </c>
      <c r="I27" s="349">
        <f>-$I$630</f>
        <v>-2592</v>
      </c>
      <c r="J27" s="349">
        <f>-$J$630</f>
        <v>-566</v>
      </c>
      <c r="K27" s="349">
        <f>-$K$630</f>
        <v>-94257</v>
      </c>
      <c r="L27" s="349">
        <f t="shared" si="12"/>
        <v>0</v>
      </c>
      <c r="P27" s="349">
        <f>H27+I27</f>
        <v>-15042</v>
      </c>
    </row>
    <row r="28" spans="1:16">
      <c r="A28" s="333">
        <v>18</v>
      </c>
      <c r="C28" s="332" t="str">
        <f>'FR-16(7)(v)-1 Functional'!C28</f>
        <v>TOTAL GAS COST OF SERVICE</v>
      </c>
      <c r="D28" s="344"/>
      <c r="E28" s="196"/>
      <c r="F28" s="348">
        <f t="shared" ref="F28:K28" si="13">SUM(F24:F27)</f>
        <v>105830087.0676</v>
      </c>
      <c r="G28" s="348">
        <f t="shared" ca="1" si="13"/>
        <v>67011337</v>
      </c>
      <c r="H28" s="348">
        <f t="shared" si="13"/>
        <v>25779229</v>
      </c>
      <c r="I28" s="348">
        <f t="shared" ca="1" si="13"/>
        <v>11826254</v>
      </c>
      <c r="J28" s="348">
        <f t="shared" si="13"/>
        <v>1213269</v>
      </c>
      <c r="K28" s="348">
        <f t="shared" ca="1" si="13"/>
        <v>105830088</v>
      </c>
      <c r="L28" s="348">
        <f t="shared" ca="1" si="12"/>
        <v>-0.93240000307559967</v>
      </c>
      <c r="P28" s="348">
        <f ca="1">H28+I28</f>
        <v>37605483</v>
      </c>
    </row>
    <row r="29" spans="1:16">
      <c r="A29" s="333">
        <v>19</v>
      </c>
      <c r="B29" s="1089" t="s">
        <v>1206</v>
      </c>
      <c r="C29" s="511"/>
      <c r="D29" s="1093">
        <f>1-'WP FR-16(7)(v)Rate Incr (15.0%)'!I11</f>
        <v>0.85</v>
      </c>
      <c r="E29" s="196"/>
      <c r="F29" s="502">
        <f ca="1">'WP FR-16(7)(v)Rate Incr (15.0%)'!H20-'WP FR-16(7)(v)Rate Incr (15.0%)'!I20</f>
        <v>0</v>
      </c>
      <c r="G29" s="626">
        <f ca="1">'WP FR-16(7)(v)Rate Incr (15.0%)'!H15-'WP FR-16(7)(v)Rate Incr (15.0%)'!I15</f>
        <v>4672416</v>
      </c>
      <c r="H29" s="626">
        <f ca="1">'WP FR-16(7)(v)Rate Incr (15.0%)'!H16-'WP FR-16(7)(v)Rate Incr (15.0%)'!I16</f>
        <v>-147513</v>
      </c>
      <c r="I29" s="626">
        <f ca="1">'WP FR-16(7)(v)Rate Incr (15.0%)'!H17-'WP FR-16(7)(v)Rate Incr (15.0%)'!I17</f>
        <v>-4934611</v>
      </c>
      <c r="J29" s="626">
        <f ca="1">'WP FR-16(7)(v)Rate Incr (15.0%)'!H18-'WP FR-16(7)(v)Rate Incr (15.0%)'!I18</f>
        <v>409708</v>
      </c>
      <c r="K29" s="626">
        <f ca="1">SUM(G29:J29)</f>
        <v>0</v>
      </c>
      <c r="L29" s="626">
        <f t="shared" ca="1" si="12"/>
        <v>0</v>
      </c>
      <c r="P29" s="353"/>
    </row>
    <row r="30" spans="1:16">
      <c r="A30" s="333">
        <v>20</v>
      </c>
      <c r="B30" s="1090" t="s">
        <v>1207</v>
      </c>
      <c r="C30" s="353"/>
      <c r="D30" s="344"/>
      <c r="E30" s="196"/>
      <c r="F30" s="347">
        <f t="shared" ref="F30:K30" ca="1" si="14">F28+F29</f>
        <v>105830087.0676</v>
      </c>
      <c r="G30" s="347">
        <f t="shared" ca="1" si="14"/>
        <v>71683753</v>
      </c>
      <c r="H30" s="347">
        <f t="shared" ca="1" si="14"/>
        <v>25631716</v>
      </c>
      <c r="I30" s="347">
        <f t="shared" ca="1" si="14"/>
        <v>6891643</v>
      </c>
      <c r="J30" s="347">
        <f t="shared" ca="1" si="14"/>
        <v>1622977</v>
      </c>
      <c r="K30" s="347">
        <f t="shared" ca="1" si="14"/>
        <v>105830088</v>
      </c>
      <c r="L30" s="349">
        <f t="shared" ca="1" si="12"/>
        <v>-0.93240000307559967</v>
      </c>
      <c r="P30" s="353"/>
    </row>
    <row r="31" spans="1:16">
      <c r="A31" s="333">
        <v>21</v>
      </c>
      <c r="B31" s="1091" t="s">
        <v>850</v>
      </c>
      <c r="C31" s="511"/>
      <c r="D31" s="344"/>
      <c r="E31" s="196"/>
      <c r="F31" s="479">
        <f>SUM(G31:J31)</f>
        <v>95287873</v>
      </c>
      <c r="G31" s="349">
        <f>'FR-16(7)(v)-6 DISTR Cust Alloc'!G31+'FR-16(7)(v)-5 DISTR Dem Alloc'!G31+'FR-16(7)(v)-3 PROD Comm Alloc'!G31</f>
        <v>65522694</v>
      </c>
      <c r="H31" s="349">
        <f>'FR-16(7)(v)-6 DISTR Cust Alloc'!H31+'FR-16(7)(v)-5 DISTR Dem Alloc'!H31+'FR-16(7)(v)-3 PROD Comm Alloc'!H31</f>
        <v>23198248</v>
      </c>
      <c r="I31" s="349">
        <f>'FR-16(7)(v)-6 DISTR Cust Alloc'!I31+'FR-16(7)(v)-5 DISTR Dem Alloc'!I31+'FR-16(7)(v)-3 PROD Comm Alloc'!I31</f>
        <v>5042683</v>
      </c>
      <c r="J31" s="349">
        <f>'FR-16(7)(v)-6 DISTR Cust Alloc'!J31+'FR-16(7)(v)-5 DISTR Dem Alloc'!J31+'FR-16(7)(v)-3 PROD Comm Alloc'!J31</f>
        <v>1524248</v>
      </c>
      <c r="K31" s="347">
        <f>SUM(G31:J31)</f>
        <v>95287873</v>
      </c>
      <c r="L31" s="347">
        <f t="shared" si="12"/>
        <v>0</v>
      </c>
      <c r="P31" s="347">
        <f>H31+I31</f>
        <v>28240931</v>
      </c>
    </row>
    <row r="32" spans="1:16">
      <c r="A32" s="333">
        <v>22</v>
      </c>
      <c r="B32" s="1092" t="s">
        <v>1208</v>
      </c>
      <c r="C32" s="353"/>
      <c r="D32" s="344"/>
      <c r="E32" s="196"/>
      <c r="F32" s="348">
        <f t="shared" ref="F32:K32" ca="1" si="15">F30-F31</f>
        <v>10542214.067599997</v>
      </c>
      <c r="G32" s="348">
        <f t="shared" ca="1" si="15"/>
        <v>6161059</v>
      </c>
      <c r="H32" s="348">
        <f t="shared" ca="1" si="15"/>
        <v>2433468</v>
      </c>
      <c r="I32" s="348">
        <f t="shared" ca="1" si="15"/>
        <v>1848960</v>
      </c>
      <c r="J32" s="348">
        <f t="shared" ca="1" si="15"/>
        <v>98729</v>
      </c>
      <c r="K32" s="348">
        <f t="shared" ca="1" si="15"/>
        <v>10542215</v>
      </c>
      <c r="L32" s="348">
        <f t="shared" ca="1" si="12"/>
        <v>-0.93240000307559967</v>
      </c>
      <c r="P32" s="348">
        <f ca="1">H32+I32</f>
        <v>4282428</v>
      </c>
    </row>
    <row r="33" spans="1:16">
      <c r="A33" s="333">
        <v>23</v>
      </c>
      <c r="C33" s="353"/>
      <c r="D33" s="344"/>
      <c r="E33" s="196"/>
      <c r="G33" s="353"/>
      <c r="H33" s="353"/>
      <c r="J33" s="353"/>
      <c r="K33" s="353"/>
      <c r="L33" s="353"/>
      <c r="P33" s="353"/>
    </row>
    <row r="34" spans="1:16">
      <c r="A34" s="333">
        <v>24</v>
      </c>
      <c r="B34" s="332" t="s">
        <v>104</v>
      </c>
      <c r="C34" s="353"/>
      <c r="D34" s="344"/>
      <c r="E34" s="196"/>
      <c r="F34" s="347">
        <f t="shared" ref="F34:K34" si="16">F654+F26</f>
        <v>15233943.932400003</v>
      </c>
      <c r="G34" s="349">
        <f t="shared" ca="1" si="16"/>
        <v>14843141</v>
      </c>
      <c r="H34" s="349">
        <f t="shared" si="16"/>
        <v>3332276</v>
      </c>
      <c r="I34" s="349">
        <f t="shared" ca="1" si="16"/>
        <v>-3605849</v>
      </c>
      <c r="J34" s="349">
        <f t="shared" si="16"/>
        <v>664375</v>
      </c>
      <c r="K34" s="349">
        <f t="shared" ca="1" si="16"/>
        <v>15233943</v>
      </c>
      <c r="L34" s="349">
        <f ca="1">F34-K34</f>
        <v>0.93240000307559967</v>
      </c>
      <c r="P34" s="349">
        <f ca="1">H34+I34</f>
        <v>-273573</v>
      </c>
    </row>
    <row r="35" spans="1:16">
      <c r="A35" s="333">
        <v>25</v>
      </c>
      <c r="B35" s="332" t="s">
        <v>105</v>
      </c>
      <c r="C35" s="353"/>
      <c r="D35" s="344"/>
      <c r="E35" s="196"/>
      <c r="F35" s="350">
        <f t="shared" ref="F35:L35" si="17">IF(F331=0,0,ROUND(F34/F331,5))</f>
        <v>4.8570000000000002E-2</v>
      </c>
      <c r="G35" s="356">
        <f t="shared" ca="1" si="17"/>
        <v>6.8589999999999998E-2</v>
      </c>
      <c r="H35" s="356">
        <f t="shared" si="17"/>
        <v>4.6699999999999998E-2</v>
      </c>
      <c r="I35" s="356">
        <f t="shared" ca="1" si="17"/>
        <v>-0.17963999999999999</v>
      </c>
      <c r="J35" s="356">
        <f t="shared" si="17"/>
        <v>0.11379</v>
      </c>
      <c r="K35" s="356">
        <f t="shared" ca="1" si="17"/>
        <v>4.8570000000000002E-2</v>
      </c>
      <c r="L35" s="356">
        <f t="shared" ca="1" si="17"/>
        <v>6.5447300000000004</v>
      </c>
      <c r="P35" s="356"/>
    </row>
    <row r="36" spans="1:16">
      <c r="A36" s="333">
        <v>26</v>
      </c>
      <c r="B36" s="332" t="s">
        <v>42</v>
      </c>
      <c r="C36" s="353"/>
      <c r="D36" s="344"/>
      <c r="E36" s="196"/>
      <c r="F36" s="350">
        <f t="shared" ref="F36:K36" si="18">$F$688</f>
        <v>7.1809999999999999E-2</v>
      </c>
      <c r="G36" s="350">
        <f t="shared" si="18"/>
        <v>7.1809999999999999E-2</v>
      </c>
      <c r="H36" s="350">
        <f t="shared" si="18"/>
        <v>7.1809999999999999E-2</v>
      </c>
      <c r="I36" s="350">
        <f t="shared" si="18"/>
        <v>7.1809999999999999E-2</v>
      </c>
      <c r="J36" s="350">
        <f t="shared" si="18"/>
        <v>7.1809999999999999E-2</v>
      </c>
      <c r="K36" s="350">
        <f t="shared" si="18"/>
        <v>7.1809999999999999E-2</v>
      </c>
      <c r="L36" s="356">
        <f ca="1">IF(L35=0,0,$F$688)</f>
        <v>7.1809999999999999E-2</v>
      </c>
      <c r="P36" s="351"/>
    </row>
    <row r="37" spans="1:16">
      <c r="A37" s="333">
        <v>27</v>
      </c>
      <c r="B37" s="332" t="s">
        <v>106</v>
      </c>
      <c r="C37" s="353"/>
      <c r="D37" s="344"/>
      <c r="E37" s="196"/>
      <c r="F37" s="350">
        <f t="shared" ref="F37:K38" si="19">IF($F$670=0,0,(F35-$F$683-$F$684-$F$686)*$F$673/$F$670)</f>
        <v>5.321655066441415E-2</v>
      </c>
      <c r="G37" s="350">
        <f t="shared" ca="1" si="19"/>
        <v>9.2661028424561184E-2</v>
      </c>
      <c r="H37" s="350">
        <f t="shared" si="19"/>
        <v>4.9532176368136664E-2</v>
      </c>
      <c r="I37" s="350">
        <f t="shared" ca="1" si="19"/>
        <v>-0.39641503123584326</v>
      </c>
      <c r="J37" s="350">
        <f t="shared" si="19"/>
        <v>0.18171649269821979</v>
      </c>
      <c r="K37" s="350">
        <f t="shared" ca="1" si="19"/>
        <v>5.321655066441415E-2</v>
      </c>
      <c r="L37" s="350">
        <f ca="1">IF(OR(F670=0,L35=0)=TRUE,0,(L35-F683-F684-F686)*F673/F670)</f>
        <v>12.852299400132782</v>
      </c>
      <c r="P37" s="350"/>
    </row>
    <row r="38" spans="1:16">
      <c r="A38" s="333">
        <v>28</v>
      </c>
      <c r="B38" s="332" t="s">
        <v>107</v>
      </c>
      <c r="C38" s="353"/>
      <c r="D38" s="344"/>
      <c r="E38" s="196"/>
      <c r="F38" s="350">
        <f t="shared" si="19"/>
        <v>9.9005245127242167E-2</v>
      </c>
      <c r="G38" s="350">
        <f t="shared" si="19"/>
        <v>9.9005245127242167E-2</v>
      </c>
      <c r="H38" s="350">
        <f t="shared" si="19"/>
        <v>9.9005245127242167E-2</v>
      </c>
      <c r="I38" s="350">
        <f t="shared" si="19"/>
        <v>9.9005245127242167E-2</v>
      </c>
      <c r="J38" s="350">
        <f t="shared" si="19"/>
        <v>9.9005245127242167E-2</v>
      </c>
      <c r="K38" s="350">
        <f t="shared" si="19"/>
        <v>9.9005245127242167E-2</v>
      </c>
      <c r="L38" s="356">
        <f ca="1">IF(OR($F$670=0,L36=0)=TRUE,0,(L36-$F$683-$F$684-$F$686)*$F$673/$F$670)</f>
        <v>9.9005245127242167E-2</v>
      </c>
      <c r="P38" s="350"/>
    </row>
    <row r="39" spans="1:16">
      <c r="A39" s="333">
        <v>29</v>
      </c>
      <c r="C39" s="353"/>
      <c r="D39" s="344"/>
      <c r="E39" s="196"/>
      <c r="F39" s="332" t="s">
        <v>343</v>
      </c>
      <c r="G39" s="353"/>
      <c r="H39" s="353"/>
      <c r="J39" s="353"/>
      <c r="K39" s="353"/>
      <c r="L39" s="353"/>
      <c r="P39" s="353"/>
    </row>
    <row r="40" spans="1:16">
      <c r="A40" s="333">
        <v>30</v>
      </c>
      <c r="B40" s="332" t="s">
        <v>1042</v>
      </c>
      <c r="C40" s="353"/>
      <c r="D40" s="344"/>
      <c r="E40" s="196"/>
      <c r="F40" s="479">
        <f>SUM(G40:J40)</f>
        <v>95287873</v>
      </c>
      <c r="G40" s="349">
        <f>'FR-16(7)(v)-3 PROD Comm Alloc'!G761</f>
        <v>65522695</v>
      </c>
      <c r="H40" s="349">
        <f>'FR-16(7)(v)-3 PROD Comm Alloc'!H761</f>
        <v>23198247</v>
      </c>
      <c r="I40" s="349">
        <f>'FR-16(7)(v)-3 PROD Comm Alloc'!I761</f>
        <v>5042683</v>
      </c>
      <c r="J40" s="349">
        <f>'FR-16(7)(v)-3 PROD Comm Alloc'!J761</f>
        <v>1524248</v>
      </c>
      <c r="K40" s="347">
        <f>SUM(G40:J40)</f>
        <v>95287873</v>
      </c>
      <c r="L40" s="347">
        <f>F40-K40</f>
        <v>0</v>
      </c>
      <c r="P40" s="347"/>
    </row>
    <row r="41" spans="1:16">
      <c r="A41" s="333">
        <v>31</v>
      </c>
      <c r="B41" s="332" t="s">
        <v>109</v>
      </c>
      <c r="C41" s="353"/>
      <c r="D41" s="344"/>
      <c r="E41" s="196"/>
      <c r="F41" s="347">
        <f t="shared" ref="F41:L41" si="20">F28-F40</f>
        <v>10542214.067599997</v>
      </c>
      <c r="G41" s="349">
        <f t="shared" ca="1" si="20"/>
        <v>1488642</v>
      </c>
      <c r="H41" s="349">
        <f t="shared" si="20"/>
        <v>2580982</v>
      </c>
      <c r="I41" s="349">
        <f t="shared" ca="1" si="20"/>
        <v>6783571</v>
      </c>
      <c r="J41" s="349">
        <f t="shared" si="20"/>
        <v>-310979</v>
      </c>
      <c r="K41" s="349">
        <f t="shared" ca="1" si="20"/>
        <v>10542215</v>
      </c>
      <c r="L41" s="349">
        <f t="shared" ca="1" si="20"/>
        <v>-0.93240000307559967</v>
      </c>
      <c r="P41" s="349"/>
    </row>
    <row r="42" spans="1:16">
      <c r="A42" s="333">
        <v>32</v>
      </c>
      <c r="C42" s="353" t="s">
        <v>283</v>
      </c>
      <c r="D42" s="344"/>
      <c r="E42" s="196"/>
      <c r="F42" s="352">
        <f t="shared" ref="F42:L42" si="21">IF(F40=0,0,ROUND(F41/F40,5))</f>
        <v>0.11064</v>
      </c>
      <c r="G42" s="358">
        <f t="shared" ca="1" si="21"/>
        <v>2.2720000000000001E-2</v>
      </c>
      <c r="H42" s="358">
        <f t="shared" si="21"/>
        <v>0.11126</v>
      </c>
      <c r="I42" s="358">
        <f t="shared" ca="1" si="21"/>
        <v>1.3452299999999999</v>
      </c>
      <c r="J42" s="358">
        <f t="shared" si="21"/>
        <v>-0.20402000000000001</v>
      </c>
      <c r="K42" s="358">
        <f t="shared" ca="1" si="21"/>
        <v>0.11064</v>
      </c>
      <c r="L42" s="358">
        <f t="shared" si="21"/>
        <v>0</v>
      </c>
      <c r="P42" s="358"/>
    </row>
    <row r="43" spans="1:16">
      <c r="A43" s="333">
        <v>33</v>
      </c>
      <c r="B43" s="332" t="s">
        <v>110</v>
      </c>
      <c r="C43" s="353"/>
      <c r="D43" s="344"/>
      <c r="E43" s="196"/>
      <c r="F43" s="347">
        <f t="shared" ref="F43:L43" si="22">F31-F40</f>
        <v>0</v>
      </c>
      <c r="G43" s="349">
        <f t="shared" si="22"/>
        <v>-1</v>
      </c>
      <c r="H43" s="349">
        <f t="shared" si="22"/>
        <v>1</v>
      </c>
      <c r="I43" s="349">
        <f t="shared" si="22"/>
        <v>0</v>
      </c>
      <c r="J43" s="349">
        <f t="shared" si="22"/>
        <v>0</v>
      </c>
      <c r="K43" s="349">
        <f t="shared" si="22"/>
        <v>0</v>
      </c>
      <c r="L43" s="349">
        <f t="shared" si="22"/>
        <v>0</v>
      </c>
      <c r="P43" s="349"/>
    </row>
    <row r="44" spans="1:16">
      <c r="A44" s="333">
        <v>34</v>
      </c>
      <c r="C44" s="353" t="s">
        <v>283</v>
      </c>
      <c r="D44" s="344"/>
      <c r="E44" s="196"/>
      <c r="F44" s="352">
        <f t="shared" ref="F44:L44" si="23">IF(F40=0,0,ROUND(F43/F40,5))</f>
        <v>0</v>
      </c>
      <c r="G44" s="358">
        <f t="shared" si="23"/>
        <v>0</v>
      </c>
      <c r="H44" s="358">
        <f t="shared" si="23"/>
        <v>0</v>
      </c>
      <c r="I44" s="358">
        <f t="shared" si="23"/>
        <v>0</v>
      </c>
      <c r="J44" s="358">
        <f t="shared" si="23"/>
        <v>0</v>
      </c>
      <c r="K44" s="358">
        <f t="shared" si="23"/>
        <v>0</v>
      </c>
      <c r="L44" s="358">
        <f t="shared" si="23"/>
        <v>0</v>
      </c>
      <c r="P44" s="358"/>
    </row>
    <row r="45" spans="1:16">
      <c r="A45" s="343"/>
      <c r="C45" s="196"/>
      <c r="D45" s="344"/>
      <c r="E45" s="196"/>
      <c r="G45" s="342"/>
      <c r="H45" s="342"/>
      <c r="I45" s="196"/>
      <c r="J45" s="344"/>
      <c r="K45" s="196"/>
      <c r="L45" s="196"/>
    </row>
    <row r="46" spans="1:16">
      <c r="A46" s="343" t="str">
        <f>co_name</f>
        <v>DUKE ENERGY KENTUCKY, INC.</v>
      </c>
      <c r="C46" s="196"/>
      <c r="D46" s="344"/>
      <c r="E46" s="196"/>
      <c r="F46" s="344"/>
      <c r="G46" s="342"/>
      <c r="H46" s="342"/>
      <c r="I46" s="196"/>
      <c r="K46" s="361" t="str">
        <f>$K$1</f>
        <v>FR-16(7)(v)-8</v>
      </c>
      <c r="L46" s="196"/>
    </row>
    <row r="47" spans="1:16">
      <c r="A47" s="343" t="str">
        <f>$A$2</f>
        <v>TOTAL CLASS ALLOCATED - GAS COST OF SERVICE</v>
      </c>
      <c r="C47" s="196"/>
      <c r="D47" s="344"/>
      <c r="E47" s="196"/>
      <c r="F47" s="344"/>
      <c r="G47" s="342"/>
      <c r="H47" s="342"/>
      <c r="I47" s="196"/>
      <c r="K47" s="361" t="str">
        <f>$K$2</f>
        <v>WITNESS RESPONSIBLE:</v>
      </c>
      <c r="L47" s="196"/>
    </row>
    <row r="48" spans="1:16">
      <c r="A48" s="343" t="str">
        <f>case_name</f>
        <v>CASE NO: 2018-00261</v>
      </c>
      <c r="C48" s="196"/>
      <c r="D48" s="344"/>
      <c r="E48" s="196"/>
      <c r="F48" s="344"/>
      <c r="G48" s="342"/>
      <c r="H48" s="342"/>
      <c r="I48" s="196"/>
      <c r="K48" s="361" t="str">
        <f>Witness</f>
        <v>JAMES E. ZIOLKOWSKI</v>
      </c>
      <c r="L48" s="196"/>
    </row>
    <row r="49" spans="1:12">
      <c r="A49" s="343" t="str">
        <f>data_filing</f>
        <v>DATA: 12 MONTH FORECASTED PERIOD</v>
      </c>
      <c r="C49" s="196"/>
      <c r="D49" s="344"/>
      <c r="E49" s="196"/>
      <c r="F49" s="344"/>
      <c r="G49" s="342"/>
      <c r="H49" s="342"/>
      <c r="I49" s="196"/>
      <c r="K49" s="361" t="str">
        <f>"PAGE "&amp;Pages2-13&amp;" OF "&amp;Pages2</f>
        <v>PAGE 2 OF 15</v>
      </c>
      <c r="L49" s="196"/>
    </row>
    <row r="50" spans="1:12">
      <c r="A50" s="343" t="str">
        <f>type</f>
        <v xml:space="preserve">TYPE OF FILING: "X" ORIGINAL   UPDATED    REVISED  </v>
      </c>
      <c r="C50" s="196"/>
      <c r="D50" s="344"/>
      <c r="E50" s="196"/>
      <c r="F50" s="344"/>
      <c r="G50" s="342"/>
      <c r="H50" s="342"/>
      <c r="I50" s="196"/>
      <c r="J50" s="344"/>
      <c r="K50" s="196"/>
      <c r="L50" s="196"/>
    </row>
    <row r="51" spans="1:12">
      <c r="A51" s="343"/>
      <c r="C51" s="196"/>
      <c r="D51" s="344"/>
      <c r="E51" s="196"/>
      <c r="F51" s="344"/>
      <c r="G51" s="342"/>
      <c r="H51" s="342"/>
      <c r="I51" s="196"/>
      <c r="J51" s="344"/>
      <c r="K51" s="196"/>
      <c r="L51" s="196"/>
    </row>
    <row r="52" spans="1:12">
      <c r="A52" s="343"/>
      <c r="C52" s="196"/>
      <c r="D52" s="344"/>
      <c r="E52" s="196"/>
      <c r="F52" s="344" t="str">
        <f>$F$7</f>
        <v>TOTAL</v>
      </c>
      <c r="G52" s="342"/>
      <c r="H52" s="342"/>
      <c r="I52" s="196"/>
      <c r="J52" s="344"/>
      <c r="K52" s="196"/>
      <c r="L52" s="196"/>
    </row>
    <row r="53" spans="1:12">
      <c r="A53" s="344" t="s">
        <v>914</v>
      </c>
      <c r="B53" s="196"/>
      <c r="C53" s="196"/>
      <c r="D53" s="344"/>
      <c r="E53" s="196"/>
      <c r="F53" s="344" t="str">
        <f>$F$8</f>
        <v>CLASS</v>
      </c>
      <c r="G53" s="354" t="s">
        <v>773</v>
      </c>
      <c r="H53" s="354" t="s">
        <v>1282</v>
      </c>
      <c r="I53" s="354" t="s">
        <v>984</v>
      </c>
      <c r="J53" s="354" t="s">
        <v>549</v>
      </c>
      <c r="K53" s="354" t="s">
        <v>229</v>
      </c>
      <c r="L53" s="344" t="s">
        <v>342</v>
      </c>
    </row>
    <row r="54" spans="1:12">
      <c r="A54" s="346" t="s">
        <v>915</v>
      </c>
      <c r="B54" s="345" t="s">
        <v>95</v>
      </c>
      <c r="C54" s="345"/>
      <c r="D54" s="346" t="s">
        <v>337</v>
      </c>
      <c r="E54" s="345"/>
      <c r="F54" s="344" t="str">
        <f>$F$9</f>
        <v>ALLOCATED</v>
      </c>
      <c r="G54" s="355" t="s">
        <v>338</v>
      </c>
      <c r="H54" s="355" t="s">
        <v>405</v>
      </c>
      <c r="I54" s="355" t="s">
        <v>1283</v>
      </c>
      <c r="J54" s="355" t="s">
        <v>550</v>
      </c>
      <c r="K54" s="355" t="s">
        <v>341</v>
      </c>
      <c r="L54" s="346" t="s">
        <v>340</v>
      </c>
    </row>
    <row r="55" spans="1:12">
      <c r="C55" s="578" t="s">
        <v>344</v>
      </c>
      <c r="D55" s="344"/>
      <c r="E55" s="196"/>
      <c r="F55" s="761"/>
      <c r="G55" s="633">
        <f>$G$10</f>
        <v>3</v>
      </c>
      <c r="H55" s="633">
        <f>$H$10</f>
        <v>4</v>
      </c>
      <c r="I55" s="633">
        <f>$I$10</f>
        <v>5</v>
      </c>
      <c r="J55" s="633">
        <f>$J$10</f>
        <v>6</v>
      </c>
      <c r="L55" s="332" t="s">
        <v>343</v>
      </c>
    </row>
    <row r="56" spans="1:12">
      <c r="A56" s="333">
        <v>1</v>
      </c>
      <c r="B56" s="332" t="s">
        <v>14</v>
      </c>
      <c r="E56" s="196"/>
      <c r="G56" s="353"/>
      <c r="H56" s="353"/>
      <c r="I56" s="332"/>
    </row>
    <row r="57" spans="1:12">
      <c r="A57" s="333">
        <v>2</v>
      </c>
      <c r="C57" s="365" t="str">
        <f>'FR-16(7)(v)-1 Functional'!C57</f>
        <v>PRODUCTION PLANT</v>
      </c>
      <c r="D57" s="344" t="str">
        <f>'FR-16(7)(v)-1 Functional'!D57</f>
        <v>K205</v>
      </c>
      <c r="E57" s="196"/>
      <c r="F57" s="479">
        <f>'FR-16(7)(v)-1 Functional'!F57</f>
        <v>2799608</v>
      </c>
      <c r="G57" s="349">
        <f>'FR-16(7)(v)-6 DISTR Cust Alloc'!$G$57+'FR-16(7)(v)-5 DISTR Dem Alloc'!$G$57+'FR-16(7)(v)-3 PROD Comm Alloc'!$G$57</f>
        <v>1633207</v>
      </c>
      <c r="H57" s="349">
        <f>'FR-16(7)(v)-6 DISTR Cust Alloc'!$H$57+'FR-16(7)(v)-5 DISTR Dem Alloc'!$H$57+'FR-16(7)(v)-3 PROD Comm Alloc'!$H$57</f>
        <v>853321</v>
      </c>
      <c r="I57" s="349">
        <f>'FR-16(7)(v)-6 DISTR Cust Alloc'!$I$57+'FR-16(7)(v)-5 DISTR Dem Alloc'!$I$57+'FR-16(7)(v)-3 PROD Comm Alloc'!$I$57</f>
        <v>313080</v>
      </c>
      <c r="J57" s="349">
        <f>'FR-16(7)(v)-6 DISTR Cust Alloc'!$J$57+'FR-16(7)(v)-5 DISTR Dem Alloc'!$J$57+'FR-16(7)(v)-3 PROD Comm Alloc'!$J$57</f>
        <v>0</v>
      </c>
      <c r="K57" s="347">
        <f>SUM($G$57:$J$57)</f>
        <v>2799608</v>
      </c>
      <c r="L57" s="347">
        <f>F57-$K$57</f>
        <v>0</v>
      </c>
    </row>
    <row r="58" spans="1:12">
      <c r="A58" s="333">
        <v>3</v>
      </c>
      <c r="C58" s="359" t="str">
        <f>'FR-16(7)(v)-1 Functional'!C58</f>
        <v>GAS PRODUCTION -CPMPL NOT CLASS</v>
      </c>
      <c r="D58" s="344" t="str">
        <f>'FR-16(7)(v)-1 Functional'!D58</f>
        <v>K205</v>
      </c>
      <c r="E58" s="196"/>
      <c r="F58" s="479">
        <f>'FR-16(7)(v)-1 Functional'!F58</f>
        <v>0</v>
      </c>
      <c r="G58" s="349">
        <f>'FR-16(7)(v)-6 DISTR Cust Alloc'!$G$58+'FR-16(7)(v)-5 DISTR Dem Alloc'!$G$58+'FR-16(7)(v)-3 PROD Comm Alloc'!$G$58</f>
        <v>0</v>
      </c>
      <c r="H58" s="349">
        <f>'FR-16(7)(v)-6 DISTR Cust Alloc'!$H$58+'FR-16(7)(v)-5 DISTR Dem Alloc'!$H$58+'FR-16(7)(v)-3 PROD Comm Alloc'!$H$58</f>
        <v>0</v>
      </c>
      <c r="I58" s="349">
        <f>'FR-16(7)(v)-6 DISTR Cust Alloc'!$I$58+'FR-16(7)(v)-5 DISTR Dem Alloc'!$I$58+'FR-16(7)(v)-3 PROD Comm Alloc'!$I$58</f>
        <v>0</v>
      </c>
      <c r="J58" s="349">
        <f>'FR-16(7)(v)-6 DISTR Cust Alloc'!$J$58+'FR-16(7)(v)-5 DISTR Dem Alloc'!$J$58+'FR-16(7)(v)-3 PROD Comm Alloc'!$J$58</f>
        <v>0</v>
      </c>
      <c r="K58" s="347">
        <f>SUM($G$58:$J$58)</f>
        <v>0</v>
      </c>
      <c r="L58" s="347">
        <f>F58-$K$58</f>
        <v>0</v>
      </c>
    </row>
    <row r="59" spans="1:12">
      <c r="A59" s="333">
        <v>4</v>
      </c>
      <c r="C59" s="332" t="str">
        <f>'FR-16(7)(v)-1 Functional'!C59</f>
        <v xml:space="preserve">  PRODUCTION PLANT IN SERVICE</v>
      </c>
      <c r="D59" s="344"/>
      <c r="E59" s="196"/>
      <c r="F59" s="348">
        <f>SUM(F57:F58)</f>
        <v>2799608</v>
      </c>
      <c r="G59" s="348">
        <f>SUM($G$57:$G$58)</f>
        <v>1633207</v>
      </c>
      <c r="H59" s="348">
        <f>SUM($H$57:$H$58)</f>
        <v>853321</v>
      </c>
      <c r="I59" s="348">
        <f>SUM($I$57:$I$58)</f>
        <v>313080</v>
      </c>
      <c r="J59" s="348">
        <f>SUM($J$57:$J$58)</f>
        <v>0</v>
      </c>
      <c r="K59" s="348">
        <f>SUM($K$57:$K$58)</f>
        <v>2799608</v>
      </c>
      <c r="L59" s="348">
        <f>SUM($L$57:$L$58)</f>
        <v>0</v>
      </c>
    </row>
    <row r="60" spans="1:12">
      <c r="A60" s="333">
        <v>5</v>
      </c>
      <c r="D60" s="344"/>
      <c r="E60" s="196"/>
      <c r="G60" s="353"/>
      <c r="H60" s="353"/>
      <c r="I60" s="332"/>
    </row>
    <row r="61" spans="1:12">
      <c r="A61" s="333">
        <v>6</v>
      </c>
      <c r="B61" s="332" t="s">
        <v>15</v>
      </c>
      <c r="D61" s="344"/>
      <c r="E61" s="196"/>
      <c r="G61" s="353"/>
      <c r="H61" s="353"/>
      <c r="I61" s="332"/>
    </row>
    <row r="62" spans="1:12">
      <c r="A62" s="333">
        <v>7</v>
      </c>
      <c r="C62" s="359" t="str">
        <f>'FR-16(7)(v)-1 Functional'!C62</f>
        <v>TRANSMISSION PLANT</v>
      </c>
      <c r="D62" s="344" t="s">
        <v>343</v>
      </c>
      <c r="E62" s="196"/>
      <c r="F62" s="477"/>
      <c r="G62" s="478"/>
      <c r="H62" s="349"/>
      <c r="I62" s="347"/>
      <c r="J62" s="347"/>
      <c r="K62" s="347"/>
      <c r="L62" s="347"/>
    </row>
    <row r="63" spans="1:12">
      <c r="A63" s="333">
        <v>8</v>
      </c>
      <c r="C63" s="332" t="str">
        <f>'FR-16(7)(v)-1 Functional'!C63</f>
        <v xml:space="preserve">  TRANSMISSION PLANT IN SERVICE</v>
      </c>
      <c r="D63" s="344"/>
      <c r="E63" s="196"/>
      <c r="F63" s="348">
        <f>SUM(F62)</f>
        <v>0</v>
      </c>
      <c r="G63" s="348">
        <f>SUM($G$62)</f>
        <v>0</v>
      </c>
      <c r="H63" s="348">
        <f>SUM($H$62)</f>
        <v>0</v>
      </c>
      <c r="I63" s="348">
        <f>SUM($I$62)</f>
        <v>0</v>
      </c>
      <c r="J63" s="348">
        <f>SUM($J$62)</f>
        <v>0</v>
      </c>
      <c r="K63" s="348">
        <f>SUM($K$62)</f>
        <v>0</v>
      </c>
      <c r="L63" s="348">
        <f>SUM($L$62)</f>
        <v>0</v>
      </c>
    </row>
    <row r="64" spans="1:12">
      <c r="A64" s="333">
        <v>9</v>
      </c>
      <c r="D64" s="344"/>
      <c r="E64" s="196"/>
      <c r="G64" s="353"/>
      <c r="H64" s="353"/>
      <c r="I64" s="332"/>
    </row>
    <row r="65" spans="1:12">
      <c r="A65" s="333">
        <v>10</v>
      </c>
      <c r="B65" s="332" t="s">
        <v>16</v>
      </c>
      <c r="D65" s="344"/>
      <c r="E65" s="196"/>
      <c r="F65" s="347">
        <f>F63+F59</f>
        <v>2799608</v>
      </c>
      <c r="G65" s="349">
        <f>$G$63+$G$59</f>
        <v>1633207</v>
      </c>
      <c r="H65" s="349">
        <f>$H$63+$H$59</f>
        <v>853321</v>
      </c>
      <c r="I65" s="347">
        <f>$I$63+$I$59</f>
        <v>313080</v>
      </c>
      <c r="J65" s="347">
        <f>$J$63+$J$59</f>
        <v>0</v>
      </c>
      <c r="K65" s="347">
        <f>$K$63+$K$59</f>
        <v>2799608</v>
      </c>
      <c r="L65" s="347">
        <f>$L$63+$L$59</f>
        <v>0</v>
      </c>
    </row>
    <row r="66" spans="1:12">
      <c r="A66" s="333">
        <v>11</v>
      </c>
      <c r="D66" s="344"/>
      <c r="E66" s="196"/>
      <c r="G66" s="353"/>
      <c r="H66" s="353"/>
      <c r="I66" s="332"/>
    </row>
    <row r="67" spans="1:12">
      <c r="A67" s="333">
        <v>12</v>
      </c>
      <c r="B67" s="332" t="s">
        <v>17</v>
      </c>
      <c r="D67" s="344"/>
      <c r="E67" s="196"/>
      <c r="G67" s="353"/>
      <c r="H67" s="353"/>
      <c r="I67" s="332"/>
    </row>
    <row r="68" spans="1:12">
      <c r="A68" s="333">
        <v>13</v>
      </c>
      <c r="C68" s="332" t="str">
        <f>'FR-16(7)(v)-1 Functional'!C68</f>
        <v>SYSTEM M&amp;R - (2780, 2781)</v>
      </c>
      <c r="D68" s="344" t="str">
        <f>'FR-16(7)(v)-1 Functional'!D68</f>
        <v>K203</v>
      </c>
      <c r="E68" s="196"/>
      <c r="F68" s="479">
        <f>'FR-16(7)(v)-1 Functional'!F68</f>
        <v>8194914</v>
      </c>
      <c r="G68" s="349">
        <f>'FR-16(7)(v)-6 DISTR Cust Alloc'!G68+'FR-16(7)(v)-5 DISTR Dem Alloc'!G68+'FR-16(7)(v)-3 PROD Comm Alloc'!G68</f>
        <v>4627423</v>
      </c>
      <c r="H68" s="349">
        <f>'FR-16(7)(v)-6 DISTR Cust Alloc'!H68+'FR-16(7)(v)-5 DISTR Dem Alloc'!H68+'FR-16(7)(v)-3 PROD Comm Alloc'!H68</f>
        <v>2419384</v>
      </c>
      <c r="I68" s="349">
        <f>'FR-16(7)(v)-6 DISTR Cust Alloc'!I68+'FR-16(7)(v)-5 DISTR Dem Alloc'!I68+'FR-16(7)(v)-3 PROD Comm Alloc'!I68</f>
        <v>894311</v>
      </c>
      <c r="J68" s="349">
        <f>'FR-16(7)(v)-6 DISTR Cust Alloc'!J68+'FR-16(7)(v)-5 DISTR Dem Alloc'!J68+'FR-16(7)(v)-3 PROD Comm Alloc'!J68</f>
        <v>253796</v>
      </c>
      <c r="K68" s="347">
        <f t="shared" ref="K68:K77" si="24">SUM(G68:J68)</f>
        <v>8194914</v>
      </c>
      <c r="L68" s="347">
        <f t="shared" ref="L68:L77" si="25">F68-K68</f>
        <v>0</v>
      </c>
    </row>
    <row r="69" spans="1:12">
      <c r="A69" s="333">
        <v>14</v>
      </c>
      <c r="C69" s="332" t="str">
        <f>'FR-16(7)(v)-1 Functional'!C69</f>
        <v xml:space="preserve">DIST REG EQUIP &amp; CITY GATE M&amp;R- (2782, 2790) </v>
      </c>
      <c r="D69" s="344" t="str">
        <f>'FR-16(7)(v)-1 Functional'!D69</f>
        <v>K203</v>
      </c>
      <c r="E69" s="196"/>
      <c r="F69" s="479">
        <f>'FR-16(7)(v)-1 Functional'!F69</f>
        <v>2419176</v>
      </c>
      <c r="G69" s="349">
        <f>'FR-16(7)(v)-6 DISTR Cust Alloc'!G69+'FR-16(7)(v)-5 DISTR Dem Alloc'!G69+'FR-16(7)(v)-3 PROD Comm Alloc'!G69</f>
        <v>1366036</v>
      </c>
      <c r="H69" s="349">
        <f>'FR-16(7)(v)-6 DISTR Cust Alloc'!H69+'FR-16(7)(v)-5 DISTR Dem Alloc'!H69+'FR-16(7)(v)-3 PROD Comm Alloc'!H69</f>
        <v>714213</v>
      </c>
      <c r="I69" s="349">
        <f>'FR-16(7)(v)-6 DISTR Cust Alloc'!I69+'FR-16(7)(v)-5 DISTR Dem Alloc'!I69+'FR-16(7)(v)-3 PROD Comm Alloc'!I69</f>
        <v>264005</v>
      </c>
      <c r="J69" s="349">
        <f>'FR-16(7)(v)-6 DISTR Cust Alloc'!J69+'FR-16(7)(v)-5 DISTR Dem Alloc'!J69+'FR-16(7)(v)-3 PROD Comm Alloc'!J69</f>
        <v>74922</v>
      </c>
      <c r="K69" s="347">
        <f t="shared" si="24"/>
        <v>2419176</v>
      </c>
      <c r="L69" s="347">
        <f t="shared" si="25"/>
        <v>0</v>
      </c>
    </row>
    <row r="70" spans="1:12">
      <c r="A70" s="333">
        <v>15</v>
      </c>
      <c r="C70" s="332" t="str">
        <f>'FR-16(7)(v)-1 Functional'!C70</f>
        <v>LARGE IND M&amp;R - (2850, 2851)</v>
      </c>
      <c r="D70" s="344" t="str">
        <f>'FR-16(7)(v)-1 Functional'!D70</f>
        <v>K595</v>
      </c>
      <c r="E70" s="196"/>
      <c r="F70" s="479">
        <f>'FR-16(7)(v)-1 Functional'!F70</f>
        <v>519875</v>
      </c>
      <c r="G70" s="349">
        <f>'FR-16(7)(v)-6 DISTR Cust Alloc'!G70+'FR-16(7)(v)-5 DISTR Dem Alloc'!G70+'FR-16(7)(v)-3 PROD Comm Alloc'!G70</f>
        <v>0</v>
      </c>
      <c r="H70" s="349">
        <f>'FR-16(7)(v)-6 DISTR Cust Alloc'!H70+'FR-16(7)(v)-5 DISTR Dem Alloc'!H70+'FR-16(7)(v)-3 PROD Comm Alloc'!H70</f>
        <v>0</v>
      </c>
      <c r="I70" s="349">
        <f>'FR-16(7)(v)-6 DISTR Cust Alloc'!I70+'FR-16(7)(v)-5 DISTR Dem Alloc'!I70+'FR-16(7)(v)-3 PROD Comm Alloc'!I70</f>
        <v>302084</v>
      </c>
      <c r="J70" s="349">
        <f>'FR-16(7)(v)-6 DISTR Cust Alloc'!J70+'FR-16(7)(v)-5 DISTR Dem Alloc'!J70+'FR-16(7)(v)-3 PROD Comm Alloc'!J70</f>
        <v>217791</v>
      </c>
      <c r="K70" s="347">
        <f t="shared" si="24"/>
        <v>519875</v>
      </c>
      <c r="L70" s="347">
        <f t="shared" si="25"/>
        <v>0</v>
      </c>
    </row>
    <row r="71" spans="1:12">
      <c r="A71" s="333">
        <v>16</v>
      </c>
      <c r="C71" s="332" t="str">
        <f>'FR-16(7)(v)-1 Functional'!C71</f>
        <v>MAINS - (2761, 2762, 2763, 2765)</v>
      </c>
      <c r="D71" s="344" t="str">
        <f>'FR-16(7)(v)-1 Functional'!D71</f>
        <v>K415</v>
      </c>
      <c r="E71" s="196"/>
      <c r="F71" s="479">
        <f>'FR-16(7)(v)-1 Functional'!F71</f>
        <v>283446655</v>
      </c>
      <c r="G71" s="349">
        <f>'FR-16(7)(v)-6 DISTR Cust Alloc'!G71+'FR-16(7)(v)-5 DISTR Dem Alloc'!G71+'FR-16(7)(v)-3 PROD Comm Alloc'!G71</f>
        <v>176544069</v>
      </c>
      <c r="H71" s="349">
        <f>'FR-16(7)(v)-6 DISTR Cust Alloc'!H71+'FR-16(7)(v)-5 DISTR Dem Alloc'!H71+'FR-16(7)(v)-3 PROD Comm Alloc'!H71</f>
        <v>73491482</v>
      </c>
      <c r="I71" s="349">
        <f>'FR-16(7)(v)-6 DISTR Cust Alloc'!I71+'FR-16(7)(v)-5 DISTR Dem Alloc'!I71+'FR-16(7)(v)-3 PROD Comm Alloc'!I71</f>
        <v>26027319</v>
      </c>
      <c r="J71" s="349">
        <f>'FR-16(7)(v)-6 DISTR Cust Alloc'!J71+'FR-16(7)(v)-5 DISTR Dem Alloc'!J71+'FR-16(7)(v)-3 PROD Comm Alloc'!J71</f>
        <v>7383785</v>
      </c>
      <c r="K71" s="347">
        <f t="shared" si="24"/>
        <v>283446655</v>
      </c>
      <c r="L71" s="347">
        <f t="shared" si="25"/>
        <v>0</v>
      </c>
    </row>
    <row r="72" spans="1:12">
      <c r="A72" s="333">
        <v>17</v>
      </c>
      <c r="C72" s="332" t="str">
        <f>'FR-16(7)(v)-1 Functional'!C72</f>
        <v>SERVICES - (2801, 2802, 2803)</v>
      </c>
      <c r="D72" s="344" t="str">
        <f>'FR-16(7)(v)-1 Functional'!D72</f>
        <v>K403</v>
      </c>
      <c r="E72" s="196"/>
      <c r="F72" s="479">
        <f>'FR-16(7)(v)-1 Functional'!F72</f>
        <v>163028490</v>
      </c>
      <c r="G72" s="349">
        <f>'FR-16(7)(v)-6 DISTR Cust Alloc'!G72+'FR-16(7)(v)-5 DISTR Dem Alloc'!G72+'FR-16(7)(v)-3 PROD Comm Alloc'!G72</f>
        <v>142322242</v>
      </c>
      <c r="H72" s="349">
        <f>'FR-16(7)(v)-6 DISTR Cust Alloc'!H72+'FR-16(7)(v)-5 DISTR Dem Alloc'!H72+'FR-16(7)(v)-3 PROD Comm Alloc'!H72</f>
        <v>19532443</v>
      </c>
      <c r="I72" s="349">
        <f>'FR-16(7)(v)-6 DISTR Cust Alloc'!I72+'FR-16(7)(v)-5 DISTR Dem Alloc'!I72+'FR-16(7)(v)-3 PROD Comm Alloc'!I72</f>
        <v>399420</v>
      </c>
      <c r="J72" s="349">
        <f>'FR-16(7)(v)-6 DISTR Cust Alloc'!J72+'FR-16(7)(v)-5 DISTR Dem Alloc'!J72+'FR-16(7)(v)-3 PROD Comm Alloc'!J72</f>
        <v>774385</v>
      </c>
      <c r="K72" s="347">
        <f t="shared" si="24"/>
        <v>163028490</v>
      </c>
      <c r="L72" s="347">
        <f t="shared" si="25"/>
        <v>0</v>
      </c>
    </row>
    <row r="73" spans="1:12">
      <c r="A73" s="333">
        <v>18</v>
      </c>
      <c r="C73" s="332" t="str">
        <f>'FR-16(7)(v)-1 Functional'!C73</f>
        <v>MTRS &amp; MTR INST (2810, 2811, 2820, 2821)</v>
      </c>
      <c r="D73" s="344" t="str">
        <f>'FR-16(7)(v)-1 Functional'!D73</f>
        <v>K413</v>
      </c>
      <c r="E73" s="196"/>
      <c r="F73" s="479">
        <f>'FR-16(7)(v)-1 Functional'!F73</f>
        <v>23257250</v>
      </c>
      <c r="G73" s="349">
        <f>'FR-16(7)(v)-6 DISTR Cust Alloc'!G73+'FR-16(7)(v)-5 DISTR Dem Alloc'!G73+'FR-16(7)(v)-3 PROD Comm Alloc'!G73</f>
        <v>18414161</v>
      </c>
      <c r="H73" s="349">
        <f>'FR-16(7)(v)-6 DISTR Cust Alloc'!H73+'FR-16(7)(v)-5 DISTR Dem Alloc'!H73+'FR-16(7)(v)-3 PROD Comm Alloc'!H73</f>
        <v>4564235</v>
      </c>
      <c r="I73" s="349">
        <f>'FR-16(7)(v)-6 DISTR Cust Alloc'!I73+'FR-16(7)(v)-5 DISTR Dem Alloc'!I73+'FR-16(7)(v)-3 PROD Comm Alloc'!I73</f>
        <v>187686</v>
      </c>
      <c r="J73" s="349">
        <f>'FR-16(7)(v)-6 DISTR Cust Alloc'!J73+'FR-16(7)(v)-5 DISTR Dem Alloc'!J73+'FR-16(7)(v)-3 PROD Comm Alloc'!J73</f>
        <v>91168</v>
      </c>
      <c r="K73" s="347">
        <f t="shared" si="24"/>
        <v>23257250</v>
      </c>
      <c r="L73" s="347">
        <f t="shared" si="25"/>
        <v>0</v>
      </c>
    </row>
    <row r="74" spans="1:12">
      <c r="A74" s="333">
        <v>19</v>
      </c>
      <c r="C74" s="332" t="str">
        <f>'FR-16(7)(v)-1 Functional'!C74</f>
        <v>LAND, R OF W, STRUCT &amp; IMPROV</v>
      </c>
      <c r="D74" s="344" t="str">
        <f>'FR-16(7)(v)-1 Functional'!D74</f>
        <v>K203</v>
      </c>
      <c r="E74" s="196"/>
      <c r="F74" s="479">
        <f>'FR-16(7)(v)-1 Functional'!F74</f>
        <v>1460393</v>
      </c>
      <c r="G74" s="349">
        <f>'FR-16(7)(v)-6 DISTR Cust Alloc'!G74+'FR-16(7)(v)-5 DISTR Dem Alloc'!G74+'FR-16(7)(v)-3 PROD Comm Alloc'!G74</f>
        <v>824640</v>
      </c>
      <c r="H74" s="349">
        <f>'FR-16(7)(v)-6 DISTR Cust Alloc'!H74+'FR-16(7)(v)-5 DISTR Dem Alloc'!H74+'FR-16(7)(v)-3 PROD Comm Alloc'!H74</f>
        <v>431152</v>
      </c>
      <c r="I74" s="349">
        <f>'FR-16(7)(v)-6 DISTR Cust Alloc'!I74+'FR-16(7)(v)-5 DISTR Dem Alloc'!I74+'FR-16(7)(v)-3 PROD Comm Alloc'!I74</f>
        <v>159373</v>
      </c>
      <c r="J74" s="349">
        <f>'FR-16(7)(v)-6 DISTR Cust Alloc'!J74+'FR-16(7)(v)-5 DISTR Dem Alloc'!J74+'FR-16(7)(v)-3 PROD Comm Alloc'!J74</f>
        <v>45228</v>
      </c>
      <c r="K74" s="347">
        <f t="shared" si="24"/>
        <v>1460393</v>
      </c>
      <c r="L74" s="347">
        <f t="shared" si="25"/>
        <v>0</v>
      </c>
    </row>
    <row r="75" spans="1:12">
      <c r="A75" s="333">
        <v>20</v>
      </c>
      <c r="C75" s="332" t="str">
        <f>'FR-16(7)(v)-1 Functional'!C75</f>
        <v>HOUSE REG &amp; INSTALL (2830, 2840)</v>
      </c>
      <c r="D75" s="344" t="str">
        <f>'FR-16(7)(v)-1 Functional'!D75</f>
        <v>K417</v>
      </c>
      <c r="E75" s="196"/>
      <c r="F75" s="479">
        <f>'FR-16(7)(v)-1 Functional'!F75</f>
        <v>12497082</v>
      </c>
      <c r="G75" s="349">
        <f>'FR-16(7)(v)-6 DISTR Cust Alloc'!G75+'FR-16(7)(v)-5 DISTR Dem Alloc'!G75+'FR-16(7)(v)-3 PROD Comm Alloc'!G75</f>
        <v>8257323</v>
      </c>
      <c r="H75" s="349">
        <f>'FR-16(7)(v)-6 DISTR Cust Alloc'!H75+'FR-16(7)(v)-5 DISTR Dem Alloc'!H75+'FR-16(7)(v)-3 PROD Comm Alloc'!H75</f>
        <v>4114039</v>
      </c>
      <c r="I75" s="349">
        <f>'FR-16(7)(v)-6 DISTR Cust Alloc'!I75+'FR-16(7)(v)-5 DISTR Dem Alloc'!I75+'FR-16(7)(v)-3 PROD Comm Alloc'!I75</f>
        <v>102101</v>
      </c>
      <c r="J75" s="349">
        <f>'FR-16(7)(v)-6 DISTR Cust Alloc'!J75+'FR-16(7)(v)-5 DISTR Dem Alloc'!J75+'FR-16(7)(v)-3 PROD Comm Alloc'!J75</f>
        <v>23619</v>
      </c>
      <c r="K75" s="347">
        <f t="shared" si="24"/>
        <v>12497082</v>
      </c>
      <c r="L75" s="347">
        <f t="shared" si="25"/>
        <v>0</v>
      </c>
    </row>
    <row r="76" spans="1:12">
      <c r="A76" s="333">
        <v>21</v>
      </c>
      <c r="C76" s="365" t="str">
        <f>'FR-16(7)(v)-1 Functional'!C76</f>
        <v>STREET LIGHTING EQUIPMENT &amp; OTH</v>
      </c>
      <c r="D76" s="344" t="str">
        <f>'FR-16(7)(v)-1 Functional'!D76</f>
        <v>K597</v>
      </c>
      <c r="E76" s="196"/>
      <c r="F76" s="479">
        <f>'FR-16(7)(v)-1 Functional'!F76</f>
        <v>49737</v>
      </c>
      <c r="G76" s="349">
        <f>'FR-16(7)(v)-6 DISTR Cust Alloc'!G76+'FR-16(7)(v)-5 DISTR Dem Alloc'!G76+'FR-16(7)(v)-3 PROD Comm Alloc'!G76</f>
        <v>0</v>
      </c>
      <c r="H76" s="349">
        <f>'FR-16(7)(v)-6 DISTR Cust Alloc'!H76+'FR-16(7)(v)-5 DISTR Dem Alloc'!H76+'FR-16(7)(v)-3 PROD Comm Alloc'!H76</f>
        <v>49737</v>
      </c>
      <c r="I76" s="349">
        <f>'FR-16(7)(v)-6 DISTR Cust Alloc'!I76+'FR-16(7)(v)-5 DISTR Dem Alloc'!I76+'FR-16(7)(v)-3 PROD Comm Alloc'!I76</f>
        <v>0</v>
      </c>
      <c r="J76" s="349">
        <f>'FR-16(7)(v)-6 DISTR Cust Alloc'!J76+'FR-16(7)(v)-5 DISTR Dem Alloc'!J76+'FR-16(7)(v)-3 PROD Comm Alloc'!J76</f>
        <v>0</v>
      </c>
      <c r="K76" s="347">
        <f t="shared" si="24"/>
        <v>49737</v>
      </c>
      <c r="L76" s="347">
        <f t="shared" si="25"/>
        <v>0</v>
      </c>
    </row>
    <row r="77" spans="1:12">
      <c r="A77" s="333">
        <v>22</v>
      </c>
      <c r="C77" s="332" t="str">
        <f>'FR-16(7)(v)-1 Functional'!C77</f>
        <v>ASSET RETIREMENT COST FOR DISTRIBUTION PLANT</v>
      </c>
      <c r="D77" s="344" t="str">
        <f>'FR-16(7)(v)-1 Functional'!D77</f>
        <v>K203</v>
      </c>
      <c r="E77" s="196"/>
      <c r="F77" s="479">
        <f>'FR-16(7)(v)-1 Functional'!F77</f>
        <v>53610236</v>
      </c>
      <c r="G77" s="349">
        <f>'FR-16(7)(v)-6 DISTR Cust Alloc'!G77+'FR-16(7)(v)-5 DISTR Dem Alloc'!G77+'FR-16(7)(v)-3 PROD Comm Alloc'!G77</f>
        <v>30272092</v>
      </c>
      <c r="H77" s="349">
        <f>'FR-16(7)(v)-6 DISTR Cust Alloc'!H77+'FR-16(7)(v)-5 DISTR Dem Alloc'!H77+'FR-16(7)(v)-3 PROD Comm Alloc'!H77</f>
        <v>15827350</v>
      </c>
      <c r="I77" s="349">
        <f>'FR-16(7)(v)-6 DISTR Cust Alloc'!I77+'FR-16(7)(v)-5 DISTR Dem Alloc'!I77+'FR-16(7)(v)-3 PROD Comm Alloc'!I77</f>
        <v>5850485</v>
      </c>
      <c r="J77" s="349">
        <f>'FR-16(7)(v)-6 DISTR Cust Alloc'!J77+'FR-16(7)(v)-5 DISTR Dem Alloc'!J77+'FR-16(7)(v)-3 PROD Comm Alloc'!J77</f>
        <v>1660309</v>
      </c>
      <c r="K77" s="347">
        <f t="shared" si="24"/>
        <v>53610236</v>
      </c>
      <c r="L77" s="347">
        <f t="shared" si="25"/>
        <v>0</v>
      </c>
    </row>
    <row r="78" spans="1:12">
      <c r="A78" s="333">
        <v>23</v>
      </c>
      <c r="C78" s="339" t="str">
        <f>'FR-16(7)(v)-1 Functional'!C78</f>
        <v xml:space="preserve">  DISTRIBUTION PLANT IN SERVICE</v>
      </c>
      <c r="D78" s="344"/>
      <c r="E78" s="196"/>
      <c r="F78" s="348">
        <f t="shared" ref="F78:L78" si="26">SUM(F68:F77)</f>
        <v>548483808</v>
      </c>
      <c r="G78" s="348">
        <f t="shared" si="26"/>
        <v>382627986</v>
      </c>
      <c r="H78" s="348">
        <f t="shared" si="26"/>
        <v>121144035</v>
      </c>
      <c r="I78" s="348">
        <f t="shared" si="26"/>
        <v>34186784</v>
      </c>
      <c r="J78" s="348">
        <f t="shared" si="26"/>
        <v>10525003</v>
      </c>
      <c r="K78" s="348">
        <f t="shared" si="26"/>
        <v>548483808</v>
      </c>
      <c r="L78" s="348">
        <f t="shared" si="26"/>
        <v>0</v>
      </c>
    </row>
    <row r="79" spans="1:12">
      <c r="A79" s="333">
        <v>24</v>
      </c>
      <c r="D79" s="344"/>
      <c r="E79" s="196"/>
      <c r="G79" s="353"/>
      <c r="H79" s="353"/>
      <c r="I79" s="332"/>
    </row>
    <row r="80" spans="1:12">
      <c r="A80" s="333">
        <v>25</v>
      </c>
      <c r="B80" s="332" t="s">
        <v>18</v>
      </c>
      <c r="D80" s="344"/>
      <c r="E80" s="196"/>
      <c r="F80" s="347">
        <f>F78+F63</f>
        <v>548483808</v>
      </c>
      <c r="G80" s="349">
        <f>G78+$G$63</f>
        <v>382627986</v>
      </c>
      <c r="H80" s="349">
        <f>H78+$H$63</f>
        <v>121144035</v>
      </c>
      <c r="I80" s="347">
        <f>I78+$I$63</f>
        <v>34186784</v>
      </c>
      <c r="J80" s="347">
        <f>J78+$J$63</f>
        <v>10525003</v>
      </c>
      <c r="K80" s="347">
        <f>K78+$K$63</f>
        <v>548483808</v>
      </c>
      <c r="L80" s="347">
        <f>L78+$L$63</f>
        <v>0</v>
      </c>
    </row>
    <row r="81" spans="1:12">
      <c r="A81" s="333">
        <v>26</v>
      </c>
      <c r="B81" s="332" t="s">
        <v>19</v>
      </c>
      <c r="D81" s="344"/>
      <c r="E81" s="196"/>
      <c r="F81" s="347">
        <f t="shared" ref="F81:L81" si="27">F78+F65</f>
        <v>551283416</v>
      </c>
      <c r="G81" s="349">
        <f t="shared" si="27"/>
        <v>384261193</v>
      </c>
      <c r="H81" s="349">
        <f t="shared" si="27"/>
        <v>121997356</v>
      </c>
      <c r="I81" s="347">
        <f t="shared" si="27"/>
        <v>34499864</v>
      </c>
      <c r="J81" s="347">
        <f t="shared" si="27"/>
        <v>10525003</v>
      </c>
      <c r="K81" s="347">
        <f t="shared" si="27"/>
        <v>551283416</v>
      </c>
      <c r="L81" s="347">
        <f t="shared" si="27"/>
        <v>0</v>
      </c>
    </row>
    <row r="82" spans="1:12">
      <c r="A82" s="333">
        <v>27</v>
      </c>
      <c r="D82" s="344"/>
      <c r="E82" s="196"/>
      <c r="G82" s="353"/>
      <c r="H82" s="353"/>
      <c r="I82" s="332"/>
    </row>
    <row r="83" spans="1:12">
      <c r="A83" s="333">
        <v>28</v>
      </c>
      <c r="B83" s="332" t="s">
        <v>20</v>
      </c>
      <c r="D83" s="344"/>
      <c r="E83" s="196"/>
      <c r="G83" s="353"/>
      <c r="H83" s="353"/>
      <c r="I83" s="332"/>
    </row>
    <row r="84" spans="1:12">
      <c r="A84" s="333">
        <v>29</v>
      </c>
      <c r="C84" s="332" t="str">
        <f>'FR-16(7)(v)-1 Functional'!C84</f>
        <v>PRODUCTION PLANT</v>
      </c>
      <c r="D84" s="344" t="str">
        <f>'FR-16(7)(v)-1 Functional'!D84</f>
        <v>K201</v>
      </c>
      <c r="E84" s="196"/>
      <c r="F84" s="479">
        <f>'FR-16(7)(v)-1 Functional'!F84</f>
        <v>1418707</v>
      </c>
      <c r="G84" s="349">
        <f>'FR-16(7)(v)-6 DISTR Cust Alloc'!G84+'FR-16(7)(v)-5 DISTR Dem Alloc'!G84+'FR-16(7)(v)-3 PROD Comm Alloc'!G84</f>
        <v>719100</v>
      </c>
      <c r="H84" s="349">
        <f>'FR-16(7)(v)-6 DISTR Cust Alloc'!H84+'FR-16(7)(v)-5 DISTR Dem Alloc'!H84+'FR-16(7)(v)-3 PROD Comm Alloc'!H84</f>
        <v>409609</v>
      </c>
      <c r="I84" s="349">
        <f>'FR-16(7)(v)-6 DISTR Cust Alloc'!I84+'FR-16(7)(v)-5 DISTR Dem Alloc'!I84+'FR-16(7)(v)-3 PROD Comm Alloc'!I84</f>
        <v>289998</v>
      </c>
      <c r="J84" s="349">
        <f>'FR-16(7)(v)-6 DISTR Cust Alloc'!J84+'FR-16(7)(v)-5 DISTR Dem Alloc'!J84+'FR-16(7)(v)-3 PROD Comm Alloc'!J84</f>
        <v>0</v>
      </c>
      <c r="K84" s="347">
        <f t="shared" ref="K84:K89" si="28">SUM(G84:J84)</f>
        <v>1418707</v>
      </c>
      <c r="L84" s="347">
        <f t="shared" ref="L84:L89" si="29">F84-K84</f>
        <v>0</v>
      </c>
    </row>
    <row r="85" spans="1:12">
      <c r="A85" s="333">
        <v>30</v>
      </c>
      <c r="C85" s="332" t="str">
        <f>'FR-16(7)(v)-1 Functional'!C85</f>
        <v>PRODUCTION PLANT COMMODITY</v>
      </c>
      <c r="D85" s="344" t="str">
        <f>'FR-16(7)(v)-1 Functional'!D85</f>
        <v>P349</v>
      </c>
      <c r="E85" s="196"/>
      <c r="F85" s="479">
        <f>'FR-16(7)(v)-1 Functional'!F85</f>
        <v>1109764</v>
      </c>
      <c r="G85" s="349">
        <f>'FR-16(7)(v)-6 DISTR Cust Alloc'!G85+'FR-16(7)(v)-5 DISTR Dem Alloc'!G85+'FR-16(7)(v)-3 PROD Comm Alloc'!G85</f>
        <v>560619</v>
      </c>
      <c r="H85" s="349">
        <f>'FR-16(7)(v)-6 DISTR Cust Alloc'!H85+'FR-16(7)(v)-5 DISTR Dem Alloc'!H85+'FR-16(7)(v)-3 PROD Comm Alloc'!H85</f>
        <v>319335</v>
      </c>
      <c r="I85" s="349">
        <f>'FR-16(7)(v)-6 DISTR Cust Alloc'!I85+'FR-16(7)(v)-5 DISTR Dem Alloc'!I85+'FR-16(7)(v)-3 PROD Comm Alloc'!I85</f>
        <v>226092</v>
      </c>
      <c r="J85" s="349">
        <f>'FR-16(7)(v)-6 DISTR Cust Alloc'!J85+'FR-16(7)(v)-5 DISTR Dem Alloc'!J85+'FR-16(7)(v)-3 PROD Comm Alloc'!J85</f>
        <v>3718</v>
      </c>
      <c r="K85" s="347">
        <f t="shared" si="28"/>
        <v>1109764</v>
      </c>
      <c r="L85" s="347">
        <f t="shared" si="29"/>
        <v>0</v>
      </c>
    </row>
    <row r="86" spans="1:12">
      <c r="A86" s="333">
        <v>31</v>
      </c>
      <c r="C86" s="332" t="str">
        <f>'FR-16(7)(v)-1 Functional'!C86</f>
        <v>DISTRIBUTION PLANT</v>
      </c>
      <c r="D86" s="344" t="str">
        <f>'FR-16(7)(v)-1 Functional'!D86</f>
        <v>D349</v>
      </c>
      <c r="E86" s="196"/>
      <c r="F86" s="479">
        <f>'FR-16(7)(v)-1 Functional'!F86</f>
        <v>15031206</v>
      </c>
      <c r="G86" s="349">
        <f>'FR-16(7)(v)-6 DISTR Cust Alloc'!G86+'FR-16(7)(v)-5 DISTR Dem Alloc'!G86+'FR-16(7)(v)-3 PROD Comm Alloc'!G86</f>
        <v>10220473</v>
      </c>
      <c r="H86" s="349">
        <f>'FR-16(7)(v)-6 DISTR Cust Alloc'!H86+'FR-16(7)(v)-5 DISTR Dem Alloc'!H86+'FR-16(7)(v)-3 PROD Comm Alloc'!H86</f>
        <v>3630577</v>
      </c>
      <c r="I86" s="349">
        <f>'FR-16(7)(v)-6 DISTR Cust Alloc'!I86+'FR-16(7)(v)-5 DISTR Dem Alloc'!I86+'FR-16(7)(v)-3 PROD Comm Alloc'!I86</f>
        <v>934571</v>
      </c>
      <c r="J86" s="349">
        <f>'FR-16(7)(v)-6 DISTR Cust Alloc'!J86+'FR-16(7)(v)-5 DISTR Dem Alloc'!J86+'FR-16(7)(v)-3 PROD Comm Alloc'!J86</f>
        <v>245585</v>
      </c>
      <c r="K86" s="347">
        <f t="shared" si="28"/>
        <v>15031206</v>
      </c>
      <c r="L86" s="347">
        <f t="shared" si="29"/>
        <v>0</v>
      </c>
    </row>
    <row r="87" spans="1:12">
      <c r="A87" s="333">
        <v>32</v>
      </c>
      <c r="C87" s="332" t="str">
        <f>'FR-16(7)(v)-1 Functional'!C87</f>
        <v>CUSTOMER ACCOUNTING</v>
      </c>
      <c r="D87" s="344" t="str">
        <f>'FR-16(7)(v)-1 Functional'!D87</f>
        <v>CA19</v>
      </c>
      <c r="E87" s="196"/>
      <c r="F87" s="479">
        <f>'FR-16(7)(v)-1 Functional'!F87</f>
        <v>6350501</v>
      </c>
      <c r="G87" s="349">
        <f>'FR-16(7)(v)-6 DISTR Cust Alloc'!G87+'FR-16(7)(v)-5 DISTR Dem Alloc'!G87+'FR-16(7)(v)-3 PROD Comm Alloc'!G87</f>
        <v>5895043</v>
      </c>
      <c r="H87" s="349">
        <f>'FR-16(7)(v)-6 DISTR Cust Alloc'!H87+'FR-16(7)(v)-5 DISTR Dem Alloc'!H87+'FR-16(7)(v)-3 PROD Comm Alloc'!H87</f>
        <v>447901</v>
      </c>
      <c r="I87" s="349">
        <f>'FR-16(7)(v)-6 DISTR Cust Alloc'!I87+'FR-16(7)(v)-5 DISTR Dem Alloc'!I87+'FR-16(7)(v)-3 PROD Comm Alloc'!I87</f>
        <v>6160</v>
      </c>
      <c r="J87" s="349">
        <f>'FR-16(7)(v)-6 DISTR Cust Alloc'!J87+'FR-16(7)(v)-5 DISTR Dem Alloc'!J87+'FR-16(7)(v)-3 PROD Comm Alloc'!J87</f>
        <v>1397</v>
      </c>
      <c r="K87" s="347">
        <f t="shared" si="28"/>
        <v>6350501</v>
      </c>
      <c r="L87" s="347">
        <f t="shared" si="29"/>
        <v>0</v>
      </c>
    </row>
    <row r="88" spans="1:12">
      <c r="A88" s="333">
        <v>33</v>
      </c>
      <c r="C88" s="332" t="str">
        <f>'FR-16(7)(v)-1 Functional'!C88</f>
        <v>CUSTOMER SERVICE &amp; INFORMATION</v>
      </c>
      <c r="D88" s="344" t="str">
        <f>'FR-16(7)(v)-1 Functional'!D88</f>
        <v>CS19</v>
      </c>
      <c r="E88" s="196"/>
      <c r="F88" s="479">
        <f>'FR-16(7)(v)-1 Functional'!F88</f>
        <v>555712</v>
      </c>
      <c r="G88" s="349">
        <f>'FR-16(7)(v)-6 DISTR Cust Alloc'!G88+'FR-16(7)(v)-5 DISTR Dem Alloc'!G88+'FR-16(7)(v)-3 PROD Comm Alloc'!G88</f>
        <v>515857</v>
      </c>
      <c r="H88" s="349">
        <f>'FR-16(7)(v)-6 DISTR Cust Alloc'!H88+'FR-16(7)(v)-5 DISTR Dem Alloc'!H88+'FR-16(7)(v)-3 PROD Comm Alloc'!H88</f>
        <v>39194</v>
      </c>
      <c r="I88" s="349">
        <f>'FR-16(7)(v)-6 DISTR Cust Alloc'!I88+'FR-16(7)(v)-5 DISTR Dem Alloc'!I88+'FR-16(7)(v)-3 PROD Comm Alloc'!I88</f>
        <v>539</v>
      </c>
      <c r="J88" s="349">
        <f>'FR-16(7)(v)-6 DISTR Cust Alloc'!J88+'FR-16(7)(v)-5 DISTR Dem Alloc'!J88+'FR-16(7)(v)-3 PROD Comm Alloc'!J88</f>
        <v>122</v>
      </c>
      <c r="K88" s="347">
        <f t="shared" si="28"/>
        <v>555712</v>
      </c>
      <c r="L88" s="347">
        <f t="shared" si="29"/>
        <v>0</v>
      </c>
    </row>
    <row r="89" spans="1:12">
      <c r="A89" s="333">
        <v>34</v>
      </c>
      <c r="C89" s="332" t="str">
        <f>'FR-16(7)(v)-1 Functional'!C89</f>
        <v>SALES</v>
      </c>
      <c r="D89" s="344" t="str">
        <f>'FR-16(7)(v)-1 Functional'!D89</f>
        <v>SE19</v>
      </c>
      <c r="E89" s="196"/>
      <c r="F89" s="479">
        <f>'FR-16(7)(v)-1 Functional'!F89</f>
        <v>0</v>
      </c>
      <c r="G89" s="349">
        <f>'FR-16(7)(v)-6 DISTR Cust Alloc'!G89+'FR-16(7)(v)-5 DISTR Dem Alloc'!G89+'FR-16(7)(v)-3 PROD Comm Alloc'!G89</f>
        <v>0</v>
      </c>
      <c r="H89" s="349">
        <f>'FR-16(7)(v)-6 DISTR Cust Alloc'!H89+'FR-16(7)(v)-5 DISTR Dem Alloc'!H89+'FR-16(7)(v)-3 PROD Comm Alloc'!H89</f>
        <v>0</v>
      </c>
      <c r="I89" s="349">
        <f>'FR-16(7)(v)-6 DISTR Cust Alloc'!I89+'FR-16(7)(v)-5 DISTR Dem Alloc'!I89+'FR-16(7)(v)-3 PROD Comm Alloc'!I89</f>
        <v>0</v>
      </c>
      <c r="J89" s="349">
        <f>'FR-16(7)(v)-6 DISTR Cust Alloc'!J89+'FR-16(7)(v)-5 DISTR Dem Alloc'!J89+'FR-16(7)(v)-3 PROD Comm Alloc'!J89</f>
        <v>0</v>
      </c>
      <c r="K89" s="347">
        <f t="shared" si="28"/>
        <v>0</v>
      </c>
      <c r="L89" s="347">
        <f t="shared" si="29"/>
        <v>0</v>
      </c>
    </row>
    <row r="90" spans="1:12">
      <c r="A90" s="333">
        <v>35</v>
      </c>
      <c r="C90" s="339" t="str">
        <f>'FR-16(7)(v)-1 Functional'!C90</f>
        <v xml:space="preserve">  GEN &amp; INTANG PLANT IN SERVICE</v>
      </c>
      <c r="D90" s="344"/>
      <c r="E90" s="196"/>
      <c r="F90" s="480">
        <f t="shared" ref="F90:L90" si="30">SUM(F84:F89)</f>
        <v>24465890</v>
      </c>
      <c r="G90" s="348">
        <f t="shared" si="30"/>
        <v>17911092</v>
      </c>
      <c r="H90" s="348">
        <f t="shared" si="30"/>
        <v>4846616</v>
      </c>
      <c r="I90" s="348">
        <f t="shared" si="30"/>
        <v>1457360</v>
      </c>
      <c r="J90" s="348">
        <f t="shared" si="30"/>
        <v>250822</v>
      </c>
      <c r="K90" s="348">
        <f t="shared" si="30"/>
        <v>24465890</v>
      </c>
      <c r="L90" s="348">
        <f t="shared" si="30"/>
        <v>0</v>
      </c>
    </row>
    <row r="91" spans="1:12">
      <c r="A91" s="333">
        <v>36</v>
      </c>
      <c r="D91" s="344"/>
      <c r="E91" s="196"/>
      <c r="G91" s="353"/>
      <c r="H91" s="353"/>
      <c r="I91" s="332"/>
    </row>
    <row r="92" spans="1:12">
      <c r="A92" s="333">
        <v>37</v>
      </c>
      <c r="B92" s="332" t="s">
        <v>21</v>
      </c>
      <c r="D92" s="344"/>
      <c r="E92" s="196"/>
      <c r="G92" s="353"/>
      <c r="H92" s="353"/>
      <c r="I92" s="332"/>
    </row>
    <row r="93" spans="1:12">
      <c r="A93" s="333">
        <v>38</v>
      </c>
      <c r="C93" s="332" t="str">
        <f>'FR-16(7)(v)-1 Functional'!C93</f>
        <v>PRODUCTION PLANT</v>
      </c>
      <c r="D93" s="344" t="str">
        <f>'FR-16(7)(v)-1 Functional'!D93</f>
        <v>K201</v>
      </c>
      <c r="E93" s="196"/>
      <c r="F93" s="479">
        <f>'FR-16(7)(v)-1 Functional'!F93</f>
        <v>746752</v>
      </c>
      <c r="G93" s="349">
        <f>'FR-16(7)(v)-6 DISTR Cust Alloc'!G93+'FR-16(7)(v)-5 DISTR Dem Alloc'!G93+'FR-16(7)(v)-3 PROD Comm Alloc'!G93</f>
        <v>378506</v>
      </c>
      <c r="H93" s="349">
        <f>'FR-16(7)(v)-6 DISTR Cust Alloc'!H93+'FR-16(7)(v)-5 DISTR Dem Alloc'!H93+'FR-16(7)(v)-3 PROD Comm Alloc'!H93</f>
        <v>215602</v>
      </c>
      <c r="I93" s="349">
        <f>'FR-16(7)(v)-6 DISTR Cust Alloc'!I93+'FR-16(7)(v)-5 DISTR Dem Alloc'!I93+'FR-16(7)(v)-3 PROD Comm Alloc'!I93</f>
        <v>152644</v>
      </c>
      <c r="J93" s="349">
        <f>'FR-16(7)(v)-6 DISTR Cust Alloc'!J93+'FR-16(7)(v)-5 DISTR Dem Alloc'!J93+'FR-16(7)(v)-3 PROD Comm Alloc'!J93</f>
        <v>0</v>
      </c>
      <c r="K93" s="347">
        <f t="shared" ref="K93:K98" si="31">SUM(G93:J93)</f>
        <v>746752</v>
      </c>
      <c r="L93" s="347">
        <f t="shared" ref="L93:L98" si="32">F93-K93</f>
        <v>0</v>
      </c>
    </row>
    <row r="94" spans="1:12">
      <c r="A94" s="333">
        <v>39</v>
      </c>
      <c r="C94" s="332" t="str">
        <f>'FR-16(7)(v)-1 Functional'!C94</f>
        <v>PRODUCTION PLANT COMMODITY</v>
      </c>
      <c r="D94" s="344" t="str">
        <f>'FR-16(7)(v)-1 Functional'!D94</f>
        <v>P349</v>
      </c>
      <c r="E94" s="196"/>
      <c r="F94" s="479">
        <f>'FR-16(7)(v)-1 Functional'!F94</f>
        <v>584136</v>
      </c>
      <c r="G94" s="349">
        <f>'FR-16(7)(v)-6 DISTR Cust Alloc'!G94+'FR-16(7)(v)-5 DISTR Dem Alloc'!G94+'FR-16(7)(v)-3 PROD Comm Alloc'!G94</f>
        <v>295088</v>
      </c>
      <c r="H94" s="349">
        <f>'FR-16(7)(v)-6 DISTR Cust Alloc'!H94+'FR-16(7)(v)-5 DISTR Dem Alloc'!H94+'FR-16(7)(v)-3 PROD Comm Alloc'!H94</f>
        <v>168085</v>
      </c>
      <c r="I94" s="349">
        <f>'FR-16(7)(v)-6 DISTR Cust Alloc'!I94+'FR-16(7)(v)-5 DISTR Dem Alloc'!I94+'FR-16(7)(v)-3 PROD Comm Alloc'!I94</f>
        <v>119006</v>
      </c>
      <c r="J94" s="349">
        <f>'FR-16(7)(v)-6 DISTR Cust Alloc'!J94+'FR-16(7)(v)-5 DISTR Dem Alloc'!J94+'FR-16(7)(v)-3 PROD Comm Alloc'!J94</f>
        <v>1957</v>
      </c>
      <c r="K94" s="347">
        <f t="shared" si="31"/>
        <v>584136</v>
      </c>
      <c r="L94" s="347">
        <f t="shared" si="32"/>
        <v>0</v>
      </c>
    </row>
    <row r="95" spans="1:12">
      <c r="A95" s="333">
        <v>40</v>
      </c>
      <c r="C95" s="332" t="str">
        <f>'FR-16(7)(v)-1 Functional'!C95</f>
        <v>DISTRIBUTION PLANT</v>
      </c>
      <c r="D95" s="344" t="str">
        <f>'FR-16(7)(v)-1 Functional'!D95</f>
        <v>D349</v>
      </c>
      <c r="E95" s="196"/>
      <c r="F95" s="479">
        <f>'FR-16(7)(v)-1 Functional'!F95</f>
        <v>7911837</v>
      </c>
      <c r="G95" s="349">
        <f>'FR-16(7)(v)-6 DISTR Cust Alloc'!G95+'FR-16(7)(v)-5 DISTR Dem Alloc'!G95+'FR-16(7)(v)-3 PROD Comm Alloc'!G95</f>
        <v>5379657</v>
      </c>
      <c r="H95" s="349">
        <f>'FR-16(7)(v)-6 DISTR Cust Alloc'!H95+'FR-16(7)(v)-5 DISTR Dem Alloc'!H95+'FR-16(7)(v)-3 PROD Comm Alloc'!H95</f>
        <v>1910993</v>
      </c>
      <c r="I95" s="349">
        <f>'FR-16(7)(v)-6 DISTR Cust Alloc'!I95+'FR-16(7)(v)-5 DISTR Dem Alloc'!I95+'FR-16(7)(v)-3 PROD Comm Alloc'!I95</f>
        <v>491921</v>
      </c>
      <c r="J95" s="349">
        <f>'FR-16(7)(v)-6 DISTR Cust Alloc'!J95+'FR-16(7)(v)-5 DISTR Dem Alloc'!J95+'FR-16(7)(v)-3 PROD Comm Alloc'!J95</f>
        <v>129266</v>
      </c>
      <c r="K95" s="347">
        <f t="shared" si="31"/>
        <v>7911837</v>
      </c>
      <c r="L95" s="347">
        <f t="shared" si="32"/>
        <v>0</v>
      </c>
    </row>
    <row r="96" spans="1:12">
      <c r="A96" s="333">
        <v>41</v>
      </c>
      <c r="C96" s="332" t="str">
        <f>'FR-16(7)(v)-1 Functional'!C96</f>
        <v>CUSTOMER ACCOUNTING</v>
      </c>
      <c r="D96" s="344" t="str">
        <f>'FR-16(7)(v)-1 Functional'!D96</f>
        <v>CA19</v>
      </c>
      <c r="E96" s="196"/>
      <c r="F96" s="479">
        <f>'FR-16(7)(v)-1 Functional'!F96</f>
        <v>3342655</v>
      </c>
      <c r="G96" s="349">
        <f>'FR-16(7)(v)-6 DISTR Cust Alloc'!G96+'FR-16(7)(v)-5 DISTR Dem Alloc'!G96+'FR-16(7)(v)-3 PROD Comm Alloc'!G96</f>
        <v>3102921</v>
      </c>
      <c r="H96" s="349">
        <f>'FR-16(7)(v)-6 DISTR Cust Alloc'!H96+'FR-16(7)(v)-5 DISTR Dem Alloc'!H96+'FR-16(7)(v)-3 PROD Comm Alloc'!H96</f>
        <v>235757</v>
      </c>
      <c r="I96" s="349">
        <f>'FR-16(7)(v)-6 DISTR Cust Alloc'!I96+'FR-16(7)(v)-5 DISTR Dem Alloc'!I96+'FR-16(7)(v)-3 PROD Comm Alloc'!I96</f>
        <v>3242</v>
      </c>
      <c r="J96" s="349">
        <f>'FR-16(7)(v)-6 DISTR Cust Alloc'!J96+'FR-16(7)(v)-5 DISTR Dem Alloc'!J96+'FR-16(7)(v)-3 PROD Comm Alloc'!J96</f>
        <v>735</v>
      </c>
      <c r="K96" s="347">
        <f t="shared" si="31"/>
        <v>3342655</v>
      </c>
      <c r="L96" s="347">
        <f t="shared" si="32"/>
        <v>0</v>
      </c>
    </row>
    <row r="97" spans="1:12">
      <c r="A97" s="333">
        <v>42</v>
      </c>
      <c r="C97" s="332" t="str">
        <f>'FR-16(7)(v)-1 Functional'!C97</f>
        <v>CUSTOMER SERVICE &amp; INFORMATION</v>
      </c>
      <c r="D97" s="344" t="str">
        <f>'FR-16(7)(v)-1 Functional'!D97</f>
        <v>CS19</v>
      </c>
      <c r="E97" s="196"/>
      <c r="F97" s="479">
        <f>'FR-16(7)(v)-1 Functional'!F97</f>
        <v>292505</v>
      </c>
      <c r="G97" s="349">
        <f>'FR-16(7)(v)-6 DISTR Cust Alloc'!G97+'FR-16(7)(v)-5 DISTR Dem Alloc'!G97+'FR-16(7)(v)-3 PROD Comm Alloc'!G97</f>
        <v>271527</v>
      </c>
      <c r="H97" s="349">
        <f>'FR-16(7)(v)-6 DISTR Cust Alloc'!H97+'FR-16(7)(v)-5 DISTR Dem Alloc'!H97+'FR-16(7)(v)-3 PROD Comm Alloc'!H97</f>
        <v>20630</v>
      </c>
      <c r="I97" s="349">
        <f>'FR-16(7)(v)-6 DISTR Cust Alloc'!I97+'FR-16(7)(v)-5 DISTR Dem Alloc'!I97+'FR-16(7)(v)-3 PROD Comm Alloc'!I97</f>
        <v>284</v>
      </c>
      <c r="J97" s="349">
        <f>'FR-16(7)(v)-6 DISTR Cust Alloc'!J97+'FR-16(7)(v)-5 DISTR Dem Alloc'!J97+'FR-16(7)(v)-3 PROD Comm Alloc'!J97</f>
        <v>64</v>
      </c>
      <c r="K97" s="347">
        <f t="shared" si="31"/>
        <v>292505</v>
      </c>
      <c r="L97" s="347">
        <f t="shared" si="32"/>
        <v>0</v>
      </c>
    </row>
    <row r="98" spans="1:12">
      <c r="A98" s="333">
        <v>43</v>
      </c>
      <c r="C98" s="365" t="str">
        <f>'FR-16(7)(v)-1 Functional'!C98</f>
        <v>SALES</v>
      </c>
      <c r="D98" s="344" t="str">
        <f>'FR-16(7)(v)-1 Functional'!D98</f>
        <v>SE19</v>
      </c>
      <c r="E98" s="196"/>
      <c r="F98" s="479">
        <f>'FR-16(7)(v)-1 Functional'!F98</f>
        <v>0</v>
      </c>
      <c r="G98" s="349">
        <f>'FR-16(7)(v)-6 DISTR Cust Alloc'!G98+'FR-16(7)(v)-5 DISTR Dem Alloc'!G98+'FR-16(7)(v)-3 PROD Comm Alloc'!G98</f>
        <v>0</v>
      </c>
      <c r="H98" s="349">
        <f>'FR-16(7)(v)-6 DISTR Cust Alloc'!H98+'FR-16(7)(v)-5 DISTR Dem Alloc'!H98+'FR-16(7)(v)-3 PROD Comm Alloc'!H98</f>
        <v>0</v>
      </c>
      <c r="I98" s="349">
        <f>'FR-16(7)(v)-6 DISTR Cust Alloc'!I98+'FR-16(7)(v)-5 DISTR Dem Alloc'!I98+'FR-16(7)(v)-3 PROD Comm Alloc'!I98</f>
        <v>0</v>
      </c>
      <c r="J98" s="349">
        <f>'FR-16(7)(v)-6 DISTR Cust Alloc'!J98+'FR-16(7)(v)-5 DISTR Dem Alloc'!J98+'FR-16(7)(v)-3 PROD Comm Alloc'!J98</f>
        <v>0</v>
      </c>
      <c r="K98" s="347">
        <f t="shared" si="31"/>
        <v>0</v>
      </c>
      <c r="L98" s="347">
        <f t="shared" si="32"/>
        <v>0</v>
      </c>
    </row>
    <row r="99" spans="1:12">
      <c r="A99" s="333">
        <v>44</v>
      </c>
      <c r="C99" s="339" t="str">
        <f>'FR-16(7)(v)-1 Functional'!C99</f>
        <v xml:space="preserve">  COMMON &amp; OTHER PLANT IN SERVICE</v>
      </c>
      <c r="E99" s="196"/>
      <c r="F99" s="348">
        <f t="shared" ref="F99:L99" si="33">SUM(F93:F98)</f>
        <v>12877885</v>
      </c>
      <c r="G99" s="348">
        <f t="shared" si="33"/>
        <v>9427699</v>
      </c>
      <c r="H99" s="348">
        <f t="shared" si="33"/>
        <v>2551067</v>
      </c>
      <c r="I99" s="348">
        <f t="shared" si="33"/>
        <v>767097</v>
      </c>
      <c r="J99" s="348">
        <f t="shared" si="33"/>
        <v>132022</v>
      </c>
      <c r="K99" s="348">
        <f t="shared" si="33"/>
        <v>12877885</v>
      </c>
      <c r="L99" s="348">
        <f t="shared" si="33"/>
        <v>0</v>
      </c>
    </row>
    <row r="100" spans="1:12">
      <c r="A100" s="333">
        <v>45</v>
      </c>
      <c r="E100" s="196"/>
      <c r="G100" s="353"/>
      <c r="H100" s="353"/>
      <c r="I100" s="332"/>
    </row>
    <row r="101" spans="1:12">
      <c r="A101" s="333">
        <v>46</v>
      </c>
      <c r="B101" s="332" t="s">
        <v>95</v>
      </c>
      <c r="E101" s="196"/>
      <c r="F101" s="347">
        <f t="shared" ref="F101:L101" si="34">F81+F90+F99</f>
        <v>588627191</v>
      </c>
      <c r="G101" s="349">
        <f t="shared" si="34"/>
        <v>411599984</v>
      </c>
      <c r="H101" s="349">
        <f t="shared" si="34"/>
        <v>129395039</v>
      </c>
      <c r="I101" s="347">
        <f t="shared" si="34"/>
        <v>36724321</v>
      </c>
      <c r="J101" s="347">
        <f t="shared" si="34"/>
        <v>10907847</v>
      </c>
      <c r="K101" s="347">
        <f t="shared" si="34"/>
        <v>588627191</v>
      </c>
      <c r="L101" s="347">
        <f t="shared" si="34"/>
        <v>0</v>
      </c>
    </row>
    <row r="102" spans="1:12">
      <c r="B102" s="343"/>
      <c r="C102" s="196"/>
      <c r="D102" s="344"/>
      <c r="E102" s="196"/>
      <c r="G102" s="196"/>
      <c r="H102" s="196"/>
      <c r="I102" s="196"/>
      <c r="J102" s="344"/>
      <c r="K102" s="196"/>
      <c r="L102" s="196"/>
    </row>
    <row r="103" spans="1:12">
      <c r="A103" s="343" t="str">
        <f>co_name</f>
        <v>DUKE ENERGY KENTUCKY, INC.</v>
      </c>
      <c r="C103" s="196"/>
      <c r="D103" s="344"/>
      <c r="E103" s="196"/>
      <c r="F103" s="344"/>
      <c r="G103" s="342"/>
      <c r="H103" s="342"/>
      <c r="I103" s="196"/>
      <c r="K103" s="361" t="str">
        <f>$K$1</f>
        <v>FR-16(7)(v)-8</v>
      </c>
      <c r="L103" s="196"/>
    </row>
    <row r="104" spans="1:12">
      <c r="A104" s="343" t="str">
        <f>$A$2</f>
        <v>TOTAL CLASS ALLOCATED - GAS COST OF SERVICE</v>
      </c>
      <c r="C104" s="196"/>
      <c r="D104" s="344"/>
      <c r="E104" s="196"/>
      <c r="F104" s="344"/>
      <c r="G104" s="342"/>
      <c r="H104" s="342"/>
      <c r="I104" s="196"/>
      <c r="K104" s="361" t="str">
        <f>$K$2</f>
        <v>WITNESS RESPONSIBLE:</v>
      </c>
      <c r="L104" s="196"/>
    </row>
    <row r="105" spans="1:12">
      <c r="A105" s="343" t="str">
        <f>case_name</f>
        <v>CASE NO: 2018-00261</v>
      </c>
      <c r="C105" s="196"/>
      <c r="D105" s="344"/>
      <c r="E105" s="196"/>
      <c r="F105" s="344"/>
      <c r="G105" s="342"/>
      <c r="H105" s="342"/>
      <c r="I105" s="196"/>
      <c r="K105" s="361" t="str">
        <f>Witness</f>
        <v>JAMES E. ZIOLKOWSKI</v>
      </c>
      <c r="L105" s="196"/>
    </row>
    <row r="106" spans="1:12">
      <c r="A106" s="343" t="str">
        <f>data_filing</f>
        <v>DATA: 12 MONTH FORECASTED PERIOD</v>
      </c>
      <c r="C106" s="196"/>
      <c r="D106" s="344"/>
      <c r="E106" s="196"/>
      <c r="F106" s="344"/>
      <c r="G106" s="342"/>
      <c r="H106" s="342"/>
      <c r="I106" s="196"/>
      <c r="K106" s="361" t="str">
        <f>"PAGE "&amp;Pages2-12&amp;" OF "&amp;Pages2</f>
        <v>PAGE 3 OF 15</v>
      </c>
      <c r="L106" s="196"/>
    </row>
    <row r="107" spans="1:12">
      <c r="A107" s="343" t="str">
        <f>type</f>
        <v xml:space="preserve">TYPE OF FILING: "X" ORIGINAL   UPDATED    REVISED  </v>
      </c>
      <c r="C107" s="196"/>
      <c r="D107" s="344"/>
      <c r="E107" s="196"/>
      <c r="F107" s="344"/>
      <c r="G107" s="342"/>
      <c r="H107" s="342"/>
      <c r="I107" s="196"/>
      <c r="J107" s="344"/>
      <c r="K107" s="196"/>
      <c r="L107" s="196"/>
    </row>
    <row r="108" spans="1:12">
      <c r="A108" s="343"/>
      <c r="C108" s="196"/>
      <c r="D108" s="344"/>
      <c r="E108" s="196"/>
      <c r="F108" s="344"/>
      <c r="G108" s="342"/>
      <c r="H108" s="342"/>
      <c r="I108" s="196"/>
      <c r="J108" s="344"/>
      <c r="K108" s="196"/>
      <c r="L108" s="196"/>
    </row>
    <row r="109" spans="1:12">
      <c r="B109" s="343"/>
      <c r="C109" s="196"/>
      <c r="D109" s="344"/>
      <c r="E109" s="196"/>
      <c r="F109" s="344" t="str">
        <f>$F$7</f>
        <v>TOTAL</v>
      </c>
      <c r="G109" s="196"/>
      <c r="H109" s="196"/>
      <c r="I109" s="196"/>
      <c r="J109" s="344"/>
      <c r="K109" s="196"/>
      <c r="L109" s="196"/>
    </row>
    <row r="110" spans="1:12">
      <c r="A110" s="344" t="s">
        <v>914</v>
      </c>
      <c r="B110" s="196"/>
      <c r="C110" s="196"/>
      <c r="D110" s="344"/>
      <c r="E110" s="196"/>
      <c r="F110" s="344" t="str">
        <f>$F$8</f>
        <v>CLASS</v>
      </c>
      <c r="G110" s="354" t="s">
        <v>773</v>
      </c>
      <c r="H110" s="354" t="s">
        <v>1282</v>
      </c>
      <c r="I110" s="354" t="s">
        <v>984</v>
      </c>
      <c r="J110" s="354" t="s">
        <v>549</v>
      </c>
      <c r="K110" s="354" t="s">
        <v>229</v>
      </c>
      <c r="L110" s="344" t="s">
        <v>342</v>
      </c>
    </row>
    <row r="111" spans="1:12">
      <c r="A111" s="346" t="s">
        <v>915</v>
      </c>
      <c r="B111" s="345" t="s">
        <v>22</v>
      </c>
      <c r="C111" s="345"/>
      <c r="D111" s="346" t="s">
        <v>337</v>
      </c>
      <c r="E111" s="345"/>
      <c r="F111" s="344" t="str">
        <f>$F$9</f>
        <v>ALLOCATED</v>
      </c>
      <c r="G111" s="355" t="s">
        <v>338</v>
      </c>
      <c r="H111" s="355" t="s">
        <v>405</v>
      </c>
      <c r="I111" s="355" t="s">
        <v>1283</v>
      </c>
      <c r="J111" s="355" t="s">
        <v>550</v>
      </c>
      <c r="K111" s="355" t="s">
        <v>341</v>
      </c>
      <c r="L111" s="346" t="s">
        <v>340</v>
      </c>
    </row>
    <row r="112" spans="1:12">
      <c r="C112" s="578" t="s">
        <v>345</v>
      </c>
      <c r="D112" s="344"/>
      <c r="E112" s="196"/>
      <c r="F112" s="761"/>
      <c r="G112" s="633">
        <f>$G$10</f>
        <v>3</v>
      </c>
      <c r="H112" s="633">
        <f>$H$10</f>
        <v>4</v>
      </c>
      <c r="I112" s="633">
        <f>$I$10</f>
        <v>5</v>
      </c>
      <c r="J112" s="633">
        <f>$J$10</f>
        <v>6</v>
      </c>
    </row>
    <row r="113" spans="1:12">
      <c r="A113" s="333">
        <v>1</v>
      </c>
      <c r="B113" s="332" t="s">
        <v>14</v>
      </c>
      <c r="D113" s="344"/>
      <c r="E113" s="196"/>
      <c r="I113" s="332"/>
    </row>
    <row r="114" spans="1:12">
      <c r="A114" s="333">
        <v>2</v>
      </c>
      <c r="C114" s="365" t="str">
        <f>'FR-16(7)(v)-1 Functional'!C114</f>
        <v>PRODUCTION PLANT</v>
      </c>
      <c r="D114" s="344" t="str">
        <f>'FR-16(7)(v)-1 Functional'!D114</f>
        <v>K205</v>
      </c>
      <c r="E114" s="196"/>
      <c r="F114" s="479">
        <f>'FR-16(7)(v)-1 Functional'!F114</f>
        <v>1634598</v>
      </c>
      <c r="G114" s="349">
        <f>'FR-16(7)(v)-6 DISTR Cust Alloc'!G114+'FR-16(7)(v)-5 DISTR Dem Alloc'!G114+'FR-16(7)(v)-3 PROD Comm Alloc'!G114</f>
        <v>953576</v>
      </c>
      <c r="H114" s="349">
        <f>'FR-16(7)(v)-6 DISTR Cust Alloc'!H114+'FR-16(7)(v)-5 DISTR Dem Alloc'!H114+'FR-16(7)(v)-3 PROD Comm Alloc'!H114</f>
        <v>498225</v>
      </c>
      <c r="I114" s="349">
        <f>'FR-16(7)(v)-6 DISTR Cust Alloc'!I114+'FR-16(7)(v)-5 DISTR Dem Alloc'!I114+'FR-16(7)(v)-3 PROD Comm Alloc'!I114</f>
        <v>182797</v>
      </c>
      <c r="J114" s="349">
        <f>'FR-16(7)(v)-6 DISTR Cust Alloc'!J114+'FR-16(7)(v)-5 DISTR Dem Alloc'!J114+'FR-16(7)(v)-3 PROD Comm Alloc'!J114</f>
        <v>0</v>
      </c>
      <c r="K114" s="347">
        <f>SUM(G114:J114)</f>
        <v>1634598</v>
      </c>
      <c r="L114" s="347">
        <f>F114-K114</f>
        <v>0</v>
      </c>
    </row>
    <row r="115" spans="1:12">
      <c r="A115" s="333">
        <v>3</v>
      </c>
      <c r="C115" s="339" t="str">
        <f>'FR-16(7)(v)-1 Functional'!C115</f>
        <v xml:space="preserve">  TOTAL PROD DEPREC RESERVE</v>
      </c>
      <c r="D115" s="344"/>
      <c r="E115" s="196"/>
      <c r="F115" s="348">
        <f t="shared" ref="F115:L115" si="35">SUM(F114:F114)</f>
        <v>1634598</v>
      </c>
      <c r="G115" s="348">
        <f t="shared" si="35"/>
        <v>953576</v>
      </c>
      <c r="H115" s="348">
        <f t="shared" si="35"/>
        <v>498225</v>
      </c>
      <c r="I115" s="348">
        <f t="shared" si="35"/>
        <v>182797</v>
      </c>
      <c r="J115" s="348">
        <f t="shared" si="35"/>
        <v>0</v>
      </c>
      <c r="K115" s="348">
        <f t="shared" si="35"/>
        <v>1634598</v>
      </c>
      <c r="L115" s="348">
        <f t="shared" si="35"/>
        <v>0</v>
      </c>
    </row>
    <row r="116" spans="1:12">
      <c r="A116" s="333">
        <v>4</v>
      </c>
      <c r="D116" s="344"/>
      <c r="E116" s="196"/>
      <c r="I116" s="332"/>
    </row>
    <row r="117" spans="1:12">
      <c r="A117" s="333">
        <v>5</v>
      </c>
      <c r="B117" s="332" t="s">
        <v>15</v>
      </c>
      <c r="D117" s="344"/>
      <c r="E117" s="196"/>
      <c r="I117" s="332"/>
    </row>
    <row r="118" spans="1:12">
      <c r="A118" s="333">
        <v>6</v>
      </c>
      <c r="C118" s="359" t="str">
        <f>'FR-16(7)(v)-1 Functional'!C118</f>
        <v>TRANSMISSION PLANT</v>
      </c>
      <c r="D118" s="344" t="s">
        <v>343</v>
      </c>
      <c r="E118" s="196"/>
      <c r="F118" s="477"/>
      <c r="G118" s="487"/>
      <c r="H118" s="347"/>
      <c r="I118" s="347"/>
      <c r="J118" s="347"/>
      <c r="K118" s="347"/>
      <c r="L118" s="347"/>
    </row>
    <row r="119" spans="1:12">
      <c r="A119" s="333">
        <v>7</v>
      </c>
      <c r="C119" s="332" t="str">
        <f>'FR-16(7)(v)-1 Functional'!C119</f>
        <v>TOTAL TRANS DEPREC RESERVE</v>
      </c>
      <c r="D119" s="344"/>
      <c r="E119" s="196"/>
      <c r="F119" s="348">
        <f t="shared" ref="F119:L119" si="36">SUM(F118:F118)</f>
        <v>0</v>
      </c>
      <c r="G119" s="348">
        <f t="shared" si="36"/>
        <v>0</v>
      </c>
      <c r="H119" s="348">
        <f t="shared" si="36"/>
        <v>0</v>
      </c>
      <c r="I119" s="348">
        <f t="shared" si="36"/>
        <v>0</v>
      </c>
      <c r="J119" s="348">
        <f t="shared" si="36"/>
        <v>0</v>
      </c>
      <c r="K119" s="348">
        <f t="shared" si="36"/>
        <v>0</v>
      </c>
      <c r="L119" s="348">
        <f t="shared" si="36"/>
        <v>0</v>
      </c>
    </row>
    <row r="120" spans="1:12">
      <c r="A120" s="333">
        <v>8</v>
      </c>
      <c r="D120" s="344"/>
      <c r="E120" s="196"/>
      <c r="I120" s="332"/>
    </row>
    <row r="121" spans="1:12">
      <c r="A121" s="333">
        <v>9</v>
      </c>
      <c r="B121" s="332" t="s">
        <v>17</v>
      </c>
      <c r="D121" s="344"/>
      <c r="E121" s="196"/>
      <c r="I121" s="332"/>
    </row>
    <row r="122" spans="1:12">
      <c r="A122" s="333">
        <v>10</v>
      </c>
      <c r="C122" s="332" t="str">
        <f>'FR-16(7)(v)-1 Functional'!C122</f>
        <v>SYSTEM M&amp;R - (2780, 2781)</v>
      </c>
      <c r="D122" s="344" t="str">
        <f>'FR-16(7)(v)-1 Functional'!D122</f>
        <v>K203</v>
      </c>
      <c r="E122" s="196"/>
      <c r="F122" s="479">
        <f>'FR-16(7)(v)-1 Functional'!F122</f>
        <v>2957792</v>
      </c>
      <c r="G122" s="349">
        <f>'FR-16(7)(v)-6 DISTR Cust Alloc'!G122+'FR-16(7)(v)-5 DISTR Dem Alloc'!G122+'FR-16(7)(v)-3 PROD Comm Alloc'!G122</f>
        <v>1670176</v>
      </c>
      <c r="H122" s="349">
        <f>'FR-16(7)(v)-6 DISTR Cust Alloc'!H122+'FR-16(7)(v)-5 DISTR Dem Alloc'!H122+'FR-16(7)(v)-3 PROD Comm Alloc'!H122</f>
        <v>873229</v>
      </c>
      <c r="I122" s="349">
        <f>'FR-16(7)(v)-6 DISTR Cust Alloc'!I122+'FR-16(7)(v)-5 DISTR Dem Alloc'!I122+'FR-16(7)(v)-3 PROD Comm Alloc'!I122</f>
        <v>322784</v>
      </c>
      <c r="J122" s="349">
        <f>'FR-16(7)(v)-6 DISTR Cust Alloc'!J122+'FR-16(7)(v)-5 DISTR Dem Alloc'!J122+'FR-16(7)(v)-3 PROD Comm Alloc'!J122</f>
        <v>91603</v>
      </c>
      <c r="K122" s="347">
        <f t="shared" ref="K122:K130" si="37">SUM(G122:J122)</f>
        <v>2957792</v>
      </c>
      <c r="L122" s="347">
        <f t="shared" ref="L122:L130" si="38">F122-K122</f>
        <v>0</v>
      </c>
    </row>
    <row r="123" spans="1:12">
      <c r="A123" s="333">
        <v>11</v>
      </c>
      <c r="C123" s="332" t="str">
        <f>'FR-16(7)(v)-1 Functional'!C123</f>
        <v xml:space="preserve">DIST REG EQUIP &amp; CITY GATE M&amp;R- (2782, 2790) </v>
      </c>
      <c r="D123" s="344" t="str">
        <f>'FR-16(7)(v)-1 Functional'!D123</f>
        <v>K203</v>
      </c>
      <c r="E123" s="196"/>
      <c r="F123" s="479">
        <f>'FR-16(7)(v)-1 Functional'!F123</f>
        <v>1110309</v>
      </c>
      <c r="G123" s="349">
        <f>'FR-16(7)(v)-6 DISTR Cust Alloc'!G123+'FR-16(7)(v)-5 DISTR Dem Alloc'!G123+'FR-16(7)(v)-3 PROD Comm Alloc'!G123</f>
        <v>626958</v>
      </c>
      <c r="H123" s="349">
        <f>'FR-16(7)(v)-6 DISTR Cust Alloc'!H123+'FR-16(7)(v)-5 DISTR Dem Alloc'!H123+'FR-16(7)(v)-3 PROD Comm Alloc'!H123</f>
        <v>327797</v>
      </c>
      <c r="I123" s="349">
        <f>'FR-16(7)(v)-6 DISTR Cust Alloc'!I123+'FR-16(7)(v)-5 DISTR Dem Alloc'!I123+'FR-16(7)(v)-3 PROD Comm Alloc'!I123</f>
        <v>121168</v>
      </c>
      <c r="J123" s="349">
        <f>'FR-16(7)(v)-6 DISTR Cust Alloc'!J123+'FR-16(7)(v)-5 DISTR Dem Alloc'!J123+'FR-16(7)(v)-3 PROD Comm Alloc'!J123</f>
        <v>34386</v>
      </c>
      <c r="K123" s="347">
        <f t="shared" si="37"/>
        <v>1110309</v>
      </c>
      <c r="L123" s="347">
        <f t="shared" si="38"/>
        <v>0</v>
      </c>
    </row>
    <row r="124" spans="1:12">
      <c r="A124" s="333">
        <v>12</v>
      </c>
      <c r="C124" s="332" t="str">
        <f>'FR-16(7)(v)-1 Functional'!C124</f>
        <v>LARGE IND M&amp;R - (2850, 2851)</v>
      </c>
      <c r="D124" s="344" t="str">
        <f>'FR-16(7)(v)-1 Functional'!D124</f>
        <v>K595</v>
      </c>
      <c r="E124" s="196"/>
      <c r="F124" s="479">
        <f>'FR-16(7)(v)-1 Functional'!F124</f>
        <v>498099</v>
      </c>
      <c r="G124" s="349">
        <f>'FR-16(7)(v)-6 DISTR Cust Alloc'!G124+'FR-16(7)(v)-5 DISTR Dem Alloc'!G124+'FR-16(7)(v)-3 PROD Comm Alloc'!G124</f>
        <v>0</v>
      </c>
      <c r="H124" s="349">
        <f>'FR-16(7)(v)-6 DISTR Cust Alloc'!H124+'FR-16(7)(v)-5 DISTR Dem Alloc'!H124+'FR-16(7)(v)-3 PROD Comm Alloc'!H124</f>
        <v>0</v>
      </c>
      <c r="I124" s="349">
        <f>'FR-16(7)(v)-6 DISTR Cust Alloc'!I124+'FR-16(7)(v)-5 DISTR Dem Alloc'!I124+'FR-16(7)(v)-3 PROD Comm Alloc'!I124</f>
        <v>289430</v>
      </c>
      <c r="J124" s="349">
        <f>'FR-16(7)(v)-6 DISTR Cust Alloc'!J124+'FR-16(7)(v)-5 DISTR Dem Alloc'!J124+'FR-16(7)(v)-3 PROD Comm Alloc'!J124</f>
        <v>208669</v>
      </c>
      <c r="K124" s="347">
        <f t="shared" si="37"/>
        <v>498099</v>
      </c>
      <c r="L124" s="347">
        <f t="shared" si="38"/>
        <v>0</v>
      </c>
    </row>
    <row r="125" spans="1:12">
      <c r="A125" s="333">
        <v>13</v>
      </c>
      <c r="C125" s="332" t="str">
        <f>'FR-16(7)(v)-1 Functional'!C125</f>
        <v>MAINS - (2761, 2762, 2763, 2765)</v>
      </c>
      <c r="D125" s="344" t="str">
        <f>'FR-16(7)(v)-1 Functional'!D125</f>
        <v>K415</v>
      </c>
      <c r="E125" s="196"/>
      <c r="F125" s="479">
        <f>'FR-16(7)(v)-1 Functional'!F125</f>
        <v>106766757</v>
      </c>
      <c r="G125" s="349">
        <f>'FR-16(7)(v)-6 DISTR Cust Alloc'!G125+'FR-16(7)(v)-5 DISTR Dem Alloc'!G125+'FR-16(7)(v)-3 PROD Comm Alloc'!G125</f>
        <v>66499419</v>
      </c>
      <c r="H125" s="349">
        <f>'FR-16(7)(v)-6 DISTR Cust Alloc'!H125+'FR-16(7)(v)-5 DISTR Dem Alloc'!H125+'FR-16(7)(v)-3 PROD Comm Alloc'!H125</f>
        <v>27682271</v>
      </c>
      <c r="I125" s="349">
        <f>'FR-16(7)(v)-6 DISTR Cust Alloc'!I125+'FR-16(7)(v)-5 DISTR Dem Alloc'!I125+'FR-16(7)(v)-3 PROD Comm Alloc'!I125</f>
        <v>9803793</v>
      </c>
      <c r="J125" s="349">
        <f>'FR-16(7)(v)-6 DISTR Cust Alloc'!J125+'FR-16(7)(v)-5 DISTR Dem Alloc'!J125+'FR-16(7)(v)-3 PROD Comm Alloc'!J125</f>
        <v>2781274</v>
      </c>
      <c r="K125" s="347">
        <f t="shared" si="37"/>
        <v>106766757</v>
      </c>
      <c r="L125" s="347">
        <f t="shared" si="38"/>
        <v>0</v>
      </c>
    </row>
    <row r="126" spans="1:12">
      <c r="A126" s="333">
        <v>14</v>
      </c>
      <c r="C126" s="332" t="str">
        <f>'FR-16(7)(v)-1 Functional'!C126</f>
        <v>SERVICES - (2801, 2802, 2803)</v>
      </c>
      <c r="D126" s="344" t="str">
        <f>'FR-16(7)(v)-1 Functional'!D126</f>
        <v>K403</v>
      </c>
      <c r="E126" s="196"/>
      <c r="F126" s="479">
        <f>'FR-16(7)(v)-1 Functional'!F126</f>
        <v>53771817</v>
      </c>
      <c r="G126" s="349">
        <f>'FR-16(7)(v)-6 DISTR Cust Alloc'!G126+'FR-16(7)(v)-5 DISTR Dem Alloc'!G126+'FR-16(7)(v)-3 PROD Comm Alloc'!G126</f>
        <v>46942259</v>
      </c>
      <c r="H126" s="349">
        <f>'FR-16(7)(v)-6 DISTR Cust Alloc'!H126+'FR-16(7)(v)-5 DISTR Dem Alloc'!H126+'FR-16(7)(v)-3 PROD Comm Alloc'!H126</f>
        <v>6442401</v>
      </c>
      <c r="I126" s="349">
        <f>'FR-16(7)(v)-6 DISTR Cust Alloc'!I126+'FR-16(7)(v)-5 DISTR Dem Alloc'!I126+'FR-16(7)(v)-3 PROD Comm Alloc'!I126</f>
        <v>131741</v>
      </c>
      <c r="J126" s="349">
        <f>'FR-16(7)(v)-6 DISTR Cust Alloc'!J126+'FR-16(7)(v)-5 DISTR Dem Alloc'!J126+'FR-16(7)(v)-3 PROD Comm Alloc'!J126</f>
        <v>255416</v>
      </c>
      <c r="K126" s="347">
        <f t="shared" si="37"/>
        <v>53771817</v>
      </c>
      <c r="L126" s="347">
        <f t="shared" si="38"/>
        <v>0</v>
      </c>
    </row>
    <row r="127" spans="1:12">
      <c r="A127" s="333">
        <v>15</v>
      </c>
      <c r="C127" s="332" t="str">
        <f>'FR-16(7)(v)-1 Functional'!C127</f>
        <v>MTRS &amp; MTR INST (2810, 2811, 2820, 2821)</v>
      </c>
      <c r="D127" s="344" t="str">
        <f>'FR-16(7)(v)-1 Functional'!D127</f>
        <v>K413</v>
      </c>
      <c r="E127" s="196"/>
      <c r="F127" s="479">
        <f>'FR-16(7)(v)-1 Functional'!F127</f>
        <v>-2918585</v>
      </c>
      <c r="G127" s="349">
        <f>'FR-16(7)(v)-6 DISTR Cust Alloc'!G127+'FR-16(7)(v)-5 DISTR Dem Alloc'!G127+'FR-16(7)(v)-3 PROD Comm Alloc'!G127</f>
        <v>-2310819</v>
      </c>
      <c r="H127" s="349">
        <f>'FR-16(7)(v)-6 DISTR Cust Alloc'!H127+'FR-16(7)(v)-5 DISTR Dem Alloc'!H127+'FR-16(7)(v)-3 PROD Comm Alloc'!H127</f>
        <v>-572772</v>
      </c>
      <c r="I127" s="349">
        <f>'FR-16(7)(v)-6 DISTR Cust Alloc'!I127+'FR-16(7)(v)-5 DISTR Dem Alloc'!I127+'FR-16(7)(v)-3 PROD Comm Alloc'!I127</f>
        <v>-23553</v>
      </c>
      <c r="J127" s="349">
        <f>'FR-16(7)(v)-6 DISTR Cust Alloc'!J127+'FR-16(7)(v)-5 DISTR Dem Alloc'!J127+'FR-16(7)(v)-3 PROD Comm Alloc'!J127</f>
        <v>-11441</v>
      </c>
      <c r="K127" s="347">
        <f t="shared" si="37"/>
        <v>-2918585</v>
      </c>
      <c r="L127" s="347">
        <f t="shared" si="38"/>
        <v>0</v>
      </c>
    </row>
    <row r="128" spans="1:12">
      <c r="A128" s="333">
        <v>16</v>
      </c>
      <c r="C128" s="332" t="str">
        <f>'FR-16(7)(v)-1 Functional'!C128</f>
        <v>LAND, R OF W, STRUCT &amp; IMPROV &amp; OTH</v>
      </c>
      <c r="D128" s="344" t="str">
        <f>'FR-16(7)(v)-1 Functional'!D128</f>
        <v>K203</v>
      </c>
      <c r="E128" s="196"/>
      <c r="F128" s="479">
        <f>'FR-16(7)(v)-1 Functional'!F128</f>
        <v>674357</v>
      </c>
      <c r="G128" s="349">
        <f>'FR-16(7)(v)-6 DISTR Cust Alloc'!G128+'FR-16(7)(v)-5 DISTR Dem Alloc'!G128+'FR-16(7)(v)-3 PROD Comm Alloc'!G128</f>
        <v>380789</v>
      </c>
      <c r="H128" s="349">
        <f>'FR-16(7)(v)-6 DISTR Cust Alloc'!H128+'FR-16(7)(v)-5 DISTR Dem Alloc'!H128+'FR-16(7)(v)-3 PROD Comm Alloc'!H128</f>
        <v>199090</v>
      </c>
      <c r="I128" s="349">
        <f>'FR-16(7)(v)-6 DISTR Cust Alloc'!I128+'FR-16(7)(v)-5 DISTR Dem Alloc'!I128+'FR-16(7)(v)-3 PROD Comm Alloc'!I128</f>
        <v>73593</v>
      </c>
      <c r="J128" s="349">
        <f>'FR-16(7)(v)-6 DISTR Cust Alloc'!J128+'FR-16(7)(v)-5 DISTR Dem Alloc'!J128+'FR-16(7)(v)-3 PROD Comm Alloc'!J128</f>
        <v>20885</v>
      </c>
      <c r="K128" s="347">
        <f t="shared" si="37"/>
        <v>674357</v>
      </c>
      <c r="L128" s="347">
        <f t="shared" si="38"/>
        <v>0</v>
      </c>
    </row>
    <row r="129" spans="1:12">
      <c r="A129" s="333">
        <v>17</v>
      </c>
      <c r="C129" s="332" t="str">
        <f>'FR-16(7)(v)-1 Functional'!C129</f>
        <v>HOUSE REG &amp; INSTALL (2830, 2840)</v>
      </c>
      <c r="D129" s="344" t="str">
        <f>'FR-16(7)(v)-1 Functional'!D129</f>
        <v>K417</v>
      </c>
      <c r="E129" s="196"/>
      <c r="F129" s="479">
        <f>'FR-16(7)(v)-1 Functional'!F129</f>
        <v>5133050</v>
      </c>
      <c r="G129" s="349">
        <f>'FR-16(7)(v)-6 DISTR Cust Alloc'!G129+'FR-16(7)(v)-5 DISTR Dem Alloc'!G129+'FR-16(7)(v)-3 PROD Comm Alloc'!G129</f>
        <v>3391612</v>
      </c>
      <c r="H129" s="349">
        <f>'FR-16(7)(v)-6 DISTR Cust Alloc'!H129+'FR-16(7)(v)-5 DISTR Dem Alloc'!H129+'FR-16(7)(v)-3 PROD Comm Alloc'!H129</f>
        <v>1689800</v>
      </c>
      <c r="I129" s="349">
        <f>'FR-16(7)(v)-6 DISTR Cust Alloc'!I129+'FR-16(7)(v)-5 DISTR Dem Alloc'!I129+'FR-16(7)(v)-3 PROD Comm Alloc'!I129</f>
        <v>41937</v>
      </c>
      <c r="J129" s="349">
        <f>'FR-16(7)(v)-6 DISTR Cust Alloc'!J129+'FR-16(7)(v)-5 DISTR Dem Alloc'!J129+'FR-16(7)(v)-3 PROD Comm Alloc'!J129</f>
        <v>9701</v>
      </c>
      <c r="K129" s="347">
        <f t="shared" si="37"/>
        <v>5133050</v>
      </c>
      <c r="L129" s="347">
        <f t="shared" si="38"/>
        <v>0</v>
      </c>
    </row>
    <row r="130" spans="1:12">
      <c r="A130" s="333">
        <v>18</v>
      </c>
      <c r="C130" s="359" t="str">
        <f>'FR-16(7)(v)-1 Functional'!C130</f>
        <v>STREET LIGHTING EQUIPMENT &amp; OTH</v>
      </c>
      <c r="D130" s="344" t="str">
        <f>'FR-16(7)(v)-1 Functional'!D130</f>
        <v>K597</v>
      </c>
      <c r="E130" s="196"/>
      <c r="F130" s="479">
        <f>'FR-16(7)(v)-1 Functional'!F130</f>
        <v>-2136531</v>
      </c>
      <c r="G130" s="349">
        <f>'FR-16(7)(v)-6 DISTR Cust Alloc'!G130+'FR-16(7)(v)-5 DISTR Dem Alloc'!G130+'FR-16(7)(v)-3 PROD Comm Alloc'!G130</f>
        <v>0</v>
      </c>
      <c r="H130" s="349">
        <f>'FR-16(7)(v)-6 DISTR Cust Alloc'!H130+'FR-16(7)(v)-5 DISTR Dem Alloc'!H130+'FR-16(7)(v)-3 PROD Comm Alloc'!H130</f>
        <v>-2136531</v>
      </c>
      <c r="I130" s="349">
        <f>'FR-16(7)(v)-6 DISTR Cust Alloc'!I130+'FR-16(7)(v)-5 DISTR Dem Alloc'!I130+'FR-16(7)(v)-3 PROD Comm Alloc'!I130</f>
        <v>0</v>
      </c>
      <c r="J130" s="349">
        <f>'FR-16(7)(v)-6 DISTR Cust Alloc'!J130+'FR-16(7)(v)-5 DISTR Dem Alloc'!J130+'FR-16(7)(v)-3 PROD Comm Alloc'!J130</f>
        <v>0</v>
      </c>
      <c r="K130" s="347">
        <f t="shared" si="37"/>
        <v>-2136531</v>
      </c>
      <c r="L130" s="347">
        <f t="shared" si="38"/>
        <v>0</v>
      </c>
    </row>
    <row r="131" spans="1:12">
      <c r="A131" s="333">
        <v>19</v>
      </c>
      <c r="C131" s="332" t="str">
        <f>'FR-16(7)(v)-1 Functional'!C131</f>
        <v xml:space="preserve">  TOTAL DIST DEPREC RESERVE</v>
      </c>
      <c r="D131" s="344"/>
      <c r="E131" s="196"/>
      <c r="F131" s="348">
        <f t="shared" ref="F131:L131" si="39">SUM(F121:F130)</f>
        <v>165857065</v>
      </c>
      <c r="G131" s="348">
        <f t="shared" si="39"/>
        <v>117200394</v>
      </c>
      <c r="H131" s="348">
        <f t="shared" si="39"/>
        <v>34505285</v>
      </c>
      <c r="I131" s="348">
        <f t="shared" si="39"/>
        <v>10760893</v>
      </c>
      <c r="J131" s="348">
        <f t="shared" si="39"/>
        <v>3390493</v>
      </c>
      <c r="K131" s="348">
        <f t="shared" si="39"/>
        <v>165857065</v>
      </c>
      <c r="L131" s="348">
        <f t="shared" si="39"/>
        <v>0</v>
      </c>
    </row>
    <row r="132" spans="1:12">
      <c r="A132" s="333">
        <v>20</v>
      </c>
      <c r="D132" s="344"/>
      <c r="E132" s="196"/>
      <c r="I132" s="332"/>
    </row>
    <row r="133" spans="1:12">
      <c r="A133" s="333">
        <v>21</v>
      </c>
      <c r="B133" s="332" t="s">
        <v>20</v>
      </c>
      <c r="D133" s="344"/>
      <c r="E133" s="196"/>
      <c r="I133" s="332"/>
    </row>
    <row r="134" spans="1:12">
      <c r="A134" s="333">
        <v>22</v>
      </c>
      <c r="C134" s="332" t="str">
        <f>'FR-16(7)(v)-1 Functional'!C134</f>
        <v>PRODUCTION PLANT</v>
      </c>
      <c r="D134" s="344" t="str">
        <f>'FR-16(7)(v)-1 Functional'!D134</f>
        <v>K201</v>
      </c>
      <c r="E134" s="196"/>
      <c r="F134" s="479">
        <f>'FR-16(7)(v)-1 Functional'!F134</f>
        <v>546802</v>
      </c>
      <c r="G134" s="349">
        <f>'FR-16(7)(v)-6 DISTR Cust Alloc'!G134+'FR-16(7)(v)-5 DISTR Dem Alloc'!G134+'FR-16(7)(v)-3 PROD Comm Alloc'!G134</f>
        <v>277157</v>
      </c>
      <c r="H134" s="349">
        <f>'FR-16(7)(v)-6 DISTR Cust Alloc'!H134+'FR-16(7)(v)-5 DISTR Dem Alloc'!H134+'FR-16(7)(v)-3 PROD Comm Alloc'!H134</f>
        <v>157873</v>
      </c>
      <c r="I134" s="349">
        <f>'FR-16(7)(v)-6 DISTR Cust Alloc'!I134+'FR-16(7)(v)-5 DISTR Dem Alloc'!I134+'FR-16(7)(v)-3 PROD Comm Alloc'!I134</f>
        <v>111772</v>
      </c>
      <c r="J134" s="349">
        <f>'FR-16(7)(v)-6 DISTR Cust Alloc'!J134+'FR-16(7)(v)-5 DISTR Dem Alloc'!J134+'FR-16(7)(v)-3 PROD Comm Alloc'!J134</f>
        <v>0</v>
      </c>
      <c r="K134" s="347">
        <f t="shared" ref="K134:K139" si="40">SUM(G134:J134)</f>
        <v>546802</v>
      </c>
      <c r="L134" s="347">
        <f t="shared" ref="L134:L139" si="41">F134-K134</f>
        <v>0</v>
      </c>
    </row>
    <row r="135" spans="1:12">
      <c r="A135" s="333">
        <v>23</v>
      </c>
      <c r="C135" s="332" t="str">
        <f>'FR-16(7)(v)-1 Functional'!C135</f>
        <v>PRODUCTION PLANT COMMODITY</v>
      </c>
      <c r="D135" s="344" t="str">
        <f>'FR-16(7)(v)-1 Functional'!D135</f>
        <v>P349</v>
      </c>
      <c r="E135" s="196"/>
      <c r="F135" s="479">
        <f>'FR-16(7)(v)-1 Functional'!F135</f>
        <v>427728</v>
      </c>
      <c r="G135" s="349">
        <f>'FR-16(7)(v)-6 DISTR Cust Alloc'!G135+'FR-16(7)(v)-5 DISTR Dem Alloc'!G135+'FR-16(7)(v)-3 PROD Comm Alloc'!G135</f>
        <v>216075</v>
      </c>
      <c r="H135" s="349">
        <f>'FR-16(7)(v)-6 DISTR Cust Alloc'!H135+'FR-16(7)(v)-5 DISTR Dem Alloc'!H135+'FR-16(7)(v)-3 PROD Comm Alloc'!H135</f>
        <v>123079</v>
      </c>
      <c r="I135" s="349">
        <f>'FR-16(7)(v)-6 DISTR Cust Alloc'!I135+'FR-16(7)(v)-5 DISTR Dem Alloc'!I135+'FR-16(7)(v)-3 PROD Comm Alloc'!I135</f>
        <v>87141</v>
      </c>
      <c r="J135" s="349">
        <f>'FR-16(7)(v)-6 DISTR Cust Alloc'!J135+'FR-16(7)(v)-5 DISTR Dem Alloc'!J135+'FR-16(7)(v)-3 PROD Comm Alloc'!J135</f>
        <v>1433</v>
      </c>
      <c r="K135" s="347">
        <f t="shared" si="40"/>
        <v>427728</v>
      </c>
      <c r="L135" s="347">
        <f t="shared" si="41"/>
        <v>0</v>
      </c>
    </row>
    <row r="136" spans="1:12">
      <c r="A136" s="333">
        <v>24</v>
      </c>
      <c r="C136" s="332" t="str">
        <f>'FR-16(7)(v)-1 Functional'!C136</f>
        <v>DISTRIBUTION PLANT</v>
      </c>
      <c r="D136" s="344" t="str">
        <f>'FR-16(7)(v)-1 Functional'!D136</f>
        <v>D349</v>
      </c>
      <c r="E136" s="196"/>
      <c r="F136" s="479">
        <f>'FR-16(7)(v)-1 Functional'!F136</f>
        <v>5793367</v>
      </c>
      <c r="G136" s="349">
        <f>'FR-16(7)(v)-6 DISTR Cust Alloc'!G136+'FR-16(7)(v)-5 DISTR Dem Alloc'!G136+'FR-16(7)(v)-3 PROD Comm Alloc'!G136</f>
        <v>3939202</v>
      </c>
      <c r="H136" s="349">
        <f>'FR-16(7)(v)-6 DISTR Cust Alloc'!H136+'FR-16(7)(v)-5 DISTR Dem Alloc'!H136+'FR-16(7)(v)-3 PROD Comm Alloc'!H136</f>
        <v>1399306</v>
      </c>
      <c r="I136" s="349">
        <f>'FR-16(7)(v)-6 DISTR Cust Alloc'!I136+'FR-16(7)(v)-5 DISTR Dem Alloc'!I136+'FR-16(7)(v)-3 PROD Comm Alloc'!I136</f>
        <v>360205</v>
      </c>
      <c r="J136" s="349">
        <f>'FR-16(7)(v)-6 DISTR Cust Alloc'!J136+'FR-16(7)(v)-5 DISTR Dem Alloc'!J136+'FR-16(7)(v)-3 PROD Comm Alloc'!J136</f>
        <v>94654</v>
      </c>
      <c r="K136" s="347">
        <f t="shared" si="40"/>
        <v>5793367</v>
      </c>
      <c r="L136" s="347">
        <f t="shared" si="41"/>
        <v>0</v>
      </c>
    </row>
    <row r="137" spans="1:12">
      <c r="A137" s="333">
        <v>25</v>
      </c>
      <c r="C137" s="332" t="str">
        <f>'FR-16(7)(v)-1 Functional'!C137</f>
        <v>CUSTOMER ACCOUNTING</v>
      </c>
      <c r="D137" s="344" t="str">
        <f>'FR-16(7)(v)-1 Functional'!D137</f>
        <v>CA19</v>
      </c>
      <c r="E137" s="196"/>
      <c r="F137" s="479">
        <f>'FR-16(7)(v)-1 Functional'!F137</f>
        <v>2447627</v>
      </c>
      <c r="G137" s="349">
        <f>'FR-16(7)(v)-6 DISTR Cust Alloc'!G137+'FR-16(7)(v)-5 DISTR Dem Alloc'!G137+'FR-16(7)(v)-3 PROD Comm Alloc'!G137</f>
        <v>2272084</v>
      </c>
      <c r="H137" s="349">
        <f>'FR-16(7)(v)-6 DISTR Cust Alloc'!H137+'FR-16(7)(v)-5 DISTR Dem Alloc'!H137+'FR-16(7)(v)-3 PROD Comm Alloc'!H137</f>
        <v>172631</v>
      </c>
      <c r="I137" s="349">
        <f>'FR-16(7)(v)-6 DISTR Cust Alloc'!I137+'FR-16(7)(v)-5 DISTR Dem Alloc'!I137+'FR-16(7)(v)-3 PROD Comm Alloc'!I137</f>
        <v>2374</v>
      </c>
      <c r="J137" s="349">
        <f>'FR-16(7)(v)-6 DISTR Cust Alloc'!J137+'FR-16(7)(v)-5 DISTR Dem Alloc'!J137+'FR-16(7)(v)-3 PROD Comm Alloc'!J137</f>
        <v>538</v>
      </c>
      <c r="K137" s="347">
        <f t="shared" si="40"/>
        <v>2447627</v>
      </c>
      <c r="L137" s="347">
        <f t="shared" si="41"/>
        <v>0</v>
      </c>
    </row>
    <row r="138" spans="1:12">
      <c r="A138" s="333">
        <v>26</v>
      </c>
      <c r="C138" s="332" t="str">
        <f>'FR-16(7)(v)-1 Functional'!C138</f>
        <v>CUSTOMER SERVICE &amp; INFORMATION</v>
      </c>
      <c r="D138" s="344" t="str">
        <f>'FR-16(7)(v)-1 Functional'!D138</f>
        <v>CS19</v>
      </c>
      <c r="E138" s="196"/>
      <c r="F138" s="479">
        <f>'FR-16(7)(v)-1 Functional'!F138</f>
        <v>214184</v>
      </c>
      <c r="G138" s="349">
        <f>'FR-16(7)(v)-6 DISTR Cust Alloc'!G138+'FR-16(7)(v)-5 DISTR Dem Alloc'!G138+'FR-16(7)(v)-3 PROD Comm Alloc'!G138</f>
        <v>198823</v>
      </c>
      <c r="H138" s="349">
        <f>'FR-16(7)(v)-6 DISTR Cust Alloc'!H138+'FR-16(7)(v)-5 DISTR Dem Alloc'!H138+'FR-16(7)(v)-3 PROD Comm Alloc'!H138</f>
        <v>15106</v>
      </c>
      <c r="I138" s="349">
        <f>'FR-16(7)(v)-6 DISTR Cust Alloc'!I138+'FR-16(7)(v)-5 DISTR Dem Alloc'!I138+'FR-16(7)(v)-3 PROD Comm Alloc'!I138</f>
        <v>208</v>
      </c>
      <c r="J138" s="349">
        <f>'FR-16(7)(v)-6 DISTR Cust Alloc'!J138+'FR-16(7)(v)-5 DISTR Dem Alloc'!J138+'FR-16(7)(v)-3 PROD Comm Alloc'!J138</f>
        <v>47</v>
      </c>
      <c r="K138" s="347">
        <f t="shared" si="40"/>
        <v>214184</v>
      </c>
      <c r="L138" s="347">
        <f t="shared" si="41"/>
        <v>0</v>
      </c>
    </row>
    <row r="139" spans="1:12">
      <c r="A139" s="333">
        <v>27</v>
      </c>
      <c r="C139" s="365" t="str">
        <f>'FR-16(7)(v)-1 Functional'!C139</f>
        <v>SALES</v>
      </c>
      <c r="D139" s="344" t="str">
        <f>'FR-16(7)(v)-1 Functional'!D139</f>
        <v>SE19</v>
      </c>
      <c r="E139" s="196"/>
      <c r="F139" s="479">
        <f>'FR-16(7)(v)-1 Functional'!F139</f>
        <v>0</v>
      </c>
      <c r="G139" s="349">
        <f>'FR-16(7)(v)-6 DISTR Cust Alloc'!G139+'FR-16(7)(v)-5 DISTR Dem Alloc'!G139+'FR-16(7)(v)-3 PROD Comm Alloc'!G139</f>
        <v>0</v>
      </c>
      <c r="H139" s="349">
        <f>'FR-16(7)(v)-6 DISTR Cust Alloc'!H139+'FR-16(7)(v)-5 DISTR Dem Alloc'!H139+'FR-16(7)(v)-3 PROD Comm Alloc'!H139</f>
        <v>0</v>
      </c>
      <c r="I139" s="349">
        <f>'FR-16(7)(v)-6 DISTR Cust Alloc'!I139+'FR-16(7)(v)-5 DISTR Dem Alloc'!I139+'FR-16(7)(v)-3 PROD Comm Alloc'!I139</f>
        <v>0</v>
      </c>
      <c r="J139" s="349">
        <f>'FR-16(7)(v)-6 DISTR Cust Alloc'!J139+'FR-16(7)(v)-5 DISTR Dem Alloc'!J139+'FR-16(7)(v)-3 PROD Comm Alloc'!J139</f>
        <v>0</v>
      </c>
      <c r="K139" s="347">
        <f t="shared" si="40"/>
        <v>0</v>
      </c>
      <c r="L139" s="347">
        <f t="shared" si="41"/>
        <v>0</v>
      </c>
    </row>
    <row r="140" spans="1:12">
      <c r="A140" s="333">
        <v>28</v>
      </c>
      <c r="C140" s="339" t="str">
        <f>'FR-16(7)(v)-1 Functional'!C140</f>
        <v xml:space="preserve">  TOTAL GEN DEPREC RESERVE</v>
      </c>
      <c r="D140" s="344"/>
      <c r="E140" s="196"/>
      <c r="F140" s="348">
        <f t="shared" ref="F140:L140" si="42">SUM(F133:F139)</f>
        <v>9429708</v>
      </c>
      <c r="G140" s="348">
        <f t="shared" si="42"/>
        <v>6903341</v>
      </c>
      <c r="H140" s="348">
        <f t="shared" si="42"/>
        <v>1867995</v>
      </c>
      <c r="I140" s="348">
        <f t="shared" si="42"/>
        <v>561700</v>
      </c>
      <c r="J140" s="348">
        <f t="shared" si="42"/>
        <v>96672</v>
      </c>
      <c r="K140" s="348">
        <f t="shared" si="42"/>
        <v>9429708</v>
      </c>
      <c r="L140" s="348">
        <f t="shared" si="42"/>
        <v>0</v>
      </c>
    </row>
    <row r="141" spans="1:12">
      <c r="A141" s="333">
        <v>29</v>
      </c>
      <c r="C141" s="365"/>
      <c r="D141" s="344"/>
      <c r="E141" s="196"/>
      <c r="I141" s="332"/>
    </row>
    <row r="142" spans="1:12">
      <c r="A142" s="333">
        <v>30</v>
      </c>
      <c r="B142" s="332" t="s">
        <v>21</v>
      </c>
      <c r="C142" s="365"/>
      <c r="D142" s="344"/>
      <c r="E142" s="196"/>
      <c r="I142" s="332"/>
    </row>
    <row r="143" spans="1:12">
      <c r="A143" s="333">
        <v>31</v>
      </c>
      <c r="C143" s="365" t="str">
        <f>'FR-16(7)(v)-1 Functional'!C143</f>
        <v>PRODUCTION PLANT</v>
      </c>
      <c r="D143" s="344" t="str">
        <f>'FR-16(7)(v)-1 Functional'!D143</f>
        <v>K201</v>
      </c>
      <c r="E143" s="196"/>
      <c r="F143" s="479">
        <f>'FR-16(7)(v)-1 Functional'!F143</f>
        <v>615843</v>
      </c>
      <c r="G143" s="349">
        <f>'FR-16(7)(v)-6 DISTR Cust Alloc'!G143+'FR-16(7)(v)-5 DISTR Dem Alloc'!G143+'FR-16(7)(v)-3 PROD Comm Alloc'!G143</f>
        <v>312153</v>
      </c>
      <c r="H143" s="349">
        <f>'FR-16(7)(v)-6 DISTR Cust Alloc'!H143+'FR-16(7)(v)-5 DISTR Dem Alloc'!H143+'FR-16(7)(v)-3 PROD Comm Alloc'!H143</f>
        <v>177806</v>
      </c>
      <c r="I143" s="349">
        <f>'FR-16(7)(v)-6 DISTR Cust Alloc'!I143+'FR-16(7)(v)-5 DISTR Dem Alloc'!I143+'FR-16(7)(v)-3 PROD Comm Alloc'!I143</f>
        <v>125884</v>
      </c>
      <c r="J143" s="349">
        <f>'FR-16(7)(v)-6 DISTR Cust Alloc'!J143+'FR-16(7)(v)-5 DISTR Dem Alloc'!J143+'FR-16(7)(v)-3 PROD Comm Alloc'!J143</f>
        <v>0</v>
      </c>
      <c r="K143" s="347">
        <f t="shared" ref="K143:K148" si="43">SUM(G143:J143)</f>
        <v>615843</v>
      </c>
      <c r="L143" s="347">
        <f t="shared" ref="L143:L148" si="44">F143-K143</f>
        <v>0</v>
      </c>
    </row>
    <row r="144" spans="1:12">
      <c r="A144" s="333">
        <v>32</v>
      </c>
      <c r="C144" s="365" t="str">
        <f>'FR-16(7)(v)-1 Functional'!C144</f>
        <v>PRODUCTION PLANT COMMODITY</v>
      </c>
      <c r="D144" s="344" t="str">
        <f>'FR-16(7)(v)-1 Functional'!D144</f>
        <v>P349</v>
      </c>
      <c r="E144" s="196"/>
      <c r="F144" s="479">
        <f>'FR-16(7)(v)-1 Functional'!F144</f>
        <v>481734</v>
      </c>
      <c r="G144" s="349">
        <f>'FR-16(7)(v)-6 DISTR Cust Alloc'!G144+'FR-16(7)(v)-5 DISTR Dem Alloc'!G144+'FR-16(7)(v)-3 PROD Comm Alloc'!G144</f>
        <v>243357</v>
      </c>
      <c r="H144" s="349">
        <f>'FR-16(7)(v)-6 DISTR Cust Alloc'!H144+'FR-16(7)(v)-5 DISTR Dem Alloc'!H144+'FR-16(7)(v)-3 PROD Comm Alloc'!H144</f>
        <v>138619</v>
      </c>
      <c r="I144" s="349">
        <f>'FR-16(7)(v)-6 DISTR Cust Alloc'!I144+'FR-16(7)(v)-5 DISTR Dem Alloc'!I144+'FR-16(7)(v)-3 PROD Comm Alloc'!I144</f>
        <v>98144</v>
      </c>
      <c r="J144" s="349">
        <f>'FR-16(7)(v)-6 DISTR Cust Alloc'!J144+'FR-16(7)(v)-5 DISTR Dem Alloc'!J144+'FR-16(7)(v)-3 PROD Comm Alloc'!J144</f>
        <v>1614</v>
      </c>
      <c r="K144" s="347">
        <f t="shared" si="43"/>
        <v>481734</v>
      </c>
      <c r="L144" s="347">
        <f t="shared" si="44"/>
        <v>0</v>
      </c>
    </row>
    <row r="145" spans="1:12">
      <c r="A145" s="333">
        <v>33</v>
      </c>
      <c r="C145" s="365" t="str">
        <f>'FR-16(7)(v)-1 Functional'!C145</f>
        <v>DISTRIBUTION PLANT</v>
      </c>
      <c r="D145" s="344" t="str">
        <f>'FR-16(7)(v)-1 Functional'!D145</f>
        <v>D349</v>
      </c>
      <c r="E145" s="196"/>
      <c r="F145" s="479">
        <f>'FR-16(7)(v)-1 Functional'!F145</f>
        <v>6524849</v>
      </c>
      <c r="G145" s="349">
        <f>'FR-16(7)(v)-6 DISTR Cust Alloc'!G145+'FR-16(7)(v)-5 DISTR Dem Alloc'!G145+'FR-16(7)(v)-3 PROD Comm Alloc'!G145</f>
        <v>4436574</v>
      </c>
      <c r="H145" s="349">
        <f>'FR-16(7)(v)-6 DISTR Cust Alloc'!H145+'FR-16(7)(v)-5 DISTR Dem Alloc'!H145+'FR-16(7)(v)-3 PROD Comm Alloc'!H145</f>
        <v>1575985</v>
      </c>
      <c r="I145" s="349">
        <f>'FR-16(7)(v)-6 DISTR Cust Alloc'!I145+'FR-16(7)(v)-5 DISTR Dem Alloc'!I145+'FR-16(7)(v)-3 PROD Comm Alloc'!I145</f>
        <v>405685</v>
      </c>
      <c r="J145" s="349">
        <f>'FR-16(7)(v)-6 DISTR Cust Alloc'!J145+'FR-16(7)(v)-5 DISTR Dem Alloc'!J145+'FR-16(7)(v)-3 PROD Comm Alloc'!J145</f>
        <v>106605</v>
      </c>
      <c r="K145" s="347">
        <f t="shared" si="43"/>
        <v>6524849</v>
      </c>
      <c r="L145" s="347">
        <f t="shared" si="44"/>
        <v>0</v>
      </c>
    </row>
    <row r="146" spans="1:12">
      <c r="A146" s="333">
        <v>34</v>
      </c>
      <c r="C146" s="365" t="str">
        <f>'FR-16(7)(v)-1 Functional'!C146</f>
        <v>CUSTOMER ACCOUNTING</v>
      </c>
      <c r="D146" s="344" t="str">
        <f>'FR-16(7)(v)-1 Functional'!D146</f>
        <v>CA19</v>
      </c>
      <c r="E146" s="196"/>
      <c r="F146" s="479">
        <f>'FR-16(7)(v)-1 Functional'!F146</f>
        <v>2756669</v>
      </c>
      <c r="G146" s="349">
        <f>'FR-16(7)(v)-6 DISTR Cust Alloc'!G146+'FR-16(7)(v)-5 DISTR Dem Alloc'!G146+'FR-16(7)(v)-3 PROD Comm Alloc'!G146</f>
        <v>2558961</v>
      </c>
      <c r="H146" s="349">
        <f>'FR-16(7)(v)-6 DISTR Cust Alloc'!H146+'FR-16(7)(v)-5 DISTR Dem Alloc'!H146+'FR-16(7)(v)-3 PROD Comm Alloc'!H146</f>
        <v>194428</v>
      </c>
      <c r="I146" s="349">
        <f>'FR-16(7)(v)-6 DISTR Cust Alloc'!I146+'FR-16(7)(v)-5 DISTR Dem Alloc'!I146+'FR-16(7)(v)-3 PROD Comm Alloc'!I146</f>
        <v>2674</v>
      </c>
      <c r="J146" s="349">
        <f>'FR-16(7)(v)-6 DISTR Cust Alloc'!J146+'FR-16(7)(v)-5 DISTR Dem Alloc'!J146+'FR-16(7)(v)-3 PROD Comm Alloc'!J146</f>
        <v>606</v>
      </c>
      <c r="K146" s="347">
        <f t="shared" si="43"/>
        <v>2756669</v>
      </c>
      <c r="L146" s="347">
        <f t="shared" si="44"/>
        <v>0</v>
      </c>
    </row>
    <row r="147" spans="1:12">
      <c r="A147" s="333">
        <v>35</v>
      </c>
      <c r="C147" s="365" t="str">
        <f>'FR-16(7)(v)-1 Functional'!C147</f>
        <v>CUSTOMER SERVICE &amp; INFORMATION</v>
      </c>
      <c r="D147" s="344" t="str">
        <f>'FR-16(7)(v)-1 Functional'!D147</f>
        <v>CS19</v>
      </c>
      <c r="E147" s="196"/>
      <c r="F147" s="479">
        <f>'FR-16(7)(v)-1 Functional'!F147</f>
        <v>241227</v>
      </c>
      <c r="G147" s="349">
        <f>'FR-16(7)(v)-6 DISTR Cust Alloc'!G147+'FR-16(7)(v)-5 DISTR Dem Alloc'!G147+'FR-16(7)(v)-3 PROD Comm Alloc'!G147</f>
        <v>223926</v>
      </c>
      <c r="H147" s="349">
        <f>'FR-16(7)(v)-6 DISTR Cust Alloc'!H147+'FR-16(7)(v)-5 DISTR Dem Alloc'!H147+'FR-16(7)(v)-3 PROD Comm Alloc'!H147</f>
        <v>17014</v>
      </c>
      <c r="I147" s="349">
        <f>'FR-16(7)(v)-6 DISTR Cust Alloc'!I147+'FR-16(7)(v)-5 DISTR Dem Alloc'!I147+'FR-16(7)(v)-3 PROD Comm Alloc'!I147</f>
        <v>234</v>
      </c>
      <c r="J147" s="349">
        <f>'FR-16(7)(v)-6 DISTR Cust Alloc'!J147+'FR-16(7)(v)-5 DISTR Dem Alloc'!J147+'FR-16(7)(v)-3 PROD Comm Alloc'!J147</f>
        <v>53</v>
      </c>
      <c r="K147" s="347">
        <f t="shared" si="43"/>
        <v>241227</v>
      </c>
      <c r="L147" s="347">
        <f t="shared" si="44"/>
        <v>0</v>
      </c>
    </row>
    <row r="148" spans="1:12">
      <c r="A148" s="333">
        <v>36</v>
      </c>
      <c r="C148" s="365" t="str">
        <f>'FR-16(7)(v)-1 Functional'!C148</f>
        <v>SALES</v>
      </c>
      <c r="D148" s="344" t="str">
        <f>'FR-16(7)(v)-1 Functional'!D148</f>
        <v>SE19</v>
      </c>
      <c r="E148" s="196"/>
      <c r="F148" s="479">
        <f>'FR-16(7)(v)-1 Functional'!F148</f>
        <v>0</v>
      </c>
      <c r="G148" s="349">
        <f>'FR-16(7)(v)-6 DISTR Cust Alloc'!G148+'FR-16(7)(v)-5 DISTR Dem Alloc'!G148+'FR-16(7)(v)-3 PROD Comm Alloc'!G148</f>
        <v>0</v>
      </c>
      <c r="H148" s="349">
        <f>'FR-16(7)(v)-6 DISTR Cust Alloc'!H148+'FR-16(7)(v)-5 DISTR Dem Alloc'!H148+'FR-16(7)(v)-3 PROD Comm Alloc'!H148</f>
        <v>0</v>
      </c>
      <c r="I148" s="349">
        <f>'FR-16(7)(v)-6 DISTR Cust Alloc'!I148+'FR-16(7)(v)-5 DISTR Dem Alloc'!I148+'FR-16(7)(v)-3 PROD Comm Alloc'!I148</f>
        <v>0</v>
      </c>
      <c r="J148" s="349">
        <f>'FR-16(7)(v)-6 DISTR Cust Alloc'!J148+'FR-16(7)(v)-5 DISTR Dem Alloc'!J148+'FR-16(7)(v)-3 PROD Comm Alloc'!J148</f>
        <v>0</v>
      </c>
      <c r="K148" s="347">
        <f t="shared" si="43"/>
        <v>0</v>
      </c>
      <c r="L148" s="347">
        <f t="shared" si="44"/>
        <v>0</v>
      </c>
    </row>
    <row r="149" spans="1:12">
      <c r="A149" s="333">
        <v>37</v>
      </c>
      <c r="C149" s="339" t="str">
        <f>'FR-16(7)(v)-1 Functional'!C149</f>
        <v xml:space="preserve">  TOTAL COM &amp; OTHER PLT RESERVE</v>
      </c>
      <c r="D149" s="344"/>
      <c r="E149" s="196"/>
      <c r="F149" s="348">
        <f>SUM(F143:F148)</f>
        <v>10620322</v>
      </c>
      <c r="G149" s="348">
        <f t="shared" ref="G149:L149" si="45">SUM(G142:G148)</f>
        <v>7774971</v>
      </c>
      <c r="H149" s="348">
        <f t="shared" si="45"/>
        <v>2103852</v>
      </c>
      <c r="I149" s="348">
        <f t="shared" si="45"/>
        <v>632621</v>
      </c>
      <c r="J149" s="348">
        <f t="shared" si="45"/>
        <v>108878</v>
      </c>
      <c r="K149" s="348">
        <f t="shared" si="45"/>
        <v>10620322</v>
      </c>
      <c r="L149" s="348">
        <f t="shared" si="45"/>
        <v>0</v>
      </c>
    </row>
    <row r="150" spans="1:12">
      <c r="A150" s="333">
        <v>38</v>
      </c>
      <c r="D150" s="344"/>
      <c r="E150" s="196"/>
      <c r="I150" s="332"/>
    </row>
    <row r="151" spans="1:12">
      <c r="A151" s="333">
        <v>39</v>
      </c>
      <c r="B151" s="332" t="s">
        <v>23</v>
      </c>
      <c r="D151" s="344"/>
      <c r="E151" s="196"/>
      <c r="F151" s="347">
        <f t="shared" ref="F151:L151" si="46">F149+F140+F131+F119+F115</f>
        <v>187541693</v>
      </c>
      <c r="G151" s="347">
        <f t="shared" si="46"/>
        <v>132832282</v>
      </c>
      <c r="H151" s="347">
        <f t="shared" si="46"/>
        <v>38975357</v>
      </c>
      <c r="I151" s="347">
        <f t="shared" si="46"/>
        <v>12138011</v>
      </c>
      <c r="J151" s="347">
        <f t="shared" si="46"/>
        <v>3596043</v>
      </c>
      <c r="K151" s="347">
        <f t="shared" si="46"/>
        <v>187541693</v>
      </c>
      <c r="L151" s="347">
        <f t="shared" si="46"/>
        <v>0</v>
      </c>
    </row>
    <row r="152" spans="1:12">
      <c r="B152" s="343"/>
      <c r="C152" s="196"/>
      <c r="D152" s="344"/>
      <c r="E152" s="196"/>
      <c r="G152" s="196"/>
      <c r="H152" s="196"/>
      <c r="I152" s="196"/>
      <c r="J152" s="344"/>
      <c r="K152" s="196"/>
    </row>
    <row r="153" spans="1:12">
      <c r="A153" s="343" t="str">
        <f>co_name</f>
        <v>DUKE ENERGY KENTUCKY, INC.</v>
      </c>
      <c r="C153" s="196"/>
      <c r="D153" s="344"/>
      <c r="E153" s="196"/>
      <c r="F153" s="344"/>
      <c r="G153" s="342"/>
      <c r="H153" s="342"/>
      <c r="I153" s="196"/>
      <c r="K153" s="361" t="str">
        <f>$K$1</f>
        <v>FR-16(7)(v)-8</v>
      </c>
    </row>
    <row r="154" spans="1:12">
      <c r="A154" s="343" t="str">
        <f>$A$2</f>
        <v>TOTAL CLASS ALLOCATED - GAS COST OF SERVICE</v>
      </c>
      <c r="C154" s="196"/>
      <c r="D154" s="344"/>
      <c r="E154" s="196"/>
      <c r="F154" s="344"/>
      <c r="G154" s="342"/>
      <c r="H154" s="342"/>
      <c r="I154" s="196"/>
      <c r="K154" s="361" t="str">
        <f>$K$2</f>
        <v>WITNESS RESPONSIBLE:</v>
      </c>
    </row>
    <row r="155" spans="1:12">
      <c r="A155" s="343" t="str">
        <f>case_name</f>
        <v>CASE NO: 2018-00261</v>
      </c>
      <c r="C155" s="196"/>
      <c r="D155" s="344"/>
      <c r="E155" s="196"/>
      <c r="F155" s="344"/>
      <c r="G155" s="342"/>
      <c r="H155" s="342"/>
      <c r="I155" s="196"/>
      <c r="K155" s="361" t="str">
        <f>Witness</f>
        <v>JAMES E. ZIOLKOWSKI</v>
      </c>
    </row>
    <row r="156" spans="1:12">
      <c r="A156" s="343" t="str">
        <f>data_filing</f>
        <v>DATA: 12 MONTH FORECASTED PERIOD</v>
      </c>
      <c r="C156" s="196"/>
      <c r="D156" s="344"/>
      <c r="E156" s="196"/>
      <c r="F156" s="344"/>
      <c r="G156" s="342"/>
      <c r="H156" s="342"/>
      <c r="I156" s="196"/>
      <c r="K156" s="361" t="str">
        <f>"PAGE "&amp;Pages2-11&amp;" OF "&amp;Pages2</f>
        <v>PAGE 4 OF 15</v>
      </c>
    </row>
    <row r="157" spans="1:12">
      <c r="A157" s="343" t="str">
        <f>type</f>
        <v xml:space="preserve">TYPE OF FILING: "X" ORIGINAL   UPDATED    REVISED  </v>
      </c>
      <c r="C157" s="196"/>
      <c r="D157" s="344"/>
      <c r="E157" s="196"/>
      <c r="F157" s="344"/>
      <c r="G157" s="342"/>
      <c r="H157" s="342"/>
      <c r="I157" s="196"/>
      <c r="J157" s="344"/>
      <c r="K157" s="196"/>
    </row>
    <row r="158" spans="1:12">
      <c r="A158" s="343"/>
      <c r="C158" s="196"/>
      <c r="D158" s="344"/>
      <c r="E158" s="196"/>
      <c r="F158" s="344"/>
      <c r="G158" s="342"/>
      <c r="H158" s="342"/>
      <c r="I158" s="196"/>
      <c r="J158" s="344"/>
      <c r="K158" s="196"/>
    </row>
    <row r="159" spans="1:12">
      <c r="B159" s="343"/>
      <c r="C159" s="196"/>
      <c r="D159" s="344"/>
      <c r="E159" s="196"/>
      <c r="F159" s="344" t="str">
        <f>$F$7</f>
        <v>TOTAL</v>
      </c>
      <c r="G159" s="196"/>
      <c r="H159" s="196"/>
      <c r="I159" s="196"/>
      <c r="J159" s="344"/>
      <c r="K159" s="196"/>
    </row>
    <row r="160" spans="1:12">
      <c r="A160" s="344" t="s">
        <v>914</v>
      </c>
      <c r="B160" s="196"/>
      <c r="C160" s="196"/>
      <c r="D160" s="344"/>
      <c r="E160" s="196"/>
      <c r="F160" s="344" t="str">
        <f>$F$8</f>
        <v>CLASS</v>
      </c>
      <c r="G160" s="354" t="s">
        <v>773</v>
      </c>
      <c r="H160" s="354" t="s">
        <v>1282</v>
      </c>
      <c r="I160" s="354" t="s">
        <v>984</v>
      </c>
      <c r="J160" s="354" t="s">
        <v>549</v>
      </c>
      <c r="K160" s="354" t="s">
        <v>229</v>
      </c>
      <c r="L160" s="344" t="s">
        <v>342</v>
      </c>
    </row>
    <row r="161" spans="1:12">
      <c r="A161" s="346" t="s">
        <v>915</v>
      </c>
      <c r="B161" s="345" t="str">
        <f>"NET GAS PLANT"</f>
        <v>NET GAS PLANT</v>
      </c>
      <c r="C161" s="345"/>
      <c r="D161" s="346" t="s">
        <v>337</v>
      </c>
      <c r="E161" s="345"/>
      <c r="F161" s="344" t="str">
        <f>$F$9</f>
        <v>ALLOCATED</v>
      </c>
      <c r="G161" s="355" t="s">
        <v>338</v>
      </c>
      <c r="H161" s="355" t="s">
        <v>405</v>
      </c>
      <c r="I161" s="355" t="s">
        <v>1283</v>
      </c>
      <c r="J161" s="355" t="s">
        <v>550</v>
      </c>
      <c r="K161" s="355" t="s">
        <v>341</v>
      </c>
      <c r="L161" s="346" t="s">
        <v>340</v>
      </c>
    </row>
    <row r="162" spans="1:12">
      <c r="C162" s="578" t="s">
        <v>346</v>
      </c>
      <c r="D162" s="344"/>
      <c r="E162" s="196"/>
      <c r="F162" s="761"/>
      <c r="G162" s="633">
        <f>$G$10</f>
        <v>3</v>
      </c>
      <c r="H162" s="633">
        <f>$H$10</f>
        <v>4</v>
      </c>
      <c r="I162" s="633">
        <f>$I$10</f>
        <v>5</v>
      </c>
      <c r="J162" s="633">
        <f>$J$10</f>
        <v>6</v>
      </c>
    </row>
    <row r="163" spans="1:12">
      <c r="A163" s="333">
        <v>1</v>
      </c>
      <c r="B163" s="332" t="s">
        <v>14</v>
      </c>
      <c r="D163" s="344"/>
      <c r="E163" s="196"/>
      <c r="I163" s="332"/>
    </row>
    <row r="164" spans="1:12">
      <c r="A164" s="333">
        <v>2</v>
      </c>
      <c r="C164" s="332" t="str">
        <f>'FR-16(7)(v)-1 Functional'!C164</f>
        <v>PRODUCTION PLANT IN SERVICE</v>
      </c>
      <c r="D164" s="344"/>
      <c r="E164" s="196"/>
      <c r="F164" s="347">
        <f>F59</f>
        <v>2799608</v>
      </c>
      <c r="G164" s="347">
        <f>$G$59</f>
        <v>1633207</v>
      </c>
      <c r="H164" s="347">
        <f>$H$59</f>
        <v>853321</v>
      </c>
      <c r="I164" s="347">
        <f>$I$59</f>
        <v>313080</v>
      </c>
      <c r="J164" s="347">
        <f>$J$59</f>
        <v>0</v>
      </c>
      <c r="K164" s="347">
        <f>$K$59</f>
        <v>2799608</v>
      </c>
      <c r="L164" s="347">
        <f>F164-K164</f>
        <v>0</v>
      </c>
    </row>
    <row r="165" spans="1:12">
      <c r="A165" s="333">
        <v>3</v>
      </c>
      <c r="C165" s="359" t="str">
        <f>'FR-16(7)(v)-1 Functional'!C165</f>
        <v>TOTAL PROD DEPRC RESERVE</v>
      </c>
      <c r="D165" s="344"/>
      <c r="E165" s="196"/>
      <c r="F165" s="347">
        <f t="shared" ref="F165:K165" si="47">-F115</f>
        <v>-1634598</v>
      </c>
      <c r="G165" s="347">
        <f t="shared" si="47"/>
        <v>-953576</v>
      </c>
      <c r="H165" s="347">
        <f t="shared" si="47"/>
        <v>-498225</v>
      </c>
      <c r="I165" s="347">
        <f t="shared" si="47"/>
        <v>-182797</v>
      </c>
      <c r="J165" s="347">
        <f t="shared" si="47"/>
        <v>0</v>
      </c>
      <c r="K165" s="347">
        <f t="shared" si="47"/>
        <v>-1634598</v>
      </c>
      <c r="L165" s="347">
        <f>F165-K165</f>
        <v>0</v>
      </c>
    </row>
    <row r="166" spans="1:12">
      <c r="A166" s="333">
        <v>4</v>
      </c>
      <c r="C166" s="332" t="str">
        <f>'FR-16(7)(v)-1 Functional'!C166</f>
        <v xml:space="preserve">  NET PRODUCTION PLANT</v>
      </c>
      <c r="D166" s="344"/>
      <c r="E166" s="196"/>
      <c r="F166" s="348">
        <f t="shared" ref="F166:L166" si="48">SUM(F164:F165)</f>
        <v>1165010</v>
      </c>
      <c r="G166" s="348">
        <f t="shared" si="48"/>
        <v>679631</v>
      </c>
      <c r="H166" s="348">
        <f t="shared" si="48"/>
        <v>355096</v>
      </c>
      <c r="I166" s="348">
        <f t="shared" si="48"/>
        <v>130283</v>
      </c>
      <c r="J166" s="348">
        <f t="shared" si="48"/>
        <v>0</v>
      </c>
      <c r="K166" s="348">
        <f t="shared" si="48"/>
        <v>1165010</v>
      </c>
      <c r="L166" s="348">
        <f t="shared" si="48"/>
        <v>0</v>
      </c>
    </row>
    <row r="167" spans="1:12">
      <c r="A167" s="333">
        <v>5</v>
      </c>
      <c r="D167" s="344"/>
      <c r="E167" s="196"/>
      <c r="I167" s="332"/>
    </row>
    <row r="168" spans="1:12">
      <c r="A168" s="333">
        <v>6</v>
      </c>
      <c r="B168" s="359" t="s">
        <v>15</v>
      </c>
      <c r="C168" s="359"/>
      <c r="D168" s="344"/>
      <c r="E168" s="196"/>
      <c r="F168" s="347"/>
      <c r="G168" s="347"/>
      <c r="H168" s="347"/>
      <c r="I168" s="347"/>
      <c r="J168" s="347"/>
      <c r="K168" s="347"/>
    </row>
    <row r="169" spans="1:12">
      <c r="A169" s="333">
        <v>7</v>
      </c>
      <c r="C169" s="332" t="str">
        <f>'FR-16(7)(v)-1 Functional'!C169</f>
        <v>TRANSMISSION PLANT IN SERVICE</v>
      </c>
      <c r="D169" s="344"/>
      <c r="E169" s="196"/>
      <c r="F169" s="347">
        <f>F63</f>
        <v>0</v>
      </c>
      <c r="G169" s="347">
        <f>$G$63</f>
        <v>0</v>
      </c>
      <c r="H169" s="347">
        <f>$H$63</f>
        <v>0</v>
      </c>
      <c r="I169" s="347">
        <f>$I$63</f>
        <v>0</v>
      </c>
      <c r="J169" s="347">
        <f>$J$63</f>
        <v>0</v>
      </c>
      <c r="K169" s="347">
        <f>$K$63</f>
        <v>0</v>
      </c>
      <c r="L169" s="347">
        <f>F169-K169</f>
        <v>0</v>
      </c>
    </row>
    <row r="170" spans="1:12">
      <c r="A170" s="333">
        <v>8</v>
      </c>
      <c r="C170" s="332" t="str">
        <f>'FR-16(7)(v)-1 Functional'!C170</f>
        <v>TOTAL TRANS DEPREC RESERVE</v>
      </c>
      <c r="D170" s="344"/>
      <c r="E170" s="196"/>
      <c r="F170" s="347">
        <f t="shared" ref="F170:K170" si="49">-F119</f>
        <v>0</v>
      </c>
      <c r="G170" s="347">
        <f t="shared" si="49"/>
        <v>0</v>
      </c>
      <c r="H170" s="347">
        <f t="shared" si="49"/>
        <v>0</v>
      </c>
      <c r="I170" s="347">
        <f t="shared" si="49"/>
        <v>0</v>
      </c>
      <c r="J170" s="347">
        <f t="shared" si="49"/>
        <v>0</v>
      </c>
      <c r="K170" s="347">
        <f t="shared" si="49"/>
        <v>0</v>
      </c>
      <c r="L170" s="347">
        <f>F170-K170</f>
        <v>0</v>
      </c>
    </row>
    <row r="171" spans="1:12">
      <c r="A171" s="333">
        <v>9</v>
      </c>
      <c r="C171" s="332" t="str">
        <f>'FR-16(7)(v)-1 Functional'!C171</f>
        <v xml:space="preserve">    NET TRANSMISSION PLANT</v>
      </c>
      <c r="D171" s="344"/>
      <c r="E171" s="196"/>
      <c r="F171" s="348">
        <f t="shared" ref="F171:L171" si="50">SUM(F168:F170)</f>
        <v>0</v>
      </c>
      <c r="G171" s="348">
        <f t="shared" si="50"/>
        <v>0</v>
      </c>
      <c r="H171" s="348">
        <f t="shared" si="50"/>
        <v>0</v>
      </c>
      <c r="I171" s="348">
        <f t="shared" si="50"/>
        <v>0</v>
      </c>
      <c r="J171" s="348">
        <f t="shared" si="50"/>
        <v>0</v>
      </c>
      <c r="K171" s="348">
        <f t="shared" si="50"/>
        <v>0</v>
      </c>
      <c r="L171" s="348">
        <f t="shared" si="50"/>
        <v>0</v>
      </c>
    </row>
    <row r="172" spans="1:12">
      <c r="A172" s="333">
        <v>10</v>
      </c>
      <c r="D172" s="344"/>
      <c r="E172" s="196"/>
      <c r="I172" s="332"/>
    </row>
    <row r="173" spans="1:12">
      <c r="A173" s="333">
        <v>11</v>
      </c>
      <c r="B173" s="332" t="s">
        <v>17</v>
      </c>
      <c r="D173" s="344"/>
      <c r="E173" s="196"/>
      <c r="I173" s="332"/>
    </row>
    <row r="174" spans="1:12">
      <c r="A174" s="333">
        <v>12</v>
      </c>
      <c r="C174" s="332" t="str">
        <f>'FR-16(7)(v)-1 Functional'!C174</f>
        <v>DISTRIBUTION PLANT IN SERVICE</v>
      </c>
      <c r="D174" s="344"/>
      <c r="E174" s="196"/>
      <c r="F174" s="347">
        <f t="shared" ref="F174:K174" si="51">F78</f>
        <v>548483808</v>
      </c>
      <c r="G174" s="347">
        <f t="shared" si="51"/>
        <v>382627986</v>
      </c>
      <c r="H174" s="347">
        <f t="shared" si="51"/>
        <v>121144035</v>
      </c>
      <c r="I174" s="347">
        <f t="shared" si="51"/>
        <v>34186784</v>
      </c>
      <c r="J174" s="347">
        <f t="shared" si="51"/>
        <v>10525003</v>
      </c>
      <c r="K174" s="347">
        <f t="shared" si="51"/>
        <v>548483808</v>
      </c>
      <c r="L174" s="347">
        <f>F174-K174</f>
        <v>0</v>
      </c>
    </row>
    <row r="175" spans="1:12">
      <c r="A175" s="333">
        <v>13</v>
      </c>
      <c r="C175" s="359" t="str">
        <f>'FR-16(7)(v)-1 Functional'!C175</f>
        <v>TOTAL DIST DEPREC RESERVE</v>
      </c>
      <c r="D175" s="344"/>
      <c r="E175" s="196"/>
      <c r="F175" s="347">
        <f t="shared" ref="F175:K175" si="52">-F131</f>
        <v>-165857065</v>
      </c>
      <c r="G175" s="347">
        <f t="shared" si="52"/>
        <v>-117200394</v>
      </c>
      <c r="H175" s="347">
        <f t="shared" si="52"/>
        <v>-34505285</v>
      </c>
      <c r="I175" s="347">
        <f t="shared" si="52"/>
        <v>-10760893</v>
      </c>
      <c r="J175" s="347">
        <f t="shared" si="52"/>
        <v>-3390493</v>
      </c>
      <c r="K175" s="347">
        <f t="shared" si="52"/>
        <v>-165857065</v>
      </c>
      <c r="L175" s="347">
        <f>F175-K175</f>
        <v>0</v>
      </c>
    </row>
    <row r="176" spans="1:12">
      <c r="A176" s="333">
        <v>14</v>
      </c>
      <c r="C176" s="332" t="str">
        <f>'FR-16(7)(v)-1 Functional'!C176</f>
        <v xml:space="preserve">  NET DISTRIBUTION PLANT</v>
      </c>
      <c r="D176" s="344"/>
      <c r="E176" s="196"/>
      <c r="F176" s="348">
        <f t="shared" ref="F176:L176" si="53">SUM(F173:F175)</f>
        <v>382626743</v>
      </c>
      <c r="G176" s="348">
        <f t="shared" si="53"/>
        <v>265427592</v>
      </c>
      <c r="H176" s="348">
        <f t="shared" si="53"/>
        <v>86638750</v>
      </c>
      <c r="I176" s="348">
        <f t="shared" si="53"/>
        <v>23425891</v>
      </c>
      <c r="J176" s="348">
        <f t="shared" si="53"/>
        <v>7134510</v>
      </c>
      <c r="K176" s="348">
        <f t="shared" si="53"/>
        <v>382626743</v>
      </c>
      <c r="L176" s="348">
        <f t="shared" si="53"/>
        <v>0</v>
      </c>
    </row>
    <row r="177" spans="1:12">
      <c r="A177" s="333">
        <v>15</v>
      </c>
      <c r="D177" s="344"/>
      <c r="E177" s="196"/>
      <c r="I177" s="332"/>
    </row>
    <row r="178" spans="1:12">
      <c r="A178" s="333">
        <v>16</v>
      </c>
      <c r="B178" s="332" t="s">
        <v>430</v>
      </c>
      <c r="D178" s="344"/>
      <c r="E178" s="196"/>
      <c r="F178" s="347">
        <f t="shared" ref="F178:L178" si="54">F176+F171+F166</f>
        <v>383791753</v>
      </c>
      <c r="G178" s="347">
        <f t="shared" si="54"/>
        <v>266107223</v>
      </c>
      <c r="H178" s="347">
        <f t="shared" si="54"/>
        <v>86993846</v>
      </c>
      <c r="I178" s="347">
        <f t="shared" si="54"/>
        <v>23556174</v>
      </c>
      <c r="J178" s="347">
        <f t="shared" si="54"/>
        <v>7134510</v>
      </c>
      <c r="K178" s="347">
        <f t="shared" si="54"/>
        <v>383791753</v>
      </c>
      <c r="L178" s="347">
        <f t="shared" si="54"/>
        <v>0</v>
      </c>
    </row>
    <row r="179" spans="1:12">
      <c r="A179" s="333">
        <v>17</v>
      </c>
      <c r="B179" s="332" t="s">
        <v>24</v>
      </c>
      <c r="D179" s="344"/>
      <c r="E179" s="196"/>
      <c r="F179" s="347">
        <f t="shared" ref="F179:L179" si="55">F176+F171</f>
        <v>382626743</v>
      </c>
      <c r="G179" s="347">
        <f t="shared" si="55"/>
        <v>265427592</v>
      </c>
      <c r="H179" s="347">
        <f t="shared" si="55"/>
        <v>86638750</v>
      </c>
      <c r="I179" s="347">
        <f t="shared" si="55"/>
        <v>23425891</v>
      </c>
      <c r="J179" s="347">
        <f t="shared" si="55"/>
        <v>7134510</v>
      </c>
      <c r="K179" s="347">
        <f t="shared" si="55"/>
        <v>382626743</v>
      </c>
      <c r="L179" s="347">
        <f t="shared" si="55"/>
        <v>0</v>
      </c>
    </row>
    <row r="180" spans="1:12">
      <c r="A180" s="333">
        <v>18</v>
      </c>
      <c r="D180" s="344"/>
      <c r="E180" s="196"/>
      <c r="I180" s="332"/>
    </row>
    <row r="181" spans="1:12">
      <c r="A181" s="333">
        <v>19</v>
      </c>
      <c r="B181" s="332" t="s">
        <v>20</v>
      </c>
      <c r="D181" s="344"/>
      <c r="E181" s="196"/>
      <c r="I181" s="332"/>
    </row>
    <row r="182" spans="1:12">
      <c r="A182" s="333">
        <v>20</v>
      </c>
      <c r="C182" s="332" t="str">
        <f>'FR-16(7)(v)-1 Functional'!C182</f>
        <v>GEN &amp; INTANG PLANT IN SERVICE</v>
      </c>
      <c r="D182" s="344"/>
      <c r="E182" s="196"/>
      <c r="F182" s="347">
        <f t="shared" ref="F182:K182" si="56">F90</f>
        <v>24465890</v>
      </c>
      <c r="G182" s="347">
        <f t="shared" si="56"/>
        <v>17911092</v>
      </c>
      <c r="H182" s="347">
        <f t="shared" si="56"/>
        <v>4846616</v>
      </c>
      <c r="I182" s="347">
        <f t="shared" si="56"/>
        <v>1457360</v>
      </c>
      <c r="J182" s="347">
        <f t="shared" si="56"/>
        <v>250822</v>
      </c>
      <c r="K182" s="347">
        <f t="shared" si="56"/>
        <v>24465890</v>
      </c>
      <c r="L182" s="347">
        <f>F182-K182</f>
        <v>0</v>
      </c>
    </row>
    <row r="183" spans="1:12">
      <c r="A183" s="333">
        <v>21</v>
      </c>
      <c r="C183" s="359" t="str">
        <f>'FR-16(7)(v)-1 Functional'!C183</f>
        <v>TOTAL GEN &amp; INTG DEPREC RESERVE</v>
      </c>
      <c r="D183" s="344"/>
      <c r="E183" s="196"/>
      <c r="F183" s="347">
        <f t="shared" ref="F183:K183" si="57">-F140</f>
        <v>-9429708</v>
      </c>
      <c r="G183" s="347">
        <f t="shared" si="57"/>
        <v>-6903341</v>
      </c>
      <c r="H183" s="347">
        <f t="shared" si="57"/>
        <v>-1867995</v>
      </c>
      <c r="I183" s="347">
        <f t="shared" si="57"/>
        <v>-561700</v>
      </c>
      <c r="J183" s="347">
        <f t="shared" si="57"/>
        <v>-96672</v>
      </c>
      <c r="K183" s="347">
        <f t="shared" si="57"/>
        <v>-9429708</v>
      </c>
      <c r="L183" s="347">
        <f>F183-K183</f>
        <v>0</v>
      </c>
    </row>
    <row r="184" spans="1:12">
      <c r="A184" s="333">
        <v>22</v>
      </c>
      <c r="C184" s="332" t="str">
        <f>'FR-16(7)(v)-1 Functional'!C184</f>
        <v xml:space="preserve">  NET GENERAL &amp; INTANG PLANT</v>
      </c>
      <c r="D184" s="344"/>
      <c r="E184" s="196"/>
      <c r="F184" s="348">
        <f t="shared" ref="F184:L184" si="58">SUM(F181:F183)</f>
        <v>15036182</v>
      </c>
      <c r="G184" s="348">
        <f t="shared" si="58"/>
        <v>11007751</v>
      </c>
      <c r="H184" s="348">
        <f t="shared" si="58"/>
        <v>2978621</v>
      </c>
      <c r="I184" s="348">
        <f t="shared" si="58"/>
        <v>895660</v>
      </c>
      <c r="J184" s="348">
        <f t="shared" si="58"/>
        <v>154150</v>
      </c>
      <c r="K184" s="348">
        <f t="shared" si="58"/>
        <v>15036182</v>
      </c>
      <c r="L184" s="348">
        <f t="shared" si="58"/>
        <v>0</v>
      </c>
    </row>
    <row r="185" spans="1:12">
      <c r="A185" s="333">
        <v>23</v>
      </c>
      <c r="D185" s="344"/>
      <c r="E185" s="196"/>
      <c r="F185" s="347"/>
      <c r="G185" s="347"/>
      <c r="H185" s="347"/>
      <c r="I185" s="347"/>
      <c r="J185" s="347"/>
      <c r="K185" s="347"/>
    </row>
    <row r="186" spans="1:12">
      <c r="A186" s="333">
        <v>24</v>
      </c>
      <c r="B186" s="332" t="s">
        <v>21</v>
      </c>
      <c r="D186" s="344"/>
      <c r="E186" s="196"/>
      <c r="F186" s="347"/>
      <c r="G186" s="347"/>
      <c r="H186" s="347"/>
      <c r="I186" s="347"/>
      <c r="J186" s="347"/>
      <c r="K186" s="347"/>
    </row>
    <row r="187" spans="1:12">
      <c r="A187" s="333">
        <v>25</v>
      </c>
      <c r="C187" s="332" t="str">
        <f>'FR-16(7)(v)-1 Functional'!C187</f>
        <v>COMMON &amp; OTH PLT IN SERVICE</v>
      </c>
      <c r="D187" s="344"/>
      <c r="E187" s="196"/>
      <c r="F187" s="347">
        <f t="shared" ref="F187:K187" si="59">F99</f>
        <v>12877885</v>
      </c>
      <c r="G187" s="347">
        <f t="shared" si="59"/>
        <v>9427699</v>
      </c>
      <c r="H187" s="347">
        <f t="shared" si="59"/>
        <v>2551067</v>
      </c>
      <c r="I187" s="347">
        <f t="shared" si="59"/>
        <v>767097</v>
      </c>
      <c r="J187" s="347">
        <f t="shared" si="59"/>
        <v>132022</v>
      </c>
      <c r="K187" s="347">
        <f t="shared" si="59"/>
        <v>12877885</v>
      </c>
      <c r="L187" s="347">
        <f>F187-K187</f>
        <v>0</v>
      </c>
    </row>
    <row r="188" spans="1:12">
      <c r="A188" s="333">
        <v>26</v>
      </c>
      <c r="C188" s="359" t="str">
        <f>'FR-16(7)(v)-1 Functional'!C188</f>
        <v>TOTAL COM &amp; OTH DEPREC RESERVE</v>
      </c>
      <c r="D188" s="344"/>
      <c r="E188" s="196"/>
      <c r="F188" s="347">
        <f t="shared" ref="F188:K188" si="60">-F149</f>
        <v>-10620322</v>
      </c>
      <c r="G188" s="347">
        <f t="shared" si="60"/>
        <v>-7774971</v>
      </c>
      <c r="H188" s="347">
        <f t="shared" si="60"/>
        <v>-2103852</v>
      </c>
      <c r="I188" s="347">
        <f t="shared" si="60"/>
        <v>-632621</v>
      </c>
      <c r="J188" s="347">
        <f t="shared" si="60"/>
        <v>-108878</v>
      </c>
      <c r="K188" s="347">
        <f t="shared" si="60"/>
        <v>-10620322</v>
      </c>
      <c r="L188" s="347">
        <f>F188-K188</f>
        <v>0</v>
      </c>
    </row>
    <row r="189" spans="1:12">
      <c r="A189" s="333">
        <v>27</v>
      </c>
      <c r="C189" s="332" t="str">
        <f>'FR-16(7)(v)-1 Functional'!C189</f>
        <v xml:space="preserve">  NET COMMON &amp; OTHER PLANT</v>
      </c>
      <c r="D189" s="344"/>
      <c r="E189" s="196"/>
      <c r="F189" s="348">
        <f t="shared" ref="F189:L189" si="61">SUM(F186:F188)</f>
        <v>2257563</v>
      </c>
      <c r="G189" s="348">
        <f t="shared" si="61"/>
        <v>1652728</v>
      </c>
      <c r="H189" s="348">
        <f t="shared" si="61"/>
        <v>447215</v>
      </c>
      <c r="I189" s="348">
        <f t="shared" si="61"/>
        <v>134476</v>
      </c>
      <c r="J189" s="348">
        <f t="shared" si="61"/>
        <v>23144</v>
      </c>
      <c r="K189" s="348">
        <f t="shared" si="61"/>
        <v>2257563</v>
      </c>
      <c r="L189" s="348">
        <f t="shared" si="61"/>
        <v>0</v>
      </c>
    </row>
    <row r="190" spans="1:12">
      <c r="A190" s="333">
        <v>28</v>
      </c>
      <c r="D190" s="344"/>
      <c r="E190" s="196"/>
      <c r="F190" s="347"/>
      <c r="G190" s="347"/>
      <c r="H190" s="347"/>
      <c r="I190" s="347"/>
      <c r="J190" s="347"/>
      <c r="K190" s="347"/>
      <c r="L190" s="347"/>
    </row>
    <row r="191" spans="1:12">
      <c r="A191" s="333">
        <v>29</v>
      </c>
      <c r="C191" s="332" t="str">
        <f>'FR-16(7)(v)-1 Functional'!C191</f>
        <v>NET GAS PLANT IN SERVICE</v>
      </c>
      <c r="D191" s="344"/>
      <c r="E191" s="196"/>
      <c r="F191" s="347">
        <f t="shared" ref="F191:L191" si="62">F189+F184+F176+F171+F166</f>
        <v>401085498</v>
      </c>
      <c r="G191" s="347">
        <f t="shared" si="62"/>
        <v>278767702</v>
      </c>
      <c r="H191" s="347">
        <f t="shared" si="62"/>
        <v>90419682</v>
      </c>
      <c r="I191" s="347">
        <f t="shared" si="62"/>
        <v>24586310</v>
      </c>
      <c r="J191" s="347">
        <f t="shared" si="62"/>
        <v>7311804</v>
      </c>
      <c r="K191" s="347">
        <f t="shared" si="62"/>
        <v>401085498</v>
      </c>
      <c r="L191" s="347">
        <f t="shared" si="62"/>
        <v>0</v>
      </c>
    </row>
    <row r="192" spans="1:12">
      <c r="B192" s="343"/>
      <c r="C192" s="196"/>
      <c r="D192" s="344"/>
      <c r="E192" s="196"/>
      <c r="G192" s="196"/>
      <c r="H192" s="196"/>
      <c r="I192" s="196"/>
      <c r="J192" s="344"/>
      <c r="K192" s="196"/>
      <c r="L192" s="196"/>
    </row>
    <row r="193" spans="1:12">
      <c r="A193" s="343" t="str">
        <f>co_name</f>
        <v>DUKE ENERGY KENTUCKY, INC.</v>
      </c>
      <c r="C193" s="196"/>
      <c r="D193" s="344"/>
      <c r="E193" s="196"/>
      <c r="F193" s="344"/>
      <c r="G193" s="342"/>
      <c r="H193" s="342"/>
      <c r="I193" s="196"/>
      <c r="K193" s="361" t="str">
        <f>$K$1</f>
        <v>FR-16(7)(v)-8</v>
      </c>
      <c r="L193" s="196"/>
    </row>
    <row r="194" spans="1:12">
      <c r="A194" s="343" t="str">
        <f>$A$2</f>
        <v>TOTAL CLASS ALLOCATED - GAS COST OF SERVICE</v>
      </c>
      <c r="C194" s="196"/>
      <c r="D194" s="344"/>
      <c r="E194" s="196"/>
      <c r="F194" s="344"/>
      <c r="G194" s="342"/>
      <c r="H194" s="342"/>
      <c r="I194" s="196"/>
      <c r="K194" s="361" t="str">
        <f>$K$2</f>
        <v>WITNESS RESPONSIBLE:</v>
      </c>
      <c r="L194" s="196"/>
    </row>
    <row r="195" spans="1:12">
      <c r="A195" s="343" t="str">
        <f>case_name</f>
        <v>CASE NO: 2018-00261</v>
      </c>
      <c r="C195" s="196"/>
      <c r="D195" s="344"/>
      <c r="E195" s="196"/>
      <c r="F195" s="344"/>
      <c r="G195" s="342"/>
      <c r="H195" s="342"/>
      <c r="I195" s="196"/>
      <c r="K195" s="361" t="str">
        <f>Witness</f>
        <v>JAMES E. ZIOLKOWSKI</v>
      </c>
      <c r="L195" s="196"/>
    </row>
    <row r="196" spans="1:12">
      <c r="A196" s="343" t="str">
        <f>data_filing</f>
        <v>DATA: 12 MONTH FORECASTED PERIOD</v>
      </c>
      <c r="C196" s="196"/>
      <c r="D196" s="344"/>
      <c r="E196" s="196"/>
      <c r="F196" s="344"/>
      <c r="G196" s="342"/>
      <c r="H196" s="342"/>
      <c r="I196" s="196"/>
      <c r="K196" s="361" t="str">
        <f>"PAGE "&amp;Pages2-10&amp;" OF "&amp;Pages2</f>
        <v>PAGE 5 OF 15</v>
      </c>
      <c r="L196" s="196"/>
    </row>
    <row r="197" spans="1:12">
      <c r="A197" s="343" t="str">
        <f>type</f>
        <v xml:space="preserve">TYPE OF FILING: "X" ORIGINAL   UPDATED    REVISED  </v>
      </c>
      <c r="C197" s="196"/>
      <c r="D197" s="344"/>
      <c r="E197" s="196"/>
      <c r="F197" s="344"/>
      <c r="G197" s="342"/>
      <c r="H197" s="342"/>
      <c r="I197" s="196"/>
      <c r="J197" s="344"/>
      <c r="K197" s="196"/>
      <c r="L197" s="196"/>
    </row>
    <row r="198" spans="1:12">
      <c r="B198" s="343"/>
      <c r="C198" s="196"/>
      <c r="D198" s="344"/>
      <c r="E198" s="196"/>
      <c r="F198" s="344"/>
      <c r="G198" s="196"/>
      <c r="H198" s="196"/>
      <c r="I198" s="196"/>
      <c r="J198" s="344"/>
      <c r="K198" s="196"/>
      <c r="L198" s="196"/>
    </row>
    <row r="199" spans="1:12">
      <c r="B199" s="343"/>
      <c r="C199" s="196"/>
      <c r="D199" s="344"/>
      <c r="E199" s="196"/>
      <c r="F199" s="344" t="str">
        <f>$F$7</f>
        <v>TOTAL</v>
      </c>
      <c r="G199" s="196"/>
      <c r="H199" s="196"/>
      <c r="I199" s="196"/>
      <c r="J199" s="344"/>
      <c r="K199" s="196"/>
      <c r="L199" s="196"/>
    </row>
    <row r="200" spans="1:12">
      <c r="A200" s="344" t="s">
        <v>914</v>
      </c>
      <c r="B200" s="196"/>
      <c r="C200" s="196"/>
      <c r="D200" s="344"/>
      <c r="E200" s="196"/>
      <c r="F200" s="344" t="str">
        <f>$F$8</f>
        <v>CLASS</v>
      </c>
      <c r="G200" s="354" t="s">
        <v>773</v>
      </c>
      <c r="H200" s="354" t="s">
        <v>1282</v>
      </c>
      <c r="I200" s="354" t="s">
        <v>984</v>
      </c>
      <c r="J200" s="354" t="s">
        <v>549</v>
      </c>
      <c r="K200" s="354" t="s">
        <v>229</v>
      </c>
      <c r="L200" s="344" t="s">
        <v>342</v>
      </c>
    </row>
    <row r="201" spans="1:12">
      <c r="A201" s="346" t="s">
        <v>915</v>
      </c>
      <c r="B201" s="345" t="s">
        <v>953</v>
      </c>
      <c r="C201" s="345"/>
      <c r="D201" s="346" t="s">
        <v>337</v>
      </c>
      <c r="E201" s="345"/>
      <c r="F201" s="344" t="str">
        <f>$F$9</f>
        <v>ALLOCATED</v>
      </c>
      <c r="G201" s="355" t="s">
        <v>338</v>
      </c>
      <c r="H201" s="355" t="s">
        <v>405</v>
      </c>
      <c r="I201" s="355" t="s">
        <v>1283</v>
      </c>
      <c r="J201" s="355" t="s">
        <v>550</v>
      </c>
      <c r="K201" s="355" t="s">
        <v>341</v>
      </c>
      <c r="L201" s="346" t="s">
        <v>340</v>
      </c>
    </row>
    <row r="202" spans="1:12">
      <c r="C202" s="578" t="s">
        <v>347</v>
      </c>
      <c r="D202" s="344"/>
      <c r="E202" s="196"/>
      <c r="F202" s="761"/>
      <c r="G202" s="633">
        <f>$G$10</f>
        <v>3</v>
      </c>
      <c r="H202" s="633">
        <f>$H$10</f>
        <v>4</v>
      </c>
      <c r="I202" s="633">
        <f>$I$10</f>
        <v>5</v>
      </c>
      <c r="J202" s="633">
        <f>$J$10</f>
        <v>6</v>
      </c>
    </row>
    <row r="203" spans="1:12">
      <c r="A203" s="333">
        <v>1</v>
      </c>
      <c r="B203" s="332" t="s">
        <v>26</v>
      </c>
      <c r="D203" s="344"/>
      <c r="E203" s="196"/>
      <c r="I203" s="332"/>
    </row>
    <row r="204" spans="1:12">
      <c r="A204" s="333">
        <v>2</v>
      </c>
      <c r="B204" s="332" t="s">
        <v>823</v>
      </c>
      <c r="D204" s="344"/>
      <c r="E204" s="196"/>
      <c r="I204" s="332"/>
    </row>
    <row r="205" spans="1:12">
      <c r="A205" s="333">
        <v>3</v>
      </c>
      <c r="B205" s="332" t="s">
        <v>27</v>
      </c>
      <c r="D205" s="344"/>
      <c r="E205" s="196"/>
      <c r="I205" s="332"/>
    </row>
    <row r="206" spans="1:12">
      <c r="A206" s="333">
        <v>4</v>
      </c>
      <c r="C206" s="332" t="str">
        <f>'FR-16(7)(v)-1 Functional'!C206</f>
        <v>LIBERALIZED DEPRECIATION</v>
      </c>
      <c r="D206" s="344" t="str">
        <f>'FR-16(7)(v)-1 Functional'!D206</f>
        <v>NP29</v>
      </c>
      <c r="E206" s="332" t="s">
        <v>343</v>
      </c>
      <c r="F206" s="479">
        <f>'FR-16(7)(v)-1 Functional'!F206</f>
        <v>52815985</v>
      </c>
      <c r="G206" s="349">
        <f>'FR-16(7)(v)-6 DISTR Cust Alloc'!G206+'FR-16(7)(v)-5 DISTR Dem Alloc'!G206+'FR-16(7)(v)-3 PROD Comm Alloc'!G206</f>
        <v>36708785</v>
      </c>
      <c r="H206" s="349">
        <f>'FR-16(7)(v)-6 DISTR Cust Alloc'!H206+'FR-16(7)(v)-5 DISTR Dem Alloc'!H206+'FR-16(7)(v)-3 PROD Comm Alloc'!H206</f>
        <v>11906603</v>
      </c>
      <c r="I206" s="349">
        <f>'FR-16(7)(v)-6 DISTR Cust Alloc'!I206+'FR-16(7)(v)-5 DISTR Dem Alloc'!I206+'FR-16(7)(v)-3 PROD Comm Alloc'!I206</f>
        <v>3237681</v>
      </c>
      <c r="J206" s="349">
        <f>'FR-16(7)(v)-6 DISTR Cust Alloc'!J206+'FR-16(7)(v)-5 DISTR Dem Alloc'!J206+'FR-16(7)(v)-3 PROD Comm Alloc'!J206</f>
        <v>962916</v>
      </c>
      <c r="K206" s="347">
        <f t="shared" ref="K206:K214" si="63">SUM(G206:J206)</f>
        <v>52815985</v>
      </c>
      <c r="L206" s="347">
        <f t="shared" ref="L206:L214" si="64">F206-K206</f>
        <v>0</v>
      </c>
    </row>
    <row r="207" spans="1:12">
      <c r="A207" s="333">
        <v>5</v>
      </c>
      <c r="C207" s="332" t="str">
        <f>'FR-16(7)(v)-1 Functional'!C207</f>
        <v>LEASED METERS</v>
      </c>
      <c r="D207" s="344" t="str">
        <f>'FR-16(7)(v)-1 Functional'!D207</f>
        <v>K413</v>
      </c>
      <c r="E207" s="332" t="s">
        <v>343</v>
      </c>
      <c r="F207" s="479">
        <f>'FR-16(7)(v)-1 Functional'!F207</f>
        <v>1689651</v>
      </c>
      <c r="G207" s="349">
        <f>'FR-16(7)(v)-6 DISTR Cust Alloc'!G207+'FR-16(7)(v)-5 DISTR Dem Alloc'!G207+'FR-16(7)(v)-3 PROD Comm Alloc'!G207</f>
        <v>1337799</v>
      </c>
      <c r="H207" s="349">
        <f>'FR-16(7)(v)-6 DISTR Cust Alloc'!H207+'FR-16(7)(v)-5 DISTR Dem Alloc'!H207+'FR-16(7)(v)-3 PROD Comm Alloc'!H207</f>
        <v>331594</v>
      </c>
      <c r="I207" s="349">
        <f>'FR-16(7)(v)-6 DISTR Cust Alloc'!I207+'FR-16(7)(v)-5 DISTR Dem Alloc'!I207+'FR-16(7)(v)-3 PROD Comm Alloc'!I207</f>
        <v>13635</v>
      </c>
      <c r="J207" s="349">
        <f>'FR-16(7)(v)-6 DISTR Cust Alloc'!J207+'FR-16(7)(v)-5 DISTR Dem Alloc'!J207+'FR-16(7)(v)-3 PROD Comm Alloc'!J207</f>
        <v>6623</v>
      </c>
      <c r="K207" s="347">
        <f t="shared" si="63"/>
        <v>1689651</v>
      </c>
      <c r="L207" s="347">
        <f t="shared" si="64"/>
        <v>0</v>
      </c>
    </row>
    <row r="208" spans="1:12">
      <c r="A208" s="333">
        <v>6</v>
      </c>
      <c r="C208" s="332" t="str">
        <f>'FR-16(7)(v)-1 Functional'!C208</f>
        <v>CONTRIB AID CONSTR</v>
      </c>
      <c r="D208" s="344" t="str">
        <f>'FR-16(7)(v)-1 Functional'!D208</f>
        <v>D249</v>
      </c>
      <c r="E208" s="332" t="s">
        <v>343</v>
      </c>
      <c r="F208" s="479">
        <f>'FR-16(7)(v)-1 Functional'!F208</f>
        <v>-185094</v>
      </c>
      <c r="G208" s="349">
        <f>'FR-16(7)(v)-6 DISTR Cust Alloc'!G208+'FR-16(7)(v)-5 DISTR Dem Alloc'!G208+'FR-16(7)(v)-3 PROD Comm Alloc'!G208</f>
        <v>-128400</v>
      </c>
      <c r="H208" s="349">
        <f>'FR-16(7)(v)-6 DISTR Cust Alloc'!H208+'FR-16(7)(v)-5 DISTR Dem Alloc'!H208+'FR-16(7)(v)-3 PROD Comm Alloc'!H208</f>
        <v>-41911</v>
      </c>
      <c r="I208" s="349">
        <f>'FR-16(7)(v)-6 DISTR Cust Alloc'!I208+'FR-16(7)(v)-5 DISTR Dem Alloc'!I208+'FR-16(7)(v)-3 PROD Comm Alloc'!I208</f>
        <v>-11332</v>
      </c>
      <c r="J208" s="349">
        <f>'FR-16(7)(v)-6 DISTR Cust Alloc'!J208+'FR-16(7)(v)-5 DISTR Dem Alloc'!J208+'FR-16(7)(v)-3 PROD Comm Alloc'!J208</f>
        <v>-3451</v>
      </c>
      <c r="K208" s="347">
        <f t="shared" si="63"/>
        <v>-185094</v>
      </c>
      <c r="L208" s="347">
        <f t="shared" si="64"/>
        <v>0</v>
      </c>
    </row>
    <row r="209" spans="1:12">
      <c r="A209" s="333">
        <v>7</v>
      </c>
      <c r="C209" s="332" t="str">
        <f>'FR-16(7)(v)-1 Functional'!C209</f>
        <v>CAPITALIZED INTEREST</v>
      </c>
      <c r="D209" s="344" t="str">
        <f>'FR-16(7)(v)-1 Functional'!D209</f>
        <v>NP29</v>
      </c>
      <c r="E209" s="332" t="s">
        <v>343</v>
      </c>
      <c r="F209" s="479">
        <f>'FR-16(7)(v)-1 Functional'!F209</f>
        <v>-939111</v>
      </c>
      <c r="G209" s="349">
        <f>'FR-16(7)(v)-6 DISTR Cust Alloc'!G209+'FR-16(7)(v)-5 DISTR Dem Alloc'!G209+'FR-16(7)(v)-3 PROD Comm Alloc'!G209</f>
        <v>-652712</v>
      </c>
      <c r="H209" s="349">
        <f>'FR-16(7)(v)-6 DISTR Cust Alloc'!H209+'FR-16(7)(v)-5 DISTR Dem Alloc'!H209+'FR-16(7)(v)-3 PROD Comm Alloc'!H209</f>
        <v>-211709</v>
      </c>
      <c r="I209" s="349">
        <f>'FR-16(7)(v)-6 DISTR Cust Alloc'!I209+'FR-16(7)(v)-5 DISTR Dem Alloc'!I209+'FR-16(7)(v)-3 PROD Comm Alloc'!I209</f>
        <v>-57568</v>
      </c>
      <c r="J209" s="349">
        <f>'FR-16(7)(v)-6 DISTR Cust Alloc'!J209+'FR-16(7)(v)-5 DISTR Dem Alloc'!J209+'FR-16(7)(v)-3 PROD Comm Alloc'!J209</f>
        <v>-17122</v>
      </c>
      <c r="K209" s="347">
        <f t="shared" si="63"/>
        <v>-939111</v>
      </c>
      <c r="L209" s="347">
        <f t="shared" si="64"/>
        <v>0</v>
      </c>
    </row>
    <row r="210" spans="1:12">
      <c r="A210" s="333">
        <v>8</v>
      </c>
      <c r="C210" s="332" t="str">
        <f>'FR-16(7)(v)-1 Functional'!C210</f>
        <v>AFUDC IN DEBT</v>
      </c>
      <c r="D210" s="344" t="str">
        <f>'FR-16(7)(v)-1 Functional'!D210</f>
        <v>NP29</v>
      </c>
      <c r="E210" s="332" t="s">
        <v>343</v>
      </c>
      <c r="F210" s="479">
        <f>'FR-16(7)(v)-1 Functional'!F210</f>
        <v>253203</v>
      </c>
      <c r="G210" s="349">
        <f>'FR-16(7)(v)-6 DISTR Cust Alloc'!G210+'FR-16(7)(v)-5 DISTR Dem Alloc'!G210+'FR-16(7)(v)-3 PROD Comm Alloc'!G210</f>
        <v>175983</v>
      </c>
      <c r="H210" s="349">
        <f>'FR-16(7)(v)-6 DISTR Cust Alloc'!H210+'FR-16(7)(v)-5 DISTR Dem Alloc'!H210+'FR-16(7)(v)-3 PROD Comm Alloc'!H210</f>
        <v>57081</v>
      </c>
      <c r="I210" s="349">
        <f>'FR-16(7)(v)-6 DISTR Cust Alloc'!I210+'FR-16(7)(v)-5 DISTR Dem Alloc'!I210+'FR-16(7)(v)-3 PROD Comm Alloc'!I210</f>
        <v>15522</v>
      </c>
      <c r="J210" s="349">
        <f>'FR-16(7)(v)-6 DISTR Cust Alloc'!J210+'FR-16(7)(v)-5 DISTR Dem Alloc'!J210+'FR-16(7)(v)-3 PROD Comm Alloc'!J210</f>
        <v>4617</v>
      </c>
      <c r="K210" s="347">
        <f t="shared" si="63"/>
        <v>253203</v>
      </c>
      <c r="L210" s="347">
        <f t="shared" si="64"/>
        <v>0</v>
      </c>
    </row>
    <row r="211" spans="1:12">
      <c r="A211" s="333">
        <v>9</v>
      </c>
      <c r="C211" s="332" t="str">
        <f>'FR-16(7)(v)-1 Functional'!C211</f>
        <v>CWIP DIFFERENCES</v>
      </c>
      <c r="D211" s="344" t="str">
        <f>'FR-16(7)(v)-1 Functional'!D211</f>
        <v>NP29</v>
      </c>
      <c r="E211" s="332" t="s">
        <v>343</v>
      </c>
      <c r="F211" s="479">
        <f>'FR-16(7)(v)-1 Functional'!F211</f>
        <v>0</v>
      </c>
      <c r="G211" s="349">
        <f>'FR-16(7)(v)-6 DISTR Cust Alloc'!G211+'FR-16(7)(v)-5 DISTR Dem Alloc'!G211+'FR-16(7)(v)-3 PROD Comm Alloc'!G211</f>
        <v>0</v>
      </c>
      <c r="H211" s="349">
        <f>'FR-16(7)(v)-6 DISTR Cust Alloc'!H211+'FR-16(7)(v)-5 DISTR Dem Alloc'!H211+'FR-16(7)(v)-3 PROD Comm Alloc'!H211</f>
        <v>0</v>
      </c>
      <c r="I211" s="349">
        <f>'FR-16(7)(v)-6 DISTR Cust Alloc'!I211+'FR-16(7)(v)-5 DISTR Dem Alloc'!I211+'FR-16(7)(v)-3 PROD Comm Alloc'!I211</f>
        <v>0</v>
      </c>
      <c r="J211" s="349">
        <f>'FR-16(7)(v)-6 DISTR Cust Alloc'!J211+'FR-16(7)(v)-5 DISTR Dem Alloc'!J211+'FR-16(7)(v)-3 PROD Comm Alloc'!J211</f>
        <v>0</v>
      </c>
      <c r="K211" s="347">
        <f t="shared" si="63"/>
        <v>0</v>
      </c>
      <c r="L211" s="347">
        <f t="shared" si="64"/>
        <v>0</v>
      </c>
    </row>
    <row r="212" spans="1:12">
      <c r="A212" s="333">
        <v>10</v>
      </c>
      <c r="C212" s="332" t="str">
        <f>'FR-16(7)(v)-1 Functional'!C212</f>
        <v>NON-CASH OVERHEADS</v>
      </c>
      <c r="D212" s="344" t="str">
        <f>'FR-16(7)(v)-1 Functional'!D212</f>
        <v>AG39</v>
      </c>
      <c r="E212" s="332" t="s">
        <v>343</v>
      </c>
      <c r="F212" s="479">
        <f>'FR-16(7)(v)-1 Functional'!F212</f>
        <v>-536983</v>
      </c>
      <c r="G212" s="349">
        <f>'FR-16(7)(v)-6 DISTR Cust Alloc'!G212+'FR-16(7)(v)-5 DISTR Dem Alloc'!G212+'FR-16(7)(v)-3 PROD Comm Alloc'!G212</f>
        <v>-393104</v>
      </c>
      <c r="H212" s="349">
        <f>'FR-16(7)(v)-6 DISTR Cust Alloc'!H212+'FR-16(7)(v)-5 DISTR Dem Alloc'!H212+'FR-16(7)(v)-3 PROD Comm Alloc'!H212</f>
        <v>-106369</v>
      </c>
      <c r="I212" s="349">
        <f>'FR-16(7)(v)-6 DISTR Cust Alloc'!I212+'FR-16(7)(v)-5 DISTR Dem Alloc'!I212+'FR-16(7)(v)-3 PROD Comm Alloc'!I212</f>
        <v>-31983</v>
      </c>
      <c r="J212" s="349">
        <f>'FR-16(7)(v)-6 DISTR Cust Alloc'!J212+'FR-16(7)(v)-5 DISTR Dem Alloc'!J212+'FR-16(7)(v)-3 PROD Comm Alloc'!J212</f>
        <v>-5527</v>
      </c>
      <c r="K212" s="347">
        <f t="shared" si="63"/>
        <v>-536983</v>
      </c>
      <c r="L212" s="347">
        <f t="shared" si="64"/>
        <v>0</v>
      </c>
    </row>
    <row r="213" spans="1:12">
      <c r="A213" s="333">
        <v>11</v>
      </c>
      <c r="C213" s="332" t="str">
        <f>'FR-16(7)(v)-1 Functional'!C213</f>
        <v>PLANT FAS 109</v>
      </c>
      <c r="D213" s="344" t="str">
        <f>'FR-16(7)(v)-1 Functional'!D213</f>
        <v>NP29</v>
      </c>
      <c r="E213" s="332" t="s">
        <v>343</v>
      </c>
      <c r="F213" s="479">
        <f>'FR-16(7)(v)-1 Functional'!F213</f>
        <v>0</v>
      </c>
      <c r="G213" s="349">
        <f>'FR-16(7)(v)-6 DISTR Cust Alloc'!G213+'FR-16(7)(v)-5 DISTR Dem Alloc'!G213+'FR-16(7)(v)-3 PROD Comm Alloc'!G213</f>
        <v>0</v>
      </c>
      <c r="H213" s="349">
        <f>'FR-16(7)(v)-6 DISTR Cust Alloc'!H213+'FR-16(7)(v)-5 DISTR Dem Alloc'!H213+'FR-16(7)(v)-3 PROD Comm Alloc'!H213</f>
        <v>0</v>
      </c>
      <c r="I213" s="349">
        <f>'FR-16(7)(v)-6 DISTR Cust Alloc'!I213+'FR-16(7)(v)-5 DISTR Dem Alloc'!I213+'FR-16(7)(v)-3 PROD Comm Alloc'!I213</f>
        <v>0</v>
      </c>
      <c r="J213" s="349">
        <f>'FR-16(7)(v)-6 DISTR Cust Alloc'!J213+'FR-16(7)(v)-5 DISTR Dem Alloc'!J213+'FR-16(7)(v)-3 PROD Comm Alloc'!J213</f>
        <v>0</v>
      </c>
      <c r="K213" s="347">
        <f t="shared" si="63"/>
        <v>0</v>
      </c>
      <c r="L213" s="347">
        <f t="shared" si="64"/>
        <v>0</v>
      </c>
    </row>
    <row r="214" spans="1:12">
      <c r="A214" s="333">
        <v>12</v>
      </c>
      <c r="C214" s="365" t="str">
        <f>'FR-16(7)(v)-1 Functional'!C214</f>
        <v>MISCELLANEOUS</v>
      </c>
      <c r="D214" s="344" t="str">
        <f>'FR-16(7)(v)-1 Functional'!D214</f>
        <v>AG39</v>
      </c>
      <c r="F214" s="479">
        <f>'FR-16(7)(v)-1 Functional'!F214</f>
        <v>9455126.8575342465</v>
      </c>
      <c r="G214" s="349">
        <f>'FR-16(7)(v)-6 DISTR Cust Alloc'!G214+'FR-16(7)(v)-5 DISTR Dem Alloc'!G214+'FR-16(7)(v)-3 PROD Comm Alloc'!G214</f>
        <v>6921708</v>
      </c>
      <c r="H214" s="349">
        <f>'FR-16(7)(v)-6 DISTR Cust Alloc'!H214+'FR-16(7)(v)-5 DISTR Dem Alloc'!H214+'FR-16(7)(v)-3 PROD Comm Alloc'!H214</f>
        <v>1872941</v>
      </c>
      <c r="I214" s="349">
        <f>'FR-16(7)(v)-6 DISTR Cust Alloc'!I214+'FR-16(7)(v)-5 DISTR Dem Alloc'!I214+'FR-16(7)(v)-3 PROD Comm Alloc'!I214</f>
        <v>563149</v>
      </c>
      <c r="J214" s="349">
        <f>'FR-16(7)(v)-6 DISTR Cust Alloc'!J214+'FR-16(7)(v)-5 DISTR Dem Alloc'!J214+'FR-16(7)(v)-3 PROD Comm Alloc'!J214</f>
        <v>97329</v>
      </c>
      <c r="K214" s="347">
        <f t="shared" si="63"/>
        <v>9455127</v>
      </c>
      <c r="L214" s="347">
        <f t="shared" si="64"/>
        <v>-0.14246575348079205</v>
      </c>
    </row>
    <row r="215" spans="1:12">
      <c r="A215" s="333">
        <v>13</v>
      </c>
      <c r="C215" s="339" t="str">
        <f>'FR-16(7)(v)-1 Functional'!C215</f>
        <v xml:space="preserve">  TOTAL ACCOUNT 282</v>
      </c>
      <c r="D215" s="344"/>
      <c r="F215" s="348">
        <f t="shared" ref="F215:L215" si="65">SUM(F206:F214)</f>
        <v>62552777.857534245</v>
      </c>
      <c r="G215" s="348">
        <f t="shared" si="65"/>
        <v>43970059</v>
      </c>
      <c r="H215" s="348">
        <f t="shared" si="65"/>
        <v>13808230</v>
      </c>
      <c r="I215" s="348">
        <f t="shared" si="65"/>
        <v>3729104</v>
      </c>
      <c r="J215" s="348">
        <f t="shared" si="65"/>
        <v>1045385</v>
      </c>
      <c r="K215" s="348">
        <f t="shared" si="65"/>
        <v>62552778</v>
      </c>
      <c r="L215" s="348">
        <f t="shared" si="65"/>
        <v>-0.14246575348079205</v>
      </c>
    </row>
    <row r="216" spans="1:12">
      <c r="A216" s="333">
        <v>14</v>
      </c>
      <c r="D216" s="344"/>
      <c r="E216" s="196"/>
      <c r="I216" s="332"/>
    </row>
    <row r="217" spans="1:12">
      <c r="A217" s="333">
        <v>15</v>
      </c>
      <c r="B217" s="332" t="s">
        <v>28</v>
      </c>
      <c r="D217" s="344"/>
      <c r="E217" s="196"/>
      <c r="I217" s="332"/>
    </row>
    <row r="218" spans="1:12">
      <c r="A218" s="333">
        <v>16</v>
      </c>
      <c r="C218" s="332" t="str">
        <f>'FR-16(7)(v)-1 Functional'!C218</f>
        <v>BLANK</v>
      </c>
      <c r="D218" s="344" t="str">
        <f>'FR-16(7)(v)-1 Functional'!D218</f>
        <v>K413</v>
      </c>
      <c r="F218" s="479">
        <f>'FR-16(7)(v)-1 Functional'!F218</f>
        <v>0</v>
      </c>
      <c r="G218" s="349">
        <f>'FR-16(7)(v)-6 DISTR Cust Alloc'!G218+'FR-16(7)(v)-5 DISTR Dem Alloc'!G218+'FR-16(7)(v)-3 PROD Comm Alloc'!G218</f>
        <v>0</v>
      </c>
      <c r="H218" s="349">
        <f>'FR-16(7)(v)-6 DISTR Cust Alloc'!H218+'FR-16(7)(v)-5 DISTR Dem Alloc'!H218+'FR-16(7)(v)-3 PROD Comm Alloc'!H218</f>
        <v>0</v>
      </c>
      <c r="I218" s="349">
        <f>'FR-16(7)(v)-6 DISTR Cust Alloc'!I218+'FR-16(7)(v)-5 DISTR Dem Alloc'!I218+'FR-16(7)(v)-3 PROD Comm Alloc'!I218</f>
        <v>0</v>
      </c>
      <c r="J218" s="349">
        <f>'FR-16(7)(v)-6 DISTR Cust Alloc'!J218+'FR-16(7)(v)-5 DISTR Dem Alloc'!J218+'FR-16(7)(v)-3 PROD Comm Alloc'!J218</f>
        <v>0</v>
      </c>
      <c r="K218" s="347">
        <f t="shared" ref="K218:K228" si="66">SUM(G218:J218)</f>
        <v>0</v>
      </c>
      <c r="L218" s="347">
        <f t="shared" ref="L218:L228" si="67">F218-K218</f>
        <v>0</v>
      </c>
    </row>
    <row r="219" spans="1:12">
      <c r="A219" s="333">
        <v>17</v>
      </c>
      <c r="C219" s="332" t="str">
        <f>'FR-16(7)(v)-1 Functional'!C219</f>
        <v>BLANK</v>
      </c>
      <c r="D219" s="344" t="str">
        <f>'FR-16(7)(v)-1 Functional'!D219</f>
        <v>K413</v>
      </c>
      <c r="F219" s="479">
        <f>'FR-16(7)(v)-1 Functional'!F219</f>
        <v>0</v>
      </c>
      <c r="G219" s="349">
        <f>'FR-16(7)(v)-6 DISTR Cust Alloc'!G219+'FR-16(7)(v)-5 DISTR Dem Alloc'!G219+'FR-16(7)(v)-3 PROD Comm Alloc'!G219</f>
        <v>0</v>
      </c>
      <c r="H219" s="349">
        <f>'FR-16(7)(v)-6 DISTR Cust Alloc'!H219+'FR-16(7)(v)-5 DISTR Dem Alloc'!H219+'FR-16(7)(v)-3 PROD Comm Alloc'!H219</f>
        <v>0</v>
      </c>
      <c r="I219" s="349">
        <f>'FR-16(7)(v)-6 DISTR Cust Alloc'!I219+'FR-16(7)(v)-5 DISTR Dem Alloc'!I219+'FR-16(7)(v)-3 PROD Comm Alloc'!I219</f>
        <v>0</v>
      </c>
      <c r="J219" s="349">
        <f>'FR-16(7)(v)-6 DISTR Cust Alloc'!J219+'FR-16(7)(v)-5 DISTR Dem Alloc'!J219+'FR-16(7)(v)-3 PROD Comm Alloc'!J219</f>
        <v>0</v>
      </c>
      <c r="K219" s="347">
        <f t="shared" si="66"/>
        <v>0</v>
      </c>
      <c r="L219" s="347">
        <f t="shared" si="67"/>
        <v>0</v>
      </c>
    </row>
    <row r="220" spans="1:12">
      <c r="A220" s="333">
        <v>18</v>
      </c>
      <c r="C220" s="332" t="str">
        <f>'FR-16(7)(v)-1 Functional'!C220</f>
        <v>UNRECOVERED PURCHASED GAS COST</v>
      </c>
      <c r="D220" s="344" t="str">
        <f>'FR-16(7)(v)-1 Functional'!D220</f>
        <v>AG39</v>
      </c>
      <c r="F220" s="479">
        <f>'FR-16(7)(v)-1 Functional'!F220</f>
        <v>20028</v>
      </c>
      <c r="G220" s="349">
        <f>'FR-16(7)(v)-6 DISTR Cust Alloc'!G220+'FR-16(7)(v)-5 DISTR Dem Alloc'!G220+'FR-16(7)(v)-3 PROD Comm Alloc'!G220</f>
        <v>14661</v>
      </c>
      <c r="H220" s="349">
        <f>'FR-16(7)(v)-6 DISTR Cust Alloc'!H220+'FR-16(7)(v)-5 DISTR Dem Alloc'!H220+'FR-16(7)(v)-3 PROD Comm Alloc'!H220</f>
        <v>3968</v>
      </c>
      <c r="I220" s="349">
        <f>'FR-16(7)(v)-6 DISTR Cust Alloc'!I220+'FR-16(7)(v)-5 DISTR Dem Alloc'!I220+'FR-16(7)(v)-3 PROD Comm Alloc'!I220</f>
        <v>1192</v>
      </c>
      <c r="J220" s="349">
        <f>'FR-16(7)(v)-6 DISTR Cust Alloc'!J220+'FR-16(7)(v)-5 DISTR Dem Alloc'!J220+'FR-16(7)(v)-3 PROD Comm Alloc'!J220</f>
        <v>207</v>
      </c>
      <c r="K220" s="347">
        <f t="shared" si="66"/>
        <v>20028</v>
      </c>
      <c r="L220" s="347">
        <f t="shared" si="67"/>
        <v>0</v>
      </c>
    </row>
    <row r="221" spans="1:12">
      <c r="A221" s="333">
        <v>19</v>
      </c>
      <c r="C221" s="332" t="str">
        <f>'FR-16(7)(v)-1 Functional'!C221</f>
        <v>ENVIRONMENTAL RESERVE</v>
      </c>
      <c r="D221" s="344" t="str">
        <f>'FR-16(7)(v)-1 Functional'!D221</f>
        <v>NP29</v>
      </c>
      <c r="F221" s="479">
        <f>'FR-16(7)(v)-1 Functional'!F221</f>
        <v>0</v>
      </c>
      <c r="G221" s="349">
        <f>'FR-16(7)(v)-6 DISTR Cust Alloc'!G221+'FR-16(7)(v)-5 DISTR Dem Alloc'!G221+'FR-16(7)(v)-3 PROD Comm Alloc'!G221</f>
        <v>0</v>
      </c>
      <c r="H221" s="349">
        <f>'FR-16(7)(v)-6 DISTR Cust Alloc'!H221+'FR-16(7)(v)-5 DISTR Dem Alloc'!H221+'FR-16(7)(v)-3 PROD Comm Alloc'!H221</f>
        <v>0</v>
      </c>
      <c r="I221" s="349">
        <f>'FR-16(7)(v)-6 DISTR Cust Alloc'!I221+'FR-16(7)(v)-5 DISTR Dem Alloc'!I221+'FR-16(7)(v)-3 PROD Comm Alloc'!I221</f>
        <v>0</v>
      </c>
      <c r="J221" s="349">
        <f>'FR-16(7)(v)-6 DISTR Cust Alloc'!J221+'FR-16(7)(v)-5 DISTR Dem Alloc'!J221+'FR-16(7)(v)-3 PROD Comm Alloc'!J221</f>
        <v>0</v>
      </c>
      <c r="K221" s="347">
        <f t="shared" si="66"/>
        <v>0</v>
      </c>
      <c r="L221" s="347">
        <f t="shared" si="67"/>
        <v>0</v>
      </c>
    </row>
    <row r="222" spans="1:12">
      <c r="A222" s="333">
        <v>20</v>
      </c>
      <c r="C222" s="332" t="str">
        <f>'FR-16(7)(v)-1 Functional'!C222</f>
        <v>POST IN-SERVICE CARRYING COSTS</v>
      </c>
      <c r="D222" s="344" t="str">
        <f>'FR-16(7)(v)-1 Functional'!D222</f>
        <v>K667</v>
      </c>
      <c r="F222" s="479">
        <f>'FR-16(7)(v)-1 Functional'!F222</f>
        <v>0</v>
      </c>
      <c r="G222" s="349">
        <f>'FR-16(7)(v)-6 DISTR Cust Alloc'!G222+'FR-16(7)(v)-5 DISTR Dem Alloc'!G222+'FR-16(7)(v)-3 PROD Comm Alloc'!G222</f>
        <v>0</v>
      </c>
      <c r="H222" s="349">
        <f>'FR-16(7)(v)-6 DISTR Cust Alloc'!H222+'FR-16(7)(v)-5 DISTR Dem Alloc'!H222+'FR-16(7)(v)-3 PROD Comm Alloc'!H222</f>
        <v>0</v>
      </c>
      <c r="I222" s="349">
        <f>'FR-16(7)(v)-6 DISTR Cust Alloc'!I222+'FR-16(7)(v)-5 DISTR Dem Alloc'!I222+'FR-16(7)(v)-3 PROD Comm Alloc'!I222</f>
        <v>0</v>
      </c>
      <c r="J222" s="349">
        <f>'FR-16(7)(v)-6 DISTR Cust Alloc'!J222+'FR-16(7)(v)-5 DISTR Dem Alloc'!J222+'FR-16(7)(v)-3 PROD Comm Alloc'!J222</f>
        <v>0</v>
      </c>
      <c r="K222" s="347">
        <f t="shared" si="66"/>
        <v>0</v>
      </c>
      <c r="L222" s="347">
        <f t="shared" si="67"/>
        <v>0</v>
      </c>
    </row>
    <row r="223" spans="1:12">
      <c r="A223" s="333">
        <v>21</v>
      </c>
      <c r="C223" s="332" t="str">
        <f>'FR-16(7)(v)-1 Functional'!C223</f>
        <v>ARO CUMULATIVE EFFECT</v>
      </c>
      <c r="D223" s="344" t="str">
        <f>'FR-16(7)(v)-1 Functional'!D223</f>
        <v>NP29</v>
      </c>
      <c r="F223" s="479">
        <f>'FR-16(7)(v)-1 Functional'!F223</f>
        <v>0</v>
      </c>
      <c r="G223" s="349">
        <f>'FR-16(7)(v)-6 DISTR Cust Alloc'!G223+'FR-16(7)(v)-5 DISTR Dem Alloc'!G223+'FR-16(7)(v)-3 PROD Comm Alloc'!G223</f>
        <v>0</v>
      </c>
      <c r="H223" s="349">
        <f>'FR-16(7)(v)-6 DISTR Cust Alloc'!H223+'FR-16(7)(v)-5 DISTR Dem Alloc'!H223+'FR-16(7)(v)-3 PROD Comm Alloc'!H223</f>
        <v>0</v>
      </c>
      <c r="I223" s="349">
        <f>'FR-16(7)(v)-6 DISTR Cust Alloc'!I223+'FR-16(7)(v)-5 DISTR Dem Alloc'!I223+'FR-16(7)(v)-3 PROD Comm Alloc'!I223</f>
        <v>0</v>
      </c>
      <c r="J223" s="349">
        <f>'FR-16(7)(v)-6 DISTR Cust Alloc'!J223+'FR-16(7)(v)-5 DISTR Dem Alloc'!J223+'FR-16(7)(v)-3 PROD Comm Alloc'!J223</f>
        <v>0</v>
      </c>
      <c r="K223" s="347">
        <f t="shared" si="66"/>
        <v>0</v>
      </c>
      <c r="L223" s="347">
        <f t="shared" si="67"/>
        <v>0</v>
      </c>
    </row>
    <row r="224" spans="1:12">
      <c r="A224" s="333">
        <v>22</v>
      </c>
      <c r="C224" s="332" t="str">
        <f>'FR-16(7)(v)-1 Functional'!C224</f>
        <v>LOSS ON REACQUIRED DEBT</v>
      </c>
      <c r="D224" s="344" t="str">
        <f>'FR-16(7)(v)-1 Functional'!D224</f>
        <v>NP29</v>
      </c>
      <c r="F224" s="479">
        <f>'FR-16(7)(v)-1 Functional'!F224</f>
        <v>17095</v>
      </c>
      <c r="G224" s="349">
        <f>'FR-16(7)(v)-6 DISTR Cust Alloc'!G224+'FR-16(7)(v)-5 DISTR Dem Alloc'!G224+'FR-16(7)(v)-3 PROD Comm Alloc'!G224</f>
        <v>11881</v>
      </c>
      <c r="H224" s="349">
        <f>'FR-16(7)(v)-6 DISTR Cust Alloc'!H224+'FR-16(7)(v)-5 DISTR Dem Alloc'!H224+'FR-16(7)(v)-3 PROD Comm Alloc'!H224</f>
        <v>3854</v>
      </c>
      <c r="I224" s="349">
        <f>'FR-16(7)(v)-6 DISTR Cust Alloc'!I224+'FR-16(7)(v)-5 DISTR Dem Alloc'!I224+'FR-16(7)(v)-3 PROD Comm Alloc'!I224</f>
        <v>1048</v>
      </c>
      <c r="J224" s="349">
        <f>'FR-16(7)(v)-6 DISTR Cust Alloc'!J224+'FR-16(7)(v)-5 DISTR Dem Alloc'!J224+'FR-16(7)(v)-3 PROD Comm Alloc'!J224</f>
        <v>312</v>
      </c>
      <c r="K224" s="347">
        <f t="shared" si="66"/>
        <v>17095</v>
      </c>
      <c r="L224" s="347">
        <f t="shared" si="67"/>
        <v>0</v>
      </c>
    </row>
    <row r="225" spans="1:12">
      <c r="A225" s="333">
        <v>23</v>
      </c>
      <c r="C225" s="332" t="str">
        <f>'FR-16(7)(v)-1 Functional'!C225</f>
        <v>VACATION PAY ACCRUAL</v>
      </c>
      <c r="D225" s="344" t="str">
        <f>'FR-16(7)(v)-1 Functional'!D225</f>
        <v>AG39</v>
      </c>
      <c r="F225" s="479">
        <f>'FR-16(7)(v)-1 Functional'!F225</f>
        <v>91771</v>
      </c>
      <c r="G225" s="349">
        <f>'FR-16(7)(v)-6 DISTR Cust Alloc'!G225+'FR-16(7)(v)-5 DISTR Dem Alloc'!G225+'FR-16(7)(v)-3 PROD Comm Alloc'!G225</f>
        <v>67183</v>
      </c>
      <c r="H225" s="349">
        <f>'FR-16(7)(v)-6 DISTR Cust Alloc'!H225+'FR-16(7)(v)-5 DISTR Dem Alloc'!H225+'FR-16(7)(v)-3 PROD Comm Alloc'!H225</f>
        <v>18179</v>
      </c>
      <c r="I225" s="349">
        <f>'FR-16(7)(v)-6 DISTR Cust Alloc'!I225+'FR-16(7)(v)-5 DISTR Dem Alloc'!I225+'FR-16(7)(v)-3 PROD Comm Alloc'!I225</f>
        <v>5465</v>
      </c>
      <c r="J225" s="349">
        <f>'FR-16(7)(v)-6 DISTR Cust Alloc'!J225+'FR-16(7)(v)-5 DISTR Dem Alloc'!J225+'FR-16(7)(v)-3 PROD Comm Alloc'!J225</f>
        <v>944</v>
      </c>
      <c r="K225" s="347">
        <f t="shared" si="66"/>
        <v>91771</v>
      </c>
      <c r="L225" s="347">
        <f t="shared" si="67"/>
        <v>0</v>
      </c>
    </row>
    <row r="226" spans="1:12">
      <c r="A226" s="333">
        <v>24</v>
      </c>
      <c r="C226" s="618" t="str">
        <f>'FR-16(7)(v)-1 Functional'!C226</f>
        <v>RATE CASE EXPENSE AMORT</v>
      </c>
      <c r="D226" s="344" t="str">
        <f>'FR-16(7)(v)-1 Functional'!D226</f>
        <v>AG39</v>
      </c>
      <c r="F226" s="479">
        <f>'FR-16(7)(v)-1 Functional'!F226</f>
        <v>-25088</v>
      </c>
      <c r="G226" s="349">
        <f>'FR-16(7)(v)-6 DISTR Cust Alloc'!G226+'FR-16(7)(v)-5 DISTR Dem Alloc'!G226+'FR-16(7)(v)-3 PROD Comm Alloc'!G226</f>
        <v>-18366</v>
      </c>
      <c r="H226" s="349">
        <f>'FR-16(7)(v)-6 DISTR Cust Alloc'!H226+'FR-16(7)(v)-5 DISTR Dem Alloc'!H226+'FR-16(7)(v)-3 PROD Comm Alloc'!H226</f>
        <v>-4969</v>
      </c>
      <c r="I226" s="349">
        <f>'FR-16(7)(v)-6 DISTR Cust Alloc'!I226+'FR-16(7)(v)-5 DISTR Dem Alloc'!I226+'FR-16(7)(v)-3 PROD Comm Alloc'!I226</f>
        <v>-1495</v>
      </c>
      <c r="J226" s="349">
        <f>'FR-16(7)(v)-6 DISTR Cust Alloc'!J226+'FR-16(7)(v)-5 DISTR Dem Alloc'!J226+'FR-16(7)(v)-3 PROD Comm Alloc'!J226</f>
        <v>-258</v>
      </c>
      <c r="K226" s="347">
        <f>SUM(G226:J226)</f>
        <v>-25088</v>
      </c>
      <c r="L226" s="347">
        <f t="shared" si="67"/>
        <v>0</v>
      </c>
    </row>
    <row r="227" spans="1:12">
      <c r="A227" s="333">
        <v>25</v>
      </c>
      <c r="C227" s="332" t="str">
        <f>'FR-16(7)(v)-1 Functional'!C227</f>
        <v>PENSION</v>
      </c>
      <c r="D227" s="344" t="str">
        <f>'FR-16(7)(v)-1 Functional'!D227</f>
        <v>AG39</v>
      </c>
      <c r="F227" s="479">
        <f>'FR-16(7)(v)-1 Functional'!F227</f>
        <v>1603339</v>
      </c>
      <c r="G227" s="349">
        <f>'FR-16(7)(v)-6 DISTR Cust Alloc'!G227+'FR-16(7)(v)-5 DISTR Dem Alloc'!G227+'FR-16(7)(v)-3 PROD Comm Alloc'!G227</f>
        <v>1173738</v>
      </c>
      <c r="H227" s="349">
        <f>'FR-16(7)(v)-6 DISTR Cust Alloc'!H227+'FR-16(7)(v)-5 DISTR Dem Alloc'!H227+'FR-16(7)(v)-3 PROD Comm Alloc'!H227</f>
        <v>317601</v>
      </c>
      <c r="I227" s="349">
        <f>'FR-16(7)(v)-6 DISTR Cust Alloc'!I227+'FR-16(7)(v)-5 DISTR Dem Alloc'!I227+'FR-16(7)(v)-3 PROD Comm Alloc'!I227</f>
        <v>95495</v>
      </c>
      <c r="J227" s="349">
        <f>'FR-16(7)(v)-6 DISTR Cust Alloc'!J227+'FR-16(7)(v)-5 DISTR Dem Alloc'!J227+'FR-16(7)(v)-3 PROD Comm Alloc'!J227</f>
        <v>16505</v>
      </c>
      <c r="K227" s="347">
        <f>SUM(G227:J227)</f>
        <v>1603339</v>
      </c>
      <c r="L227" s="347">
        <f t="shared" si="67"/>
        <v>0</v>
      </c>
    </row>
    <row r="228" spans="1:12">
      <c r="A228" s="333">
        <v>26</v>
      </c>
      <c r="C228" s="365" t="str">
        <f>'FR-16(7)(v)-1 Functional'!C228</f>
        <v>MISCELLANEOUS</v>
      </c>
      <c r="D228" s="344" t="str">
        <f>'FR-16(7)(v)-1 Functional'!D228</f>
        <v>K406</v>
      </c>
      <c r="F228" s="479">
        <f>'FR-16(7)(v)-1 Functional'!F228</f>
        <v>722522</v>
      </c>
      <c r="G228" s="349">
        <f>'FR-16(7)(v)-6 DISTR Cust Alloc'!G228+'FR-16(7)(v)-5 DISTR Dem Alloc'!G228+'FR-16(7)(v)-3 PROD Comm Alloc'!G228</f>
        <v>670703</v>
      </c>
      <c r="H228" s="349">
        <f>'FR-16(7)(v)-6 DISTR Cust Alloc'!H228+'FR-16(7)(v)-5 DISTR Dem Alloc'!H228+'FR-16(7)(v)-3 PROD Comm Alloc'!H228</f>
        <v>50959</v>
      </c>
      <c r="I228" s="349">
        <f>'FR-16(7)(v)-6 DISTR Cust Alloc'!I228+'FR-16(7)(v)-5 DISTR Dem Alloc'!I228+'FR-16(7)(v)-3 PROD Comm Alloc'!I228</f>
        <v>701</v>
      </c>
      <c r="J228" s="349">
        <f>'FR-16(7)(v)-6 DISTR Cust Alloc'!J228+'FR-16(7)(v)-5 DISTR Dem Alloc'!J228+'FR-16(7)(v)-3 PROD Comm Alloc'!J228</f>
        <v>159</v>
      </c>
      <c r="K228" s="347">
        <f t="shared" si="66"/>
        <v>722522</v>
      </c>
      <c r="L228" s="347">
        <f t="shared" si="67"/>
        <v>0</v>
      </c>
    </row>
    <row r="229" spans="1:12">
      <c r="A229" s="333">
        <v>27</v>
      </c>
      <c r="C229" s="339" t="str">
        <f>'FR-16(7)(v)-1 Functional'!C229</f>
        <v xml:space="preserve">  TOTAL ACCOUNT 283</v>
      </c>
      <c r="D229" s="344"/>
      <c r="F229" s="348">
        <f t="shared" ref="F229:L229" si="68">SUM(F217:F228)</f>
        <v>2429667</v>
      </c>
      <c r="G229" s="348">
        <f t="shared" si="68"/>
        <v>1919800</v>
      </c>
      <c r="H229" s="348">
        <f t="shared" si="68"/>
        <v>389592</v>
      </c>
      <c r="I229" s="348">
        <f t="shared" si="68"/>
        <v>102406</v>
      </c>
      <c r="J229" s="348">
        <f t="shared" si="68"/>
        <v>17869</v>
      </c>
      <c r="K229" s="348">
        <f t="shared" si="68"/>
        <v>2429667</v>
      </c>
      <c r="L229" s="348">
        <f t="shared" si="68"/>
        <v>0</v>
      </c>
    </row>
    <row r="230" spans="1:12">
      <c r="A230" s="333">
        <v>28</v>
      </c>
      <c r="D230" s="344"/>
      <c r="E230" s="196"/>
      <c r="I230" s="332"/>
    </row>
    <row r="231" spans="1:12">
      <c r="A231" s="333">
        <v>29</v>
      </c>
      <c r="B231" s="353" t="s">
        <v>824</v>
      </c>
      <c r="C231" s="353"/>
      <c r="D231" s="344"/>
      <c r="E231" s="196"/>
      <c r="I231" s="332"/>
    </row>
    <row r="232" spans="1:12">
      <c r="A232" s="333">
        <v>30</v>
      </c>
      <c r="C232" s="332" t="str">
        <f>'FR-16(7)(v)-1 Functional'!C232</f>
        <v>CUSTOMER ADVANCES FOR CONSTRUCTION</v>
      </c>
      <c r="D232" s="344" t="s">
        <v>312</v>
      </c>
      <c r="E232" s="196"/>
      <c r="F232" s="479">
        <f>'FR-16(7)(v)-1 Functional'!F232</f>
        <v>1579329</v>
      </c>
      <c r="G232" s="349">
        <f>'FR-16(7)(v)-6 DISTR Cust Alloc'!G232+'FR-16(7)(v)-5 DISTR Dem Alloc'!G232+'FR-16(7)(v)-3 PROD Comm Alloc'!G232</f>
        <v>1095579</v>
      </c>
      <c r="H232" s="349">
        <f>'FR-16(7)(v)-6 DISTR Cust Alloc'!H232+'FR-16(7)(v)-5 DISTR Dem Alloc'!H232+'FR-16(7)(v)-3 PROD Comm Alloc'!H232</f>
        <v>357611</v>
      </c>
      <c r="I232" s="349">
        <f>'FR-16(7)(v)-6 DISTR Cust Alloc'!I232+'FR-16(7)(v)-5 DISTR Dem Alloc'!I232+'FR-16(7)(v)-3 PROD Comm Alloc'!I232</f>
        <v>96691</v>
      </c>
      <c r="J232" s="349">
        <f>'FR-16(7)(v)-6 DISTR Cust Alloc'!J232+'FR-16(7)(v)-5 DISTR Dem Alloc'!J232+'FR-16(7)(v)-3 PROD Comm Alloc'!J232</f>
        <v>29448</v>
      </c>
      <c r="K232" s="347">
        <f>SUM(G232:J232)</f>
        <v>1579329</v>
      </c>
      <c r="L232" s="347">
        <f>F232-K232</f>
        <v>0</v>
      </c>
    </row>
    <row r="233" spans="1:12">
      <c r="A233" s="333">
        <v>31</v>
      </c>
      <c r="C233" s="332" t="str">
        <f>'FR-16(7)(v)-1 Functional'!C233</f>
        <v>CUSTOMER SERVICE DEPOSITS</v>
      </c>
      <c r="D233" s="344" t="str">
        <f>'FR-16(7)(v)-1 Functional'!D233</f>
        <v>D249</v>
      </c>
      <c r="E233" s="196"/>
      <c r="F233" s="479">
        <f>'FR-16(7)(v)-1 Functional'!F233</f>
        <v>0</v>
      </c>
      <c r="G233" s="349">
        <f>'FR-16(7)(v)-6 DISTR Cust Alloc'!G233+'FR-16(7)(v)-5 DISTR Dem Alloc'!G233+'FR-16(7)(v)-3 PROD Comm Alloc'!G233</f>
        <v>0</v>
      </c>
      <c r="H233" s="349">
        <f>'FR-16(7)(v)-6 DISTR Cust Alloc'!H233+'FR-16(7)(v)-5 DISTR Dem Alloc'!H233+'FR-16(7)(v)-3 PROD Comm Alloc'!H233</f>
        <v>0</v>
      </c>
      <c r="I233" s="349">
        <f>'FR-16(7)(v)-6 DISTR Cust Alloc'!I233+'FR-16(7)(v)-5 DISTR Dem Alloc'!I233+'FR-16(7)(v)-3 PROD Comm Alloc'!I233</f>
        <v>0</v>
      </c>
      <c r="J233" s="349">
        <f>'FR-16(7)(v)-6 DISTR Cust Alloc'!J233+'FR-16(7)(v)-5 DISTR Dem Alloc'!J233+'FR-16(7)(v)-3 PROD Comm Alloc'!J233</f>
        <v>0</v>
      </c>
      <c r="K233" s="347">
        <f>SUM(G233:J233)</f>
        <v>0</v>
      </c>
      <c r="L233" s="347">
        <f>F233-K233</f>
        <v>0</v>
      </c>
    </row>
    <row r="234" spans="1:12">
      <c r="A234" s="333">
        <v>32</v>
      </c>
      <c r="C234" s="332" t="str">
        <f>'FR-16(7)(v)-1 Functional'!C234</f>
        <v>POST RETIREMENT BENEFITS</v>
      </c>
      <c r="D234" s="344" t="str">
        <f>'FR-16(7)(v)-1 Functional'!D234</f>
        <v>AG39</v>
      </c>
      <c r="E234" s="196"/>
      <c r="F234" s="479">
        <f>'FR-16(7)(v)-1 Functional'!F234</f>
        <v>0</v>
      </c>
      <c r="G234" s="349">
        <f>'FR-16(7)(v)-6 DISTR Cust Alloc'!G234+'FR-16(7)(v)-5 DISTR Dem Alloc'!G234+'FR-16(7)(v)-3 PROD Comm Alloc'!G234</f>
        <v>0</v>
      </c>
      <c r="H234" s="349">
        <f>'FR-16(7)(v)-6 DISTR Cust Alloc'!H234+'FR-16(7)(v)-5 DISTR Dem Alloc'!H234+'FR-16(7)(v)-3 PROD Comm Alloc'!H234</f>
        <v>0</v>
      </c>
      <c r="I234" s="349">
        <f>'FR-16(7)(v)-6 DISTR Cust Alloc'!I234+'FR-16(7)(v)-5 DISTR Dem Alloc'!I234+'FR-16(7)(v)-3 PROD Comm Alloc'!I234</f>
        <v>0</v>
      </c>
      <c r="J234" s="349">
        <f>'FR-16(7)(v)-6 DISTR Cust Alloc'!J234+'FR-16(7)(v)-5 DISTR Dem Alloc'!J234+'FR-16(7)(v)-3 PROD Comm Alloc'!J234</f>
        <v>0</v>
      </c>
      <c r="K234" s="347">
        <f>SUM(G234:J234)</f>
        <v>0</v>
      </c>
      <c r="L234" s="347">
        <f>F234-K234</f>
        <v>0</v>
      </c>
    </row>
    <row r="235" spans="1:12">
      <c r="A235" s="333">
        <v>33</v>
      </c>
      <c r="C235" s="365" t="str">
        <f>'FR-16(7)(v)-1 Functional'!C235</f>
        <v>EDIT</v>
      </c>
      <c r="D235" s="344" t="str">
        <f>'FR-16(7)(v)-1 Functional'!D235</f>
        <v>NP29</v>
      </c>
      <c r="E235" s="196"/>
      <c r="F235" s="479">
        <f>'FR-16(7)(v)-1 Functional'!F235</f>
        <v>31320215</v>
      </c>
      <c r="G235" s="349">
        <f>'FR-16(7)(v)-6 DISTR Cust Alloc'!G235+'FR-16(7)(v)-5 DISTR Dem Alloc'!G235+'FR-16(7)(v)-3 PROD Comm Alloc'!G235</f>
        <v>21768542</v>
      </c>
      <c r="H235" s="349">
        <f>'FR-16(7)(v)-6 DISTR Cust Alloc'!H235+'FR-16(7)(v)-5 DISTR Dem Alloc'!H235+'FR-16(7)(v)-3 PROD Comm Alloc'!H235</f>
        <v>7060692</v>
      </c>
      <c r="I235" s="349">
        <f>'FR-16(7)(v)-6 DISTR Cust Alloc'!I235+'FR-16(7)(v)-5 DISTR Dem Alloc'!I235+'FR-16(7)(v)-3 PROD Comm Alloc'!I235</f>
        <v>1919966</v>
      </c>
      <c r="J235" s="349">
        <f>'FR-16(7)(v)-6 DISTR Cust Alloc'!J235+'FR-16(7)(v)-5 DISTR Dem Alloc'!J235+'FR-16(7)(v)-3 PROD Comm Alloc'!J235</f>
        <v>571015</v>
      </c>
      <c r="K235" s="347">
        <f>SUM(G235:J235)</f>
        <v>31320215</v>
      </c>
      <c r="L235" s="347">
        <f>F235-K235</f>
        <v>0</v>
      </c>
    </row>
    <row r="236" spans="1:12">
      <c r="A236" s="333">
        <v>34</v>
      </c>
      <c r="C236" s="339" t="str">
        <f>'FR-16(7)(v)-1 Functional'!C236</f>
        <v xml:space="preserve">  TOTAL OTHER SUBTRACTIVE ADJS</v>
      </c>
      <c r="D236" s="344"/>
      <c r="E236" s="196"/>
      <c r="F236" s="348">
        <f t="shared" ref="F236:L236" si="69">SUM(F231:F235)</f>
        <v>32899544</v>
      </c>
      <c r="G236" s="348">
        <f t="shared" si="69"/>
        <v>22864121</v>
      </c>
      <c r="H236" s="348">
        <f t="shared" si="69"/>
        <v>7418303</v>
      </c>
      <c r="I236" s="348">
        <f t="shared" si="69"/>
        <v>2016657</v>
      </c>
      <c r="J236" s="348">
        <f t="shared" si="69"/>
        <v>600463</v>
      </c>
      <c r="K236" s="348">
        <f t="shared" si="69"/>
        <v>32899544</v>
      </c>
      <c r="L236" s="348">
        <f t="shared" si="69"/>
        <v>0</v>
      </c>
    </row>
    <row r="237" spans="1:12">
      <c r="A237" s="333">
        <v>35</v>
      </c>
      <c r="D237" s="344"/>
      <c r="E237" s="196"/>
      <c r="I237" s="332"/>
    </row>
    <row r="238" spans="1:12">
      <c r="A238" s="333">
        <v>36</v>
      </c>
      <c r="B238" s="332" t="s">
        <v>828</v>
      </c>
      <c r="D238" s="344"/>
      <c r="E238" s="196"/>
      <c r="F238" s="347">
        <f t="shared" ref="F238:L238" si="70">F236+F229+F215</f>
        <v>97881988.857534245</v>
      </c>
      <c r="G238" s="347">
        <f t="shared" si="70"/>
        <v>68753980</v>
      </c>
      <c r="H238" s="347">
        <f t="shared" si="70"/>
        <v>21616125</v>
      </c>
      <c r="I238" s="347">
        <f t="shared" si="70"/>
        <v>5848167</v>
      </c>
      <c r="J238" s="347">
        <f t="shared" si="70"/>
        <v>1663717</v>
      </c>
      <c r="K238" s="347">
        <f t="shared" si="70"/>
        <v>97881989</v>
      </c>
      <c r="L238" s="347">
        <f t="shared" si="70"/>
        <v>-0.14246575348079205</v>
      </c>
    </row>
    <row r="239" spans="1:12">
      <c r="B239" s="343"/>
      <c r="C239" s="196"/>
      <c r="D239" s="344"/>
      <c r="E239" s="196"/>
      <c r="G239" s="196"/>
      <c r="H239" s="196"/>
      <c r="I239" s="196"/>
      <c r="J239" s="344"/>
      <c r="K239" s="196"/>
      <c r="L239" s="196"/>
    </row>
    <row r="240" spans="1:12">
      <c r="A240" s="343" t="str">
        <f>co_name</f>
        <v>DUKE ENERGY KENTUCKY, INC.</v>
      </c>
      <c r="C240" s="196"/>
      <c r="D240" s="344"/>
      <c r="E240" s="196"/>
      <c r="F240" s="344"/>
      <c r="G240" s="342"/>
      <c r="H240" s="342"/>
      <c r="I240" s="196"/>
      <c r="K240" s="361" t="str">
        <f>$K$1</f>
        <v>FR-16(7)(v)-8</v>
      </c>
      <c r="L240" s="196"/>
    </row>
    <row r="241" spans="1:12">
      <c r="A241" s="343" t="str">
        <f>$A$2</f>
        <v>TOTAL CLASS ALLOCATED - GAS COST OF SERVICE</v>
      </c>
      <c r="C241" s="196"/>
      <c r="D241" s="344"/>
      <c r="E241" s="196"/>
      <c r="F241" s="344"/>
      <c r="G241" s="342"/>
      <c r="H241" s="342"/>
      <c r="I241" s="196"/>
      <c r="K241" s="361" t="str">
        <f>$K$2</f>
        <v>WITNESS RESPONSIBLE:</v>
      </c>
      <c r="L241" s="196"/>
    </row>
    <row r="242" spans="1:12">
      <c r="A242" s="343" t="str">
        <f>case_name</f>
        <v>CASE NO: 2018-00261</v>
      </c>
      <c r="C242" s="196"/>
      <c r="D242" s="344"/>
      <c r="E242" s="196"/>
      <c r="F242" s="344"/>
      <c r="G242" s="342"/>
      <c r="H242" s="342"/>
      <c r="I242" s="196"/>
      <c r="K242" s="361" t="str">
        <f>Witness</f>
        <v>JAMES E. ZIOLKOWSKI</v>
      </c>
      <c r="L242" s="196"/>
    </row>
    <row r="243" spans="1:12">
      <c r="A243" s="343" t="str">
        <f>data_filing</f>
        <v>DATA: 12 MONTH FORECASTED PERIOD</v>
      </c>
      <c r="C243" s="196"/>
      <c r="D243" s="344"/>
      <c r="E243" s="196"/>
      <c r="F243" s="344"/>
      <c r="G243" s="342"/>
      <c r="H243" s="342"/>
      <c r="I243" s="196"/>
      <c r="K243" s="361" t="str">
        <f>"PAGE "&amp;Pages2-9&amp;" OF "&amp;Pages2</f>
        <v>PAGE 6 OF 15</v>
      </c>
      <c r="L243" s="196"/>
    </row>
    <row r="244" spans="1:12">
      <c r="A244" s="343" t="str">
        <f>type</f>
        <v xml:space="preserve">TYPE OF FILING: "X" ORIGINAL   UPDATED    REVISED  </v>
      </c>
      <c r="C244" s="196"/>
      <c r="D244" s="344"/>
      <c r="E244" s="196"/>
      <c r="F244" s="344"/>
      <c r="G244" s="342"/>
      <c r="H244" s="342"/>
      <c r="I244" s="196"/>
      <c r="J244" s="344"/>
      <c r="K244" s="196"/>
      <c r="L244" s="196"/>
    </row>
    <row r="245" spans="1:12">
      <c r="B245" s="343"/>
      <c r="C245" s="196"/>
      <c r="D245" s="344"/>
      <c r="E245" s="196"/>
      <c r="F245" s="344"/>
      <c r="G245" s="196"/>
      <c r="H245" s="196"/>
      <c r="I245" s="196"/>
      <c r="J245" s="344"/>
      <c r="K245" s="196"/>
      <c r="L245" s="196"/>
    </row>
    <row r="246" spans="1:12">
      <c r="B246" s="343"/>
      <c r="C246" s="196"/>
      <c r="D246" s="344"/>
      <c r="E246" s="196"/>
      <c r="F246" s="344" t="str">
        <f>$F$7</f>
        <v>TOTAL</v>
      </c>
      <c r="G246" s="196"/>
      <c r="H246" s="196"/>
      <c r="I246" s="196"/>
      <c r="J246" s="344"/>
      <c r="K246" s="196"/>
      <c r="L246" s="196"/>
    </row>
    <row r="247" spans="1:12">
      <c r="A247" s="344" t="s">
        <v>914</v>
      </c>
      <c r="B247" s="196"/>
      <c r="C247" s="196"/>
      <c r="D247" s="344"/>
      <c r="E247" s="196"/>
      <c r="F247" s="344" t="str">
        <f>$F$8</f>
        <v>CLASS</v>
      </c>
      <c r="G247" s="354" t="s">
        <v>773</v>
      </c>
      <c r="H247" s="354" t="s">
        <v>1282</v>
      </c>
      <c r="I247" s="354" t="s">
        <v>984</v>
      </c>
      <c r="J247" s="354" t="s">
        <v>549</v>
      </c>
      <c r="K247" s="354" t="s">
        <v>229</v>
      </c>
      <c r="L247" s="344" t="s">
        <v>342</v>
      </c>
    </row>
    <row r="248" spans="1:12">
      <c r="A248" s="346" t="s">
        <v>915</v>
      </c>
      <c r="B248" s="345" t="s">
        <v>954</v>
      </c>
      <c r="C248" s="345"/>
      <c r="D248" s="346" t="s">
        <v>337</v>
      </c>
      <c r="E248" s="345"/>
      <c r="F248" s="344" t="str">
        <f>$F$9</f>
        <v>ALLOCATED</v>
      </c>
      <c r="G248" s="355" t="s">
        <v>338</v>
      </c>
      <c r="H248" s="355" t="s">
        <v>405</v>
      </c>
      <c r="I248" s="355" t="s">
        <v>1283</v>
      </c>
      <c r="J248" s="355" t="s">
        <v>550</v>
      </c>
      <c r="K248" s="355" t="s">
        <v>341</v>
      </c>
      <c r="L248" s="346" t="s">
        <v>340</v>
      </c>
    </row>
    <row r="249" spans="1:12">
      <c r="C249" s="578" t="s">
        <v>558</v>
      </c>
      <c r="D249" s="344"/>
      <c r="E249" s="196"/>
      <c r="F249" s="761"/>
      <c r="G249" s="633">
        <f>$G$10</f>
        <v>3</v>
      </c>
      <c r="H249" s="633">
        <f>$H$10</f>
        <v>4</v>
      </c>
      <c r="I249" s="633">
        <f>$I$10</f>
        <v>5</v>
      </c>
      <c r="J249" s="633">
        <f>$J$10</f>
        <v>6</v>
      </c>
    </row>
    <row r="250" spans="1:12">
      <c r="A250" s="333">
        <v>1</v>
      </c>
      <c r="B250" s="332" t="s">
        <v>826</v>
      </c>
      <c r="D250" s="344"/>
      <c r="E250" s="196"/>
      <c r="I250" s="332"/>
    </row>
    <row r="251" spans="1:12">
      <c r="A251" s="333">
        <v>2</v>
      </c>
      <c r="B251" s="332" t="s">
        <v>29</v>
      </c>
      <c r="D251" s="344"/>
      <c r="E251" s="196"/>
      <c r="I251" s="332"/>
    </row>
    <row r="252" spans="1:12">
      <c r="A252" s="333">
        <v>3</v>
      </c>
      <c r="C252" s="332" t="str">
        <f>'FR-16(7)(v)-1 Functional'!C252</f>
        <v>UNCOLLECTIBLE ACCTS</v>
      </c>
      <c r="D252" s="344" t="str">
        <f>'FR-16(7)(v)-1 Functional'!D252</f>
        <v>K406</v>
      </c>
      <c r="F252" s="479">
        <f>'FR-16(7)(v)-1 Functional'!F252</f>
        <v>3828</v>
      </c>
      <c r="G252" s="349">
        <f>'FR-16(7)(v)-6 DISTR Cust Alloc'!G252+'FR-16(7)(v)-5 DISTR Dem Alloc'!G252+'FR-16(7)(v)-3 PROD Comm Alloc'!G252</f>
        <v>3553</v>
      </c>
      <c r="H252" s="349">
        <f>'FR-16(7)(v)-6 DISTR Cust Alloc'!H252+'FR-16(7)(v)-5 DISTR Dem Alloc'!H252+'FR-16(7)(v)-3 PROD Comm Alloc'!H252</f>
        <v>270</v>
      </c>
      <c r="I252" s="349">
        <f>'FR-16(7)(v)-6 DISTR Cust Alloc'!I252+'FR-16(7)(v)-5 DISTR Dem Alloc'!I252+'FR-16(7)(v)-3 PROD Comm Alloc'!I252</f>
        <v>4</v>
      </c>
      <c r="J252" s="349">
        <f>'FR-16(7)(v)-6 DISTR Cust Alloc'!J252+'FR-16(7)(v)-5 DISTR Dem Alloc'!J252+'FR-16(7)(v)-3 PROD Comm Alloc'!J252</f>
        <v>1</v>
      </c>
      <c r="K252" s="347">
        <f t="shared" ref="K252:K274" si="71">SUM(G252:J252)</f>
        <v>3828</v>
      </c>
      <c r="L252" s="347">
        <f t="shared" ref="L252:L274" si="72">F252-K252</f>
        <v>0</v>
      </c>
    </row>
    <row r="253" spans="1:12">
      <c r="A253" s="333">
        <v>4</v>
      </c>
      <c r="C253" s="332" t="str">
        <f>'FR-16(7)(v)-1 Functional'!C253</f>
        <v>GAS SUPPLIER REFUND</v>
      </c>
      <c r="D253" s="344" t="str">
        <f>'FR-16(7)(v)-1 Functional'!D253</f>
        <v>K300</v>
      </c>
      <c r="F253" s="479">
        <f>'FR-16(7)(v)-1 Functional'!F253</f>
        <v>40128</v>
      </c>
      <c r="G253" s="349">
        <f>'FR-16(7)(v)-6 DISTR Cust Alloc'!G253+'FR-16(7)(v)-5 DISTR Dem Alloc'!G253+'FR-16(7)(v)-3 PROD Comm Alloc'!G253</f>
        <v>17727</v>
      </c>
      <c r="H253" s="349">
        <f>'FR-16(7)(v)-6 DISTR Cust Alloc'!H253+'FR-16(7)(v)-5 DISTR Dem Alloc'!H253+'FR-16(7)(v)-3 PROD Comm Alloc'!H253</f>
        <v>10098</v>
      </c>
      <c r="I253" s="349">
        <f>'FR-16(7)(v)-6 DISTR Cust Alloc'!I253+'FR-16(7)(v)-5 DISTR Dem Alloc'!I253+'FR-16(7)(v)-3 PROD Comm Alloc'!I253</f>
        <v>7149</v>
      </c>
      <c r="J253" s="349">
        <f>'FR-16(7)(v)-6 DISTR Cust Alloc'!J253+'FR-16(7)(v)-5 DISTR Dem Alloc'!J253+'FR-16(7)(v)-3 PROD Comm Alloc'!J253</f>
        <v>5154</v>
      </c>
      <c r="K253" s="347">
        <f t="shared" si="71"/>
        <v>40128</v>
      </c>
      <c r="L253" s="347">
        <f t="shared" si="72"/>
        <v>0</v>
      </c>
    </row>
    <row r="254" spans="1:12">
      <c r="A254" s="333">
        <v>5</v>
      </c>
      <c r="C254" s="332" t="str">
        <f>'FR-16(7)(v)-1 Functional'!C254</f>
        <v>UNBILLED REVENUE - FUEL &amp; RATE REFUNDS</v>
      </c>
      <c r="D254" s="344" t="str">
        <f>'FR-16(7)(v)-1 Functional'!D254</f>
        <v>K300</v>
      </c>
      <c r="F254" s="479">
        <f>'FR-16(7)(v)-1 Functional'!F254</f>
        <v>727162</v>
      </c>
      <c r="G254" s="349">
        <f>'FR-16(7)(v)-6 DISTR Cust Alloc'!G254+'FR-16(7)(v)-5 DISTR Dem Alloc'!G254+'FR-16(7)(v)-3 PROD Comm Alloc'!G254</f>
        <v>321224</v>
      </c>
      <c r="H254" s="349">
        <f>'FR-16(7)(v)-6 DISTR Cust Alloc'!H254+'FR-16(7)(v)-5 DISTR Dem Alloc'!H254+'FR-16(7)(v)-3 PROD Comm Alloc'!H254</f>
        <v>182983</v>
      </c>
      <c r="I254" s="349">
        <f>'FR-16(7)(v)-6 DISTR Cust Alloc'!I254+'FR-16(7)(v)-5 DISTR Dem Alloc'!I254+'FR-16(7)(v)-3 PROD Comm Alloc'!I254</f>
        <v>129551</v>
      </c>
      <c r="J254" s="349">
        <f>'FR-16(7)(v)-6 DISTR Cust Alloc'!J254+'FR-16(7)(v)-5 DISTR Dem Alloc'!J254+'FR-16(7)(v)-3 PROD Comm Alloc'!J254</f>
        <v>93404</v>
      </c>
      <c r="K254" s="347">
        <f t="shared" si="71"/>
        <v>727162</v>
      </c>
      <c r="L254" s="347">
        <f t="shared" si="72"/>
        <v>0</v>
      </c>
    </row>
    <row r="255" spans="1:12">
      <c r="A255" s="333">
        <v>6</v>
      </c>
      <c r="C255" s="353" t="str">
        <f>'FR-16(7)(v)-1 Functional'!C255</f>
        <v>OFFSITE GAS STORAGE</v>
      </c>
      <c r="D255" s="344" t="str">
        <f>'FR-16(7)(v)-1 Functional'!D255</f>
        <v>K300</v>
      </c>
      <c r="F255" s="479">
        <f>'FR-16(7)(v)-1 Functional'!F255</f>
        <v>88650</v>
      </c>
      <c r="G255" s="349">
        <f>'FR-16(7)(v)-6 DISTR Cust Alloc'!G255+'FR-16(7)(v)-5 DISTR Dem Alloc'!G255+'FR-16(7)(v)-3 PROD Comm Alloc'!G255</f>
        <v>39161</v>
      </c>
      <c r="H255" s="349">
        <f>'FR-16(7)(v)-6 DISTR Cust Alloc'!H255+'FR-16(7)(v)-5 DISTR Dem Alloc'!H255+'FR-16(7)(v)-3 PROD Comm Alloc'!H255</f>
        <v>22308</v>
      </c>
      <c r="I255" s="349">
        <f>'FR-16(7)(v)-6 DISTR Cust Alloc'!I255+'FR-16(7)(v)-5 DISTR Dem Alloc'!I255+'FR-16(7)(v)-3 PROD Comm Alloc'!I255</f>
        <v>15794</v>
      </c>
      <c r="J255" s="349">
        <f>'FR-16(7)(v)-6 DISTR Cust Alloc'!J255+'FR-16(7)(v)-5 DISTR Dem Alloc'!J255+'FR-16(7)(v)-3 PROD Comm Alloc'!J255</f>
        <v>11387</v>
      </c>
      <c r="K255" s="347">
        <f t="shared" si="71"/>
        <v>88650</v>
      </c>
      <c r="L255" s="347">
        <f t="shared" si="72"/>
        <v>0</v>
      </c>
    </row>
    <row r="256" spans="1:12">
      <c r="A256" s="333">
        <v>7</v>
      </c>
      <c r="C256" s="332" t="str">
        <f>'FR-16(7)(v)-1 Functional'!C256</f>
        <v>GAS METERS</v>
      </c>
      <c r="D256" s="344" t="str">
        <f>'FR-16(7)(v)-1 Functional'!D256</f>
        <v>K413</v>
      </c>
      <c r="F256" s="479">
        <f>'FR-16(7)(v)-1 Functional'!F256</f>
        <v>37579</v>
      </c>
      <c r="G256" s="349">
        <f>'FR-16(7)(v)-6 DISTR Cust Alloc'!G256+'FR-16(7)(v)-5 DISTR Dem Alloc'!G256+'FR-16(7)(v)-3 PROD Comm Alloc'!G256</f>
        <v>29754</v>
      </c>
      <c r="H256" s="349">
        <f>'FR-16(7)(v)-6 DISTR Cust Alloc'!H256+'FR-16(7)(v)-5 DISTR Dem Alloc'!H256+'FR-16(7)(v)-3 PROD Comm Alloc'!H256</f>
        <v>7375</v>
      </c>
      <c r="I256" s="349">
        <f>'FR-16(7)(v)-6 DISTR Cust Alloc'!I256+'FR-16(7)(v)-5 DISTR Dem Alloc'!I256+'FR-16(7)(v)-3 PROD Comm Alloc'!I256</f>
        <v>303</v>
      </c>
      <c r="J256" s="349">
        <f>'FR-16(7)(v)-6 DISTR Cust Alloc'!J256+'FR-16(7)(v)-5 DISTR Dem Alloc'!J256+'FR-16(7)(v)-3 PROD Comm Alloc'!J256</f>
        <v>147</v>
      </c>
      <c r="K256" s="347">
        <f t="shared" si="71"/>
        <v>37579</v>
      </c>
      <c r="L256" s="347">
        <f t="shared" si="72"/>
        <v>0</v>
      </c>
    </row>
    <row r="257" spans="1:12">
      <c r="A257" s="333">
        <v>8</v>
      </c>
      <c r="C257" s="332" t="str">
        <f>'FR-16(7)(v)-1 Functional'!C257</f>
        <v>UNAMORTIZED DEBT PREMIUM</v>
      </c>
      <c r="D257" s="344" t="str">
        <f>'FR-16(7)(v)-1 Functional'!D257</f>
        <v>NP29</v>
      </c>
      <c r="F257" s="479">
        <f>'FR-16(7)(v)-1 Functional'!F257</f>
        <v>-1833</v>
      </c>
      <c r="G257" s="349">
        <f>'FR-16(7)(v)-6 DISTR Cust Alloc'!G257+'FR-16(7)(v)-5 DISTR Dem Alloc'!G257+'FR-16(7)(v)-3 PROD Comm Alloc'!G257</f>
        <v>-1274</v>
      </c>
      <c r="H257" s="349">
        <f>'FR-16(7)(v)-6 DISTR Cust Alloc'!H257+'FR-16(7)(v)-5 DISTR Dem Alloc'!H257+'FR-16(7)(v)-3 PROD Comm Alloc'!H257</f>
        <v>-414</v>
      </c>
      <c r="I257" s="349">
        <f>'FR-16(7)(v)-6 DISTR Cust Alloc'!I257+'FR-16(7)(v)-5 DISTR Dem Alloc'!I257+'FR-16(7)(v)-3 PROD Comm Alloc'!I257</f>
        <v>-112</v>
      </c>
      <c r="J257" s="349">
        <f>'FR-16(7)(v)-6 DISTR Cust Alloc'!J257+'FR-16(7)(v)-5 DISTR Dem Alloc'!J257+'FR-16(7)(v)-3 PROD Comm Alloc'!J257</f>
        <v>-33</v>
      </c>
      <c r="K257" s="347">
        <f t="shared" si="71"/>
        <v>-1833</v>
      </c>
      <c r="L257" s="347">
        <f t="shared" si="72"/>
        <v>0</v>
      </c>
    </row>
    <row r="258" spans="1:12">
      <c r="A258" s="333">
        <v>9</v>
      </c>
      <c r="C258" s="332" t="str">
        <f>'FR-16(7)(v)-1 Functional'!C258</f>
        <v>ARO CUMULATIVE EFFECT</v>
      </c>
      <c r="D258" s="344" t="str">
        <f>'FR-16(7)(v)-1 Functional'!D258</f>
        <v>NP29</v>
      </c>
      <c r="F258" s="479">
        <f>'FR-16(7)(v)-1 Functional'!F258</f>
        <v>0</v>
      </c>
      <c r="G258" s="349">
        <f>'FR-16(7)(v)-6 DISTR Cust Alloc'!G258+'FR-16(7)(v)-5 DISTR Dem Alloc'!G258+'FR-16(7)(v)-3 PROD Comm Alloc'!G258</f>
        <v>0</v>
      </c>
      <c r="H258" s="349">
        <f>'FR-16(7)(v)-6 DISTR Cust Alloc'!H258+'FR-16(7)(v)-5 DISTR Dem Alloc'!H258+'FR-16(7)(v)-3 PROD Comm Alloc'!H258</f>
        <v>0</v>
      </c>
      <c r="I258" s="349">
        <f>'FR-16(7)(v)-6 DISTR Cust Alloc'!I258+'FR-16(7)(v)-5 DISTR Dem Alloc'!I258+'FR-16(7)(v)-3 PROD Comm Alloc'!I258</f>
        <v>0</v>
      </c>
      <c r="J258" s="349">
        <f>'FR-16(7)(v)-6 DISTR Cust Alloc'!J258+'FR-16(7)(v)-5 DISTR Dem Alloc'!J258+'FR-16(7)(v)-3 PROD Comm Alloc'!J258</f>
        <v>0</v>
      </c>
      <c r="K258" s="347">
        <f t="shared" si="71"/>
        <v>0</v>
      </c>
      <c r="L258" s="347">
        <f t="shared" si="72"/>
        <v>0</v>
      </c>
    </row>
    <row r="259" spans="1:12">
      <c r="A259" s="333">
        <v>10</v>
      </c>
      <c r="C259" s="332" t="str">
        <f>'FR-16(7)(v)-1 Functional'!C259</f>
        <v>PENSION EXPENSE</v>
      </c>
      <c r="D259" s="344" t="str">
        <f>'FR-16(7)(v)-1 Functional'!D259</f>
        <v>AG39</v>
      </c>
      <c r="F259" s="479">
        <f>'FR-16(7)(v)-1 Functional'!F259</f>
        <v>184414</v>
      </c>
      <c r="G259" s="349">
        <f>'FR-16(7)(v)-6 DISTR Cust Alloc'!G259+'FR-16(7)(v)-5 DISTR Dem Alloc'!G259+'FR-16(7)(v)-3 PROD Comm Alloc'!G259</f>
        <v>135002</v>
      </c>
      <c r="H259" s="349">
        <f>'FR-16(7)(v)-6 DISTR Cust Alloc'!H259+'FR-16(7)(v)-5 DISTR Dem Alloc'!H259+'FR-16(7)(v)-3 PROD Comm Alloc'!H259</f>
        <v>36529</v>
      </c>
      <c r="I259" s="349">
        <f>'FR-16(7)(v)-6 DISTR Cust Alloc'!I259+'FR-16(7)(v)-5 DISTR Dem Alloc'!I259+'FR-16(7)(v)-3 PROD Comm Alloc'!I259</f>
        <v>10984</v>
      </c>
      <c r="J259" s="349">
        <f>'FR-16(7)(v)-6 DISTR Cust Alloc'!J259+'FR-16(7)(v)-5 DISTR Dem Alloc'!J259+'FR-16(7)(v)-3 PROD Comm Alloc'!J259</f>
        <v>1899</v>
      </c>
      <c r="K259" s="347">
        <f t="shared" si="71"/>
        <v>184414</v>
      </c>
      <c r="L259" s="347">
        <f t="shared" si="72"/>
        <v>0</v>
      </c>
    </row>
    <row r="260" spans="1:12">
      <c r="A260" s="333">
        <v>11</v>
      </c>
      <c r="C260" s="332" t="str">
        <f>'FR-16(7)(v)-1 Functional'!C260</f>
        <v>POST RETIREMENT BENEFITS - LIFE INS</v>
      </c>
      <c r="D260" s="344" t="str">
        <f>'FR-16(7)(v)-1 Functional'!D260</f>
        <v>AG39</v>
      </c>
      <c r="F260" s="479">
        <f>'FR-16(7)(v)-1 Functional'!F260</f>
        <v>0</v>
      </c>
      <c r="G260" s="349">
        <f>'FR-16(7)(v)-6 DISTR Cust Alloc'!G260+'FR-16(7)(v)-5 DISTR Dem Alloc'!G260+'FR-16(7)(v)-3 PROD Comm Alloc'!G260</f>
        <v>0</v>
      </c>
      <c r="H260" s="349">
        <f>'FR-16(7)(v)-6 DISTR Cust Alloc'!H260+'FR-16(7)(v)-5 DISTR Dem Alloc'!H260+'FR-16(7)(v)-3 PROD Comm Alloc'!H260</f>
        <v>0</v>
      </c>
      <c r="I260" s="349">
        <f>'FR-16(7)(v)-6 DISTR Cust Alloc'!I260+'FR-16(7)(v)-5 DISTR Dem Alloc'!I260+'FR-16(7)(v)-3 PROD Comm Alloc'!I260</f>
        <v>0</v>
      </c>
      <c r="J260" s="349">
        <f>'FR-16(7)(v)-6 DISTR Cust Alloc'!J260+'FR-16(7)(v)-5 DISTR Dem Alloc'!J260+'FR-16(7)(v)-3 PROD Comm Alloc'!J260</f>
        <v>0</v>
      </c>
      <c r="K260" s="347">
        <f t="shared" si="71"/>
        <v>0</v>
      </c>
      <c r="L260" s="347">
        <f t="shared" si="72"/>
        <v>0</v>
      </c>
    </row>
    <row r="261" spans="1:12">
      <c r="A261" s="333">
        <v>12</v>
      </c>
      <c r="C261" s="332" t="str">
        <f>'FR-16(7)(v)-1 Functional'!C261</f>
        <v>POST RETIREMENT BENEFITS - HEALTH CARE</v>
      </c>
      <c r="D261" s="344" t="str">
        <f>'FR-16(7)(v)-1 Functional'!D261</f>
        <v>AG39</v>
      </c>
      <c r="F261" s="479">
        <f>'FR-16(7)(v)-1 Functional'!F261</f>
        <v>0</v>
      </c>
      <c r="G261" s="349">
        <f>'FR-16(7)(v)-6 DISTR Cust Alloc'!G261+'FR-16(7)(v)-5 DISTR Dem Alloc'!G261+'FR-16(7)(v)-3 PROD Comm Alloc'!G261</f>
        <v>0</v>
      </c>
      <c r="H261" s="349">
        <f>'FR-16(7)(v)-6 DISTR Cust Alloc'!H261+'FR-16(7)(v)-5 DISTR Dem Alloc'!H261+'FR-16(7)(v)-3 PROD Comm Alloc'!H261</f>
        <v>0</v>
      </c>
      <c r="I261" s="349">
        <f>'FR-16(7)(v)-6 DISTR Cust Alloc'!I261+'FR-16(7)(v)-5 DISTR Dem Alloc'!I261+'FR-16(7)(v)-3 PROD Comm Alloc'!I261</f>
        <v>0</v>
      </c>
      <c r="J261" s="349">
        <f>'FR-16(7)(v)-6 DISTR Cust Alloc'!J261+'FR-16(7)(v)-5 DISTR Dem Alloc'!J261+'FR-16(7)(v)-3 PROD Comm Alloc'!J261</f>
        <v>0</v>
      </c>
      <c r="K261" s="347">
        <f t="shared" si="71"/>
        <v>0</v>
      </c>
      <c r="L261" s="347">
        <f t="shared" si="72"/>
        <v>0</v>
      </c>
    </row>
    <row r="262" spans="1:12">
      <c r="A262" s="333">
        <v>13</v>
      </c>
      <c r="C262" s="332" t="str">
        <f>'FR-16(7)(v)-1 Functional'!C262</f>
        <v>POST EMPLOYMENT BENEFITS - SFAS 112</v>
      </c>
      <c r="D262" s="344" t="str">
        <f>'FR-16(7)(v)-1 Functional'!D262</f>
        <v>AG39</v>
      </c>
      <c r="F262" s="479">
        <f>'FR-16(7)(v)-1 Functional'!F262</f>
        <v>43984</v>
      </c>
      <c r="G262" s="349">
        <f>'FR-16(7)(v)-6 DISTR Cust Alloc'!G262+'FR-16(7)(v)-5 DISTR Dem Alloc'!G262+'FR-16(7)(v)-3 PROD Comm Alloc'!G262</f>
        <v>32198</v>
      </c>
      <c r="H262" s="349">
        <f>'FR-16(7)(v)-6 DISTR Cust Alloc'!H262+'FR-16(7)(v)-5 DISTR Dem Alloc'!H262+'FR-16(7)(v)-3 PROD Comm Alloc'!H262</f>
        <v>8713</v>
      </c>
      <c r="I262" s="349">
        <f>'FR-16(7)(v)-6 DISTR Cust Alloc'!I262+'FR-16(7)(v)-5 DISTR Dem Alloc'!I262+'FR-16(7)(v)-3 PROD Comm Alloc'!I262</f>
        <v>2620</v>
      </c>
      <c r="J262" s="349">
        <f>'FR-16(7)(v)-6 DISTR Cust Alloc'!J262+'FR-16(7)(v)-5 DISTR Dem Alloc'!J262+'FR-16(7)(v)-3 PROD Comm Alloc'!J262</f>
        <v>453</v>
      </c>
      <c r="K262" s="347">
        <f t="shared" si="71"/>
        <v>43984</v>
      </c>
      <c r="L262" s="347">
        <f t="shared" si="72"/>
        <v>0</v>
      </c>
    </row>
    <row r="263" spans="1:12">
      <c r="A263" s="333">
        <v>14</v>
      </c>
      <c r="C263" s="332" t="str">
        <f>'FR-16(7)(v)-1 Functional'!C263</f>
        <v>OPEB EXPENSE ACCRUAL</v>
      </c>
      <c r="D263" s="344" t="str">
        <f>'FR-16(7)(v)-1 Functional'!D263</f>
        <v>AG39</v>
      </c>
      <c r="F263" s="479">
        <f>'FR-16(7)(v)-1 Functional'!F263</f>
        <v>302668</v>
      </c>
      <c r="G263" s="349">
        <f>'FR-16(7)(v)-6 DISTR Cust Alloc'!G263+'FR-16(7)(v)-5 DISTR Dem Alloc'!G263+'FR-16(7)(v)-3 PROD Comm Alloc'!G263</f>
        <v>221569</v>
      </c>
      <c r="H263" s="349">
        <f>'FR-16(7)(v)-6 DISTR Cust Alloc'!H263+'FR-16(7)(v)-5 DISTR Dem Alloc'!H263+'FR-16(7)(v)-3 PROD Comm Alloc'!H263</f>
        <v>59956</v>
      </c>
      <c r="I263" s="349">
        <f>'FR-16(7)(v)-6 DISTR Cust Alloc'!I263+'FR-16(7)(v)-5 DISTR Dem Alloc'!I263+'FR-16(7)(v)-3 PROD Comm Alloc'!I263</f>
        <v>18027</v>
      </c>
      <c r="J263" s="349">
        <f>'FR-16(7)(v)-6 DISTR Cust Alloc'!J263+'FR-16(7)(v)-5 DISTR Dem Alloc'!J263+'FR-16(7)(v)-3 PROD Comm Alloc'!J263</f>
        <v>3116</v>
      </c>
      <c r="K263" s="347">
        <f t="shared" si="71"/>
        <v>302668</v>
      </c>
      <c r="L263" s="347">
        <f t="shared" si="72"/>
        <v>0</v>
      </c>
    </row>
    <row r="264" spans="1:12">
      <c r="A264" s="333">
        <v>15</v>
      </c>
      <c r="C264" s="332" t="str">
        <f>'FR-16(7)(v)-1 Functional'!C264</f>
        <v>INCENTIVE PLAN</v>
      </c>
      <c r="D264" s="344" t="str">
        <f>'FR-16(7)(v)-1 Functional'!D264</f>
        <v>AG39</v>
      </c>
      <c r="F264" s="479">
        <f>'FR-16(7)(v)-1 Functional'!F264</f>
        <v>0</v>
      </c>
      <c r="G264" s="349">
        <f>'FR-16(7)(v)-6 DISTR Cust Alloc'!G264+'FR-16(7)(v)-5 DISTR Dem Alloc'!G264+'FR-16(7)(v)-3 PROD Comm Alloc'!G264</f>
        <v>0</v>
      </c>
      <c r="H264" s="349">
        <f>'FR-16(7)(v)-6 DISTR Cust Alloc'!H264+'FR-16(7)(v)-5 DISTR Dem Alloc'!H264+'FR-16(7)(v)-3 PROD Comm Alloc'!H264</f>
        <v>0</v>
      </c>
      <c r="I264" s="349">
        <f>'FR-16(7)(v)-6 DISTR Cust Alloc'!I264+'FR-16(7)(v)-5 DISTR Dem Alloc'!I264+'FR-16(7)(v)-3 PROD Comm Alloc'!I264</f>
        <v>0</v>
      </c>
      <c r="J264" s="349">
        <f>'FR-16(7)(v)-6 DISTR Cust Alloc'!J264+'FR-16(7)(v)-5 DISTR Dem Alloc'!J264+'FR-16(7)(v)-3 PROD Comm Alloc'!J264</f>
        <v>0</v>
      </c>
      <c r="K264" s="347">
        <f t="shared" si="71"/>
        <v>0</v>
      </c>
      <c r="L264" s="347">
        <f t="shared" si="72"/>
        <v>0</v>
      </c>
    </row>
    <row r="265" spans="1:12">
      <c r="A265" s="333">
        <v>16</v>
      </c>
      <c r="C265" s="332" t="str">
        <f>'FR-16(7)(v)-1 Functional'!C265</f>
        <v>FEDERAL DEFERRED TAX RECEIVEABLE</v>
      </c>
      <c r="D265" s="344" t="str">
        <f>'FR-16(7)(v)-1 Functional'!D265</f>
        <v>AG39</v>
      </c>
      <c r="F265" s="479">
        <f>'FR-16(7)(v)-1 Functional'!F265</f>
        <v>0</v>
      </c>
      <c r="G265" s="349">
        <f>'FR-16(7)(v)-6 DISTR Cust Alloc'!G265+'FR-16(7)(v)-5 DISTR Dem Alloc'!G265+'FR-16(7)(v)-3 PROD Comm Alloc'!G265</f>
        <v>0</v>
      </c>
      <c r="H265" s="349">
        <f>'FR-16(7)(v)-6 DISTR Cust Alloc'!H265+'FR-16(7)(v)-5 DISTR Dem Alloc'!H265+'FR-16(7)(v)-3 PROD Comm Alloc'!H265</f>
        <v>0</v>
      </c>
      <c r="I265" s="349">
        <f>'FR-16(7)(v)-6 DISTR Cust Alloc'!I265+'FR-16(7)(v)-5 DISTR Dem Alloc'!I265+'FR-16(7)(v)-3 PROD Comm Alloc'!I265</f>
        <v>0</v>
      </c>
      <c r="J265" s="349">
        <f>'FR-16(7)(v)-6 DISTR Cust Alloc'!J265+'FR-16(7)(v)-5 DISTR Dem Alloc'!J265+'FR-16(7)(v)-3 PROD Comm Alloc'!J265</f>
        <v>0</v>
      </c>
      <c r="K265" s="347">
        <f t="shared" si="71"/>
        <v>0</v>
      </c>
      <c r="L265" s="347">
        <f t="shared" si="72"/>
        <v>0</v>
      </c>
    </row>
    <row r="266" spans="1:12">
      <c r="A266" s="333">
        <v>17</v>
      </c>
      <c r="C266" s="332" t="str">
        <f>'FR-16(7)(v)-1 Functional'!C266</f>
        <v>DSM DEFERRAL</v>
      </c>
      <c r="D266" s="344" t="str">
        <f>'FR-16(7)(v)-1 Functional'!D266</f>
        <v>AG39</v>
      </c>
      <c r="F266" s="479">
        <f>'FR-16(7)(v)-1 Functional'!F266</f>
        <v>187434</v>
      </c>
      <c r="G266" s="349">
        <f>'FR-16(7)(v)-6 DISTR Cust Alloc'!G266+'FR-16(7)(v)-5 DISTR Dem Alloc'!G266+'FR-16(7)(v)-3 PROD Comm Alloc'!G266</f>
        <v>137213</v>
      </c>
      <c r="H266" s="349">
        <f>'FR-16(7)(v)-6 DISTR Cust Alloc'!H266+'FR-16(7)(v)-5 DISTR Dem Alloc'!H266+'FR-16(7)(v)-3 PROD Comm Alloc'!H266</f>
        <v>37128</v>
      </c>
      <c r="I266" s="349">
        <f>'FR-16(7)(v)-6 DISTR Cust Alloc'!I266+'FR-16(7)(v)-5 DISTR Dem Alloc'!I266+'FR-16(7)(v)-3 PROD Comm Alloc'!I266</f>
        <v>11164</v>
      </c>
      <c r="J266" s="349">
        <f>'FR-16(7)(v)-6 DISTR Cust Alloc'!J266+'FR-16(7)(v)-5 DISTR Dem Alloc'!J266+'FR-16(7)(v)-3 PROD Comm Alloc'!J266</f>
        <v>1929</v>
      </c>
      <c r="K266" s="347">
        <f t="shared" si="71"/>
        <v>187434</v>
      </c>
      <c r="L266" s="347">
        <f t="shared" si="72"/>
        <v>0</v>
      </c>
    </row>
    <row r="267" spans="1:12">
      <c r="A267" s="333">
        <v>18</v>
      </c>
      <c r="C267" s="332" t="str">
        <f>'FR-16(7)(v)-1 Functional'!C267</f>
        <v>PROPERTY TAX</v>
      </c>
      <c r="D267" s="344" t="str">
        <f>'FR-16(7)(v)-1 Functional'!D267</f>
        <v>P229</v>
      </c>
      <c r="F267" s="479">
        <f>'FR-16(7)(v)-1 Functional'!F267</f>
        <v>0</v>
      </c>
      <c r="G267" s="349">
        <f>'FR-16(7)(v)-6 DISTR Cust Alloc'!G267+'FR-16(7)(v)-5 DISTR Dem Alloc'!G267+'FR-16(7)(v)-3 PROD Comm Alloc'!G267</f>
        <v>0</v>
      </c>
      <c r="H267" s="349">
        <f>'FR-16(7)(v)-6 DISTR Cust Alloc'!H267+'FR-16(7)(v)-5 DISTR Dem Alloc'!H267+'FR-16(7)(v)-3 PROD Comm Alloc'!H267</f>
        <v>0</v>
      </c>
      <c r="I267" s="349">
        <f>'FR-16(7)(v)-6 DISTR Cust Alloc'!I267+'FR-16(7)(v)-5 DISTR Dem Alloc'!I267+'FR-16(7)(v)-3 PROD Comm Alloc'!I267</f>
        <v>0</v>
      </c>
      <c r="J267" s="349">
        <f>'FR-16(7)(v)-6 DISTR Cust Alloc'!J267+'FR-16(7)(v)-5 DISTR Dem Alloc'!J267+'FR-16(7)(v)-3 PROD Comm Alloc'!J267</f>
        <v>0</v>
      </c>
      <c r="K267" s="347">
        <f t="shared" si="71"/>
        <v>0</v>
      </c>
      <c r="L267" s="347">
        <f t="shared" si="72"/>
        <v>0</v>
      </c>
    </row>
    <row r="268" spans="1:12">
      <c r="A268" s="333">
        <v>19</v>
      </c>
      <c r="C268" s="353" t="str">
        <f>'FR-16(7)(v)-1 Functional'!C268</f>
        <v>PROPERTY TAX ON PROPANE</v>
      </c>
      <c r="D268" s="344" t="str">
        <f>'FR-16(7)(v)-1 Functional'!D268</f>
        <v>P229</v>
      </c>
      <c r="F268" s="479">
        <f>'FR-16(7)(v)-1 Functional'!F268</f>
        <v>0</v>
      </c>
      <c r="G268" s="349">
        <f>'FR-16(7)(v)-6 DISTR Cust Alloc'!G268+'FR-16(7)(v)-5 DISTR Dem Alloc'!G268+'FR-16(7)(v)-3 PROD Comm Alloc'!G268</f>
        <v>0</v>
      </c>
      <c r="H268" s="349">
        <f>'FR-16(7)(v)-6 DISTR Cust Alloc'!H268+'FR-16(7)(v)-5 DISTR Dem Alloc'!H268+'FR-16(7)(v)-3 PROD Comm Alloc'!H268</f>
        <v>0</v>
      </c>
      <c r="I268" s="349">
        <f>'FR-16(7)(v)-6 DISTR Cust Alloc'!I268+'FR-16(7)(v)-5 DISTR Dem Alloc'!I268+'FR-16(7)(v)-3 PROD Comm Alloc'!I268</f>
        <v>0</v>
      </c>
      <c r="J268" s="349">
        <f>'FR-16(7)(v)-6 DISTR Cust Alloc'!J268+'FR-16(7)(v)-5 DISTR Dem Alloc'!J268+'FR-16(7)(v)-3 PROD Comm Alloc'!J268</f>
        <v>0</v>
      </c>
      <c r="K268" s="347">
        <f t="shared" si="71"/>
        <v>0</v>
      </c>
      <c r="L268" s="347">
        <f t="shared" si="72"/>
        <v>0</v>
      </c>
    </row>
    <row r="269" spans="1:12">
      <c r="A269" s="333">
        <v>20</v>
      </c>
      <c r="C269" s="489" t="str">
        <f>'FR-16(7)(v)-1 Functional'!C269</f>
        <v>401K INCENTIVE PLAN</v>
      </c>
      <c r="D269" s="344" t="str">
        <f>'FR-16(7)(v)-1 Functional'!D269</f>
        <v>AG39</v>
      </c>
      <c r="F269" s="479">
        <f>'FR-16(7)(v)-1 Functional'!F269</f>
        <v>0</v>
      </c>
      <c r="G269" s="349">
        <f>'FR-16(7)(v)-6 DISTR Cust Alloc'!G269+'FR-16(7)(v)-5 DISTR Dem Alloc'!G269+'FR-16(7)(v)-3 PROD Comm Alloc'!G269</f>
        <v>0</v>
      </c>
      <c r="H269" s="349">
        <f>'FR-16(7)(v)-6 DISTR Cust Alloc'!H269+'FR-16(7)(v)-5 DISTR Dem Alloc'!H269+'FR-16(7)(v)-3 PROD Comm Alloc'!H269</f>
        <v>0</v>
      </c>
      <c r="I269" s="349">
        <f>'FR-16(7)(v)-6 DISTR Cust Alloc'!I269+'FR-16(7)(v)-5 DISTR Dem Alloc'!I269+'FR-16(7)(v)-3 PROD Comm Alloc'!I269</f>
        <v>0</v>
      </c>
      <c r="J269" s="349">
        <f>'FR-16(7)(v)-6 DISTR Cust Alloc'!J269+'FR-16(7)(v)-5 DISTR Dem Alloc'!J269+'FR-16(7)(v)-3 PROD Comm Alloc'!J269</f>
        <v>0</v>
      </c>
      <c r="K269" s="347">
        <f t="shared" si="71"/>
        <v>0</v>
      </c>
      <c r="L269" s="347">
        <f t="shared" si="72"/>
        <v>0</v>
      </c>
    </row>
    <row r="270" spans="1:12">
      <c r="A270" s="333">
        <v>21</v>
      </c>
      <c r="C270" s="332" t="str">
        <f>'FR-16(7)(v)-1 Functional'!C270</f>
        <v>ENVIRONMENTAL RESERVE</v>
      </c>
      <c r="D270" s="344" t="str">
        <f>'FR-16(7)(v)-1 Functional'!D270</f>
        <v>NP29</v>
      </c>
      <c r="F270" s="479">
        <f>'FR-16(7)(v)-1 Functional'!F270</f>
        <v>159230</v>
      </c>
      <c r="G270" s="349">
        <f>'FR-16(7)(v)-6 DISTR Cust Alloc'!G270+'FR-16(7)(v)-5 DISTR Dem Alloc'!G270+'FR-16(7)(v)-3 PROD Comm Alloc'!G270</f>
        <v>110669</v>
      </c>
      <c r="H270" s="349">
        <f>'FR-16(7)(v)-6 DISTR Cust Alloc'!H270+'FR-16(7)(v)-5 DISTR Dem Alloc'!H270+'FR-16(7)(v)-3 PROD Comm Alloc'!H270</f>
        <v>35897</v>
      </c>
      <c r="I270" s="349">
        <f>'FR-16(7)(v)-6 DISTR Cust Alloc'!I270+'FR-16(7)(v)-5 DISTR Dem Alloc'!I270+'FR-16(7)(v)-3 PROD Comm Alloc'!I270</f>
        <v>9761</v>
      </c>
      <c r="J270" s="349">
        <f>'FR-16(7)(v)-6 DISTR Cust Alloc'!J270+'FR-16(7)(v)-5 DISTR Dem Alloc'!J270+'FR-16(7)(v)-3 PROD Comm Alloc'!J270</f>
        <v>2903</v>
      </c>
      <c r="K270" s="347">
        <f t="shared" si="71"/>
        <v>159230</v>
      </c>
      <c r="L270" s="347">
        <f t="shared" si="72"/>
        <v>0</v>
      </c>
    </row>
    <row r="271" spans="1:12">
      <c r="A271" s="333">
        <v>22</v>
      </c>
      <c r="C271" s="332" t="str">
        <f>'FR-16(7)(v)-1 Functional'!C271</f>
        <v>VACATION PAY ACCRUALS</v>
      </c>
      <c r="D271" s="344" t="str">
        <f>'FR-16(7)(v)-1 Functional'!D271</f>
        <v>G129</v>
      </c>
      <c r="F271" s="479">
        <f>'FR-16(7)(v)-1 Functional'!F271</f>
        <v>163904</v>
      </c>
      <c r="G271" s="349">
        <f>'FR-16(7)(v)-6 DISTR Cust Alloc'!G271+'FR-16(7)(v)-5 DISTR Dem Alloc'!G271+'FR-16(7)(v)-3 PROD Comm Alloc'!G271</f>
        <v>119992</v>
      </c>
      <c r="H271" s="349">
        <f>'FR-16(7)(v)-6 DISTR Cust Alloc'!H271+'FR-16(7)(v)-5 DISTR Dem Alloc'!H271+'FR-16(7)(v)-3 PROD Comm Alloc'!H271</f>
        <v>32469</v>
      </c>
      <c r="I271" s="349">
        <f>'FR-16(7)(v)-6 DISTR Cust Alloc'!I271+'FR-16(7)(v)-5 DISTR Dem Alloc'!I271+'FR-16(7)(v)-3 PROD Comm Alloc'!I271</f>
        <v>9763</v>
      </c>
      <c r="J271" s="349">
        <f>'FR-16(7)(v)-6 DISTR Cust Alloc'!J271+'FR-16(7)(v)-5 DISTR Dem Alloc'!J271+'FR-16(7)(v)-3 PROD Comm Alloc'!J271</f>
        <v>1680</v>
      </c>
      <c r="K271" s="347">
        <f t="shared" si="71"/>
        <v>163904</v>
      </c>
      <c r="L271" s="347">
        <f t="shared" si="72"/>
        <v>0</v>
      </c>
    </row>
    <row r="272" spans="1:12">
      <c r="A272" s="333">
        <v>23</v>
      </c>
      <c r="C272" s="332" t="str">
        <f>'FR-16(7)(v)-1 Functional'!C272</f>
        <v>SMART GRID</v>
      </c>
      <c r="D272" s="344" t="str">
        <f>'FR-16(7)(v)-1 Functional'!D272</f>
        <v>K413</v>
      </c>
      <c r="F272" s="479">
        <f>'FR-16(7)(v)-1 Functional'!F272</f>
        <v>0</v>
      </c>
      <c r="G272" s="349">
        <f>'FR-16(7)(v)-6 DISTR Cust Alloc'!G272+'FR-16(7)(v)-5 DISTR Dem Alloc'!G272+'FR-16(7)(v)-3 PROD Comm Alloc'!G272</f>
        <v>0</v>
      </c>
      <c r="H272" s="349">
        <f>'FR-16(7)(v)-6 DISTR Cust Alloc'!H272+'FR-16(7)(v)-5 DISTR Dem Alloc'!H272+'FR-16(7)(v)-3 PROD Comm Alloc'!H272</f>
        <v>0</v>
      </c>
      <c r="I272" s="349">
        <f>'FR-16(7)(v)-6 DISTR Cust Alloc'!I272+'FR-16(7)(v)-5 DISTR Dem Alloc'!I272+'FR-16(7)(v)-3 PROD Comm Alloc'!I272</f>
        <v>0</v>
      </c>
      <c r="J272" s="349">
        <f>'FR-16(7)(v)-6 DISTR Cust Alloc'!J272+'FR-16(7)(v)-5 DISTR Dem Alloc'!J272+'FR-16(7)(v)-3 PROD Comm Alloc'!J272</f>
        <v>0</v>
      </c>
      <c r="K272" s="347">
        <f t="shared" si="71"/>
        <v>0</v>
      </c>
      <c r="L272" s="347">
        <f t="shared" si="72"/>
        <v>0</v>
      </c>
    </row>
    <row r="273" spans="1:12">
      <c r="A273" s="333">
        <v>24</v>
      </c>
      <c r="C273" s="332" t="str">
        <f>'FR-16(7)(v)-1 Functional'!C273</f>
        <v>METERS &amp; TRANSFORMERS</v>
      </c>
      <c r="D273" s="344" t="str">
        <f>'FR-16(7)(v)-1 Functional'!D273</f>
        <v>D249</v>
      </c>
      <c r="F273" s="479">
        <f>'FR-16(7)(v)-1 Functional'!F273</f>
        <v>0</v>
      </c>
      <c r="G273" s="349">
        <f>'FR-16(7)(v)-6 DISTR Cust Alloc'!G273+'FR-16(7)(v)-5 DISTR Dem Alloc'!G273+'FR-16(7)(v)-3 PROD Comm Alloc'!G273</f>
        <v>0</v>
      </c>
      <c r="H273" s="349">
        <f>'FR-16(7)(v)-6 DISTR Cust Alloc'!H273+'FR-16(7)(v)-5 DISTR Dem Alloc'!H273+'FR-16(7)(v)-3 PROD Comm Alloc'!H273</f>
        <v>0</v>
      </c>
      <c r="I273" s="349">
        <f>'FR-16(7)(v)-6 DISTR Cust Alloc'!I273+'FR-16(7)(v)-5 DISTR Dem Alloc'!I273+'FR-16(7)(v)-3 PROD Comm Alloc'!I273</f>
        <v>0</v>
      </c>
      <c r="J273" s="349">
        <f>'FR-16(7)(v)-6 DISTR Cust Alloc'!J273+'FR-16(7)(v)-5 DISTR Dem Alloc'!J273+'FR-16(7)(v)-3 PROD Comm Alloc'!J273</f>
        <v>0</v>
      </c>
      <c r="K273" s="347">
        <f t="shared" si="71"/>
        <v>0</v>
      </c>
      <c r="L273" s="347">
        <f t="shared" si="72"/>
        <v>0</v>
      </c>
    </row>
    <row r="274" spans="1:12">
      <c r="A274" s="333">
        <v>25</v>
      </c>
      <c r="C274" s="359" t="str">
        <f>'FR-16(7)(v)-1 Functional'!C274</f>
        <v>OTHER</v>
      </c>
      <c r="D274" s="344" t="str">
        <f>'FR-16(7)(v)-1 Functional'!D274</f>
        <v>AG39</v>
      </c>
      <c r="F274" s="479">
        <f>'FR-16(7)(v)-1 Functional'!F274</f>
        <v>379414</v>
      </c>
      <c r="G274" s="349">
        <f>'FR-16(7)(v)-6 DISTR Cust Alloc'!G274+'FR-16(7)(v)-5 DISTR Dem Alloc'!G274+'FR-16(7)(v)-3 PROD Comm Alloc'!G274</f>
        <v>277754</v>
      </c>
      <c r="H274" s="349">
        <f>'FR-16(7)(v)-6 DISTR Cust Alloc'!H274+'FR-16(7)(v)-5 DISTR Dem Alloc'!H274+'FR-16(7)(v)-3 PROD Comm Alloc'!H274</f>
        <v>75157</v>
      </c>
      <c r="I274" s="349">
        <f>'FR-16(7)(v)-6 DISTR Cust Alloc'!I274+'FR-16(7)(v)-5 DISTR Dem Alloc'!I274+'FR-16(7)(v)-3 PROD Comm Alloc'!I274</f>
        <v>22597</v>
      </c>
      <c r="J274" s="349">
        <f>'FR-16(7)(v)-6 DISTR Cust Alloc'!J274+'FR-16(7)(v)-5 DISTR Dem Alloc'!J274+'FR-16(7)(v)-3 PROD Comm Alloc'!J274</f>
        <v>3906</v>
      </c>
      <c r="K274" s="347">
        <f t="shared" si="71"/>
        <v>379414</v>
      </c>
      <c r="L274" s="347">
        <f t="shared" si="72"/>
        <v>0</v>
      </c>
    </row>
    <row r="275" spans="1:12">
      <c r="A275" s="333">
        <v>26</v>
      </c>
      <c r="C275" s="332" t="str">
        <f>'FR-16(7)(v)-1 Functional'!C275</f>
        <v xml:space="preserve">  TOTAL ACCOUNT 190</v>
      </c>
      <c r="D275" s="344"/>
      <c r="F275" s="348">
        <f t="shared" ref="F275:L275" si="73">SUM(F251:F274)</f>
        <v>2316562</v>
      </c>
      <c r="G275" s="348">
        <f t="shared" si="73"/>
        <v>1444542</v>
      </c>
      <c r="H275" s="348">
        <f t="shared" si="73"/>
        <v>508469</v>
      </c>
      <c r="I275" s="348">
        <f t="shared" si="73"/>
        <v>237605</v>
      </c>
      <c r="J275" s="348">
        <f t="shared" si="73"/>
        <v>125946</v>
      </c>
      <c r="K275" s="348">
        <f t="shared" si="73"/>
        <v>2316562</v>
      </c>
      <c r="L275" s="348">
        <f t="shared" si="73"/>
        <v>0</v>
      </c>
    </row>
    <row r="276" spans="1:12">
      <c r="A276" s="333">
        <v>27</v>
      </c>
      <c r="D276" s="344"/>
      <c r="E276" s="196"/>
      <c r="I276" s="332"/>
    </row>
    <row r="277" spans="1:12">
      <c r="A277" s="333">
        <v>28</v>
      </c>
      <c r="B277" s="332" t="s">
        <v>30</v>
      </c>
      <c r="D277" s="344"/>
      <c r="E277" s="196"/>
      <c r="I277" s="332"/>
    </row>
    <row r="278" spans="1:12">
      <c r="A278" s="333">
        <v>29</v>
      </c>
      <c r="C278" s="365" t="str">
        <f>'FR-16(7)(v)-1 Functional'!C278</f>
        <v>RESERVED FOR FUTURE USE</v>
      </c>
      <c r="D278" s="344" t="str">
        <f>'FR-16(7)(v)-1 Functional'!D278</f>
        <v>D249</v>
      </c>
      <c r="F278" s="479">
        <f>'FR-16(7)(v)-1 Functional'!F278</f>
        <v>0</v>
      </c>
      <c r="G278" s="349">
        <f>'FR-16(7)(v)-6 DISTR Cust Alloc'!G278+'FR-16(7)(v)-5 DISTR Dem Alloc'!G278+'FR-16(7)(v)-3 PROD Comm Alloc'!G278</f>
        <v>0</v>
      </c>
      <c r="H278" s="349">
        <f>'FR-16(7)(v)-6 DISTR Cust Alloc'!H278+'FR-16(7)(v)-5 DISTR Dem Alloc'!H278+'FR-16(7)(v)-3 PROD Comm Alloc'!H278</f>
        <v>0</v>
      </c>
      <c r="I278" s="349">
        <f>'FR-16(7)(v)-6 DISTR Cust Alloc'!I278+'FR-16(7)(v)-5 DISTR Dem Alloc'!I278+'FR-16(7)(v)-3 PROD Comm Alloc'!I278</f>
        <v>0</v>
      </c>
      <c r="J278" s="349">
        <f>'FR-16(7)(v)-6 DISTR Cust Alloc'!J278+'FR-16(7)(v)-5 DISTR Dem Alloc'!J278+'FR-16(7)(v)-3 PROD Comm Alloc'!J278</f>
        <v>0</v>
      </c>
      <c r="K278" s="347">
        <f>SUM(G278:J278)</f>
        <v>0</v>
      </c>
      <c r="L278" s="347">
        <f>F278-K278</f>
        <v>0</v>
      </c>
    </row>
    <row r="279" spans="1:12">
      <c r="A279" s="333">
        <v>30</v>
      </c>
      <c r="C279" s="332" t="str">
        <f>'FR-16(7)(v)-1 Functional'!C279</f>
        <v>ANNUALIZE DEPRECIATION</v>
      </c>
      <c r="D279" s="344" t="str">
        <f>'FR-16(7)(v)-1 Functional'!D279</f>
        <v>NP29</v>
      </c>
      <c r="F279" s="479">
        <f>'FR-16(7)(v)-1 Functional'!F279</f>
        <v>-270298</v>
      </c>
      <c r="G279" s="349">
        <f>'FR-16(7)(v)-6 DISTR Cust Alloc'!G279+'FR-16(7)(v)-5 DISTR Dem Alloc'!G279+'FR-16(7)(v)-3 PROD Comm Alloc'!G279</f>
        <v>-187866</v>
      </c>
      <c r="H279" s="349">
        <f>'FR-16(7)(v)-6 DISTR Cust Alloc'!H279+'FR-16(7)(v)-5 DISTR Dem Alloc'!H279+'FR-16(7)(v)-3 PROD Comm Alloc'!H279</f>
        <v>-60934</v>
      </c>
      <c r="I279" s="349">
        <f>'FR-16(7)(v)-6 DISTR Cust Alloc'!I279+'FR-16(7)(v)-5 DISTR Dem Alloc'!I279+'FR-16(7)(v)-3 PROD Comm Alloc'!I279</f>
        <v>-16570</v>
      </c>
      <c r="J279" s="349">
        <f>'FR-16(7)(v)-6 DISTR Cust Alloc'!J279+'FR-16(7)(v)-5 DISTR Dem Alloc'!J279+'FR-16(7)(v)-3 PROD Comm Alloc'!J279</f>
        <v>-4928</v>
      </c>
      <c r="K279" s="347">
        <f>SUM(G279:J279)</f>
        <v>-270298</v>
      </c>
      <c r="L279" s="347">
        <f>F279-K279</f>
        <v>0</v>
      </c>
    </row>
    <row r="280" spans="1:12">
      <c r="A280" s="333">
        <v>31</v>
      </c>
      <c r="C280" s="332" t="str">
        <f>'FR-16(7)(v)-1 Functional'!C280</f>
        <v>ELIMINATE UNBILLED REVENUE AND GAS COSTS</v>
      </c>
      <c r="D280" s="344" t="str">
        <f>'FR-16(7)(v)-1 Functional'!D280</f>
        <v>K300</v>
      </c>
      <c r="F280" s="479">
        <f>'FR-16(7)(v)-1 Functional'!F280</f>
        <v>-20077</v>
      </c>
      <c r="G280" s="349">
        <f>'FR-16(7)(v)-6 DISTR Cust Alloc'!G280+'FR-16(7)(v)-5 DISTR Dem Alloc'!G280+'FR-16(7)(v)-3 PROD Comm Alloc'!G280</f>
        <v>-8869</v>
      </c>
      <c r="H280" s="349">
        <f>'FR-16(7)(v)-6 DISTR Cust Alloc'!H280+'FR-16(7)(v)-5 DISTR Dem Alloc'!H280+'FR-16(7)(v)-3 PROD Comm Alloc'!H280</f>
        <v>-5052</v>
      </c>
      <c r="I280" s="349">
        <f>'FR-16(7)(v)-6 DISTR Cust Alloc'!I280+'FR-16(7)(v)-5 DISTR Dem Alloc'!I280+'FR-16(7)(v)-3 PROD Comm Alloc'!I280</f>
        <v>-3577</v>
      </c>
      <c r="J280" s="349">
        <f>'FR-16(7)(v)-6 DISTR Cust Alloc'!J280+'FR-16(7)(v)-5 DISTR Dem Alloc'!J280+'FR-16(7)(v)-3 PROD Comm Alloc'!J280</f>
        <v>-2579</v>
      </c>
      <c r="K280" s="347">
        <f>SUM(G280:J280)</f>
        <v>-20077</v>
      </c>
      <c r="L280" s="347">
        <f>F280-K280</f>
        <v>0</v>
      </c>
    </row>
    <row r="281" spans="1:12">
      <c r="A281" s="333">
        <v>32</v>
      </c>
      <c r="C281" s="339" t="str">
        <f>'FR-16(7)(v)-1 Functional'!C281</f>
        <v xml:space="preserve">  OTHER</v>
      </c>
      <c r="D281" s="344"/>
      <c r="F281" s="348">
        <f>SUM(F278:F280)</f>
        <v>-290375</v>
      </c>
      <c r="G281" s="348">
        <f t="shared" ref="G281:L281" si="74">SUM(G277:G280)</f>
        <v>-196735</v>
      </c>
      <c r="H281" s="348">
        <f t="shared" si="74"/>
        <v>-65986</v>
      </c>
      <c r="I281" s="348">
        <f t="shared" si="74"/>
        <v>-20147</v>
      </c>
      <c r="J281" s="348">
        <f t="shared" si="74"/>
        <v>-7507</v>
      </c>
      <c r="K281" s="348">
        <f t="shared" si="74"/>
        <v>-290375</v>
      </c>
      <c r="L281" s="348">
        <f t="shared" si="74"/>
        <v>0</v>
      </c>
    </row>
    <row r="282" spans="1:12">
      <c r="A282" s="333">
        <v>33</v>
      </c>
      <c r="D282" s="344"/>
      <c r="F282" s="335" t="s">
        <v>343</v>
      </c>
      <c r="I282" s="332"/>
    </row>
    <row r="283" spans="1:12">
      <c r="A283" s="333">
        <v>34</v>
      </c>
      <c r="B283" s="332" t="s">
        <v>825</v>
      </c>
      <c r="D283" s="344"/>
      <c r="F283" s="347">
        <f t="shared" ref="F283:L283" si="75">F275+F281</f>
        <v>2026187</v>
      </c>
      <c r="G283" s="347">
        <f t="shared" si="75"/>
        <v>1247807</v>
      </c>
      <c r="H283" s="347">
        <f t="shared" si="75"/>
        <v>442483</v>
      </c>
      <c r="I283" s="347">
        <f t="shared" si="75"/>
        <v>217458</v>
      </c>
      <c r="J283" s="347">
        <f t="shared" si="75"/>
        <v>118439</v>
      </c>
      <c r="K283" s="347">
        <f t="shared" si="75"/>
        <v>2026187</v>
      </c>
      <c r="L283" s="347">
        <f t="shared" si="75"/>
        <v>0</v>
      </c>
    </row>
    <row r="284" spans="1:12">
      <c r="B284" s="343"/>
      <c r="C284" s="196"/>
      <c r="D284" s="344"/>
      <c r="E284" s="196"/>
      <c r="G284" s="196"/>
      <c r="H284" s="196"/>
      <c r="I284" s="196"/>
      <c r="J284" s="344"/>
      <c r="K284" s="196"/>
      <c r="L284" s="196"/>
    </row>
    <row r="285" spans="1:12">
      <c r="A285" s="343" t="str">
        <f>co_name</f>
        <v>DUKE ENERGY KENTUCKY, INC.</v>
      </c>
      <c r="C285" s="196"/>
      <c r="D285" s="344"/>
      <c r="E285" s="196"/>
      <c r="F285" s="344"/>
      <c r="G285" s="342"/>
      <c r="H285" s="342"/>
      <c r="I285" s="196"/>
      <c r="K285" s="361" t="str">
        <f>$K$1</f>
        <v>FR-16(7)(v)-8</v>
      </c>
      <c r="L285" s="196"/>
    </row>
    <row r="286" spans="1:12">
      <c r="A286" s="343" t="str">
        <f>$A$2</f>
        <v>TOTAL CLASS ALLOCATED - GAS COST OF SERVICE</v>
      </c>
      <c r="C286" s="196"/>
      <c r="D286" s="344"/>
      <c r="E286" s="196"/>
      <c r="F286" s="344"/>
      <c r="G286" s="342"/>
      <c r="H286" s="342"/>
      <c r="I286" s="196"/>
      <c r="K286" s="361" t="str">
        <f>$K$2</f>
        <v>WITNESS RESPONSIBLE:</v>
      </c>
      <c r="L286" s="196"/>
    </row>
    <row r="287" spans="1:12">
      <c r="A287" s="343" t="str">
        <f>case_name</f>
        <v>CASE NO: 2018-00261</v>
      </c>
      <c r="C287" s="196"/>
      <c r="D287" s="344"/>
      <c r="E287" s="196"/>
      <c r="F287" s="344"/>
      <c r="G287" s="342"/>
      <c r="H287" s="342"/>
      <c r="I287" s="196"/>
      <c r="K287" s="361" t="str">
        <f>Witness</f>
        <v>JAMES E. ZIOLKOWSKI</v>
      </c>
      <c r="L287" s="196"/>
    </row>
    <row r="288" spans="1:12">
      <c r="A288" s="343" t="str">
        <f>data_filing</f>
        <v>DATA: 12 MONTH FORECASTED PERIOD</v>
      </c>
      <c r="C288" s="196"/>
      <c r="D288" s="344"/>
      <c r="E288" s="196"/>
      <c r="F288" s="344"/>
      <c r="G288" s="342"/>
      <c r="H288" s="342"/>
      <c r="I288" s="196"/>
      <c r="K288" s="361" t="str">
        <f>"PAGE "&amp;Pages2-8&amp;" OF "&amp;Pages2</f>
        <v>PAGE 7 OF 15</v>
      </c>
      <c r="L288" s="196"/>
    </row>
    <row r="289" spans="1:12">
      <c r="A289" s="343" t="str">
        <f>type</f>
        <v xml:space="preserve">TYPE OF FILING: "X" ORIGINAL   UPDATED    REVISED  </v>
      </c>
      <c r="C289" s="196"/>
      <c r="D289" s="344"/>
      <c r="E289" s="196"/>
      <c r="F289" s="344"/>
      <c r="G289" s="342"/>
      <c r="H289" s="342"/>
      <c r="I289" s="196"/>
      <c r="J289" s="344"/>
      <c r="K289" s="196"/>
      <c r="L289" s="196"/>
    </row>
    <row r="290" spans="1:12">
      <c r="B290" s="343"/>
      <c r="C290" s="196"/>
      <c r="D290" s="344"/>
      <c r="E290" s="196"/>
      <c r="F290" s="344"/>
      <c r="G290" s="196"/>
      <c r="H290" s="196"/>
      <c r="I290" s="196"/>
      <c r="J290" s="344"/>
      <c r="K290" s="196"/>
      <c r="L290" s="196"/>
    </row>
    <row r="291" spans="1:12">
      <c r="B291" s="343"/>
      <c r="C291" s="196"/>
      <c r="D291" s="344"/>
      <c r="E291" s="196"/>
      <c r="F291" s="344" t="str">
        <f>$F$7</f>
        <v>TOTAL</v>
      </c>
      <c r="G291" s="196"/>
      <c r="H291" s="196"/>
      <c r="I291" s="196"/>
      <c r="J291" s="344"/>
      <c r="K291" s="196"/>
      <c r="L291" s="196"/>
    </row>
    <row r="292" spans="1:12">
      <c r="A292" s="344" t="s">
        <v>914</v>
      </c>
      <c r="B292" s="196"/>
      <c r="C292" s="196"/>
      <c r="D292" s="344"/>
      <c r="E292" s="196"/>
      <c r="F292" s="344" t="str">
        <f>$F$8</f>
        <v>CLASS</v>
      </c>
      <c r="G292" s="354" t="s">
        <v>773</v>
      </c>
      <c r="H292" s="354" t="s">
        <v>1282</v>
      </c>
      <c r="I292" s="354" t="s">
        <v>984</v>
      </c>
      <c r="J292" s="354" t="s">
        <v>549</v>
      </c>
      <c r="K292" s="354" t="s">
        <v>229</v>
      </c>
      <c r="L292" s="344" t="s">
        <v>342</v>
      </c>
    </row>
    <row r="293" spans="1:12">
      <c r="A293" s="346" t="s">
        <v>915</v>
      </c>
      <c r="B293" s="345" t="s">
        <v>32</v>
      </c>
      <c r="C293" s="345"/>
      <c r="D293" s="346" t="s">
        <v>337</v>
      </c>
      <c r="E293" s="345"/>
      <c r="F293" s="344" t="str">
        <f>$F$9</f>
        <v>ALLOCATED</v>
      </c>
      <c r="G293" s="355" t="s">
        <v>338</v>
      </c>
      <c r="H293" s="355" t="s">
        <v>405</v>
      </c>
      <c r="I293" s="355" t="s">
        <v>1283</v>
      </c>
      <c r="J293" s="355" t="s">
        <v>550</v>
      </c>
      <c r="K293" s="355" t="s">
        <v>341</v>
      </c>
      <c r="L293" s="346" t="s">
        <v>340</v>
      </c>
    </row>
    <row r="294" spans="1:12">
      <c r="C294" s="578" t="s">
        <v>559</v>
      </c>
      <c r="D294" s="344"/>
      <c r="E294" s="490"/>
      <c r="F294" s="763"/>
      <c r="G294" s="633">
        <f>$G$10</f>
        <v>3</v>
      </c>
      <c r="H294" s="633">
        <f>$H$10</f>
        <v>4</v>
      </c>
      <c r="I294" s="633">
        <f>$I$10</f>
        <v>5</v>
      </c>
      <c r="J294" s="633">
        <f>$J$10</f>
        <v>6</v>
      </c>
      <c r="K294" s="490"/>
      <c r="L294" s="490"/>
    </row>
    <row r="295" spans="1:12">
      <c r="C295" s="578"/>
      <c r="D295" s="344"/>
      <c r="E295" s="490"/>
      <c r="F295" s="491"/>
      <c r="G295" s="633"/>
      <c r="H295" s="633"/>
      <c r="I295" s="633"/>
      <c r="J295" s="633"/>
      <c r="K295" s="490"/>
      <c r="L295" s="490"/>
    </row>
    <row r="296" spans="1:12">
      <c r="A296" s="333">
        <v>1</v>
      </c>
      <c r="B296" s="332" t="s">
        <v>31</v>
      </c>
      <c r="D296" s="344"/>
      <c r="E296" s="196"/>
      <c r="F296" s="347">
        <f t="shared" ref="F296:L296" si="76">F191-F238+F283</f>
        <v>305229696.14246577</v>
      </c>
      <c r="G296" s="347">
        <f t="shared" si="76"/>
        <v>211261529</v>
      </c>
      <c r="H296" s="347">
        <f t="shared" si="76"/>
        <v>69246040</v>
      </c>
      <c r="I296" s="347">
        <f t="shared" si="76"/>
        <v>18955601</v>
      </c>
      <c r="J296" s="347">
        <f t="shared" si="76"/>
        <v>5766526</v>
      </c>
      <c r="K296" s="347">
        <f t="shared" si="76"/>
        <v>305229696</v>
      </c>
      <c r="L296" s="347">
        <f t="shared" si="76"/>
        <v>0.14246575348079205</v>
      </c>
    </row>
    <row r="297" spans="1:12">
      <c r="A297" s="333">
        <v>2</v>
      </c>
      <c r="D297" s="344"/>
      <c r="E297" s="196"/>
      <c r="I297" s="332"/>
    </row>
    <row r="298" spans="1:12">
      <c r="A298" s="333">
        <v>3</v>
      </c>
      <c r="B298" s="332" t="s">
        <v>32</v>
      </c>
      <c r="D298" s="344"/>
      <c r="E298" s="196"/>
      <c r="I298" s="332"/>
    </row>
    <row r="299" spans="1:12">
      <c r="A299" s="333">
        <v>4</v>
      </c>
      <c r="D299" s="344"/>
      <c r="E299" s="196"/>
      <c r="I299" s="332"/>
    </row>
    <row r="300" spans="1:12">
      <c r="A300" s="333">
        <v>5</v>
      </c>
      <c r="B300" s="332" t="s">
        <v>33</v>
      </c>
      <c r="D300" s="344"/>
      <c r="E300" s="196"/>
      <c r="I300" s="332"/>
    </row>
    <row r="301" spans="1:12">
      <c r="A301" s="333">
        <v>6</v>
      </c>
      <c r="C301" s="332" t="str">
        <f>'FR-16(7)(v)-1 Functional'!C301</f>
        <v>GAS ENRICHER LIQUID</v>
      </c>
      <c r="D301" s="344" t="str">
        <f>'FR-16(7)(v)-1 Functional'!D301</f>
        <v>K301</v>
      </c>
      <c r="E301" s="196"/>
      <c r="F301" s="479">
        <f>'FR-16(7)(v)-1 Functional'!F301</f>
        <v>1284114</v>
      </c>
      <c r="G301" s="349">
        <f>'FR-16(7)(v)-6 DISTR Cust Alloc'!G301+'FR-16(7)(v)-5 DISTR Dem Alloc'!G301+'FR-16(7)(v)-3 PROD Comm Alloc'!G301</f>
        <v>650879</v>
      </c>
      <c r="H301" s="349">
        <f>'FR-16(7)(v)-6 DISTR Cust Alloc'!H301+'FR-16(7)(v)-5 DISTR Dem Alloc'!H301+'FR-16(7)(v)-3 PROD Comm Alloc'!H301</f>
        <v>370749</v>
      </c>
      <c r="I301" s="349">
        <f>'FR-16(7)(v)-6 DISTR Cust Alloc'!I301+'FR-16(7)(v)-5 DISTR Dem Alloc'!I301+'FR-16(7)(v)-3 PROD Comm Alloc'!I301</f>
        <v>262486</v>
      </c>
      <c r="J301" s="349">
        <f>'FR-16(7)(v)-6 DISTR Cust Alloc'!J301+'FR-16(7)(v)-5 DISTR Dem Alloc'!J301+'FR-16(7)(v)-3 PROD Comm Alloc'!J301</f>
        <v>0</v>
      </c>
      <c r="K301" s="347">
        <f>SUM(G301:J301)</f>
        <v>1284114</v>
      </c>
      <c r="L301" s="347">
        <f>F301-K301</f>
        <v>0</v>
      </c>
    </row>
    <row r="302" spans="1:12">
      <c r="A302" s="333">
        <v>7</v>
      </c>
      <c r="C302" s="359" t="str">
        <f>'FR-16(7)(v)-1 Functional'!C302</f>
        <v>OTHER SUPPLIES</v>
      </c>
      <c r="D302" s="344" t="str">
        <f>'FR-16(7)(v)-1 Functional'!D302</f>
        <v>NP29</v>
      </c>
      <c r="E302" s="196"/>
      <c r="F302" s="479">
        <f>'FR-16(7)(v)-1 Functional'!F302</f>
        <v>1143072</v>
      </c>
      <c r="G302" s="349">
        <f>'FR-16(7)(v)-6 DISTR Cust Alloc'!G302+'FR-16(7)(v)-5 DISTR Dem Alloc'!G302+'FR-16(7)(v)-3 PROD Comm Alloc'!G302</f>
        <v>794471</v>
      </c>
      <c r="H302" s="349">
        <f>'FR-16(7)(v)-6 DISTR Cust Alloc'!H302+'FR-16(7)(v)-5 DISTR Dem Alloc'!H302+'FR-16(7)(v)-3 PROD Comm Alloc'!H302</f>
        <v>257689</v>
      </c>
      <c r="I302" s="349">
        <f>'FR-16(7)(v)-6 DISTR Cust Alloc'!I302+'FR-16(7)(v)-5 DISTR Dem Alloc'!I302+'FR-16(7)(v)-3 PROD Comm Alloc'!I302</f>
        <v>70072</v>
      </c>
      <c r="J302" s="349">
        <f>'FR-16(7)(v)-6 DISTR Cust Alloc'!J302+'FR-16(7)(v)-5 DISTR Dem Alloc'!J302+'FR-16(7)(v)-3 PROD Comm Alloc'!J302</f>
        <v>20840</v>
      </c>
      <c r="K302" s="347">
        <f>SUM(G302:J302)</f>
        <v>1143072</v>
      </c>
      <c r="L302" s="347">
        <f>F302-K302</f>
        <v>0</v>
      </c>
    </row>
    <row r="303" spans="1:12">
      <c r="A303" s="333">
        <v>8</v>
      </c>
      <c r="C303" s="332" t="str">
        <f>'FR-16(7)(v)-1 Functional'!C303</f>
        <v xml:space="preserve">  TOTAL PLANT MATS. &amp; SUPPLIES</v>
      </c>
      <c r="D303" s="344"/>
      <c r="E303" s="196"/>
      <c r="F303" s="348">
        <f t="shared" ref="F303:L303" si="77">SUM(F300:F302)</f>
        <v>2427186</v>
      </c>
      <c r="G303" s="348">
        <f t="shared" si="77"/>
        <v>1445350</v>
      </c>
      <c r="H303" s="348">
        <f t="shared" si="77"/>
        <v>628438</v>
      </c>
      <c r="I303" s="348">
        <f t="shared" si="77"/>
        <v>332558</v>
      </c>
      <c r="J303" s="348">
        <f t="shared" si="77"/>
        <v>20840</v>
      </c>
      <c r="K303" s="348">
        <f t="shared" si="77"/>
        <v>2427186</v>
      </c>
      <c r="L303" s="348">
        <f t="shared" si="77"/>
        <v>0</v>
      </c>
    </row>
    <row r="304" spans="1:12">
      <c r="A304" s="333">
        <v>9</v>
      </c>
      <c r="B304" s="332" t="s">
        <v>34</v>
      </c>
      <c r="D304" s="344"/>
      <c r="E304" s="196"/>
      <c r="F304" s="347">
        <f t="shared" ref="F304:L304" si="78">F303</f>
        <v>2427186</v>
      </c>
      <c r="G304" s="670">
        <f t="shared" si="78"/>
        <v>1445350</v>
      </c>
      <c r="H304" s="670">
        <f t="shared" si="78"/>
        <v>628438</v>
      </c>
      <c r="I304" s="347">
        <f t="shared" si="78"/>
        <v>332558</v>
      </c>
      <c r="J304" s="347">
        <f t="shared" si="78"/>
        <v>20840</v>
      </c>
      <c r="K304" s="347">
        <f t="shared" si="78"/>
        <v>2427186</v>
      </c>
      <c r="L304" s="347">
        <f t="shared" si="78"/>
        <v>0</v>
      </c>
    </row>
    <row r="305" spans="1:12">
      <c r="A305" s="333">
        <v>10</v>
      </c>
      <c r="D305" s="344"/>
      <c r="E305" s="196"/>
      <c r="I305" s="332"/>
    </row>
    <row r="306" spans="1:12">
      <c r="A306" s="333">
        <v>11</v>
      </c>
      <c r="B306" s="332" t="s">
        <v>35</v>
      </c>
      <c r="D306" s="344"/>
      <c r="E306" s="196"/>
      <c r="I306" s="332"/>
    </row>
    <row r="307" spans="1:12">
      <c r="A307" s="333">
        <v>12</v>
      </c>
      <c r="C307" s="332" t="str">
        <f>'FR-16(7)(v)-1 Functional'!C307</f>
        <v>INSURANCE GENERAL</v>
      </c>
      <c r="D307" s="344" t="str">
        <f>'FR-16(7)(v)-1 Functional'!D307</f>
        <v>OM39</v>
      </c>
      <c r="E307" s="196"/>
      <c r="F307" s="479">
        <f>'FR-16(7)(v)-1 Functional'!F307</f>
        <v>37742</v>
      </c>
      <c r="G307" s="349">
        <f>'FR-16(7)(v)-6 DISTR Cust Alloc'!G307+'FR-16(7)(v)-5 DISTR Dem Alloc'!G307+'FR-16(7)(v)-3 PROD Comm Alloc'!G307</f>
        <v>22330</v>
      </c>
      <c r="H307" s="349">
        <f>'FR-16(7)(v)-6 DISTR Cust Alloc'!H307+'FR-16(7)(v)-5 DISTR Dem Alloc'!H307+'FR-16(7)(v)-3 PROD Comm Alloc'!H307</f>
        <v>9653</v>
      </c>
      <c r="I307" s="349">
        <f>'FR-16(7)(v)-6 DISTR Cust Alloc'!I307+'FR-16(7)(v)-5 DISTR Dem Alloc'!I307+'FR-16(7)(v)-3 PROD Comm Alloc'!I307</f>
        <v>5504</v>
      </c>
      <c r="J307" s="349">
        <f>'FR-16(7)(v)-6 DISTR Cust Alloc'!J307+'FR-16(7)(v)-5 DISTR Dem Alloc'!J307+'FR-16(7)(v)-3 PROD Comm Alloc'!J307</f>
        <v>255</v>
      </c>
      <c r="K307" s="347">
        <f>SUM(G307:J307)</f>
        <v>37742</v>
      </c>
      <c r="L307" s="347">
        <f>F307-K307</f>
        <v>0</v>
      </c>
    </row>
    <row r="308" spans="1:12">
      <c r="A308" s="333">
        <v>13</v>
      </c>
      <c r="C308" s="332" t="str">
        <f>'FR-16(7)(v)-1 Functional'!C308</f>
        <v>EXCISE TAX</v>
      </c>
      <c r="D308" s="344" t="str">
        <f>'FR-16(7)(v)-1 Functional'!D308</f>
        <v>OM39</v>
      </c>
      <c r="E308" s="196"/>
      <c r="F308" s="479">
        <f>'FR-16(7)(v)-1 Functional'!F308</f>
        <v>0</v>
      </c>
      <c r="G308" s="349">
        <f>'FR-16(7)(v)-6 DISTR Cust Alloc'!G308+'FR-16(7)(v)-5 DISTR Dem Alloc'!G308+'FR-16(7)(v)-3 PROD Comm Alloc'!G308</f>
        <v>0</v>
      </c>
      <c r="H308" s="349">
        <f>'FR-16(7)(v)-6 DISTR Cust Alloc'!H308+'FR-16(7)(v)-5 DISTR Dem Alloc'!H308+'FR-16(7)(v)-3 PROD Comm Alloc'!H308</f>
        <v>0</v>
      </c>
      <c r="I308" s="349">
        <f>'FR-16(7)(v)-6 DISTR Cust Alloc'!I308+'FR-16(7)(v)-5 DISTR Dem Alloc'!I308+'FR-16(7)(v)-3 PROD Comm Alloc'!I308</f>
        <v>0</v>
      </c>
      <c r="J308" s="349">
        <f>'FR-16(7)(v)-6 DISTR Cust Alloc'!J308+'FR-16(7)(v)-5 DISTR Dem Alloc'!J308+'FR-16(7)(v)-3 PROD Comm Alloc'!J308</f>
        <v>0</v>
      </c>
      <c r="K308" s="347">
        <f>SUM(G308:J308)</f>
        <v>0</v>
      </c>
      <c r="L308" s="347">
        <f>F308-K308</f>
        <v>0</v>
      </c>
    </row>
    <row r="309" spans="1:12">
      <c r="A309" s="333">
        <v>14</v>
      </c>
      <c r="C309" s="332" t="str">
        <f>'FR-16(7)(v)-1 Functional'!C309</f>
        <v>GAS PURCHASE</v>
      </c>
      <c r="D309" s="344" t="str">
        <f>'FR-16(7)(v)-1 Functional'!D309</f>
        <v>K301</v>
      </c>
      <c r="E309" s="196"/>
      <c r="F309" s="479">
        <f>'FR-16(7)(v)-1 Functional'!F309</f>
        <v>0</v>
      </c>
      <c r="G309" s="349">
        <f>'FR-16(7)(v)-6 DISTR Cust Alloc'!G309+'FR-16(7)(v)-5 DISTR Dem Alloc'!G309+'FR-16(7)(v)-3 PROD Comm Alloc'!G309</f>
        <v>0</v>
      </c>
      <c r="H309" s="349">
        <f>'FR-16(7)(v)-6 DISTR Cust Alloc'!H309+'FR-16(7)(v)-5 DISTR Dem Alloc'!H309+'FR-16(7)(v)-3 PROD Comm Alloc'!H309</f>
        <v>0</v>
      </c>
      <c r="I309" s="349">
        <f>'FR-16(7)(v)-6 DISTR Cust Alloc'!I309+'FR-16(7)(v)-5 DISTR Dem Alloc'!I309+'FR-16(7)(v)-3 PROD Comm Alloc'!I309</f>
        <v>0</v>
      </c>
      <c r="J309" s="349">
        <f>'FR-16(7)(v)-6 DISTR Cust Alloc'!J309+'FR-16(7)(v)-5 DISTR Dem Alloc'!J309+'FR-16(7)(v)-3 PROD Comm Alloc'!J309</f>
        <v>0</v>
      </c>
      <c r="K309" s="347">
        <f>SUM(G309:J309)</f>
        <v>0</v>
      </c>
      <c r="L309" s="347">
        <f>F309-K309</f>
        <v>0</v>
      </c>
    </row>
    <row r="310" spans="1:12">
      <c r="A310" s="333">
        <v>15</v>
      </c>
      <c r="C310" s="339" t="str">
        <f>'FR-16(7)(v)-1 Functional'!C310</f>
        <v xml:space="preserve">  TOTAL PREPAYMENTS</v>
      </c>
      <c r="D310" s="344"/>
      <c r="E310" s="196"/>
      <c r="F310" s="579">
        <f t="shared" ref="F310:L310" si="79">SUM(F306:F309)</f>
        <v>37742</v>
      </c>
      <c r="G310" s="579">
        <f t="shared" si="79"/>
        <v>22330</v>
      </c>
      <c r="H310" s="579">
        <f t="shared" si="79"/>
        <v>9653</v>
      </c>
      <c r="I310" s="579">
        <f t="shared" si="79"/>
        <v>5504</v>
      </c>
      <c r="J310" s="579">
        <f t="shared" si="79"/>
        <v>255</v>
      </c>
      <c r="K310" s="579">
        <f t="shared" si="79"/>
        <v>37742</v>
      </c>
      <c r="L310" s="579">
        <f t="shared" si="79"/>
        <v>0</v>
      </c>
    </row>
    <row r="311" spans="1:12">
      <c r="A311" s="333">
        <v>16</v>
      </c>
      <c r="D311" s="344"/>
      <c r="E311" s="196"/>
      <c r="I311" s="332"/>
    </row>
    <row r="312" spans="1:12">
      <c r="A312" s="333">
        <v>17</v>
      </c>
      <c r="B312" s="332" t="s">
        <v>36</v>
      </c>
      <c r="D312" s="344"/>
      <c r="E312" s="196"/>
      <c r="F312" s="347">
        <f>IF(WorkingCap="No",0,ROUND((F433-F348-F353)/8,0))</f>
        <v>3021735</v>
      </c>
      <c r="G312" s="347">
        <f>F312-SUM(H312:J312)</f>
        <v>2173007</v>
      </c>
      <c r="H312" s="347">
        <f>IF(WorkingCap="No",0,ROUND((H433-H348-H353)/8,0))</f>
        <v>622976</v>
      </c>
      <c r="I312" s="347">
        <f>IF(WorkingCap="No",0,ROUND((I433-I348-I353)/8,0))</f>
        <v>174644</v>
      </c>
      <c r="J312" s="347">
        <f>IF(WorkingCap="No",0,ROUND((J433-J348-J353)/8,0))</f>
        <v>51108</v>
      </c>
      <c r="K312" s="347">
        <f>SUM(G312:J312)</f>
        <v>3021735</v>
      </c>
      <c r="L312" s="347">
        <f>F312-K312</f>
        <v>0</v>
      </c>
    </row>
    <row r="313" spans="1:12">
      <c r="A313" s="333">
        <v>18</v>
      </c>
      <c r="B313" s="332" t="s">
        <v>37</v>
      </c>
      <c r="D313" s="344"/>
      <c r="E313" s="196"/>
      <c r="F313" s="347">
        <f t="shared" ref="F313:L313" si="80">F312</f>
        <v>3021735</v>
      </c>
      <c r="G313" s="670">
        <f t="shared" si="80"/>
        <v>2173007</v>
      </c>
      <c r="H313" s="670">
        <f t="shared" si="80"/>
        <v>622976</v>
      </c>
      <c r="I313" s="670">
        <f t="shared" si="80"/>
        <v>174644</v>
      </c>
      <c r="J313" s="347">
        <f t="shared" si="80"/>
        <v>51108</v>
      </c>
      <c r="K313" s="347">
        <f t="shared" si="80"/>
        <v>3021735</v>
      </c>
      <c r="L313" s="347">
        <f t="shared" si="80"/>
        <v>0</v>
      </c>
    </row>
    <row r="314" spans="1:12">
      <c r="A314" s="333">
        <v>19</v>
      </c>
      <c r="D314" s="344"/>
      <c r="E314" s="196"/>
      <c r="I314" s="332"/>
    </row>
    <row r="315" spans="1:12">
      <c r="A315" s="333">
        <v>20</v>
      </c>
      <c r="B315" s="332" t="s">
        <v>38</v>
      </c>
      <c r="D315" s="344"/>
      <c r="E315" s="196"/>
      <c r="I315" s="332"/>
    </row>
    <row r="316" spans="1:12">
      <c r="A316" s="333">
        <v>21</v>
      </c>
      <c r="C316" s="618" t="str">
        <f>'FR-16(7)(v)-1 Functional'!C316</f>
        <v>GAS STORED UNDERGROUND</v>
      </c>
      <c r="D316" s="344" t="str">
        <f>'FR-16(7)(v)-1 Functional'!D316</f>
        <v>K301</v>
      </c>
      <c r="E316" s="196"/>
      <c r="F316" s="479">
        <f>'FR-16(7)(v)-1 Functional'!F316</f>
        <v>2958880</v>
      </c>
      <c r="G316" s="349">
        <f>'FR-16(7)(v)-6 DISTR Cust Alloc'!G316+'FR-16(7)(v)-5 DISTR Dem Alloc'!G316+'FR-16(7)(v)-3 PROD Comm Alloc'!G316</f>
        <v>1499767</v>
      </c>
      <c r="H316" s="349">
        <f>'FR-16(7)(v)-6 DISTR Cust Alloc'!H316+'FR-16(7)(v)-5 DISTR Dem Alloc'!H316+'FR-16(7)(v)-3 PROD Comm Alloc'!H316</f>
        <v>854288</v>
      </c>
      <c r="I316" s="349">
        <f>'FR-16(7)(v)-6 DISTR Cust Alloc'!I316+'FR-16(7)(v)-5 DISTR Dem Alloc'!I316+'FR-16(7)(v)-3 PROD Comm Alloc'!I316</f>
        <v>604825</v>
      </c>
      <c r="J316" s="349">
        <f>'FR-16(7)(v)-6 DISTR Cust Alloc'!J316+'FR-16(7)(v)-5 DISTR Dem Alloc'!J316+'FR-16(7)(v)-3 PROD Comm Alloc'!J316</f>
        <v>0</v>
      </c>
      <c r="K316" s="347">
        <f>SUM(G316:J316)</f>
        <v>2958880</v>
      </c>
      <c r="L316" s="347">
        <f>F316-K316</f>
        <v>0</v>
      </c>
    </row>
    <row r="317" spans="1:12">
      <c r="A317" s="333">
        <v>22</v>
      </c>
      <c r="C317" s="353" t="str">
        <f>'FR-16(7)(v)-1 Functional'!C317</f>
        <v>PIPP UNCOLLECTIBLES</v>
      </c>
      <c r="D317" s="344" t="str">
        <f>'FR-16(7)(v)-1 Functional'!D317</f>
        <v>K406</v>
      </c>
      <c r="E317" s="196"/>
      <c r="F317" s="479">
        <f>'FR-16(7)(v)-1 Functional'!F317</f>
        <v>0</v>
      </c>
      <c r="G317" s="349">
        <f>'FR-16(7)(v)-6 DISTR Cust Alloc'!G317+'FR-16(7)(v)-5 DISTR Dem Alloc'!G317+'FR-16(7)(v)-3 PROD Comm Alloc'!G317</f>
        <v>0</v>
      </c>
      <c r="H317" s="349">
        <f>'FR-16(7)(v)-6 DISTR Cust Alloc'!H317+'FR-16(7)(v)-5 DISTR Dem Alloc'!H317+'FR-16(7)(v)-3 PROD Comm Alloc'!H317</f>
        <v>0</v>
      </c>
      <c r="I317" s="349">
        <f>'FR-16(7)(v)-6 DISTR Cust Alloc'!I317+'FR-16(7)(v)-5 DISTR Dem Alloc'!I317+'FR-16(7)(v)-3 PROD Comm Alloc'!I317</f>
        <v>0</v>
      </c>
      <c r="J317" s="349">
        <f>'FR-16(7)(v)-6 DISTR Cust Alloc'!J317+'FR-16(7)(v)-5 DISTR Dem Alloc'!J317+'FR-16(7)(v)-3 PROD Comm Alloc'!J317</f>
        <v>0</v>
      </c>
      <c r="K317" s="347">
        <f>SUM(G317:J317)</f>
        <v>0</v>
      </c>
      <c r="L317" s="347">
        <f>F317-K317</f>
        <v>0</v>
      </c>
    </row>
    <row r="318" spans="1:12">
      <c r="A318" s="333">
        <v>23</v>
      </c>
      <c r="C318" s="511" t="str">
        <f>'FR-16(7)(v)-1 Functional'!C318</f>
        <v>RESERVED FOR FUTURE USE</v>
      </c>
      <c r="D318" s="344" t="str">
        <f>'FR-16(7)(v)-1 Functional'!D318</f>
        <v>D249</v>
      </c>
      <c r="E318" s="196"/>
      <c r="F318" s="479">
        <f>'FR-16(7)(v)-1 Functional'!F318</f>
        <v>0</v>
      </c>
      <c r="G318" s="349">
        <f>'FR-16(7)(v)-6 DISTR Cust Alloc'!G318+'FR-16(7)(v)-5 DISTR Dem Alloc'!G318+'FR-16(7)(v)-3 PROD Comm Alloc'!G318</f>
        <v>0</v>
      </c>
      <c r="H318" s="349">
        <f>'FR-16(7)(v)-6 DISTR Cust Alloc'!H318+'FR-16(7)(v)-5 DISTR Dem Alloc'!H318+'FR-16(7)(v)-3 PROD Comm Alloc'!H318</f>
        <v>0</v>
      </c>
      <c r="I318" s="349">
        <f>'FR-16(7)(v)-6 DISTR Cust Alloc'!I318+'FR-16(7)(v)-5 DISTR Dem Alloc'!I318+'FR-16(7)(v)-3 PROD Comm Alloc'!I318</f>
        <v>0</v>
      </c>
      <c r="J318" s="349">
        <f>'FR-16(7)(v)-6 DISTR Cust Alloc'!J318+'FR-16(7)(v)-5 DISTR Dem Alloc'!J318+'FR-16(7)(v)-3 PROD Comm Alloc'!J318</f>
        <v>0</v>
      </c>
      <c r="K318" s="347">
        <f>SUM(G318:J318)</f>
        <v>0</v>
      </c>
      <c r="L318" s="347">
        <f>F318-K318</f>
        <v>0</v>
      </c>
    </row>
    <row r="319" spans="1:12">
      <c r="A319" s="333">
        <v>24</v>
      </c>
      <c r="C319" s="332" t="str">
        <f>'FR-16(7)(v)-1 Functional'!C319</f>
        <v xml:space="preserve">  TOTAL MISC WORK CAPITAL</v>
      </c>
      <c r="D319" s="344"/>
      <c r="E319" s="196"/>
      <c r="F319" s="348">
        <f t="shared" ref="F319:L319" si="81">SUM(F315:F318)</f>
        <v>2958880</v>
      </c>
      <c r="G319" s="348">
        <f t="shared" si="81"/>
        <v>1499767</v>
      </c>
      <c r="H319" s="348">
        <f t="shared" si="81"/>
        <v>854288</v>
      </c>
      <c r="I319" s="348">
        <f t="shared" si="81"/>
        <v>604825</v>
      </c>
      <c r="J319" s="348">
        <f t="shared" si="81"/>
        <v>0</v>
      </c>
      <c r="K319" s="348">
        <f t="shared" si="81"/>
        <v>2958880</v>
      </c>
      <c r="L319" s="348">
        <f t="shared" si="81"/>
        <v>0</v>
      </c>
    </row>
    <row r="320" spans="1:12">
      <c r="A320" s="333">
        <v>25</v>
      </c>
      <c r="D320" s="344"/>
      <c r="E320" s="196"/>
      <c r="I320" s="332"/>
    </row>
    <row r="321" spans="1:12">
      <c r="A321" s="333">
        <v>26</v>
      </c>
      <c r="B321" s="332" t="s">
        <v>39</v>
      </c>
      <c r="D321" s="344"/>
      <c r="E321" s="196"/>
      <c r="F321" s="347">
        <f t="shared" ref="F321:L321" si="82">F304+F310+F313+F319</f>
        <v>8445543</v>
      </c>
      <c r="G321" s="347">
        <f t="shared" si="82"/>
        <v>5140454</v>
      </c>
      <c r="H321" s="347">
        <f t="shared" si="82"/>
        <v>2115355</v>
      </c>
      <c r="I321" s="347">
        <f t="shared" si="82"/>
        <v>1117531</v>
      </c>
      <c r="J321" s="347">
        <f t="shared" si="82"/>
        <v>72203</v>
      </c>
      <c r="K321" s="347">
        <f t="shared" si="82"/>
        <v>8445543</v>
      </c>
      <c r="L321" s="347">
        <f t="shared" si="82"/>
        <v>0</v>
      </c>
    </row>
    <row r="322" spans="1:12">
      <c r="A322" s="333">
        <v>27</v>
      </c>
      <c r="B322" s="332" t="s">
        <v>40</v>
      </c>
      <c r="D322" s="344"/>
      <c r="E322" s="196"/>
      <c r="I322" s="332"/>
    </row>
    <row r="323" spans="1:12">
      <c r="A323" s="333">
        <v>28</v>
      </c>
      <c r="C323" s="332" t="str">
        <f>'FR-16(7)(v)-1 Functional'!C323</f>
        <v>TOTAL ACCUMULATED DEFERRED INCOME TAXES</v>
      </c>
      <c r="D323" s="344"/>
      <c r="E323" s="196"/>
      <c r="F323" s="347">
        <f t="shared" ref="F323:L323" si="83">-F238</f>
        <v>-97881988.857534245</v>
      </c>
      <c r="G323" s="347">
        <f t="shared" si="83"/>
        <v>-68753980</v>
      </c>
      <c r="H323" s="347">
        <f t="shared" si="83"/>
        <v>-21616125</v>
      </c>
      <c r="I323" s="347">
        <f t="shared" si="83"/>
        <v>-5848167</v>
      </c>
      <c r="J323" s="347">
        <f t="shared" si="83"/>
        <v>-1663717</v>
      </c>
      <c r="K323" s="347">
        <f t="shared" si="83"/>
        <v>-97881989</v>
      </c>
      <c r="L323" s="347">
        <f t="shared" si="83"/>
        <v>0.14246575348079205</v>
      </c>
    </row>
    <row r="324" spans="1:12">
      <c r="A324" s="333">
        <v>29</v>
      </c>
      <c r="C324" s="332" t="str">
        <f>'FR-16(7)(v)-1 Functional'!C324</f>
        <v>TOTAL OTHER ACCUMULATED DEFERRED INCOME TAXES</v>
      </c>
      <c r="D324" s="344"/>
      <c r="E324" s="196"/>
      <c r="F324" s="347">
        <f t="shared" ref="F324:L324" si="84">F283</f>
        <v>2026187</v>
      </c>
      <c r="G324" s="347">
        <f t="shared" si="84"/>
        <v>1247807</v>
      </c>
      <c r="H324" s="347">
        <f t="shared" si="84"/>
        <v>442483</v>
      </c>
      <c r="I324" s="347">
        <f t="shared" si="84"/>
        <v>217458</v>
      </c>
      <c r="J324" s="347">
        <f t="shared" si="84"/>
        <v>118439</v>
      </c>
      <c r="K324" s="347">
        <f t="shared" si="84"/>
        <v>2026187</v>
      </c>
      <c r="L324" s="347">
        <f t="shared" si="84"/>
        <v>0</v>
      </c>
    </row>
    <row r="325" spans="1:12">
      <c r="A325" s="333">
        <v>30</v>
      </c>
      <c r="C325" s="359" t="str">
        <f>'FR-16(7)(v)-1 Functional'!C325</f>
        <v>TOTAL WORKING CAPITAL</v>
      </c>
      <c r="D325" s="344"/>
      <c r="E325" s="196"/>
      <c r="F325" s="347">
        <f t="shared" ref="F325:L325" si="85">F321</f>
        <v>8445543</v>
      </c>
      <c r="G325" s="347">
        <f t="shared" si="85"/>
        <v>5140454</v>
      </c>
      <c r="H325" s="347">
        <f t="shared" si="85"/>
        <v>2115355</v>
      </c>
      <c r="I325" s="347">
        <f t="shared" si="85"/>
        <v>1117531</v>
      </c>
      <c r="J325" s="347">
        <f t="shared" si="85"/>
        <v>72203</v>
      </c>
      <c r="K325" s="347">
        <f t="shared" si="85"/>
        <v>8445543</v>
      </c>
      <c r="L325" s="347">
        <f t="shared" si="85"/>
        <v>0</v>
      </c>
    </row>
    <row r="326" spans="1:12">
      <c r="A326" s="333">
        <v>31</v>
      </c>
      <c r="C326" s="332" t="str">
        <f>'FR-16(7)(v)-1 Functional'!C326</f>
        <v xml:space="preserve">  TOTAL RATE BASE ADJUSTMENTS</v>
      </c>
      <c r="D326" s="344"/>
      <c r="E326" s="196"/>
      <c r="F326" s="348">
        <f t="shared" ref="F326:L326" si="86">SUM(F322:F325)</f>
        <v>-87410258.857534245</v>
      </c>
      <c r="G326" s="348">
        <f t="shared" si="86"/>
        <v>-62365719</v>
      </c>
      <c r="H326" s="348">
        <f t="shared" si="86"/>
        <v>-19058287</v>
      </c>
      <c r="I326" s="348">
        <f t="shared" si="86"/>
        <v>-4513178</v>
      </c>
      <c r="J326" s="348">
        <f t="shared" si="86"/>
        <v>-1473075</v>
      </c>
      <c r="K326" s="348">
        <f t="shared" si="86"/>
        <v>-87410259</v>
      </c>
      <c r="L326" s="348">
        <f t="shared" si="86"/>
        <v>0.14246575348079205</v>
      </c>
    </row>
    <row r="327" spans="1:12">
      <c r="A327" s="333">
        <v>32</v>
      </c>
      <c r="D327" s="344"/>
      <c r="E327" s="196"/>
      <c r="I327" s="332"/>
    </row>
    <row r="328" spans="1:12">
      <c r="A328" s="333">
        <v>33</v>
      </c>
      <c r="B328" s="332" t="s">
        <v>41</v>
      </c>
      <c r="D328" s="344"/>
      <c r="E328" s="196"/>
      <c r="I328" s="332"/>
    </row>
    <row r="329" spans="1:12">
      <c r="A329" s="333">
        <v>34</v>
      </c>
      <c r="C329" s="332" t="str">
        <f>'FR-16(7)(v)-1 Functional'!C329</f>
        <v>NET GAS PLANT IN SERVICE</v>
      </c>
      <c r="D329" s="344"/>
      <c r="E329" s="196"/>
      <c r="F329" s="347">
        <f t="shared" ref="F329:L329" si="87">F191</f>
        <v>401085498</v>
      </c>
      <c r="G329" s="347">
        <f t="shared" si="87"/>
        <v>278767702</v>
      </c>
      <c r="H329" s="347">
        <f t="shared" si="87"/>
        <v>90419682</v>
      </c>
      <c r="I329" s="347">
        <f t="shared" si="87"/>
        <v>24586310</v>
      </c>
      <c r="J329" s="347">
        <f t="shared" si="87"/>
        <v>7311804</v>
      </c>
      <c r="K329" s="347">
        <f t="shared" si="87"/>
        <v>401085498</v>
      </c>
      <c r="L329" s="347">
        <f t="shared" si="87"/>
        <v>0</v>
      </c>
    </row>
    <row r="330" spans="1:12">
      <c r="A330" s="333">
        <v>35</v>
      </c>
      <c r="C330" s="359" t="str">
        <f>'FR-16(7)(v)-1 Functional'!C330</f>
        <v>TOTAL RATE BASE ADJUSTMENTS</v>
      </c>
      <c r="D330" s="344"/>
      <c r="E330" s="196"/>
      <c r="F330" s="347">
        <f t="shared" ref="F330:L330" si="88">F326</f>
        <v>-87410258.857534245</v>
      </c>
      <c r="G330" s="347">
        <f t="shared" si="88"/>
        <v>-62365719</v>
      </c>
      <c r="H330" s="347">
        <f t="shared" si="88"/>
        <v>-19058287</v>
      </c>
      <c r="I330" s="347">
        <f t="shared" si="88"/>
        <v>-4513178</v>
      </c>
      <c r="J330" s="347">
        <f t="shared" si="88"/>
        <v>-1473075</v>
      </c>
      <c r="K330" s="347">
        <f t="shared" si="88"/>
        <v>-87410259</v>
      </c>
      <c r="L330" s="347">
        <f t="shared" si="88"/>
        <v>0.14246575348079205</v>
      </c>
    </row>
    <row r="331" spans="1:12">
      <c r="A331" s="333">
        <v>36</v>
      </c>
      <c r="C331" s="332" t="str">
        <f>'FR-16(7)(v)-1 Functional'!C331</f>
        <v xml:space="preserve">  TOTAL RATE BASE</v>
      </c>
      <c r="D331" s="344"/>
      <c r="E331" s="196"/>
      <c r="F331" s="348">
        <f t="shared" ref="F331:L331" si="89">SUM(F328:F330)</f>
        <v>313675239.14246577</v>
      </c>
      <c r="G331" s="348">
        <f t="shared" si="89"/>
        <v>216401983</v>
      </c>
      <c r="H331" s="348">
        <f t="shared" si="89"/>
        <v>71361395</v>
      </c>
      <c r="I331" s="348">
        <f t="shared" si="89"/>
        <v>20073132</v>
      </c>
      <c r="J331" s="348">
        <f t="shared" si="89"/>
        <v>5838729</v>
      </c>
      <c r="K331" s="348">
        <f t="shared" si="89"/>
        <v>313675239</v>
      </c>
      <c r="L331" s="348">
        <f t="shared" si="89"/>
        <v>0.14246575348079205</v>
      </c>
    </row>
    <row r="332" spans="1:12">
      <c r="A332" s="333">
        <v>37</v>
      </c>
      <c r="D332" s="344"/>
      <c r="E332" s="196"/>
      <c r="I332" s="332"/>
    </row>
    <row r="333" spans="1:12">
      <c r="A333" s="333">
        <v>38</v>
      </c>
      <c r="B333" s="332" t="s">
        <v>42</v>
      </c>
      <c r="D333" s="344"/>
      <c r="E333" s="196"/>
      <c r="F333" s="1284">
        <f>$F$688</f>
        <v>7.1809999999999999E-2</v>
      </c>
      <c r="G333" s="1284">
        <f>F688</f>
        <v>7.1809999999999999E-2</v>
      </c>
      <c r="H333" s="1284">
        <f>F688</f>
        <v>7.1809999999999999E-2</v>
      </c>
      <c r="I333" s="1284">
        <f>F688</f>
        <v>7.1809999999999999E-2</v>
      </c>
      <c r="J333" s="1284">
        <f>F688</f>
        <v>7.1809999999999999E-2</v>
      </c>
      <c r="K333" s="1284">
        <f>F688</f>
        <v>7.1809999999999999E-2</v>
      </c>
      <c r="L333" s="1284">
        <f>'FR-16(7)(v)-1 Functional'!F688</f>
        <v>7.1809999999999999E-2</v>
      </c>
    </row>
    <row r="334" spans="1:12">
      <c r="A334" s="333">
        <v>39</v>
      </c>
      <c r="B334" s="332" t="s">
        <v>43</v>
      </c>
      <c r="D334" s="344"/>
      <c r="E334" s="196"/>
      <c r="F334" s="347">
        <f>ROUND(F333*F331,0)</f>
        <v>22525019</v>
      </c>
      <c r="G334" s="347">
        <f>F334-SUM(H334:J334)</f>
        <v>15539826</v>
      </c>
      <c r="H334" s="477">
        <f>ROUND(H331*H333,0)</f>
        <v>5124462</v>
      </c>
      <c r="I334" s="477">
        <f>ROUND(I331*I333,0)</f>
        <v>1441452</v>
      </c>
      <c r="J334" s="477">
        <f>ROUND(J331*J333,0)</f>
        <v>419279</v>
      </c>
      <c r="K334" s="347">
        <f>SUM(G334:J334)</f>
        <v>22525019</v>
      </c>
      <c r="L334" s="347">
        <f>ROUND(L331*L333,0)</f>
        <v>0</v>
      </c>
    </row>
    <row r="335" spans="1:12">
      <c r="B335" s="343"/>
      <c r="C335" s="196"/>
      <c r="D335" s="344"/>
      <c r="E335" s="196"/>
      <c r="G335" s="196"/>
      <c r="H335" s="196"/>
      <c r="I335" s="196"/>
      <c r="J335" s="344"/>
      <c r="K335" s="196"/>
      <c r="L335" s="196"/>
    </row>
    <row r="336" spans="1:12">
      <c r="A336" s="343" t="str">
        <f>co_name</f>
        <v>DUKE ENERGY KENTUCKY, INC.</v>
      </c>
      <c r="C336" s="196"/>
      <c r="D336" s="344"/>
      <c r="E336" s="196"/>
      <c r="F336" s="344"/>
      <c r="G336" s="342"/>
      <c r="H336" s="342"/>
      <c r="I336" s="196"/>
      <c r="K336" s="361" t="str">
        <f>$K$1</f>
        <v>FR-16(7)(v)-8</v>
      </c>
      <c r="L336" s="196"/>
    </row>
    <row r="337" spans="1:12">
      <c r="A337" s="343" t="str">
        <f>$A$2</f>
        <v>TOTAL CLASS ALLOCATED - GAS COST OF SERVICE</v>
      </c>
      <c r="C337" s="196"/>
      <c r="D337" s="344"/>
      <c r="E337" s="196"/>
      <c r="F337" s="344"/>
      <c r="G337" s="342"/>
      <c r="H337" s="342"/>
      <c r="I337" s="196"/>
      <c r="K337" s="361" t="str">
        <f>$K$2</f>
        <v>WITNESS RESPONSIBLE:</v>
      </c>
      <c r="L337" s="196"/>
    </row>
    <row r="338" spans="1:12">
      <c r="A338" s="343" t="str">
        <f>case_name</f>
        <v>CASE NO: 2018-00261</v>
      </c>
      <c r="C338" s="196"/>
      <c r="D338" s="344"/>
      <c r="E338" s="196"/>
      <c r="F338" s="344"/>
      <c r="G338" s="342"/>
      <c r="H338" s="342"/>
      <c r="I338" s="196"/>
      <c r="K338" s="361" t="str">
        <f>Witness</f>
        <v>JAMES E. ZIOLKOWSKI</v>
      </c>
      <c r="L338" s="196"/>
    </row>
    <row r="339" spans="1:12">
      <c r="A339" s="343" t="str">
        <f>data_filing</f>
        <v>DATA: 12 MONTH FORECASTED PERIOD</v>
      </c>
      <c r="C339" s="196"/>
      <c r="D339" s="344"/>
      <c r="E339" s="196"/>
      <c r="F339" s="344"/>
      <c r="G339" s="342"/>
      <c r="H339" s="342"/>
      <c r="I339" s="196"/>
      <c r="K339" s="361" t="str">
        <f>"PAGE "&amp;Pages2-7&amp;" OF "&amp;Pages2</f>
        <v>PAGE 8 OF 15</v>
      </c>
      <c r="L339" s="196"/>
    </row>
    <row r="340" spans="1:12">
      <c r="A340" s="343" t="str">
        <f>type</f>
        <v xml:space="preserve">TYPE OF FILING: "X" ORIGINAL   UPDATED    REVISED  </v>
      </c>
      <c r="C340" s="196"/>
      <c r="D340" s="344"/>
      <c r="E340" s="196"/>
      <c r="F340" s="344"/>
      <c r="G340" s="342"/>
      <c r="H340" s="342"/>
      <c r="I340" s="196"/>
      <c r="J340" s="344"/>
      <c r="K340" s="196"/>
      <c r="L340" s="196"/>
    </row>
    <row r="341" spans="1:12">
      <c r="B341" s="343"/>
      <c r="C341" s="196"/>
      <c r="D341" s="344"/>
      <c r="E341" s="196"/>
      <c r="F341" s="344"/>
      <c r="G341" s="196"/>
      <c r="H341" s="196"/>
      <c r="I341" s="196"/>
      <c r="J341" s="344"/>
      <c r="K341" s="196"/>
      <c r="L341" s="196"/>
    </row>
    <row r="342" spans="1:12">
      <c r="B342" s="343"/>
      <c r="C342" s="196"/>
      <c r="D342" s="344"/>
      <c r="E342" s="196"/>
      <c r="F342" s="344" t="str">
        <f>$F$7</f>
        <v>TOTAL</v>
      </c>
      <c r="G342" s="196"/>
      <c r="H342" s="196"/>
      <c r="I342" s="196"/>
      <c r="J342" s="344"/>
      <c r="K342" s="196"/>
      <c r="L342" s="196"/>
    </row>
    <row r="343" spans="1:12">
      <c r="A343" s="344" t="s">
        <v>914</v>
      </c>
      <c r="B343" s="196"/>
      <c r="C343" s="196"/>
      <c r="D343" s="344"/>
      <c r="E343" s="196"/>
      <c r="F343" s="344" t="str">
        <f>$F$8</f>
        <v>CLASS</v>
      </c>
      <c r="G343" s="354" t="s">
        <v>773</v>
      </c>
      <c r="H343" s="354" t="s">
        <v>1282</v>
      </c>
      <c r="I343" s="354" t="s">
        <v>984</v>
      </c>
      <c r="J343" s="354" t="s">
        <v>549</v>
      </c>
      <c r="K343" s="354" t="s">
        <v>229</v>
      </c>
      <c r="L343" s="344" t="s">
        <v>342</v>
      </c>
    </row>
    <row r="344" spans="1:12">
      <c r="A344" s="346" t="s">
        <v>915</v>
      </c>
      <c r="B344" s="345" t="s">
        <v>44</v>
      </c>
      <c r="C344" s="345"/>
      <c r="D344" s="346" t="s">
        <v>337</v>
      </c>
      <c r="E344" s="345"/>
      <c r="F344" s="344" t="str">
        <f>$F$9</f>
        <v>ALLOCATED</v>
      </c>
      <c r="G344" s="355" t="s">
        <v>338</v>
      </c>
      <c r="H344" s="355" t="s">
        <v>405</v>
      </c>
      <c r="I344" s="355" t="s">
        <v>1283</v>
      </c>
      <c r="J344" s="355" t="s">
        <v>550</v>
      </c>
      <c r="K344" s="355" t="s">
        <v>341</v>
      </c>
      <c r="L344" s="346" t="s">
        <v>340</v>
      </c>
    </row>
    <row r="345" spans="1:12">
      <c r="C345" s="578" t="s">
        <v>348</v>
      </c>
      <c r="D345" s="344"/>
      <c r="E345" s="196"/>
      <c r="F345" s="761"/>
      <c r="G345" s="633">
        <f>$G$10</f>
        <v>3</v>
      </c>
      <c r="H345" s="633">
        <f>$H$10</f>
        <v>4</v>
      </c>
      <c r="I345" s="633">
        <f>$I$10</f>
        <v>5</v>
      </c>
      <c r="J345" s="633">
        <f>$J$10</f>
        <v>6</v>
      </c>
    </row>
    <row r="346" spans="1:12">
      <c r="A346" s="333">
        <v>1</v>
      </c>
      <c r="B346" s="332" t="s">
        <v>45</v>
      </c>
      <c r="D346" s="344"/>
      <c r="E346" s="196"/>
      <c r="I346" s="332"/>
    </row>
    <row r="347" spans="1:12">
      <c r="A347" s="333">
        <v>2</v>
      </c>
      <c r="B347" s="332" t="s">
        <v>46</v>
      </c>
      <c r="D347" s="344"/>
      <c r="E347" s="196"/>
      <c r="I347" s="332"/>
    </row>
    <row r="348" spans="1:12">
      <c r="A348" s="333">
        <v>3</v>
      </c>
      <c r="C348" s="332" t="str">
        <f>'FR-16(7)(v)-1 Functional'!C348</f>
        <v>ANNUALIZED GAS COST</v>
      </c>
      <c r="D348" s="344" t="str">
        <f>'FR-16(7)(v)-1 Functional'!D348</f>
        <v>K301</v>
      </c>
      <c r="E348" s="196"/>
      <c r="F348" s="479">
        <f>'FR-16(7)(v)-1 Functional'!F348</f>
        <v>36334092</v>
      </c>
      <c r="G348" s="349">
        <f>'FR-16(7)(v)-6 DISTR Cust Alloc'!G348+'FR-16(7)(v)-5 DISTR Dem Alloc'!G348+'FR-16(7)(v)-3 PROD Comm Alloc'!G348</f>
        <v>18416661</v>
      </c>
      <c r="H348" s="349">
        <f>'FR-16(7)(v)-6 DISTR Cust Alloc'!H348+'FR-16(7)(v)-5 DISTR Dem Alloc'!H348+'FR-16(7)(v)-3 PROD Comm Alloc'!H348</f>
        <v>10490379</v>
      </c>
      <c r="I348" s="349">
        <f>'FR-16(7)(v)-6 DISTR Cust Alloc'!I348+'FR-16(7)(v)-5 DISTR Dem Alloc'!I348+'FR-16(7)(v)-3 PROD Comm Alloc'!I348</f>
        <v>7427052</v>
      </c>
      <c r="J348" s="349">
        <f>'FR-16(7)(v)-6 DISTR Cust Alloc'!J348+'FR-16(7)(v)-5 DISTR Dem Alloc'!J348+'FR-16(7)(v)-3 PROD Comm Alloc'!J348</f>
        <v>0</v>
      </c>
      <c r="K348" s="347">
        <f>SUM(G348:J348)</f>
        <v>36334092</v>
      </c>
      <c r="L348" s="347">
        <f>F348-K348</f>
        <v>0</v>
      </c>
    </row>
    <row r="349" spans="1:12">
      <c r="A349" s="333">
        <v>4</v>
      </c>
      <c r="C349" s="359" t="str">
        <f>'FR-16(7)(v)-1 Functional'!C349</f>
        <v>OTHER ASSOCIATED COST</v>
      </c>
      <c r="D349" s="344" t="str">
        <f>'FR-16(7)(v)-1 Functional'!D349</f>
        <v>K300</v>
      </c>
      <c r="E349" s="196"/>
      <c r="F349" s="479">
        <f>'FR-16(7)(v)-1 Functional'!F349</f>
        <v>972828</v>
      </c>
      <c r="G349" s="349">
        <f>'FR-16(7)(v)-6 DISTR Cust Alloc'!G349+'FR-16(7)(v)-5 DISTR Dem Alloc'!G349+'FR-16(7)(v)-3 PROD Comm Alloc'!G349</f>
        <v>429747</v>
      </c>
      <c r="H349" s="349">
        <f>'FR-16(7)(v)-6 DISTR Cust Alloc'!H349+'FR-16(7)(v)-5 DISTR Dem Alloc'!H349+'FR-16(7)(v)-3 PROD Comm Alloc'!H349</f>
        <v>244802</v>
      </c>
      <c r="I349" s="349">
        <f>'FR-16(7)(v)-6 DISTR Cust Alloc'!I349+'FR-16(7)(v)-5 DISTR Dem Alloc'!I349+'FR-16(7)(v)-3 PROD Comm Alloc'!I349</f>
        <v>173319</v>
      </c>
      <c r="J349" s="349">
        <f>'FR-16(7)(v)-6 DISTR Cust Alloc'!J349+'FR-16(7)(v)-5 DISTR Dem Alloc'!J349+'FR-16(7)(v)-3 PROD Comm Alloc'!J349</f>
        <v>124960</v>
      </c>
      <c r="K349" s="347">
        <f>SUM(G349:J349)</f>
        <v>972828</v>
      </c>
      <c r="L349" s="347">
        <f>F349-K349</f>
        <v>0</v>
      </c>
    </row>
    <row r="350" spans="1:12">
      <c r="A350" s="333">
        <v>5</v>
      </c>
      <c r="C350" s="332" t="str">
        <f>'FR-16(7)(v)-1 Functional'!C350</f>
        <v xml:space="preserve">  TOTAL COMMODITY RELATED</v>
      </c>
      <c r="D350" s="344"/>
      <c r="E350" s="196"/>
      <c r="F350" s="348">
        <f t="shared" ref="F350:L350" si="90">SUM(F348:F349)</f>
        <v>37306920</v>
      </c>
      <c r="G350" s="348">
        <f t="shared" si="90"/>
        <v>18846408</v>
      </c>
      <c r="H350" s="348">
        <f t="shared" si="90"/>
        <v>10735181</v>
      </c>
      <c r="I350" s="348">
        <f t="shared" si="90"/>
        <v>7600371</v>
      </c>
      <c r="J350" s="348">
        <f t="shared" si="90"/>
        <v>124960</v>
      </c>
      <c r="K350" s="348">
        <f t="shared" si="90"/>
        <v>37306920</v>
      </c>
      <c r="L350" s="348">
        <f t="shared" si="90"/>
        <v>0</v>
      </c>
    </row>
    <row r="351" spans="1:12">
      <c r="A351" s="333">
        <v>6</v>
      </c>
      <c r="D351" s="344"/>
      <c r="E351" s="196"/>
      <c r="I351" s="332"/>
    </row>
    <row r="352" spans="1:12">
      <c r="A352" s="333">
        <v>7</v>
      </c>
      <c r="B352" s="359" t="s">
        <v>47</v>
      </c>
      <c r="C352" s="359"/>
      <c r="D352" s="344"/>
      <c r="E352" s="196"/>
      <c r="F352" s="347"/>
      <c r="G352" s="347"/>
      <c r="I352" s="332"/>
      <c r="J352" s="347"/>
      <c r="K352" s="347"/>
      <c r="L352" s="347"/>
    </row>
    <row r="353" spans="1:12">
      <c r="A353" s="333">
        <v>8</v>
      </c>
      <c r="C353" s="332" t="str">
        <f>'FR-16(7)(v)-1 Functional'!C353</f>
        <v>ANNUALIZED GAS COST - DEMAND</v>
      </c>
      <c r="D353" s="344" t="s">
        <v>290</v>
      </c>
      <c r="E353" s="196"/>
      <c r="F353" s="479">
        <f>'FR-16(7)(v)-1 Functional'!F353</f>
        <v>0</v>
      </c>
      <c r="G353" s="349">
        <f>'FR-16(7)(v)-6 DISTR Cust Alloc'!G353+'FR-16(7)(v)-5 DISTR Dem Alloc'!G353+'FR-16(7)(v)-3 PROD Comm Alloc'!G353</f>
        <v>0</v>
      </c>
      <c r="H353" s="349">
        <f>'FR-16(7)(v)-6 DISTR Cust Alloc'!H353+'FR-16(7)(v)-5 DISTR Dem Alloc'!H353+'FR-16(7)(v)-3 PROD Comm Alloc'!H353</f>
        <v>0</v>
      </c>
      <c r="I353" s="349">
        <f>'FR-16(7)(v)-6 DISTR Cust Alloc'!I353+'FR-16(7)(v)-5 DISTR Dem Alloc'!I353+'FR-16(7)(v)-3 PROD Comm Alloc'!I353</f>
        <v>0</v>
      </c>
      <c r="J353" s="349">
        <f>'FR-16(7)(v)-6 DISTR Cust Alloc'!J353+'FR-16(7)(v)-5 DISTR Dem Alloc'!J353+'FR-16(7)(v)-3 PROD Comm Alloc'!J353</f>
        <v>0</v>
      </c>
      <c r="K353" s="347">
        <f>SUM(G353:J353)</f>
        <v>0</v>
      </c>
      <c r="L353" s="347">
        <f>F353-K353</f>
        <v>0</v>
      </c>
    </row>
    <row r="354" spans="1:12">
      <c r="A354" s="333">
        <v>9</v>
      </c>
      <c r="C354" s="332" t="str">
        <f>'FR-16(7)(v)-1 Functional'!C354</f>
        <v xml:space="preserve">  TOTAL DEMAND RELATED</v>
      </c>
      <c r="D354" s="344"/>
      <c r="E354" s="196"/>
      <c r="F354" s="348">
        <f t="shared" ref="F354:L354" si="91">SUM(F352:F353)</f>
        <v>0</v>
      </c>
      <c r="G354" s="348">
        <f t="shared" si="91"/>
        <v>0</v>
      </c>
      <c r="H354" s="348">
        <f t="shared" si="91"/>
        <v>0</v>
      </c>
      <c r="I354" s="348">
        <f t="shared" si="91"/>
        <v>0</v>
      </c>
      <c r="J354" s="348">
        <f t="shared" si="91"/>
        <v>0</v>
      </c>
      <c r="K354" s="348">
        <f t="shared" si="91"/>
        <v>0</v>
      </c>
      <c r="L354" s="348">
        <f t="shared" si="91"/>
        <v>0</v>
      </c>
    </row>
    <row r="355" spans="1:12">
      <c r="A355" s="333">
        <v>10</v>
      </c>
      <c r="D355" s="344"/>
      <c r="E355" s="196"/>
      <c r="I355" s="332"/>
    </row>
    <row r="356" spans="1:12">
      <c r="A356" s="333">
        <v>11</v>
      </c>
      <c r="B356" s="332" t="s">
        <v>1010</v>
      </c>
      <c r="D356" s="344"/>
      <c r="E356" s="196"/>
      <c r="I356" s="332"/>
    </row>
    <row r="357" spans="1:12">
      <c r="A357" s="333">
        <v>12</v>
      </c>
      <c r="C357" s="359" t="str">
        <f>'FR-16(7)(v)-1 Functional'!C357</f>
        <v>PRODUCTION EXPENSES</v>
      </c>
      <c r="D357" s="344" t="str">
        <f>'FR-16(7)(v)-1 Functional'!D357</f>
        <v>K201</v>
      </c>
      <c r="E357" s="196"/>
      <c r="F357" s="479">
        <f>'FR-16(7)(v)-1 Functional'!F357</f>
        <v>0</v>
      </c>
      <c r="G357" s="349">
        <f>'FR-16(7)(v)-6 DISTR Cust Alloc'!G357+'FR-16(7)(v)-5 DISTR Dem Alloc'!G357+'FR-16(7)(v)-3 PROD Comm Alloc'!G357</f>
        <v>0</v>
      </c>
      <c r="H357" s="349">
        <f>'FR-16(7)(v)-6 DISTR Cust Alloc'!H357+'FR-16(7)(v)-5 DISTR Dem Alloc'!H357+'FR-16(7)(v)-3 PROD Comm Alloc'!H357</f>
        <v>0</v>
      </c>
      <c r="I357" s="349">
        <f>'FR-16(7)(v)-6 DISTR Cust Alloc'!I357+'FR-16(7)(v)-5 DISTR Dem Alloc'!I357+'FR-16(7)(v)-3 PROD Comm Alloc'!I357</f>
        <v>0</v>
      </c>
      <c r="J357" s="349">
        <f>'FR-16(7)(v)-6 DISTR Cust Alloc'!J357+'FR-16(7)(v)-5 DISTR Dem Alloc'!J357+'FR-16(7)(v)-3 PROD Comm Alloc'!J357</f>
        <v>0</v>
      </c>
      <c r="K357" s="347">
        <f>SUM(G357:J357)</f>
        <v>0</v>
      </c>
      <c r="L357" s="347">
        <f>F357-K357</f>
        <v>0</v>
      </c>
    </row>
    <row r="358" spans="1:12">
      <c r="A358" s="333">
        <v>13</v>
      </c>
      <c r="C358" s="332" t="str">
        <f>'FR-16(7)(v)-1 Functional'!C358</f>
        <v xml:space="preserve">  TOTAL DEM REL &amp; OTH PROD O&amp;M </v>
      </c>
      <c r="D358" s="344"/>
      <c r="E358" s="196"/>
      <c r="F358" s="348">
        <f t="shared" ref="F358:L358" si="92">SUM(F356:F357)</f>
        <v>0</v>
      </c>
      <c r="G358" s="348">
        <f t="shared" si="92"/>
        <v>0</v>
      </c>
      <c r="H358" s="348">
        <f t="shared" si="92"/>
        <v>0</v>
      </c>
      <c r="I358" s="348">
        <f t="shared" si="92"/>
        <v>0</v>
      </c>
      <c r="J358" s="348">
        <f t="shared" si="92"/>
        <v>0</v>
      </c>
      <c r="K358" s="348">
        <f t="shared" si="92"/>
        <v>0</v>
      </c>
      <c r="L358" s="348">
        <f t="shared" si="92"/>
        <v>0</v>
      </c>
    </row>
    <row r="359" spans="1:12">
      <c r="A359" s="333">
        <v>14</v>
      </c>
      <c r="D359" s="344"/>
      <c r="E359" s="196"/>
      <c r="F359" s="347"/>
      <c r="G359" s="347"/>
      <c r="I359" s="332"/>
      <c r="J359" s="347"/>
      <c r="K359" s="347"/>
      <c r="L359" s="347"/>
    </row>
    <row r="360" spans="1:12">
      <c r="A360" s="333">
        <v>15</v>
      </c>
      <c r="B360" s="332" t="s">
        <v>48</v>
      </c>
      <c r="D360" s="344"/>
      <c r="E360" s="196" t="s">
        <v>343</v>
      </c>
      <c r="F360" s="347">
        <f t="shared" ref="F360:L360" si="93">F358+F354+F350</f>
        <v>37306920</v>
      </c>
      <c r="G360" s="347">
        <f t="shared" si="93"/>
        <v>18846408</v>
      </c>
      <c r="H360" s="347">
        <f t="shared" si="93"/>
        <v>10735181</v>
      </c>
      <c r="I360" s="347">
        <f t="shared" si="93"/>
        <v>7600371</v>
      </c>
      <c r="J360" s="347">
        <f t="shared" si="93"/>
        <v>124960</v>
      </c>
      <c r="K360" s="347">
        <f t="shared" si="93"/>
        <v>37306920</v>
      </c>
      <c r="L360" s="347">
        <f t="shared" si="93"/>
        <v>0</v>
      </c>
    </row>
    <row r="361" spans="1:12">
      <c r="A361" s="333">
        <v>16</v>
      </c>
      <c r="D361" s="344"/>
      <c r="E361" s="196"/>
      <c r="I361" s="332"/>
    </row>
    <row r="362" spans="1:12">
      <c r="A362" s="333">
        <v>17</v>
      </c>
      <c r="B362" s="332" t="s">
        <v>49</v>
      </c>
      <c r="D362" s="344"/>
      <c r="E362" s="196"/>
      <c r="I362" s="332"/>
    </row>
    <row r="363" spans="1:12">
      <c r="A363" s="333">
        <v>18</v>
      </c>
      <c r="C363" s="359" t="str">
        <f>'FR-16(7)(v)-1 Functional'!C363</f>
        <v>TRANSMISSION O &amp; M</v>
      </c>
      <c r="D363" s="344" t="s">
        <v>343</v>
      </c>
      <c r="E363" s="196"/>
      <c r="F363" s="477"/>
      <c r="G363" s="347"/>
      <c r="H363" s="347"/>
      <c r="I363" s="347"/>
      <c r="J363" s="347"/>
      <c r="K363" s="347"/>
      <c r="L363" s="347"/>
    </row>
    <row r="364" spans="1:12">
      <c r="A364" s="333">
        <v>19</v>
      </c>
      <c r="C364" s="332" t="str">
        <f>'FR-16(7)(v)-1 Functional'!C364</f>
        <v xml:space="preserve">  TOTAL TRANSMISSION O &amp; M</v>
      </c>
      <c r="D364" s="344"/>
      <c r="E364" s="196"/>
      <c r="F364" s="348">
        <f t="shared" ref="F364:L364" si="94">SUM(F363)</f>
        <v>0</v>
      </c>
      <c r="G364" s="348">
        <f t="shared" si="94"/>
        <v>0</v>
      </c>
      <c r="H364" s="348">
        <f t="shared" si="94"/>
        <v>0</v>
      </c>
      <c r="I364" s="348">
        <f t="shared" si="94"/>
        <v>0</v>
      </c>
      <c r="J364" s="348">
        <f t="shared" si="94"/>
        <v>0</v>
      </c>
      <c r="K364" s="348">
        <f t="shared" si="94"/>
        <v>0</v>
      </c>
      <c r="L364" s="348">
        <f t="shared" si="94"/>
        <v>0</v>
      </c>
    </row>
    <row r="365" spans="1:12">
      <c r="A365" s="333">
        <v>20</v>
      </c>
      <c r="D365" s="344"/>
      <c r="E365" s="196"/>
      <c r="I365" s="332"/>
    </row>
    <row r="366" spans="1:12">
      <c r="A366" s="333">
        <v>21</v>
      </c>
      <c r="B366" s="332" t="s">
        <v>50</v>
      </c>
      <c r="D366" s="344"/>
      <c r="E366" s="196"/>
      <c r="I366" s="332"/>
    </row>
    <row r="367" spans="1:12">
      <c r="A367" s="333">
        <v>22</v>
      </c>
      <c r="C367" s="332" t="str">
        <f>'FR-16(7)(v)-1 Functional'!C367</f>
        <v>LOAD DISPATCHING</v>
      </c>
      <c r="D367" s="344" t="str">
        <f>'FR-16(7)(v)-1 Functional'!D367</f>
        <v>K203</v>
      </c>
      <c r="E367" s="196"/>
      <c r="F367" s="479">
        <f>'FR-16(7)(v)-1 Functional'!F367</f>
        <v>185332</v>
      </c>
      <c r="G367" s="349">
        <f>'FR-16(7)(v)-6 DISTR Cust Alloc'!G367+'FR-16(7)(v)-5 DISTR Dem Alloc'!G367+'FR-16(7)(v)-3 PROD Comm Alloc'!G367</f>
        <v>104651</v>
      </c>
      <c r="H367" s="349">
        <f>'FR-16(7)(v)-6 DISTR Cust Alloc'!H367+'FR-16(7)(v)-5 DISTR Dem Alloc'!H367+'FR-16(7)(v)-3 PROD Comm Alloc'!H367</f>
        <v>54716</v>
      </c>
      <c r="I367" s="349">
        <f>'FR-16(7)(v)-6 DISTR Cust Alloc'!I367+'FR-16(7)(v)-5 DISTR Dem Alloc'!I367+'FR-16(7)(v)-3 PROD Comm Alloc'!I367</f>
        <v>20225</v>
      </c>
      <c r="J367" s="349">
        <f>'FR-16(7)(v)-6 DISTR Cust Alloc'!J367+'FR-16(7)(v)-5 DISTR Dem Alloc'!J367+'FR-16(7)(v)-3 PROD Comm Alloc'!J367</f>
        <v>5740</v>
      </c>
      <c r="K367" s="347">
        <f t="shared" ref="K367:K377" si="95">SUM(G367:J367)</f>
        <v>185332</v>
      </c>
      <c r="L367" s="347">
        <f t="shared" ref="L367:L377" si="96">F367-K367</f>
        <v>0</v>
      </c>
    </row>
    <row r="368" spans="1:12">
      <c r="A368" s="333">
        <v>23</v>
      </c>
      <c r="C368" s="332" t="str">
        <f>'FR-16(7)(v)-1 Functional'!C368</f>
        <v>MAINS &amp; SERVICES OPER</v>
      </c>
      <c r="D368" s="344" t="str">
        <f>'FR-16(7)(v)-1 Functional'!D368</f>
        <v>K667</v>
      </c>
      <c r="E368" s="196"/>
      <c r="F368" s="479">
        <f>'FR-16(7)(v)-1 Functional'!F368</f>
        <v>2548186</v>
      </c>
      <c r="G368" s="349">
        <f>'FR-16(7)(v)-6 DISTR Cust Alloc'!G368+'FR-16(7)(v)-5 DISTR Dem Alloc'!G368+'FR-16(7)(v)-3 PROD Comm Alloc'!G368</f>
        <v>1830677</v>
      </c>
      <c r="H368" s="349">
        <f>'FR-16(7)(v)-6 DISTR Cust Alloc'!H368+'FR-16(7)(v)-5 DISTR Dem Alloc'!H368+'FR-16(7)(v)-3 PROD Comm Alloc'!H368</f>
        <v>524895</v>
      </c>
      <c r="I368" s="349">
        <f>'FR-16(7)(v)-6 DISTR Cust Alloc'!I368+'FR-16(7)(v)-5 DISTR Dem Alloc'!I368+'FR-16(7)(v)-3 PROD Comm Alloc'!I368</f>
        <v>146971</v>
      </c>
      <c r="J368" s="349">
        <f>'FR-16(7)(v)-6 DISTR Cust Alloc'!J368+'FR-16(7)(v)-5 DISTR Dem Alloc'!J368+'FR-16(7)(v)-3 PROD Comm Alloc'!J368</f>
        <v>45643</v>
      </c>
      <c r="K368" s="347">
        <f t="shared" si="95"/>
        <v>2548186</v>
      </c>
      <c r="L368" s="347">
        <f t="shared" si="96"/>
        <v>0</v>
      </c>
    </row>
    <row r="369" spans="1:12">
      <c r="A369" s="333">
        <v>24</v>
      </c>
      <c r="C369" s="332" t="str">
        <f>'FR-16(7)(v)-1 Functional'!C369</f>
        <v>M &amp; R STATION GENERAL</v>
      </c>
      <c r="D369" s="344" t="str">
        <f>'FR-16(7)(v)-1 Functional'!D369</f>
        <v>K203</v>
      </c>
      <c r="E369" s="196"/>
      <c r="F369" s="479">
        <f>'FR-16(7)(v)-1 Functional'!F369</f>
        <v>66190</v>
      </c>
      <c r="G369" s="349">
        <f>'FR-16(7)(v)-6 DISTR Cust Alloc'!G369+'FR-16(7)(v)-5 DISTR Dem Alloc'!G369+'FR-16(7)(v)-3 PROD Comm Alloc'!G369</f>
        <v>37376</v>
      </c>
      <c r="H369" s="349">
        <f>'FR-16(7)(v)-6 DISTR Cust Alloc'!H369+'FR-16(7)(v)-5 DISTR Dem Alloc'!H369+'FR-16(7)(v)-3 PROD Comm Alloc'!H369</f>
        <v>19541</v>
      </c>
      <c r="I369" s="349">
        <f>'FR-16(7)(v)-6 DISTR Cust Alloc'!I369+'FR-16(7)(v)-5 DISTR Dem Alloc'!I369+'FR-16(7)(v)-3 PROD Comm Alloc'!I369</f>
        <v>7223</v>
      </c>
      <c r="J369" s="349">
        <f>'FR-16(7)(v)-6 DISTR Cust Alloc'!J369+'FR-16(7)(v)-5 DISTR Dem Alloc'!J369+'FR-16(7)(v)-3 PROD Comm Alloc'!J369</f>
        <v>2050</v>
      </c>
      <c r="K369" s="347">
        <f t="shared" si="95"/>
        <v>66190</v>
      </c>
      <c r="L369" s="347">
        <f t="shared" si="96"/>
        <v>0</v>
      </c>
    </row>
    <row r="370" spans="1:12">
      <c r="A370" s="333">
        <v>25</v>
      </c>
      <c r="C370" s="332" t="str">
        <f>'FR-16(7)(v)-1 Functional'!C370</f>
        <v>CUSTOMER INST &amp; OTHER</v>
      </c>
      <c r="D370" s="344" t="str">
        <f>'FR-16(7)(v)-1 Functional'!D370</f>
        <v>K415</v>
      </c>
      <c r="E370" s="196"/>
      <c r="F370" s="479">
        <f>'FR-16(7)(v)-1 Functional'!F370</f>
        <v>1353005</v>
      </c>
      <c r="G370" s="349">
        <f>'FR-16(7)(v)-6 DISTR Cust Alloc'!G370+'FR-16(7)(v)-5 DISTR Dem Alloc'!G370+'FR-16(7)(v)-3 PROD Comm Alloc'!G370</f>
        <v>841488</v>
      </c>
      <c r="H370" s="349">
        <f>'FR-16(7)(v)-6 DISTR Cust Alloc'!H370+'FR-16(7)(v)-5 DISTR Dem Alloc'!H370+'FR-16(7)(v)-3 PROD Comm Alloc'!H370</f>
        <v>351579</v>
      </c>
      <c r="I370" s="349">
        <f>'FR-16(7)(v)-6 DISTR Cust Alloc'!I370+'FR-16(7)(v)-5 DISTR Dem Alloc'!I370+'FR-16(7)(v)-3 PROD Comm Alloc'!I370</f>
        <v>124598</v>
      </c>
      <c r="J370" s="349">
        <f>'FR-16(7)(v)-6 DISTR Cust Alloc'!J370+'FR-16(7)(v)-5 DISTR Dem Alloc'!J370+'FR-16(7)(v)-3 PROD Comm Alloc'!J370</f>
        <v>35340</v>
      </c>
      <c r="K370" s="347">
        <f t="shared" si="95"/>
        <v>1353005</v>
      </c>
      <c r="L370" s="347">
        <f t="shared" si="96"/>
        <v>0</v>
      </c>
    </row>
    <row r="371" spans="1:12">
      <c r="A371" s="333">
        <v>26</v>
      </c>
      <c r="C371" s="332" t="str">
        <f>'FR-16(7)(v)-1 Functional'!C371</f>
        <v>METERS &amp; HOUSE REG</v>
      </c>
      <c r="D371" s="344" t="str">
        <f>'FR-16(7)(v)-1 Functional'!D371</f>
        <v>K697</v>
      </c>
      <c r="E371" s="196"/>
      <c r="F371" s="479">
        <f>'FR-16(7)(v)-1 Functional'!F371</f>
        <v>2583784</v>
      </c>
      <c r="G371" s="349">
        <f>'FR-16(7)(v)-6 DISTR Cust Alloc'!G371+'FR-16(7)(v)-5 DISTR Dem Alloc'!G371+'FR-16(7)(v)-3 PROD Comm Alloc'!G371</f>
        <v>1971427</v>
      </c>
      <c r="H371" s="349">
        <f>'FR-16(7)(v)-6 DISTR Cust Alloc'!H371+'FR-16(7)(v)-5 DISTR Dem Alloc'!H371+'FR-16(7)(v)-3 PROD Comm Alloc'!H371</f>
        <v>582488</v>
      </c>
      <c r="I371" s="349">
        <f>'FR-16(7)(v)-6 DISTR Cust Alloc'!I371+'FR-16(7)(v)-5 DISTR Dem Alloc'!I371+'FR-16(7)(v)-3 PROD Comm Alloc'!I371</f>
        <v>20903</v>
      </c>
      <c r="J371" s="349">
        <f>'FR-16(7)(v)-6 DISTR Cust Alloc'!J371+'FR-16(7)(v)-5 DISTR Dem Alloc'!J371+'FR-16(7)(v)-3 PROD Comm Alloc'!J371</f>
        <v>8966</v>
      </c>
      <c r="K371" s="347">
        <f t="shared" si="95"/>
        <v>2583784</v>
      </c>
      <c r="L371" s="347">
        <f t="shared" si="96"/>
        <v>0</v>
      </c>
    </row>
    <row r="372" spans="1:12">
      <c r="A372" s="333">
        <v>27</v>
      </c>
      <c r="C372" s="332" t="str">
        <f>'FR-16(7)(v)-1 Functional'!C372</f>
        <v>MAINS</v>
      </c>
      <c r="D372" s="344" t="str">
        <f>'FR-16(7)(v)-1 Functional'!D372</f>
        <v>K415</v>
      </c>
      <c r="E372" s="196"/>
      <c r="F372" s="479">
        <f>'FR-16(7)(v)-1 Functional'!F372</f>
        <v>2158350</v>
      </c>
      <c r="G372" s="349">
        <f>'FR-16(7)(v)-6 DISTR Cust Alloc'!G372+'FR-16(7)(v)-5 DISTR Dem Alloc'!G372+'FR-16(7)(v)-3 PROD Comm Alloc'!G372</f>
        <v>1342364</v>
      </c>
      <c r="H372" s="349">
        <f>'FR-16(7)(v)-6 DISTR Cust Alloc'!H372+'FR-16(7)(v)-5 DISTR Dem Alloc'!H372+'FR-16(7)(v)-3 PROD Comm Alloc'!H372</f>
        <v>560848</v>
      </c>
      <c r="I372" s="349">
        <f>'FR-16(7)(v)-6 DISTR Cust Alloc'!I372+'FR-16(7)(v)-5 DISTR Dem Alloc'!I372+'FR-16(7)(v)-3 PROD Comm Alloc'!I372</f>
        <v>198762</v>
      </c>
      <c r="J372" s="349">
        <f>'FR-16(7)(v)-6 DISTR Cust Alloc'!J372+'FR-16(7)(v)-5 DISTR Dem Alloc'!J372+'FR-16(7)(v)-3 PROD Comm Alloc'!J372</f>
        <v>56376</v>
      </c>
      <c r="K372" s="347">
        <f t="shared" si="95"/>
        <v>2158350</v>
      </c>
      <c r="L372" s="347">
        <f t="shared" si="96"/>
        <v>0</v>
      </c>
    </row>
    <row r="373" spans="1:12">
      <c r="A373" s="333">
        <v>28</v>
      </c>
      <c r="C373" s="332" t="str">
        <f>'FR-16(7)(v)-1 Functional'!C373</f>
        <v>SERVICES</v>
      </c>
      <c r="D373" s="344" t="str">
        <f>'FR-16(7)(v)-1 Functional'!D373</f>
        <v>K403</v>
      </c>
      <c r="E373" s="196"/>
      <c r="F373" s="479">
        <f>'FR-16(7)(v)-1 Functional'!F373</f>
        <v>596174</v>
      </c>
      <c r="G373" s="349">
        <f>'FR-16(7)(v)-6 DISTR Cust Alloc'!G373+'FR-16(7)(v)-5 DISTR Dem Alloc'!G373+'FR-16(7)(v)-3 PROD Comm Alloc'!G373</f>
        <v>520453</v>
      </c>
      <c r="H373" s="349">
        <f>'FR-16(7)(v)-6 DISTR Cust Alloc'!H373+'FR-16(7)(v)-5 DISTR Dem Alloc'!H373+'FR-16(7)(v)-3 PROD Comm Alloc'!H373</f>
        <v>71428</v>
      </c>
      <c r="I373" s="349">
        <f>'FR-16(7)(v)-6 DISTR Cust Alloc'!I373+'FR-16(7)(v)-5 DISTR Dem Alloc'!I373+'FR-16(7)(v)-3 PROD Comm Alloc'!I373</f>
        <v>1461</v>
      </c>
      <c r="J373" s="349">
        <f>'FR-16(7)(v)-6 DISTR Cust Alloc'!J373+'FR-16(7)(v)-5 DISTR Dem Alloc'!J373+'FR-16(7)(v)-3 PROD Comm Alloc'!J373</f>
        <v>2832</v>
      </c>
      <c r="K373" s="347">
        <f t="shared" si="95"/>
        <v>596174</v>
      </c>
      <c r="L373" s="347">
        <f t="shared" si="96"/>
        <v>0</v>
      </c>
    </row>
    <row r="374" spans="1:12">
      <c r="A374" s="333">
        <v>29</v>
      </c>
      <c r="C374" s="332" t="str">
        <f>'FR-16(7)(v)-1 Functional'!C374</f>
        <v>SUPV &amp; ENG</v>
      </c>
      <c r="D374" s="344" t="str">
        <f>'FR-16(7)(v)-1 Functional'!D374</f>
        <v>D249</v>
      </c>
      <c r="E374" s="196"/>
      <c r="F374" s="479">
        <f>'FR-16(7)(v)-1 Functional'!F374</f>
        <v>0</v>
      </c>
      <c r="G374" s="349">
        <f>'FR-16(7)(v)-6 DISTR Cust Alloc'!G374+'FR-16(7)(v)-5 DISTR Dem Alloc'!G374+'FR-16(7)(v)-3 PROD Comm Alloc'!G374</f>
        <v>0</v>
      </c>
      <c r="H374" s="349">
        <f>'FR-16(7)(v)-6 DISTR Cust Alloc'!H374+'FR-16(7)(v)-5 DISTR Dem Alloc'!H374+'FR-16(7)(v)-3 PROD Comm Alloc'!H374</f>
        <v>0</v>
      </c>
      <c r="I374" s="349">
        <f>'FR-16(7)(v)-6 DISTR Cust Alloc'!I374+'FR-16(7)(v)-5 DISTR Dem Alloc'!I374+'FR-16(7)(v)-3 PROD Comm Alloc'!I374</f>
        <v>0</v>
      </c>
      <c r="J374" s="349">
        <f>'FR-16(7)(v)-6 DISTR Cust Alloc'!J374+'FR-16(7)(v)-5 DISTR Dem Alloc'!J374+'FR-16(7)(v)-3 PROD Comm Alloc'!J374</f>
        <v>0</v>
      </c>
      <c r="K374" s="347">
        <f t="shared" si="95"/>
        <v>0</v>
      </c>
      <c r="L374" s="347">
        <f t="shared" si="96"/>
        <v>0</v>
      </c>
    </row>
    <row r="375" spans="1:12">
      <c r="A375" s="333">
        <v>30</v>
      </c>
      <c r="C375" s="332" t="str">
        <f>'FR-16(7)(v)-1 Functional'!C375</f>
        <v>ELIMINATE NON-KY CUSTOMER</v>
      </c>
      <c r="D375" s="344" t="str">
        <f>'FR-16(7)(v)-1 Functional'!D375</f>
        <v>K595</v>
      </c>
      <c r="E375" s="196"/>
      <c r="F375" s="479">
        <f>'FR-16(7)(v)-1 Functional'!F375</f>
        <v>-102870</v>
      </c>
      <c r="G375" s="349">
        <f>'FR-16(7)(v)-6 DISTR Cust Alloc'!G375+'FR-16(7)(v)-5 DISTR Dem Alloc'!G375+'FR-16(7)(v)-3 PROD Comm Alloc'!G375</f>
        <v>0</v>
      </c>
      <c r="H375" s="349">
        <f>'FR-16(7)(v)-6 DISTR Cust Alloc'!H375+'FR-16(7)(v)-5 DISTR Dem Alloc'!H375+'FR-16(7)(v)-3 PROD Comm Alloc'!H375</f>
        <v>0</v>
      </c>
      <c r="I375" s="349">
        <f>'FR-16(7)(v)-6 DISTR Cust Alloc'!I375+'FR-16(7)(v)-5 DISTR Dem Alloc'!I375+'FR-16(7)(v)-3 PROD Comm Alloc'!I375</f>
        <v>-59775</v>
      </c>
      <c r="J375" s="349">
        <f>'FR-16(7)(v)-6 DISTR Cust Alloc'!J375+'FR-16(7)(v)-5 DISTR Dem Alloc'!J375+'FR-16(7)(v)-3 PROD Comm Alloc'!J375</f>
        <v>-43095</v>
      </c>
      <c r="K375" s="347">
        <f t="shared" si="95"/>
        <v>-102870</v>
      </c>
      <c r="L375" s="347">
        <f t="shared" si="96"/>
        <v>0</v>
      </c>
    </row>
    <row r="376" spans="1:12">
      <c r="A376" s="333">
        <v>31</v>
      </c>
      <c r="C376" s="332" t="str">
        <f>'FR-16(7)(v)-1 Functional'!C376</f>
        <v>INTEGRITY MANAGEMENT EXPENSES</v>
      </c>
      <c r="D376" s="344" t="str">
        <f>'FR-16(7)(v)-1 Functional'!D376</f>
        <v>K203</v>
      </c>
      <c r="E376" s="196"/>
      <c r="F376" s="479">
        <f>'FR-16(7)(v)-1 Functional'!F376</f>
        <v>1065488</v>
      </c>
      <c r="G376" s="349">
        <f>'FR-16(7)(v)-6 DISTR Cust Alloc'!G376+'FR-16(7)(v)-5 DISTR Dem Alloc'!G376+'FR-16(7)(v)-3 PROD Comm Alloc'!G376</f>
        <v>601649</v>
      </c>
      <c r="H376" s="349">
        <f>'FR-16(7)(v)-6 DISTR Cust Alloc'!H376+'FR-16(7)(v)-5 DISTR Dem Alloc'!H376+'FR-16(7)(v)-3 PROD Comm Alloc'!H376</f>
        <v>314564</v>
      </c>
      <c r="I376" s="349">
        <f>'FR-16(7)(v)-6 DISTR Cust Alloc'!I376+'FR-16(7)(v)-5 DISTR Dem Alloc'!I376+'FR-16(7)(v)-3 PROD Comm Alloc'!I376</f>
        <v>116277</v>
      </c>
      <c r="J376" s="349">
        <f>'FR-16(7)(v)-6 DISTR Cust Alloc'!J376+'FR-16(7)(v)-5 DISTR Dem Alloc'!J376+'FR-16(7)(v)-3 PROD Comm Alloc'!J376</f>
        <v>32998</v>
      </c>
      <c r="K376" s="347">
        <f t="shared" si="95"/>
        <v>1065488</v>
      </c>
      <c r="L376" s="347">
        <f t="shared" si="96"/>
        <v>0</v>
      </c>
    </row>
    <row r="377" spans="1:12">
      <c r="A377" s="333">
        <v>32</v>
      </c>
      <c r="C377" s="359" t="str">
        <f>'FR-16(7)(v)-1 Functional'!C377</f>
        <v>OTHER DISTRIBUTION EXPENSES</v>
      </c>
      <c r="D377" s="344" t="str">
        <f>'FR-16(7)(v)-1 Functional'!D377</f>
        <v>K415</v>
      </c>
      <c r="E377" s="196"/>
      <c r="F377" s="479">
        <f>'FR-16(7)(v)-1 Functional'!F377</f>
        <v>2451456</v>
      </c>
      <c r="G377" s="349">
        <f>'FR-16(7)(v)-6 DISTR Cust Alloc'!G377+'FR-16(7)(v)-5 DISTR Dem Alloc'!G377+'FR-16(7)(v)-3 PROD Comm Alloc'!G377</f>
        <v>1524658</v>
      </c>
      <c r="H377" s="349">
        <f>'FR-16(7)(v)-6 DISTR Cust Alloc'!H377+'FR-16(7)(v)-5 DISTR Dem Alloc'!H377+'FR-16(7)(v)-3 PROD Comm Alloc'!H377</f>
        <v>637011</v>
      </c>
      <c r="I377" s="349">
        <f>'FR-16(7)(v)-6 DISTR Cust Alloc'!I377+'FR-16(7)(v)-5 DISTR Dem Alloc'!I377+'FR-16(7)(v)-3 PROD Comm Alloc'!I377</f>
        <v>225755</v>
      </c>
      <c r="J377" s="349">
        <f>'FR-16(7)(v)-6 DISTR Cust Alloc'!J377+'FR-16(7)(v)-5 DISTR Dem Alloc'!J377+'FR-16(7)(v)-3 PROD Comm Alloc'!J377</f>
        <v>64032</v>
      </c>
      <c r="K377" s="347">
        <f t="shared" si="95"/>
        <v>2451456</v>
      </c>
      <c r="L377" s="347">
        <f t="shared" si="96"/>
        <v>0</v>
      </c>
    </row>
    <row r="378" spans="1:12">
      <c r="A378" s="333">
        <v>33</v>
      </c>
      <c r="C378" s="332" t="str">
        <f>'FR-16(7)(v)-1 Functional'!C378</f>
        <v xml:space="preserve">  TOTAL DISTRIBUTION O &amp; M</v>
      </c>
      <c r="D378" s="344"/>
      <c r="E378" s="196" t="s">
        <v>343</v>
      </c>
      <c r="F378" s="348">
        <f t="shared" ref="F378:L378" si="97">SUM(F366:F377)</f>
        <v>12905095</v>
      </c>
      <c r="G378" s="348">
        <f t="shared" si="97"/>
        <v>8774743</v>
      </c>
      <c r="H378" s="348">
        <f t="shared" si="97"/>
        <v>3117070</v>
      </c>
      <c r="I378" s="348">
        <f t="shared" si="97"/>
        <v>802400</v>
      </c>
      <c r="J378" s="348">
        <f t="shared" si="97"/>
        <v>210882</v>
      </c>
      <c r="K378" s="348">
        <f t="shared" si="97"/>
        <v>12905095</v>
      </c>
      <c r="L378" s="348">
        <f t="shared" si="97"/>
        <v>0</v>
      </c>
    </row>
    <row r="379" spans="1:12">
      <c r="A379" s="333">
        <v>34</v>
      </c>
      <c r="C379" s="332" t="s">
        <v>343</v>
      </c>
      <c r="D379" s="344"/>
      <c r="E379" s="196"/>
      <c r="G379" s="353"/>
      <c r="I379" s="332"/>
    </row>
    <row r="380" spans="1:12">
      <c r="A380" s="333">
        <v>35</v>
      </c>
      <c r="B380" s="332" t="s">
        <v>51</v>
      </c>
      <c r="D380" s="344"/>
      <c r="E380" s="196"/>
      <c r="F380" s="332" t="s">
        <v>343</v>
      </c>
      <c r="I380" s="332"/>
    </row>
    <row r="381" spans="1:12">
      <c r="A381" s="333">
        <v>36</v>
      </c>
      <c r="C381" s="332" t="str">
        <f>'FR-16(7)(v)-1 Functional'!C381</f>
        <v>SUPERVISION &amp; ENGINEERING</v>
      </c>
      <c r="D381" s="344" t="str">
        <f>'FR-16(7)(v)-1 Functional'!D381</f>
        <v>K405</v>
      </c>
      <c r="E381" s="196"/>
      <c r="F381" s="479">
        <f>'FR-16(7)(v)-1 Functional'!F381</f>
        <v>185894</v>
      </c>
      <c r="G381" s="349">
        <f>'FR-16(7)(v)-6 DISTR Cust Alloc'!G381+'FR-16(7)(v)-5 DISTR Dem Alloc'!G381+'FR-16(7)(v)-3 PROD Comm Alloc'!G381</f>
        <v>172562</v>
      </c>
      <c r="H381" s="349">
        <f>'FR-16(7)(v)-6 DISTR Cust Alloc'!H381+'FR-16(7)(v)-5 DISTR Dem Alloc'!H381+'FR-16(7)(v)-3 PROD Comm Alloc'!H381</f>
        <v>13111</v>
      </c>
      <c r="I381" s="349">
        <f>'FR-16(7)(v)-6 DISTR Cust Alloc'!I381+'FR-16(7)(v)-5 DISTR Dem Alloc'!I381+'FR-16(7)(v)-3 PROD Comm Alloc'!I381</f>
        <v>180</v>
      </c>
      <c r="J381" s="349">
        <f>'FR-16(7)(v)-6 DISTR Cust Alloc'!J381+'FR-16(7)(v)-5 DISTR Dem Alloc'!J381+'FR-16(7)(v)-3 PROD Comm Alloc'!J381</f>
        <v>41</v>
      </c>
      <c r="K381" s="347">
        <f t="shared" ref="K381:K388" si="98">SUM(G381:J381)</f>
        <v>185894</v>
      </c>
      <c r="L381" s="347">
        <f t="shared" ref="L381:L388" si="99">F381-K381</f>
        <v>0</v>
      </c>
    </row>
    <row r="382" spans="1:12">
      <c r="A382" s="333">
        <v>37</v>
      </c>
      <c r="C382" s="332" t="str">
        <f>'FR-16(7)(v)-1 Functional'!C382</f>
        <v>METER READING</v>
      </c>
      <c r="D382" s="344" t="str">
        <f>'FR-16(7)(v)-1 Functional'!D382</f>
        <v>K405</v>
      </c>
      <c r="E382" s="196"/>
      <c r="F382" s="479">
        <f>'FR-16(7)(v)-1 Functional'!F382</f>
        <v>15923</v>
      </c>
      <c r="G382" s="349">
        <f>'FR-16(7)(v)-6 DISTR Cust Alloc'!G382+'FR-16(7)(v)-5 DISTR Dem Alloc'!G382+'FR-16(7)(v)-3 PROD Comm Alloc'!G382</f>
        <v>14781</v>
      </c>
      <c r="H382" s="349">
        <f>'FR-16(7)(v)-6 DISTR Cust Alloc'!H382+'FR-16(7)(v)-5 DISTR Dem Alloc'!H382+'FR-16(7)(v)-3 PROD Comm Alloc'!H382</f>
        <v>1123</v>
      </c>
      <c r="I382" s="349">
        <f>'FR-16(7)(v)-6 DISTR Cust Alloc'!I382+'FR-16(7)(v)-5 DISTR Dem Alloc'!I382+'FR-16(7)(v)-3 PROD Comm Alloc'!I382</f>
        <v>15</v>
      </c>
      <c r="J382" s="349">
        <f>'FR-16(7)(v)-6 DISTR Cust Alloc'!J382+'FR-16(7)(v)-5 DISTR Dem Alloc'!J382+'FR-16(7)(v)-3 PROD Comm Alloc'!J382</f>
        <v>4</v>
      </c>
      <c r="K382" s="347">
        <f t="shared" si="98"/>
        <v>15923</v>
      </c>
      <c r="L382" s="347">
        <f t="shared" si="99"/>
        <v>0</v>
      </c>
    </row>
    <row r="383" spans="1:12">
      <c r="A383" s="333">
        <v>38</v>
      </c>
      <c r="C383" s="332" t="str">
        <f>'FR-16(7)(v)-1 Functional'!C383</f>
        <v>CUSTOMER BILLING &amp; COLLECTIONS</v>
      </c>
      <c r="D383" s="344" t="str">
        <f>'FR-16(7)(v)-1 Functional'!D383</f>
        <v>K405</v>
      </c>
      <c r="E383" s="196"/>
      <c r="F383" s="479">
        <f>'FR-16(7)(v)-1 Functional'!F383</f>
        <v>2595599</v>
      </c>
      <c r="G383" s="349">
        <f>'FR-16(7)(v)-6 DISTR Cust Alloc'!G383+'FR-16(7)(v)-5 DISTR Dem Alloc'!G383+'FR-16(7)(v)-3 PROD Comm Alloc'!G383</f>
        <v>2409442</v>
      </c>
      <c r="H383" s="349">
        <f>'FR-16(7)(v)-6 DISTR Cust Alloc'!H383+'FR-16(7)(v)-5 DISTR Dem Alloc'!H383+'FR-16(7)(v)-3 PROD Comm Alloc'!H383</f>
        <v>183068</v>
      </c>
      <c r="I383" s="349">
        <f>'FR-16(7)(v)-6 DISTR Cust Alloc'!I383+'FR-16(7)(v)-5 DISTR Dem Alloc'!I383+'FR-16(7)(v)-3 PROD Comm Alloc'!I383</f>
        <v>2518</v>
      </c>
      <c r="J383" s="349">
        <f>'FR-16(7)(v)-6 DISTR Cust Alloc'!J383+'FR-16(7)(v)-5 DISTR Dem Alloc'!J383+'FR-16(7)(v)-3 PROD Comm Alloc'!J383</f>
        <v>571</v>
      </c>
      <c r="K383" s="347">
        <f t="shared" si="98"/>
        <v>2595599</v>
      </c>
      <c r="L383" s="347">
        <f t="shared" si="99"/>
        <v>0</v>
      </c>
    </row>
    <row r="384" spans="1:12">
      <c r="A384" s="333">
        <v>39</v>
      </c>
      <c r="C384" s="332" t="str">
        <f>'FR-16(7)(v)-1 Functional'!C384</f>
        <v>UNCOLLECTIBLE EXP</v>
      </c>
      <c r="D384" s="344" t="str">
        <f>'FR-16(7)(v)-1 Functional'!D384</f>
        <v>K406</v>
      </c>
      <c r="E384" s="196"/>
      <c r="F384" s="479">
        <f>'FR-16(7)(v)-1 Functional'!F384</f>
        <v>-229924</v>
      </c>
      <c r="G384" s="349">
        <f>'FR-16(7)(v)-6 DISTR Cust Alloc'!G384+'FR-16(7)(v)-5 DISTR Dem Alloc'!G384+'FR-16(7)(v)-3 PROD Comm Alloc'!G384</f>
        <v>-213433</v>
      </c>
      <c r="H384" s="349">
        <f>'FR-16(7)(v)-6 DISTR Cust Alloc'!H384+'FR-16(7)(v)-5 DISTR Dem Alloc'!H384+'FR-16(7)(v)-3 PROD Comm Alloc'!H384</f>
        <v>-16217</v>
      </c>
      <c r="I384" s="349">
        <f>'FR-16(7)(v)-6 DISTR Cust Alloc'!I384+'FR-16(7)(v)-5 DISTR Dem Alloc'!I384+'FR-16(7)(v)-3 PROD Comm Alloc'!I384</f>
        <v>-223</v>
      </c>
      <c r="J384" s="349">
        <f>'FR-16(7)(v)-6 DISTR Cust Alloc'!J384+'FR-16(7)(v)-5 DISTR Dem Alloc'!J384+'FR-16(7)(v)-3 PROD Comm Alloc'!J384</f>
        <v>-51</v>
      </c>
      <c r="K384" s="347">
        <f t="shared" si="98"/>
        <v>-229924</v>
      </c>
      <c r="L384" s="347">
        <f t="shared" si="99"/>
        <v>0</v>
      </c>
    </row>
    <row r="385" spans="1:12">
      <c r="A385" s="333">
        <v>40</v>
      </c>
      <c r="C385" s="332" t="str">
        <f>'FR-16(7)(v)-1 Functional'!C385</f>
        <v>ELIMINATE MISC EXPENSES</v>
      </c>
      <c r="D385" s="344" t="str">
        <f>'FR-16(7)(v)-1 Functional'!D385</f>
        <v>K406</v>
      </c>
      <c r="E385" s="196"/>
      <c r="F385" s="479">
        <f>'FR-16(7)(v)-1 Functional'!F385</f>
        <v>0</v>
      </c>
      <c r="G385" s="349">
        <f>'FR-16(7)(v)-6 DISTR Cust Alloc'!G385+'FR-16(7)(v)-5 DISTR Dem Alloc'!G385+'FR-16(7)(v)-3 PROD Comm Alloc'!G385</f>
        <v>0</v>
      </c>
      <c r="H385" s="349">
        <f>'FR-16(7)(v)-6 DISTR Cust Alloc'!H385+'FR-16(7)(v)-5 DISTR Dem Alloc'!H385+'FR-16(7)(v)-3 PROD Comm Alloc'!H385</f>
        <v>0</v>
      </c>
      <c r="I385" s="349">
        <f>'FR-16(7)(v)-6 DISTR Cust Alloc'!I385+'FR-16(7)(v)-5 DISTR Dem Alloc'!I385+'FR-16(7)(v)-3 PROD Comm Alloc'!I385</f>
        <v>0</v>
      </c>
      <c r="J385" s="349">
        <f>'FR-16(7)(v)-6 DISTR Cust Alloc'!J385+'FR-16(7)(v)-5 DISTR Dem Alloc'!J385+'FR-16(7)(v)-3 PROD Comm Alloc'!J385</f>
        <v>0</v>
      </c>
      <c r="K385" s="347">
        <f t="shared" si="98"/>
        <v>0</v>
      </c>
      <c r="L385" s="347">
        <f t="shared" si="99"/>
        <v>0</v>
      </c>
    </row>
    <row r="386" spans="1:12">
      <c r="A386" s="333">
        <v>41</v>
      </c>
      <c r="C386" s="332" t="str">
        <f>'FR-16(7)(v)-1 Functional'!C386</f>
        <v>SALE OF A/R</v>
      </c>
      <c r="D386" s="344" t="str">
        <f>'FR-16(7)(v)-1 Functional'!D386</f>
        <v>K406</v>
      </c>
      <c r="E386" s="196"/>
      <c r="F386" s="479">
        <f>'FR-16(7)(v)-1 Functional'!F386</f>
        <v>105421</v>
      </c>
      <c r="G386" s="349">
        <f>'FR-16(7)(v)-6 DISTR Cust Alloc'!G386+'FR-16(7)(v)-5 DISTR Dem Alloc'!G386+'FR-16(7)(v)-3 PROD Comm Alloc'!G386</f>
        <v>97861</v>
      </c>
      <c r="H386" s="349">
        <f>'FR-16(7)(v)-6 DISTR Cust Alloc'!H386+'FR-16(7)(v)-5 DISTR Dem Alloc'!H386+'FR-16(7)(v)-3 PROD Comm Alloc'!H386</f>
        <v>7435</v>
      </c>
      <c r="I386" s="349">
        <f>'FR-16(7)(v)-6 DISTR Cust Alloc'!I386+'FR-16(7)(v)-5 DISTR Dem Alloc'!I386+'FR-16(7)(v)-3 PROD Comm Alloc'!I386</f>
        <v>102</v>
      </c>
      <c r="J386" s="349">
        <f>'FR-16(7)(v)-6 DISTR Cust Alloc'!J386+'FR-16(7)(v)-5 DISTR Dem Alloc'!J386+'FR-16(7)(v)-3 PROD Comm Alloc'!J386</f>
        <v>23</v>
      </c>
      <c r="K386" s="347">
        <f t="shared" si="98"/>
        <v>105421</v>
      </c>
      <c r="L386" s="347">
        <f t="shared" si="99"/>
        <v>0</v>
      </c>
    </row>
    <row r="387" spans="1:12">
      <c r="A387" s="333">
        <v>42</v>
      </c>
      <c r="C387" s="332" t="str">
        <f>'FR-16(7)(v)-1 Functional'!C387</f>
        <v>INTEREST ON CUSTOMER SERVICE DEPOSITS</v>
      </c>
      <c r="D387" s="344" t="str">
        <f>'FR-16(7)(v)-1 Functional'!D387</f>
        <v>K405</v>
      </c>
      <c r="E387" s="196"/>
      <c r="F387" s="479">
        <f>'FR-16(7)(v)-1 Functional'!F387</f>
        <v>0</v>
      </c>
      <c r="G387" s="349">
        <f>'FR-16(7)(v)-6 DISTR Cust Alloc'!G387+'FR-16(7)(v)-5 DISTR Dem Alloc'!G387+'FR-16(7)(v)-3 PROD Comm Alloc'!G387</f>
        <v>0</v>
      </c>
      <c r="H387" s="349">
        <f>'FR-16(7)(v)-6 DISTR Cust Alloc'!H387+'FR-16(7)(v)-5 DISTR Dem Alloc'!H387+'FR-16(7)(v)-3 PROD Comm Alloc'!H387</f>
        <v>0</v>
      </c>
      <c r="I387" s="349">
        <f>'FR-16(7)(v)-6 DISTR Cust Alloc'!I387+'FR-16(7)(v)-5 DISTR Dem Alloc'!I387+'FR-16(7)(v)-3 PROD Comm Alloc'!I387</f>
        <v>0</v>
      </c>
      <c r="J387" s="349">
        <f>'FR-16(7)(v)-6 DISTR Cust Alloc'!J387+'FR-16(7)(v)-5 DISTR Dem Alloc'!J387+'FR-16(7)(v)-3 PROD Comm Alloc'!J387</f>
        <v>0</v>
      </c>
      <c r="K387" s="347">
        <f t="shared" si="98"/>
        <v>0</v>
      </c>
      <c r="L387" s="347">
        <f t="shared" si="99"/>
        <v>0</v>
      </c>
    </row>
    <row r="388" spans="1:12">
      <c r="A388" s="333">
        <v>43</v>
      </c>
      <c r="C388" s="359" t="str">
        <f>'FR-16(7)(v)-1 Functional'!C388</f>
        <v>ANNUALIZED UNCOLL EXP ON INCR</v>
      </c>
      <c r="D388" s="344" t="str">
        <f>'FR-16(7)(v)-1 Functional'!D388</f>
        <v>K406</v>
      </c>
      <c r="E388" s="196"/>
      <c r="F388" s="479">
        <f>'FR-16(7)(v)-1 Functional'!F388</f>
        <v>0</v>
      </c>
      <c r="G388" s="349">
        <f>'FR-16(7)(v)-6 DISTR Cust Alloc'!G388+'FR-16(7)(v)-5 DISTR Dem Alloc'!G388+'FR-16(7)(v)-3 PROD Comm Alloc'!G388</f>
        <v>0</v>
      </c>
      <c r="H388" s="349">
        <f>'FR-16(7)(v)-6 DISTR Cust Alloc'!H388+'FR-16(7)(v)-5 DISTR Dem Alloc'!H388+'FR-16(7)(v)-3 PROD Comm Alloc'!H388</f>
        <v>0</v>
      </c>
      <c r="I388" s="349">
        <f>'FR-16(7)(v)-6 DISTR Cust Alloc'!I388+'FR-16(7)(v)-5 DISTR Dem Alloc'!I388+'FR-16(7)(v)-3 PROD Comm Alloc'!I388</f>
        <v>0</v>
      </c>
      <c r="J388" s="349">
        <f>'FR-16(7)(v)-6 DISTR Cust Alloc'!J388+'FR-16(7)(v)-5 DISTR Dem Alloc'!J388+'FR-16(7)(v)-3 PROD Comm Alloc'!J388</f>
        <v>0</v>
      </c>
      <c r="K388" s="347">
        <f t="shared" si="98"/>
        <v>0</v>
      </c>
      <c r="L388" s="347">
        <f t="shared" si="99"/>
        <v>0</v>
      </c>
    </row>
    <row r="389" spans="1:12">
      <c r="A389" s="333">
        <v>44</v>
      </c>
      <c r="C389" s="332" t="str">
        <f>'FR-16(7)(v)-1 Functional'!C389</f>
        <v xml:space="preserve">  TOTAL CUSTOMER ACCT EXPENSE</v>
      </c>
      <c r="D389" s="344"/>
      <c r="E389" s="196" t="s">
        <v>343</v>
      </c>
      <c r="F389" s="348">
        <f t="shared" ref="F389:L389" si="100">SUM(F380:F388)</f>
        <v>2672913</v>
      </c>
      <c r="G389" s="348">
        <f t="shared" si="100"/>
        <v>2481213</v>
      </c>
      <c r="H389" s="348">
        <f t="shared" si="100"/>
        <v>188520</v>
      </c>
      <c r="I389" s="348">
        <f t="shared" si="100"/>
        <v>2592</v>
      </c>
      <c r="J389" s="348">
        <f t="shared" si="100"/>
        <v>588</v>
      </c>
      <c r="K389" s="348">
        <f t="shared" si="100"/>
        <v>2672913</v>
      </c>
      <c r="L389" s="348">
        <f t="shared" si="100"/>
        <v>0</v>
      </c>
    </row>
    <row r="390" spans="1:12">
      <c r="B390" s="343"/>
      <c r="C390" s="196"/>
      <c r="D390" s="344"/>
      <c r="E390" s="196"/>
      <c r="G390" s="196"/>
      <c r="H390" s="196"/>
      <c r="I390" s="196"/>
      <c r="J390" s="344"/>
      <c r="K390" s="196"/>
      <c r="L390" s="196"/>
    </row>
    <row r="391" spans="1:12">
      <c r="A391" s="343" t="str">
        <f>co_name</f>
        <v>DUKE ENERGY KENTUCKY, INC.</v>
      </c>
      <c r="C391" s="196"/>
      <c r="D391" s="344"/>
      <c r="E391" s="196"/>
      <c r="F391" s="344"/>
      <c r="G391" s="342"/>
      <c r="H391" s="342"/>
      <c r="I391" s="196"/>
      <c r="K391" s="361" t="str">
        <f>$K$1</f>
        <v>FR-16(7)(v)-8</v>
      </c>
      <c r="L391" s="196"/>
    </row>
    <row r="392" spans="1:12">
      <c r="A392" s="343" t="str">
        <f>$A$2</f>
        <v>TOTAL CLASS ALLOCATED - GAS COST OF SERVICE</v>
      </c>
      <c r="C392" s="196"/>
      <c r="D392" s="344"/>
      <c r="E392" s="196"/>
      <c r="F392" s="344"/>
      <c r="G392" s="342"/>
      <c r="H392" s="342"/>
      <c r="I392" s="196"/>
      <c r="K392" s="361" t="str">
        <f>$K$2</f>
        <v>WITNESS RESPONSIBLE:</v>
      </c>
      <c r="L392" s="196"/>
    </row>
    <row r="393" spans="1:12">
      <c r="A393" s="343" t="str">
        <f>case_name</f>
        <v>CASE NO: 2018-00261</v>
      </c>
      <c r="C393" s="196"/>
      <c r="D393" s="344"/>
      <c r="E393" s="196"/>
      <c r="F393" s="344"/>
      <c r="G393" s="342"/>
      <c r="H393" s="342"/>
      <c r="I393" s="196"/>
      <c r="K393" s="361" t="str">
        <f>Witness</f>
        <v>JAMES E. ZIOLKOWSKI</v>
      </c>
      <c r="L393" s="196"/>
    </row>
    <row r="394" spans="1:12">
      <c r="A394" s="343" t="str">
        <f>data_filing</f>
        <v>DATA: 12 MONTH FORECASTED PERIOD</v>
      </c>
      <c r="C394" s="196"/>
      <c r="D394" s="344"/>
      <c r="E394" s="196"/>
      <c r="F394" s="344"/>
      <c r="G394" s="342"/>
      <c r="H394" s="342"/>
      <c r="I394" s="196"/>
      <c r="K394" s="361" t="str">
        <f>"PAGE "&amp;Pages2-6&amp;" OF "&amp;Pages2</f>
        <v>PAGE 9 OF 15</v>
      </c>
      <c r="L394" s="196"/>
    </row>
    <row r="395" spans="1:12">
      <c r="A395" s="343" t="str">
        <f>type</f>
        <v xml:space="preserve">TYPE OF FILING: "X" ORIGINAL   UPDATED    REVISED  </v>
      </c>
      <c r="C395" s="196"/>
      <c r="D395" s="344"/>
      <c r="E395" s="196"/>
      <c r="F395" s="344"/>
      <c r="G395" s="342"/>
      <c r="H395" s="342"/>
      <c r="I395" s="196"/>
      <c r="J395" s="344"/>
      <c r="K395" s="196"/>
      <c r="L395" s="196"/>
    </row>
    <row r="396" spans="1:12">
      <c r="B396" s="343"/>
      <c r="C396" s="196"/>
      <c r="D396" s="344"/>
      <c r="E396" s="196"/>
      <c r="F396" s="344"/>
      <c r="G396" s="196"/>
      <c r="H396" s="196"/>
      <c r="I396" s="196"/>
      <c r="J396" s="344"/>
      <c r="K396" s="196"/>
      <c r="L396" s="196"/>
    </row>
    <row r="397" spans="1:12">
      <c r="B397" s="343"/>
      <c r="C397" s="196"/>
      <c r="D397" s="344"/>
      <c r="E397" s="196"/>
      <c r="F397" s="344" t="str">
        <f>$F$7</f>
        <v>TOTAL</v>
      </c>
      <c r="G397" s="196"/>
      <c r="H397" s="196"/>
      <c r="I397" s="196"/>
      <c r="J397" s="344"/>
      <c r="K397" s="196"/>
      <c r="L397" s="196"/>
    </row>
    <row r="398" spans="1:12">
      <c r="A398" s="344" t="s">
        <v>914</v>
      </c>
      <c r="B398" s="196"/>
      <c r="C398" s="196"/>
      <c r="D398" s="344"/>
      <c r="E398" s="196"/>
      <c r="F398" s="344" t="str">
        <f>$F$8</f>
        <v>CLASS</v>
      </c>
      <c r="G398" s="354" t="s">
        <v>773</v>
      </c>
      <c r="H398" s="354" t="s">
        <v>1282</v>
      </c>
      <c r="I398" s="354" t="s">
        <v>984</v>
      </c>
      <c r="J398" s="354" t="s">
        <v>549</v>
      </c>
      <c r="K398" s="354" t="s">
        <v>229</v>
      </c>
      <c r="L398" s="344" t="s">
        <v>342</v>
      </c>
    </row>
    <row r="399" spans="1:12">
      <c r="A399" s="346" t="s">
        <v>915</v>
      </c>
      <c r="B399" s="345" t="s">
        <v>44</v>
      </c>
      <c r="C399" s="345"/>
      <c r="D399" s="346" t="s">
        <v>337</v>
      </c>
      <c r="E399" s="345"/>
      <c r="F399" s="344" t="str">
        <f>$F$9</f>
        <v>ALLOCATED</v>
      </c>
      <c r="G399" s="355" t="s">
        <v>338</v>
      </c>
      <c r="H399" s="355" t="s">
        <v>405</v>
      </c>
      <c r="I399" s="355" t="s">
        <v>1283</v>
      </c>
      <c r="J399" s="355" t="s">
        <v>550</v>
      </c>
      <c r="K399" s="355" t="s">
        <v>341</v>
      </c>
      <c r="L399" s="346" t="s">
        <v>340</v>
      </c>
    </row>
    <row r="400" spans="1:12">
      <c r="C400" s="578" t="s">
        <v>560</v>
      </c>
      <c r="D400" s="344"/>
      <c r="E400" s="196"/>
      <c r="F400" s="761"/>
      <c r="G400" s="633">
        <f>$G$10</f>
        <v>3</v>
      </c>
      <c r="H400" s="633">
        <f>$H$10</f>
        <v>4</v>
      </c>
      <c r="I400" s="633">
        <f>$I$10</f>
        <v>5</v>
      </c>
      <c r="J400" s="633">
        <f>$J$10</f>
        <v>6</v>
      </c>
    </row>
    <row r="401" spans="1:12">
      <c r="A401" s="333">
        <v>1</v>
      </c>
      <c r="B401" s="332" t="s">
        <v>52</v>
      </c>
      <c r="D401" s="344"/>
      <c r="E401" s="196"/>
      <c r="I401" s="332"/>
    </row>
    <row r="402" spans="1:12">
      <c r="A402" s="333">
        <v>2</v>
      </c>
      <c r="C402" s="359" t="str">
        <f>'FR-16(7)(v)-1 Functional'!C402</f>
        <v>TOTAL CUST SERVICE &amp; INFO</v>
      </c>
      <c r="D402" s="344" t="str">
        <f>'FR-16(7)(v)-1 Functional'!D402</f>
        <v>K407</v>
      </c>
      <c r="E402" s="196"/>
      <c r="F402" s="479">
        <f>'FR-16(7)(v)-1 Functional'!F402</f>
        <v>406241</v>
      </c>
      <c r="G402" s="349">
        <f>'FR-16(7)(v)-6 DISTR Cust Alloc'!G402+'FR-16(7)(v)-5 DISTR Dem Alloc'!G402+'FR-16(7)(v)-3 PROD Comm Alloc'!G402</f>
        <v>377106</v>
      </c>
      <c r="H402" s="349">
        <f>'FR-16(7)(v)-6 DISTR Cust Alloc'!H402+'FR-16(7)(v)-5 DISTR Dem Alloc'!H402+'FR-16(7)(v)-3 PROD Comm Alloc'!H402</f>
        <v>28652</v>
      </c>
      <c r="I402" s="349">
        <f>'FR-16(7)(v)-6 DISTR Cust Alloc'!I402+'FR-16(7)(v)-5 DISTR Dem Alloc'!I402+'FR-16(7)(v)-3 PROD Comm Alloc'!I402</f>
        <v>394</v>
      </c>
      <c r="J402" s="349">
        <f>'FR-16(7)(v)-6 DISTR Cust Alloc'!J402+'FR-16(7)(v)-5 DISTR Dem Alloc'!J402+'FR-16(7)(v)-3 PROD Comm Alloc'!J402</f>
        <v>89</v>
      </c>
      <c r="K402" s="347">
        <f>SUM(G402:J402)</f>
        <v>406241</v>
      </c>
      <c r="L402" s="347">
        <f>F402-K402</f>
        <v>0</v>
      </c>
    </row>
    <row r="403" spans="1:12">
      <c r="A403" s="333">
        <v>3</v>
      </c>
      <c r="C403" s="332" t="str">
        <f>'FR-16(7)(v)-1 Functional'!C403</f>
        <v xml:space="preserve">  TOTAL CUSTOMER SERV. &amp; INFO.</v>
      </c>
      <c r="D403" s="344"/>
      <c r="E403" s="196" t="s">
        <v>343</v>
      </c>
      <c r="F403" s="348">
        <f t="shared" ref="F403:L403" si="101">SUM(F402:F402)</f>
        <v>406241</v>
      </c>
      <c r="G403" s="348">
        <f t="shared" si="101"/>
        <v>377106</v>
      </c>
      <c r="H403" s="348">
        <f t="shared" si="101"/>
        <v>28652</v>
      </c>
      <c r="I403" s="348">
        <f t="shared" si="101"/>
        <v>394</v>
      </c>
      <c r="J403" s="348">
        <f t="shared" si="101"/>
        <v>89</v>
      </c>
      <c r="K403" s="348">
        <f t="shared" si="101"/>
        <v>406241</v>
      </c>
      <c r="L403" s="348">
        <f t="shared" si="101"/>
        <v>0</v>
      </c>
    </row>
    <row r="404" spans="1:12">
      <c r="A404" s="333">
        <v>4</v>
      </c>
      <c r="D404" s="344"/>
      <c r="E404" s="196"/>
      <c r="F404" s="347"/>
      <c r="G404" s="347"/>
      <c r="I404" s="332"/>
      <c r="J404" s="347"/>
      <c r="K404" s="347"/>
      <c r="L404" s="347"/>
    </row>
    <row r="405" spans="1:12">
      <c r="A405" s="333">
        <v>5</v>
      </c>
      <c r="B405" s="332" t="s">
        <v>53</v>
      </c>
      <c r="D405" s="344"/>
      <c r="E405" s="196"/>
      <c r="F405" s="347"/>
      <c r="G405" s="347"/>
      <c r="I405" s="332"/>
      <c r="J405" s="347"/>
      <c r="K405" s="347"/>
      <c r="L405" s="347"/>
    </row>
    <row r="406" spans="1:12">
      <c r="A406" s="333">
        <v>6</v>
      </c>
      <c r="C406" s="359" t="str">
        <f>'FR-16(7)(v)-1 Functional'!C406</f>
        <v>SALES EXPENSE</v>
      </c>
      <c r="D406" s="344" t="str">
        <f>'FR-16(7)(v)-1 Functional'!D406</f>
        <v>K408</v>
      </c>
      <c r="E406" s="196" t="s">
        <v>343</v>
      </c>
      <c r="F406" s="479">
        <f>'FR-16(7)(v)-1 Functional'!F406</f>
        <v>194128</v>
      </c>
      <c r="G406" s="349">
        <f>'FR-16(7)(v)-6 DISTR Cust Alloc'!G406+'FR-16(7)(v)-5 DISTR Dem Alloc'!G406+'FR-16(7)(v)-3 PROD Comm Alloc'!G406</f>
        <v>180210</v>
      </c>
      <c r="H406" s="349">
        <f>'FR-16(7)(v)-6 DISTR Cust Alloc'!H406+'FR-16(7)(v)-5 DISTR Dem Alloc'!H406+'FR-16(7)(v)-3 PROD Comm Alloc'!H406</f>
        <v>13680</v>
      </c>
      <c r="I406" s="349">
        <f>'FR-16(7)(v)-6 DISTR Cust Alloc'!I406+'FR-16(7)(v)-5 DISTR Dem Alloc'!I406+'FR-16(7)(v)-3 PROD Comm Alloc'!I406</f>
        <v>186</v>
      </c>
      <c r="J406" s="349">
        <f>'FR-16(7)(v)-6 DISTR Cust Alloc'!J406+'FR-16(7)(v)-5 DISTR Dem Alloc'!J406+'FR-16(7)(v)-3 PROD Comm Alloc'!J406</f>
        <v>52</v>
      </c>
      <c r="K406" s="347">
        <f>SUM(G406:J406)</f>
        <v>194128</v>
      </c>
      <c r="L406" s="347">
        <f>F406-K406</f>
        <v>0</v>
      </c>
    </row>
    <row r="407" spans="1:12">
      <c r="A407" s="333">
        <v>7</v>
      </c>
      <c r="C407" s="332" t="str">
        <f>'FR-16(7)(v)-1 Functional'!C407</f>
        <v xml:space="preserve">  TOTAL SALES EXPENSE</v>
      </c>
      <c r="D407" s="344"/>
      <c r="E407" s="196" t="s">
        <v>343</v>
      </c>
      <c r="F407" s="348">
        <f t="shared" ref="F407:L407" si="102">SUM(F405:F406)</f>
        <v>194128</v>
      </c>
      <c r="G407" s="348">
        <f t="shared" si="102"/>
        <v>180210</v>
      </c>
      <c r="H407" s="348">
        <f t="shared" si="102"/>
        <v>13680</v>
      </c>
      <c r="I407" s="348">
        <f t="shared" si="102"/>
        <v>186</v>
      </c>
      <c r="J407" s="348">
        <f t="shared" si="102"/>
        <v>52</v>
      </c>
      <c r="K407" s="348">
        <f t="shared" si="102"/>
        <v>194128</v>
      </c>
      <c r="L407" s="348">
        <f t="shared" si="102"/>
        <v>0</v>
      </c>
    </row>
    <row r="408" spans="1:12">
      <c r="A408" s="333">
        <v>8</v>
      </c>
      <c r="D408" s="344"/>
      <c r="E408" s="196"/>
      <c r="I408" s="332"/>
    </row>
    <row r="409" spans="1:12">
      <c r="A409" s="333">
        <v>9</v>
      </c>
      <c r="B409" s="332" t="s">
        <v>54</v>
      </c>
      <c r="D409" s="344"/>
      <c r="E409" s="196"/>
      <c r="I409" s="332"/>
    </row>
    <row r="410" spans="1:12">
      <c r="A410" s="333">
        <v>10</v>
      </c>
      <c r="C410" s="332" t="str">
        <f>'FR-16(7)(v)-1 Functional'!C410</f>
        <v>PRODUCTION PLANT DEMAND</v>
      </c>
      <c r="D410" s="344" t="str">
        <f>'FR-16(7)(v)-1 Functional'!D410</f>
        <v>P349</v>
      </c>
      <c r="E410" s="196"/>
      <c r="F410" s="479">
        <f>'FR-16(7)(v)-1 Functional'!F410</f>
        <v>403815</v>
      </c>
      <c r="G410" s="349">
        <f>'FR-16(7)(v)-6 DISTR Cust Alloc'!G410+'FR-16(7)(v)-5 DISTR Dem Alloc'!G410+'FR-16(7)(v)-3 PROD Comm Alloc'!G410</f>
        <v>203995</v>
      </c>
      <c r="H410" s="349">
        <f>'FR-16(7)(v)-6 DISTR Cust Alloc'!H410+'FR-16(7)(v)-5 DISTR Dem Alloc'!H410+'FR-16(7)(v)-3 PROD Comm Alloc'!H410</f>
        <v>116198</v>
      </c>
      <c r="I410" s="349">
        <f>'FR-16(7)(v)-6 DISTR Cust Alloc'!I410+'FR-16(7)(v)-5 DISTR Dem Alloc'!I410+'FR-16(7)(v)-3 PROD Comm Alloc'!I410</f>
        <v>82269</v>
      </c>
      <c r="J410" s="349">
        <f>'FR-16(7)(v)-6 DISTR Cust Alloc'!J410+'FR-16(7)(v)-5 DISTR Dem Alloc'!J410+'FR-16(7)(v)-3 PROD Comm Alloc'!J410</f>
        <v>1353</v>
      </c>
      <c r="K410" s="347">
        <f t="shared" ref="K410:K415" si="103">SUM(G410:J410)</f>
        <v>403815</v>
      </c>
      <c r="L410" s="347">
        <f t="shared" ref="L410:L415" si="104">F410-K410</f>
        <v>0</v>
      </c>
    </row>
    <row r="411" spans="1:12">
      <c r="A411" s="333">
        <v>11</v>
      </c>
      <c r="C411" s="332" t="str">
        <f>'FR-16(7)(v)-1 Functional'!C411</f>
        <v>PRODUCTION PLANT COMMODITY</v>
      </c>
      <c r="D411" s="344" t="str">
        <f>'FR-16(7)(v)-1 Functional'!D411</f>
        <v>K301</v>
      </c>
      <c r="E411" s="196"/>
      <c r="F411" s="479">
        <f>'FR-16(7)(v)-1 Functional'!F411</f>
        <v>315879</v>
      </c>
      <c r="G411" s="349">
        <f>'FR-16(7)(v)-6 DISTR Cust Alloc'!G411+'FR-16(7)(v)-5 DISTR Dem Alloc'!G411+'FR-16(7)(v)-3 PROD Comm Alloc'!G411</f>
        <v>160109</v>
      </c>
      <c r="H411" s="349">
        <f>'FR-16(7)(v)-6 DISTR Cust Alloc'!H411+'FR-16(7)(v)-5 DISTR Dem Alloc'!H411+'FR-16(7)(v)-3 PROD Comm Alloc'!H411</f>
        <v>91201</v>
      </c>
      <c r="I411" s="349">
        <f>'FR-16(7)(v)-6 DISTR Cust Alloc'!I411+'FR-16(7)(v)-5 DISTR Dem Alloc'!I411+'FR-16(7)(v)-3 PROD Comm Alloc'!I411</f>
        <v>64569</v>
      </c>
      <c r="J411" s="349">
        <f>'FR-16(7)(v)-6 DISTR Cust Alloc'!J411+'FR-16(7)(v)-5 DISTR Dem Alloc'!J411+'FR-16(7)(v)-3 PROD Comm Alloc'!J411</f>
        <v>0</v>
      </c>
      <c r="K411" s="347">
        <f t="shared" si="103"/>
        <v>315879</v>
      </c>
      <c r="L411" s="347">
        <f t="shared" si="104"/>
        <v>0</v>
      </c>
    </row>
    <row r="412" spans="1:12">
      <c r="A412" s="333">
        <v>12</v>
      </c>
      <c r="C412" s="332" t="str">
        <f>'FR-16(7)(v)-1 Functional'!C412</f>
        <v>DISTRIBUTION PLANT</v>
      </c>
      <c r="D412" s="344" t="str">
        <f>'FR-16(7)(v)-1 Functional'!D412</f>
        <v>D349</v>
      </c>
      <c r="E412" s="196"/>
      <c r="F412" s="479">
        <f>'FR-16(7)(v)-1 Functional'!F412</f>
        <v>4278422</v>
      </c>
      <c r="G412" s="349">
        <f>'FR-16(7)(v)-6 DISTR Cust Alloc'!G412+'FR-16(7)(v)-5 DISTR Dem Alloc'!G412+'FR-16(7)(v)-3 PROD Comm Alloc'!G412</f>
        <v>2909114</v>
      </c>
      <c r="H412" s="349">
        <f>'FR-16(7)(v)-6 DISTR Cust Alloc'!H412+'FR-16(7)(v)-5 DISTR Dem Alloc'!H412+'FR-16(7)(v)-3 PROD Comm Alloc'!H412</f>
        <v>1033393</v>
      </c>
      <c r="I412" s="349">
        <f>'FR-16(7)(v)-6 DISTR Cust Alloc'!I412+'FR-16(7)(v)-5 DISTR Dem Alloc'!I412+'FR-16(7)(v)-3 PROD Comm Alloc'!I412</f>
        <v>266013</v>
      </c>
      <c r="J412" s="349">
        <f>'FR-16(7)(v)-6 DISTR Cust Alloc'!J412+'FR-16(7)(v)-5 DISTR Dem Alloc'!J412+'FR-16(7)(v)-3 PROD Comm Alloc'!J412</f>
        <v>69902</v>
      </c>
      <c r="K412" s="347">
        <f t="shared" si="103"/>
        <v>4278422</v>
      </c>
      <c r="L412" s="347">
        <f t="shared" si="104"/>
        <v>0</v>
      </c>
    </row>
    <row r="413" spans="1:12">
      <c r="A413" s="333">
        <v>13</v>
      </c>
      <c r="C413" s="332" t="str">
        <f>'FR-16(7)(v)-1 Functional'!C413</f>
        <v>CUSTOMER ACCOUNTING</v>
      </c>
      <c r="D413" s="344" t="str">
        <f>'FR-16(7)(v)-1 Functional'!D413</f>
        <v>CA19</v>
      </c>
      <c r="E413" s="196"/>
      <c r="F413" s="479">
        <f>'FR-16(7)(v)-1 Functional'!F413</f>
        <v>1807581</v>
      </c>
      <c r="G413" s="349">
        <f>'FR-16(7)(v)-6 DISTR Cust Alloc'!G413+'FR-16(7)(v)-5 DISTR Dem Alloc'!G413+'FR-16(7)(v)-3 PROD Comm Alloc'!G413</f>
        <v>1677941</v>
      </c>
      <c r="H413" s="349">
        <f>'FR-16(7)(v)-6 DISTR Cust Alloc'!H413+'FR-16(7)(v)-5 DISTR Dem Alloc'!H413+'FR-16(7)(v)-3 PROD Comm Alloc'!H413</f>
        <v>127489</v>
      </c>
      <c r="I413" s="349">
        <f>'FR-16(7)(v)-6 DISTR Cust Alloc'!I413+'FR-16(7)(v)-5 DISTR Dem Alloc'!I413+'FR-16(7)(v)-3 PROD Comm Alloc'!I413</f>
        <v>1753</v>
      </c>
      <c r="J413" s="349">
        <f>'FR-16(7)(v)-6 DISTR Cust Alloc'!J413+'FR-16(7)(v)-5 DISTR Dem Alloc'!J413+'FR-16(7)(v)-3 PROD Comm Alloc'!J413</f>
        <v>398</v>
      </c>
      <c r="K413" s="347">
        <f t="shared" si="103"/>
        <v>1807581</v>
      </c>
      <c r="L413" s="347">
        <f t="shared" si="104"/>
        <v>0</v>
      </c>
    </row>
    <row r="414" spans="1:12">
      <c r="A414" s="333">
        <v>14</v>
      </c>
      <c r="C414" s="332" t="str">
        <f>'FR-16(7)(v)-1 Functional'!C414</f>
        <v>CUSTOMER SERVICE &amp; INFORMATION</v>
      </c>
      <c r="D414" s="344" t="str">
        <f>'FR-16(7)(v)-1 Functional'!D414</f>
        <v>CS19</v>
      </c>
      <c r="E414" s="196"/>
      <c r="F414" s="479">
        <f>'FR-16(7)(v)-1 Functional'!F414</f>
        <v>158176</v>
      </c>
      <c r="G414" s="349">
        <f>'FR-16(7)(v)-6 DISTR Cust Alloc'!G414+'FR-16(7)(v)-5 DISTR Dem Alloc'!G414+'FR-16(7)(v)-3 PROD Comm Alloc'!G414</f>
        <v>146832</v>
      </c>
      <c r="H414" s="349">
        <f>'FR-16(7)(v)-6 DISTR Cust Alloc'!H414+'FR-16(7)(v)-5 DISTR Dem Alloc'!H414+'FR-16(7)(v)-3 PROD Comm Alloc'!H414</f>
        <v>11156</v>
      </c>
      <c r="I414" s="349">
        <f>'FR-16(7)(v)-6 DISTR Cust Alloc'!I414+'FR-16(7)(v)-5 DISTR Dem Alloc'!I414+'FR-16(7)(v)-3 PROD Comm Alloc'!I414</f>
        <v>153</v>
      </c>
      <c r="J414" s="349">
        <f>'FR-16(7)(v)-6 DISTR Cust Alloc'!J414+'FR-16(7)(v)-5 DISTR Dem Alloc'!J414+'FR-16(7)(v)-3 PROD Comm Alloc'!J414</f>
        <v>35</v>
      </c>
      <c r="K414" s="347">
        <f t="shared" si="103"/>
        <v>158176</v>
      </c>
      <c r="L414" s="347">
        <f t="shared" si="104"/>
        <v>0</v>
      </c>
    </row>
    <row r="415" spans="1:12">
      <c r="A415" s="333">
        <v>15</v>
      </c>
      <c r="C415" s="359" t="str">
        <f>'FR-16(7)(v)-1 Functional'!C415</f>
        <v>SALES</v>
      </c>
      <c r="D415" s="344" t="str">
        <f>'FR-16(7)(v)-1 Functional'!D415</f>
        <v>SE19</v>
      </c>
      <c r="E415" s="196"/>
      <c r="F415" s="479">
        <f>'FR-16(7)(v)-1 Functional'!F415</f>
        <v>0</v>
      </c>
      <c r="G415" s="349">
        <f>'FR-16(7)(v)-6 DISTR Cust Alloc'!G415+'FR-16(7)(v)-5 DISTR Dem Alloc'!G415+'FR-16(7)(v)-3 PROD Comm Alloc'!G415</f>
        <v>0</v>
      </c>
      <c r="H415" s="349">
        <f>'FR-16(7)(v)-6 DISTR Cust Alloc'!H415+'FR-16(7)(v)-5 DISTR Dem Alloc'!H415+'FR-16(7)(v)-3 PROD Comm Alloc'!H415</f>
        <v>0</v>
      </c>
      <c r="I415" s="349">
        <f>'FR-16(7)(v)-6 DISTR Cust Alloc'!I415+'FR-16(7)(v)-5 DISTR Dem Alloc'!I415+'FR-16(7)(v)-3 PROD Comm Alloc'!I415</f>
        <v>0</v>
      </c>
      <c r="J415" s="349">
        <f>'FR-16(7)(v)-6 DISTR Cust Alloc'!J415+'FR-16(7)(v)-5 DISTR Dem Alloc'!J415+'FR-16(7)(v)-3 PROD Comm Alloc'!J415</f>
        <v>0</v>
      </c>
      <c r="K415" s="502">
        <f t="shared" si="103"/>
        <v>0</v>
      </c>
      <c r="L415" s="502">
        <f t="shared" si="104"/>
        <v>0</v>
      </c>
    </row>
    <row r="416" spans="1:12">
      <c r="A416" s="333">
        <v>16</v>
      </c>
      <c r="C416" s="332" t="str">
        <f>'FR-16(7)(v)-1 Functional'!C416</f>
        <v xml:space="preserve"> TOT ADMIN &amp; GEN LESS REG EXP</v>
      </c>
      <c r="D416" s="344" t="s">
        <v>343</v>
      </c>
      <c r="E416" s="196"/>
      <c r="F416" s="503">
        <f t="shared" ref="F416:L416" si="105">SUM(F410:F415)</f>
        <v>6963873</v>
      </c>
      <c r="G416" s="503">
        <f t="shared" si="105"/>
        <v>5097991</v>
      </c>
      <c r="H416" s="503">
        <f t="shared" si="105"/>
        <v>1379437</v>
      </c>
      <c r="I416" s="503">
        <f t="shared" si="105"/>
        <v>414757</v>
      </c>
      <c r="J416" s="503">
        <f t="shared" si="105"/>
        <v>71688</v>
      </c>
      <c r="K416" s="477">
        <f t="shared" si="105"/>
        <v>6963873</v>
      </c>
      <c r="L416" s="477">
        <f t="shared" si="105"/>
        <v>0</v>
      </c>
    </row>
    <row r="417" spans="1:12">
      <c r="A417" s="333">
        <v>17</v>
      </c>
      <c r="C417" s="332" t="str">
        <f>'FR-16(7)(v)-1 Functional'!C417</f>
        <v>AMORTIZATION RATE CASE EXPENSE</v>
      </c>
      <c r="D417" s="344" t="str">
        <f>'FR-16(7)(v)-1 Functional'!D417</f>
        <v>AG39</v>
      </c>
      <c r="E417" s="196"/>
      <c r="F417" s="479">
        <f>'FR-16(7)(v)-1 Functional'!F417</f>
        <v>115100</v>
      </c>
      <c r="G417" s="349">
        <f>'FR-16(7)(v)-6 DISTR Cust Alloc'!G417+'FR-16(7)(v)-5 DISTR Dem Alloc'!G417+'FR-16(7)(v)-3 PROD Comm Alloc'!G417</f>
        <v>84260</v>
      </c>
      <c r="H417" s="349">
        <f>'FR-16(7)(v)-6 DISTR Cust Alloc'!H417+'FR-16(7)(v)-5 DISTR Dem Alloc'!H417+'FR-16(7)(v)-3 PROD Comm Alloc'!H417</f>
        <v>22800</v>
      </c>
      <c r="I417" s="349">
        <f>'FR-16(7)(v)-6 DISTR Cust Alloc'!I417+'FR-16(7)(v)-5 DISTR Dem Alloc'!I417+'FR-16(7)(v)-3 PROD Comm Alloc'!I417</f>
        <v>6855</v>
      </c>
      <c r="J417" s="349">
        <f>'FR-16(7)(v)-6 DISTR Cust Alloc'!J417+'FR-16(7)(v)-5 DISTR Dem Alloc'!J417+'FR-16(7)(v)-3 PROD Comm Alloc'!J417</f>
        <v>1185</v>
      </c>
      <c r="K417" s="347">
        <f t="shared" ref="K417:K423" si="106">SUM(G417:J417)</f>
        <v>115100</v>
      </c>
      <c r="L417" s="347">
        <f t="shared" ref="L417:L430" si="107">F417-K417</f>
        <v>0</v>
      </c>
    </row>
    <row r="418" spans="1:12">
      <c r="A418" s="333">
        <v>18</v>
      </c>
      <c r="C418" s="332" t="str">
        <f>'FR-16(7)(v)-1 Functional'!C418</f>
        <v>INCENTIVE COMPENSATION</v>
      </c>
      <c r="D418" s="344" t="str">
        <f>'FR-16(7)(v)-1 Functional'!D418</f>
        <v>AG39</v>
      </c>
      <c r="E418" s="196"/>
      <c r="F418" s="479">
        <f>'FR-16(7)(v)-1 Functional'!F418</f>
        <v>-277270</v>
      </c>
      <c r="G418" s="349">
        <f>'FR-16(7)(v)-6 DISTR Cust Alloc'!G418+'FR-16(7)(v)-5 DISTR Dem Alloc'!G418+'FR-16(7)(v)-3 PROD Comm Alloc'!G418</f>
        <v>-202978</v>
      </c>
      <c r="H418" s="349">
        <f>'FR-16(7)(v)-6 DISTR Cust Alloc'!H418+'FR-16(7)(v)-5 DISTR Dem Alloc'!H418+'FR-16(7)(v)-3 PROD Comm Alloc'!H418</f>
        <v>-54924</v>
      </c>
      <c r="I418" s="349">
        <f>'FR-16(7)(v)-6 DISTR Cust Alloc'!I418+'FR-16(7)(v)-5 DISTR Dem Alloc'!I418+'FR-16(7)(v)-3 PROD Comm Alloc'!I418</f>
        <v>-16514</v>
      </c>
      <c r="J418" s="349">
        <f>'FR-16(7)(v)-6 DISTR Cust Alloc'!J418+'FR-16(7)(v)-5 DISTR Dem Alloc'!J418+'FR-16(7)(v)-3 PROD Comm Alloc'!J418</f>
        <v>-2854</v>
      </c>
      <c r="K418" s="347">
        <f t="shared" si="106"/>
        <v>-277270</v>
      </c>
      <c r="L418" s="347">
        <f t="shared" si="107"/>
        <v>0</v>
      </c>
    </row>
    <row r="419" spans="1:12">
      <c r="A419" s="333">
        <v>19</v>
      </c>
      <c r="C419" s="332" t="str">
        <f>'FR-16(7)(v)-1 Functional'!C419</f>
        <v>ELIMINATE MISCELLANEOUS EXPENSES</v>
      </c>
      <c r="D419" s="344" t="str">
        <f>'FR-16(7)(v)-1 Functional'!D419</f>
        <v>AG39</v>
      </c>
      <c r="E419" s="196"/>
      <c r="F419" s="479">
        <f>'FR-16(7)(v)-1 Functional'!F419</f>
        <v>-322075</v>
      </c>
      <c r="G419" s="349">
        <f>'FR-16(7)(v)-6 DISTR Cust Alloc'!G419+'FR-16(7)(v)-5 DISTR Dem Alloc'!G419+'FR-16(7)(v)-3 PROD Comm Alloc'!G419</f>
        <v>-235779</v>
      </c>
      <c r="H419" s="349">
        <f>'FR-16(7)(v)-6 DISTR Cust Alloc'!H419+'FR-16(7)(v)-5 DISTR Dem Alloc'!H419+'FR-16(7)(v)-3 PROD Comm Alloc'!H419</f>
        <v>-63798</v>
      </c>
      <c r="I419" s="349">
        <f>'FR-16(7)(v)-6 DISTR Cust Alloc'!I419+'FR-16(7)(v)-5 DISTR Dem Alloc'!I419+'FR-16(7)(v)-3 PROD Comm Alloc'!I419</f>
        <v>-19182</v>
      </c>
      <c r="J419" s="349">
        <f>'FR-16(7)(v)-6 DISTR Cust Alloc'!J419+'FR-16(7)(v)-5 DISTR Dem Alloc'!J419+'FR-16(7)(v)-3 PROD Comm Alloc'!J419</f>
        <v>-3316</v>
      </c>
      <c r="K419" s="347">
        <f t="shared" si="106"/>
        <v>-322075</v>
      </c>
      <c r="L419" s="347">
        <f t="shared" si="107"/>
        <v>0</v>
      </c>
    </row>
    <row r="420" spans="1:12">
      <c r="A420" s="333">
        <v>20</v>
      </c>
      <c r="C420" s="332" t="str">
        <f>'FR-16(7)(v)-1 Functional'!C420</f>
        <v>ELIMINATE NON-JURISDICTIONAL EXPENSES</v>
      </c>
      <c r="D420" s="344" t="str">
        <f>'FR-16(7)(v)-1 Functional'!D420</f>
        <v>NP29</v>
      </c>
      <c r="E420" s="196"/>
      <c r="F420" s="479">
        <f>'FR-16(7)(v)-1 Functional'!F420</f>
        <v>0</v>
      </c>
      <c r="G420" s="349">
        <f>'FR-16(7)(v)-6 DISTR Cust Alloc'!G420+'FR-16(7)(v)-5 DISTR Dem Alloc'!G420+'FR-16(7)(v)-3 PROD Comm Alloc'!G420</f>
        <v>0</v>
      </c>
      <c r="H420" s="349">
        <f>'FR-16(7)(v)-6 DISTR Cust Alloc'!H420+'FR-16(7)(v)-5 DISTR Dem Alloc'!H420+'FR-16(7)(v)-3 PROD Comm Alloc'!H420</f>
        <v>0</v>
      </c>
      <c r="I420" s="349">
        <f>'FR-16(7)(v)-6 DISTR Cust Alloc'!I420+'FR-16(7)(v)-5 DISTR Dem Alloc'!I420+'FR-16(7)(v)-3 PROD Comm Alloc'!I420</f>
        <v>0</v>
      </c>
      <c r="J420" s="349">
        <f>'FR-16(7)(v)-6 DISTR Cust Alloc'!J420+'FR-16(7)(v)-5 DISTR Dem Alloc'!J420+'FR-16(7)(v)-3 PROD Comm Alloc'!J420</f>
        <v>0</v>
      </c>
      <c r="K420" s="347">
        <f t="shared" si="106"/>
        <v>0</v>
      </c>
      <c r="L420" s="347">
        <f t="shared" si="107"/>
        <v>0</v>
      </c>
    </row>
    <row r="421" spans="1:12">
      <c r="A421" s="333">
        <v>21</v>
      </c>
      <c r="C421" s="332" t="str">
        <f>'FR-16(7)(v)-1 Functional'!C421</f>
        <v xml:space="preserve">AMORTIZATION OF DEFERRED EXP </v>
      </c>
      <c r="D421" s="344" t="str">
        <f>'FR-16(7)(v)-1 Functional'!D421</f>
        <v>AG39</v>
      </c>
      <c r="E421" s="196"/>
      <c r="F421" s="479">
        <f>'FR-16(7)(v)-1 Functional'!F421</f>
        <v>543043</v>
      </c>
      <c r="G421" s="349">
        <f>'FR-16(7)(v)-6 DISTR Cust Alloc'!G421+'FR-16(7)(v)-5 DISTR Dem Alloc'!G421+'FR-16(7)(v)-3 PROD Comm Alloc'!G421</f>
        <v>397540</v>
      </c>
      <c r="H421" s="349">
        <f>'FR-16(7)(v)-6 DISTR Cust Alloc'!H421+'FR-16(7)(v)-5 DISTR Dem Alloc'!H421+'FR-16(7)(v)-3 PROD Comm Alloc'!H421</f>
        <v>107570</v>
      </c>
      <c r="I421" s="349">
        <f>'FR-16(7)(v)-6 DISTR Cust Alloc'!I421+'FR-16(7)(v)-5 DISTR Dem Alloc'!I421+'FR-16(7)(v)-3 PROD Comm Alloc'!I421</f>
        <v>32343</v>
      </c>
      <c r="J421" s="349">
        <f>'FR-16(7)(v)-6 DISTR Cust Alloc'!J421+'FR-16(7)(v)-5 DISTR Dem Alloc'!J421+'FR-16(7)(v)-3 PROD Comm Alloc'!J421</f>
        <v>5590</v>
      </c>
      <c r="K421" s="347">
        <f t="shared" si="106"/>
        <v>543043</v>
      </c>
      <c r="L421" s="347">
        <f t="shared" si="107"/>
        <v>0</v>
      </c>
    </row>
    <row r="422" spans="1:12">
      <c r="A422" s="333">
        <v>22</v>
      </c>
      <c r="C422" s="332" t="str">
        <f>'FR-16(7)(v)-1 Functional'!C422</f>
        <v>STATE REG COMMISSION EXPENSES</v>
      </c>
      <c r="D422" s="344" t="str">
        <f>'FR-16(7)(v)-1 Functional'!D422</f>
        <v>AG39</v>
      </c>
      <c r="E422" s="196"/>
      <c r="F422" s="479">
        <f>'FR-16(7)(v)-1 Functional'!F422</f>
        <v>0</v>
      </c>
      <c r="G422" s="349">
        <f>'FR-16(7)(v)-6 DISTR Cust Alloc'!G422+'FR-16(7)(v)-5 DISTR Dem Alloc'!G422+'FR-16(7)(v)-3 PROD Comm Alloc'!G422</f>
        <v>0</v>
      </c>
      <c r="H422" s="349">
        <f>'FR-16(7)(v)-6 DISTR Cust Alloc'!H422+'FR-16(7)(v)-5 DISTR Dem Alloc'!H422+'FR-16(7)(v)-3 PROD Comm Alloc'!H422</f>
        <v>0</v>
      </c>
      <c r="I422" s="349">
        <f>'FR-16(7)(v)-6 DISTR Cust Alloc'!I422+'FR-16(7)(v)-5 DISTR Dem Alloc'!I422+'FR-16(7)(v)-3 PROD Comm Alloc'!I422</f>
        <v>0</v>
      </c>
      <c r="J422" s="349">
        <f>'FR-16(7)(v)-6 DISTR Cust Alloc'!J422+'FR-16(7)(v)-5 DISTR Dem Alloc'!J422+'FR-16(7)(v)-3 PROD Comm Alloc'!J422</f>
        <v>0</v>
      </c>
      <c r="K422" s="347">
        <f t="shared" si="106"/>
        <v>0</v>
      </c>
      <c r="L422" s="347">
        <f t="shared" si="107"/>
        <v>0</v>
      </c>
    </row>
    <row r="423" spans="1:12">
      <c r="A423" s="333">
        <v>23</v>
      </c>
      <c r="C423" s="332" t="str">
        <f>'FR-16(7)(v)-1 Functional'!C423</f>
        <v>STATE REG COM EXP ANN ADJ.</v>
      </c>
      <c r="D423" s="344" t="str">
        <f>'FR-16(7)(v)-1 Functional'!D423</f>
        <v>AG39</v>
      </c>
      <c r="E423" s="196"/>
      <c r="F423" s="479">
        <f>'FR-16(7)(v)-1 Functional'!F423</f>
        <v>0</v>
      </c>
      <c r="G423" s="349">
        <f>'FR-16(7)(v)-6 DISTR Cust Alloc'!G423+'FR-16(7)(v)-5 DISTR Dem Alloc'!G423+'FR-16(7)(v)-3 PROD Comm Alloc'!G423</f>
        <v>0</v>
      </c>
      <c r="H423" s="349">
        <f>'FR-16(7)(v)-6 DISTR Cust Alloc'!H423+'FR-16(7)(v)-5 DISTR Dem Alloc'!H423+'FR-16(7)(v)-3 PROD Comm Alloc'!H423</f>
        <v>0</v>
      </c>
      <c r="I423" s="349">
        <f>'FR-16(7)(v)-6 DISTR Cust Alloc'!I423+'FR-16(7)(v)-5 DISTR Dem Alloc'!I423+'FR-16(7)(v)-3 PROD Comm Alloc'!I423</f>
        <v>0</v>
      </c>
      <c r="J423" s="349">
        <f>'FR-16(7)(v)-6 DISTR Cust Alloc'!J423+'FR-16(7)(v)-5 DISTR Dem Alloc'!J423+'FR-16(7)(v)-3 PROD Comm Alloc'!J423</f>
        <v>0</v>
      </c>
      <c r="K423" s="347">
        <f t="shared" si="106"/>
        <v>0</v>
      </c>
      <c r="L423" s="347">
        <f t="shared" si="107"/>
        <v>0</v>
      </c>
    </row>
    <row r="424" spans="1:12">
      <c r="A424" s="333">
        <v>24</v>
      </c>
      <c r="C424" s="332" t="str">
        <f>'FR-16(7)(v)-1 Functional'!C424</f>
        <v>AMORTIZE CAMERA WORK</v>
      </c>
      <c r="D424" s="344" t="str">
        <f>'FR-16(7)(v)-1 Functional'!D424</f>
        <v>AG39</v>
      </c>
      <c r="E424" s="196"/>
      <c r="F424" s="479">
        <f>'FR-16(7)(v)-1 Functional'!F424</f>
        <v>0</v>
      </c>
      <c r="G424" s="349">
        <f>'FR-16(7)(v)-6 DISTR Cust Alloc'!G424+'FR-16(7)(v)-5 DISTR Dem Alloc'!G424+'FR-16(7)(v)-3 PROD Comm Alloc'!G424</f>
        <v>0</v>
      </c>
      <c r="H424" s="349">
        <f>'FR-16(7)(v)-6 DISTR Cust Alloc'!H424+'FR-16(7)(v)-5 DISTR Dem Alloc'!H424+'FR-16(7)(v)-3 PROD Comm Alloc'!H424</f>
        <v>0</v>
      </c>
      <c r="I424" s="349">
        <f>'FR-16(7)(v)-6 DISTR Cust Alloc'!I424+'FR-16(7)(v)-5 DISTR Dem Alloc'!I424+'FR-16(7)(v)-3 PROD Comm Alloc'!I424</f>
        <v>0</v>
      </c>
      <c r="J424" s="349">
        <f>'FR-16(7)(v)-6 DISTR Cust Alloc'!J424+'FR-16(7)(v)-5 DISTR Dem Alloc'!J424+'FR-16(7)(v)-3 PROD Comm Alloc'!J424</f>
        <v>0</v>
      </c>
      <c r="K424" s="347">
        <f t="shared" ref="K424:K430" si="108">SUM(G424:J424)</f>
        <v>0</v>
      </c>
      <c r="L424" s="347">
        <f t="shared" si="107"/>
        <v>0</v>
      </c>
    </row>
    <row r="425" spans="1:12">
      <c r="A425" s="333">
        <v>25</v>
      </c>
      <c r="C425" s="332" t="str">
        <f>'FR-16(7)(v)-1 Functional'!C425</f>
        <v>ELIMINATE MERGER EXPENSE</v>
      </c>
      <c r="D425" s="344" t="str">
        <f>'FR-16(7)(v)-1 Functional'!D425</f>
        <v>AG39</v>
      </c>
      <c r="E425" s="196"/>
      <c r="F425" s="479">
        <f>'FR-16(7)(v)-1 Functional'!F425</f>
        <v>0</v>
      </c>
      <c r="G425" s="349">
        <f>'FR-16(7)(v)-6 DISTR Cust Alloc'!G425+'FR-16(7)(v)-5 DISTR Dem Alloc'!G425+'FR-16(7)(v)-3 PROD Comm Alloc'!G425</f>
        <v>0</v>
      </c>
      <c r="H425" s="349">
        <f>'FR-16(7)(v)-6 DISTR Cust Alloc'!H425+'FR-16(7)(v)-5 DISTR Dem Alloc'!H425+'FR-16(7)(v)-3 PROD Comm Alloc'!H425</f>
        <v>0</v>
      </c>
      <c r="I425" s="349">
        <f>'FR-16(7)(v)-6 DISTR Cust Alloc'!I425+'FR-16(7)(v)-5 DISTR Dem Alloc'!I425+'FR-16(7)(v)-3 PROD Comm Alloc'!I425</f>
        <v>0</v>
      </c>
      <c r="J425" s="349">
        <f>'FR-16(7)(v)-6 DISTR Cust Alloc'!J425+'FR-16(7)(v)-5 DISTR Dem Alloc'!J425+'FR-16(7)(v)-3 PROD Comm Alloc'!J425</f>
        <v>0</v>
      </c>
      <c r="K425" s="347">
        <f t="shared" si="108"/>
        <v>0</v>
      </c>
      <c r="L425" s="347">
        <f t="shared" si="107"/>
        <v>0</v>
      </c>
    </row>
    <row r="426" spans="1:12">
      <c r="A426" s="333">
        <v>26</v>
      </c>
      <c r="C426" s="332" t="str">
        <f>'FR-16(7)(v)-1 Functional'!C426</f>
        <v>SMART GRID AMORTIZATION ADJUSTMENT</v>
      </c>
      <c r="D426" s="344" t="str">
        <f>'FR-16(7)(v)-1 Functional'!D426</f>
        <v>K413</v>
      </c>
      <c r="E426" s="196"/>
      <c r="F426" s="479">
        <f>'FR-16(7)(v)-1 Functional'!F426</f>
        <v>0</v>
      </c>
      <c r="G426" s="349">
        <f>'FR-16(7)(v)-6 DISTR Cust Alloc'!G426+'FR-16(7)(v)-5 DISTR Dem Alloc'!G426+'FR-16(7)(v)-3 PROD Comm Alloc'!G426</f>
        <v>0</v>
      </c>
      <c r="H426" s="349">
        <f>'FR-16(7)(v)-6 DISTR Cust Alloc'!H426+'FR-16(7)(v)-5 DISTR Dem Alloc'!H426+'FR-16(7)(v)-3 PROD Comm Alloc'!H426</f>
        <v>0</v>
      </c>
      <c r="I426" s="349">
        <f>'FR-16(7)(v)-6 DISTR Cust Alloc'!I426+'FR-16(7)(v)-5 DISTR Dem Alloc'!I426+'FR-16(7)(v)-3 PROD Comm Alloc'!I426</f>
        <v>0</v>
      </c>
      <c r="J426" s="349">
        <f>'FR-16(7)(v)-6 DISTR Cust Alloc'!J426+'FR-16(7)(v)-5 DISTR Dem Alloc'!J426+'FR-16(7)(v)-3 PROD Comm Alloc'!J426</f>
        <v>0</v>
      </c>
      <c r="K426" s="347">
        <f t="shared" si="108"/>
        <v>0</v>
      </c>
      <c r="L426" s="347">
        <f t="shared" si="107"/>
        <v>0</v>
      </c>
    </row>
    <row r="427" spans="1:12">
      <c r="A427" s="333">
        <v>27</v>
      </c>
      <c r="C427" s="332" t="str">
        <f>'FR-16(7)(v)-1 Functional'!C427</f>
        <v>AMORTIZE 2011 SMART GRID DEFERRED O&amp;M</v>
      </c>
      <c r="D427" s="344" t="str">
        <f>'FR-16(7)(v)-1 Functional'!D427</f>
        <v>K413</v>
      </c>
      <c r="E427" s="196"/>
      <c r="F427" s="479">
        <f>'FR-16(7)(v)-1 Functional'!F427</f>
        <v>0</v>
      </c>
      <c r="G427" s="349">
        <f>'FR-16(7)(v)-6 DISTR Cust Alloc'!G427+'FR-16(7)(v)-5 DISTR Dem Alloc'!G427+'FR-16(7)(v)-3 PROD Comm Alloc'!G427</f>
        <v>0</v>
      </c>
      <c r="H427" s="349">
        <f>'FR-16(7)(v)-6 DISTR Cust Alloc'!H427+'FR-16(7)(v)-5 DISTR Dem Alloc'!H427+'FR-16(7)(v)-3 PROD Comm Alloc'!H427</f>
        <v>0</v>
      </c>
      <c r="I427" s="349">
        <f>'FR-16(7)(v)-6 DISTR Cust Alloc'!I427+'FR-16(7)(v)-5 DISTR Dem Alloc'!I427+'FR-16(7)(v)-3 PROD Comm Alloc'!I427</f>
        <v>0</v>
      </c>
      <c r="J427" s="349">
        <f>'FR-16(7)(v)-6 DISTR Cust Alloc'!J427+'FR-16(7)(v)-5 DISTR Dem Alloc'!J427+'FR-16(7)(v)-3 PROD Comm Alloc'!J427</f>
        <v>0</v>
      </c>
      <c r="K427" s="347">
        <f t="shared" si="108"/>
        <v>0</v>
      </c>
      <c r="L427" s="347">
        <f t="shared" si="107"/>
        <v>0</v>
      </c>
    </row>
    <row r="428" spans="1:12">
      <c r="A428" s="333">
        <v>28</v>
      </c>
      <c r="C428" s="332" t="str">
        <f>'FR-16(7)(v)-1 Functional'!C428</f>
        <v>INCREASED MEDICAL COSTS</v>
      </c>
      <c r="D428" s="344" t="str">
        <f>'FR-16(7)(v)-1 Functional'!D428</f>
        <v>AG39</v>
      </c>
      <c r="E428" s="196"/>
      <c r="F428" s="479">
        <f>'FR-16(7)(v)-1 Functional'!F428</f>
        <v>0</v>
      </c>
      <c r="G428" s="349">
        <f>'FR-16(7)(v)-6 DISTR Cust Alloc'!G428+'FR-16(7)(v)-5 DISTR Dem Alloc'!G428+'FR-16(7)(v)-3 PROD Comm Alloc'!G428</f>
        <v>0</v>
      </c>
      <c r="H428" s="349">
        <f>'FR-16(7)(v)-6 DISTR Cust Alloc'!H428+'FR-16(7)(v)-5 DISTR Dem Alloc'!H428+'FR-16(7)(v)-3 PROD Comm Alloc'!H428</f>
        <v>0</v>
      </c>
      <c r="I428" s="349">
        <f>'FR-16(7)(v)-6 DISTR Cust Alloc'!I428+'FR-16(7)(v)-5 DISTR Dem Alloc'!I428+'FR-16(7)(v)-3 PROD Comm Alloc'!I428</f>
        <v>0</v>
      </c>
      <c r="J428" s="349">
        <f>'FR-16(7)(v)-6 DISTR Cust Alloc'!J428+'FR-16(7)(v)-5 DISTR Dem Alloc'!J428+'FR-16(7)(v)-3 PROD Comm Alloc'!J428</f>
        <v>0</v>
      </c>
      <c r="K428" s="347">
        <f t="shared" si="108"/>
        <v>0</v>
      </c>
      <c r="L428" s="347">
        <f t="shared" si="107"/>
        <v>0</v>
      </c>
    </row>
    <row r="429" spans="1:12">
      <c r="A429" s="333">
        <v>29</v>
      </c>
      <c r="C429" s="332" t="str">
        <f>'FR-16(7)(v)-1 Functional'!C429</f>
        <v>AMORTIZE GAS FURNACE PROGRAM</v>
      </c>
      <c r="D429" s="344" t="str">
        <f>'FR-16(7)(v)-1 Functional'!D429</f>
        <v>NP29</v>
      </c>
      <c r="E429" s="196"/>
      <c r="F429" s="479">
        <f>'FR-16(7)(v)-1 Functional'!F429</f>
        <v>0</v>
      </c>
      <c r="G429" s="349">
        <f>'FR-16(7)(v)-6 DISTR Cust Alloc'!G429+'FR-16(7)(v)-5 DISTR Dem Alloc'!G429+'FR-16(7)(v)-3 PROD Comm Alloc'!G429</f>
        <v>0</v>
      </c>
      <c r="H429" s="349">
        <f>'FR-16(7)(v)-6 DISTR Cust Alloc'!H429+'FR-16(7)(v)-5 DISTR Dem Alloc'!H429+'FR-16(7)(v)-3 PROD Comm Alloc'!H429</f>
        <v>0</v>
      </c>
      <c r="I429" s="349">
        <f>'FR-16(7)(v)-6 DISTR Cust Alloc'!I429+'FR-16(7)(v)-5 DISTR Dem Alloc'!I429+'FR-16(7)(v)-3 PROD Comm Alloc'!I429</f>
        <v>0</v>
      </c>
      <c r="J429" s="349">
        <f>'FR-16(7)(v)-6 DISTR Cust Alloc'!J429+'FR-16(7)(v)-5 DISTR Dem Alloc'!J429+'FR-16(7)(v)-3 PROD Comm Alloc'!J429</f>
        <v>0</v>
      </c>
      <c r="K429" s="347">
        <f t="shared" si="108"/>
        <v>0</v>
      </c>
      <c r="L429" s="347">
        <f t="shared" si="107"/>
        <v>0</v>
      </c>
    </row>
    <row r="430" spans="1:12">
      <c r="A430" s="333">
        <v>30</v>
      </c>
      <c r="C430" s="359" t="str">
        <f>'FR-16(7)(v)-1 Functional'!C430</f>
        <v>AMORTIZATION OF MGP DEFERRED EXP</v>
      </c>
      <c r="D430" s="344" t="str">
        <f>'FR-16(7)(v)-1 Functional'!D430</f>
        <v>NP29</v>
      </c>
      <c r="E430" s="196"/>
      <c r="F430" s="479">
        <f>'FR-16(7)(v)-1 Functional'!F430</f>
        <v>0</v>
      </c>
      <c r="G430" s="349">
        <f>'FR-16(7)(v)-6 DISTR Cust Alloc'!G430+'FR-16(7)(v)-5 DISTR Dem Alloc'!G430+'FR-16(7)(v)-3 PROD Comm Alloc'!G430</f>
        <v>0</v>
      </c>
      <c r="H430" s="349">
        <f>'FR-16(7)(v)-6 DISTR Cust Alloc'!H430+'FR-16(7)(v)-5 DISTR Dem Alloc'!H430+'FR-16(7)(v)-3 PROD Comm Alloc'!H430</f>
        <v>0</v>
      </c>
      <c r="I430" s="349">
        <f>'FR-16(7)(v)-6 DISTR Cust Alloc'!I430+'FR-16(7)(v)-5 DISTR Dem Alloc'!I430+'FR-16(7)(v)-3 PROD Comm Alloc'!I430</f>
        <v>0</v>
      </c>
      <c r="J430" s="349">
        <f>'FR-16(7)(v)-6 DISTR Cust Alloc'!J430+'FR-16(7)(v)-5 DISTR Dem Alloc'!J430+'FR-16(7)(v)-3 PROD Comm Alloc'!J430</f>
        <v>0</v>
      </c>
      <c r="K430" s="347">
        <f t="shared" si="108"/>
        <v>0</v>
      </c>
      <c r="L430" s="347">
        <f t="shared" si="107"/>
        <v>0</v>
      </c>
    </row>
    <row r="431" spans="1:12">
      <c r="A431" s="333">
        <v>31</v>
      </c>
      <c r="C431" s="332" t="str">
        <f>'FR-16(7)(v)-1 Functional'!C431</f>
        <v xml:space="preserve">  TOTAL ADMIN. &amp; GENERAL</v>
      </c>
      <c r="D431" s="344"/>
      <c r="E431" s="196" t="s">
        <v>343</v>
      </c>
      <c r="F431" s="348">
        <f t="shared" ref="F431:L431" si="109">SUM(F416:F430)</f>
        <v>7022671</v>
      </c>
      <c r="G431" s="348">
        <f t="shared" si="109"/>
        <v>5141034</v>
      </c>
      <c r="H431" s="348">
        <f t="shared" si="109"/>
        <v>1391085</v>
      </c>
      <c r="I431" s="348">
        <f t="shared" si="109"/>
        <v>418259</v>
      </c>
      <c r="J431" s="348">
        <f t="shared" si="109"/>
        <v>72293</v>
      </c>
      <c r="K431" s="348">
        <f t="shared" si="109"/>
        <v>7022671</v>
      </c>
      <c r="L431" s="348">
        <f t="shared" si="109"/>
        <v>0</v>
      </c>
    </row>
    <row r="432" spans="1:12">
      <c r="A432" s="333">
        <v>32</v>
      </c>
      <c r="D432" s="344"/>
      <c r="E432" s="196"/>
      <c r="F432" s="335"/>
      <c r="G432" s="347"/>
      <c r="I432" s="332"/>
      <c r="J432" s="347"/>
      <c r="K432" s="347"/>
      <c r="L432" s="347"/>
    </row>
    <row r="433" spans="1:12">
      <c r="A433" s="333">
        <v>33</v>
      </c>
      <c r="C433" s="332" t="str">
        <f>'FR-16(7)(v)-1 Functional'!C433</f>
        <v>TOTAL O &amp; M EXPENSE</v>
      </c>
      <c r="D433" s="344"/>
      <c r="E433" s="196"/>
      <c r="F433" s="347">
        <f t="shared" ref="F433:L433" si="110">F431+F407+F403+F389+F378+F364+F360</f>
        <v>60507968</v>
      </c>
      <c r="G433" s="347">
        <f t="shared" si="110"/>
        <v>35800714</v>
      </c>
      <c r="H433" s="347">
        <f t="shared" si="110"/>
        <v>15474188</v>
      </c>
      <c r="I433" s="347">
        <f t="shared" si="110"/>
        <v>8824202</v>
      </c>
      <c r="J433" s="347">
        <f t="shared" si="110"/>
        <v>408864</v>
      </c>
      <c r="K433" s="347">
        <f t="shared" si="110"/>
        <v>60507968</v>
      </c>
      <c r="L433" s="347">
        <f t="shared" si="110"/>
        <v>0</v>
      </c>
    </row>
    <row r="434" spans="1:12">
      <c r="B434" s="343"/>
      <c r="C434" s="196"/>
      <c r="D434" s="344"/>
      <c r="E434" s="196"/>
      <c r="G434" s="196"/>
      <c r="H434" s="342"/>
      <c r="I434" s="342"/>
      <c r="J434" s="354"/>
      <c r="K434" s="196"/>
      <c r="L434" s="196"/>
    </row>
    <row r="435" spans="1:12">
      <c r="A435" s="343" t="str">
        <f>co_name</f>
        <v>DUKE ENERGY KENTUCKY, INC.</v>
      </c>
      <c r="C435" s="196"/>
      <c r="D435" s="344"/>
      <c r="E435" s="196"/>
      <c r="F435" s="344"/>
      <c r="G435" s="342"/>
      <c r="H435" s="342"/>
      <c r="I435" s="196"/>
      <c r="K435" s="361" t="str">
        <f>$K$1</f>
        <v>FR-16(7)(v)-8</v>
      </c>
      <c r="L435" s="196"/>
    </row>
    <row r="436" spans="1:12">
      <c r="A436" s="343" t="str">
        <f>$A$2</f>
        <v>TOTAL CLASS ALLOCATED - GAS COST OF SERVICE</v>
      </c>
      <c r="C436" s="196"/>
      <c r="D436" s="344"/>
      <c r="E436" s="196"/>
      <c r="F436" s="344"/>
      <c r="G436" s="342"/>
      <c r="H436" s="342"/>
      <c r="I436" s="196"/>
      <c r="K436" s="361" t="str">
        <f>$K$2</f>
        <v>WITNESS RESPONSIBLE:</v>
      </c>
      <c r="L436" s="196"/>
    </row>
    <row r="437" spans="1:12">
      <c r="A437" s="343" t="str">
        <f>case_name</f>
        <v>CASE NO: 2018-00261</v>
      </c>
      <c r="C437" s="196"/>
      <c r="D437" s="344"/>
      <c r="E437" s="196"/>
      <c r="F437" s="344"/>
      <c r="G437" s="342"/>
      <c r="H437" s="342"/>
      <c r="I437" s="196"/>
      <c r="K437" s="361" t="str">
        <f>Witness</f>
        <v>JAMES E. ZIOLKOWSKI</v>
      </c>
      <c r="L437" s="196"/>
    </row>
    <row r="438" spans="1:12">
      <c r="A438" s="343" t="str">
        <f>data_filing</f>
        <v>DATA: 12 MONTH FORECASTED PERIOD</v>
      </c>
      <c r="C438" s="196"/>
      <c r="D438" s="344"/>
      <c r="E438" s="196"/>
      <c r="F438" s="344"/>
      <c r="G438" s="342"/>
      <c r="H438" s="342"/>
      <c r="I438" s="196"/>
      <c r="K438" s="361" t="str">
        <f>"PAGE "&amp;Pages2-5&amp;" OF "&amp;Pages2</f>
        <v>PAGE 10 OF 15</v>
      </c>
      <c r="L438" s="196"/>
    </row>
    <row r="439" spans="1:12">
      <c r="A439" s="343" t="str">
        <f>type</f>
        <v xml:space="preserve">TYPE OF FILING: "X" ORIGINAL   UPDATED    REVISED  </v>
      </c>
      <c r="C439" s="196"/>
      <c r="D439" s="344"/>
      <c r="E439" s="196"/>
      <c r="F439" s="344"/>
      <c r="G439" s="342"/>
      <c r="H439" s="342"/>
      <c r="I439" s="196"/>
      <c r="J439" s="344"/>
      <c r="K439" s="196"/>
      <c r="L439" s="196"/>
    </row>
    <row r="440" spans="1:12">
      <c r="B440" s="343"/>
      <c r="C440" s="196"/>
      <c r="D440" s="344"/>
      <c r="E440" s="196"/>
      <c r="F440" s="344"/>
      <c r="G440" s="196"/>
      <c r="H440" s="342"/>
      <c r="I440" s="342"/>
      <c r="J440" s="354"/>
      <c r="K440" s="196"/>
      <c r="L440" s="196"/>
    </row>
    <row r="441" spans="1:12">
      <c r="B441" s="343"/>
      <c r="C441" s="196"/>
      <c r="D441" s="344"/>
      <c r="E441" s="196"/>
      <c r="F441" s="344" t="str">
        <f>$F$7</f>
        <v>TOTAL</v>
      </c>
      <c r="G441" s="196"/>
      <c r="H441" s="342"/>
      <c r="I441" s="342"/>
      <c r="J441" s="354"/>
      <c r="K441" s="196"/>
      <c r="L441" s="196"/>
    </row>
    <row r="442" spans="1:12">
      <c r="A442" s="344" t="s">
        <v>914</v>
      </c>
      <c r="B442" s="196"/>
      <c r="C442" s="196"/>
      <c r="D442" s="344"/>
      <c r="E442" s="196"/>
      <c r="F442" s="344" t="str">
        <f>$F$8</f>
        <v>CLASS</v>
      </c>
      <c r="G442" s="354" t="s">
        <v>773</v>
      </c>
      <c r="H442" s="354" t="s">
        <v>1282</v>
      </c>
      <c r="I442" s="354" t="s">
        <v>984</v>
      </c>
      <c r="J442" s="354" t="s">
        <v>549</v>
      </c>
      <c r="K442" s="354" t="s">
        <v>229</v>
      </c>
      <c r="L442" s="344" t="s">
        <v>342</v>
      </c>
    </row>
    <row r="443" spans="1:12">
      <c r="A443" s="346" t="s">
        <v>915</v>
      </c>
      <c r="B443" s="345" t="s">
        <v>55</v>
      </c>
      <c r="C443" s="345"/>
      <c r="D443" s="346" t="s">
        <v>337</v>
      </c>
      <c r="E443" s="345"/>
      <c r="F443" s="344" t="str">
        <f>$F$9</f>
        <v>ALLOCATED</v>
      </c>
      <c r="G443" s="355" t="s">
        <v>338</v>
      </c>
      <c r="H443" s="355" t="s">
        <v>405</v>
      </c>
      <c r="I443" s="355" t="s">
        <v>1283</v>
      </c>
      <c r="J443" s="355" t="s">
        <v>550</v>
      </c>
      <c r="K443" s="355" t="s">
        <v>341</v>
      </c>
      <c r="L443" s="346" t="s">
        <v>340</v>
      </c>
    </row>
    <row r="444" spans="1:12">
      <c r="C444" s="578" t="s">
        <v>349</v>
      </c>
      <c r="D444" s="344"/>
      <c r="E444" s="196"/>
      <c r="F444" s="762"/>
      <c r="G444" s="633">
        <f>$G$10</f>
        <v>3</v>
      </c>
      <c r="H444" s="633">
        <f>$H$10</f>
        <v>4</v>
      </c>
      <c r="I444" s="633">
        <f>$I$10</f>
        <v>5</v>
      </c>
      <c r="J444" s="633">
        <f>$J$10</f>
        <v>6</v>
      </c>
      <c r="K444" s="510"/>
      <c r="L444" s="510"/>
    </row>
    <row r="445" spans="1:12">
      <c r="A445" s="333">
        <v>1</v>
      </c>
      <c r="B445" s="353" t="s">
        <v>56</v>
      </c>
      <c r="C445" s="353"/>
      <c r="D445" s="344"/>
      <c r="E445" s="196"/>
      <c r="H445" s="353"/>
      <c r="J445" s="353"/>
    </row>
    <row r="446" spans="1:12">
      <c r="A446" s="333">
        <v>2</v>
      </c>
      <c r="B446" s="353"/>
      <c r="C446" s="511" t="str">
        <f>'FR-16(7)(v)-1 Functional'!C446</f>
        <v>PRODUCTION DEPRECIATION</v>
      </c>
      <c r="D446" s="344" t="str">
        <f>'FR-16(7)(v)-1 Functional'!D446</f>
        <v>P229</v>
      </c>
      <c r="E446" s="196"/>
      <c r="F446" s="479">
        <f>'FR-16(7)(v)-1 Functional'!F446</f>
        <v>217881</v>
      </c>
      <c r="G446" s="349">
        <f>'FR-16(7)(v)-6 DISTR Cust Alloc'!G446+'FR-16(7)(v)-5 DISTR Dem Alloc'!G446+'FR-16(7)(v)-3 PROD Comm Alloc'!G446</f>
        <v>127105</v>
      </c>
      <c r="H446" s="349">
        <f>'FR-16(7)(v)-6 DISTR Cust Alloc'!H446+'FR-16(7)(v)-5 DISTR Dem Alloc'!H446+'FR-16(7)(v)-3 PROD Comm Alloc'!H446</f>
        <v>66410</v>
      </c>
      <c r="I446" s="349">
        <f>'FR-16(7)(v)-6 DISTR Cust Alloc'!I446+'FR-16(7)(v)-5 DISTR Dem Alloc'!I446+'FR-16(7)(v)-3 PROD Comm Alloc'!I446</f>
        <v>24366</v>
      </c>
      <c r="J446" s="349">
        <f>'FR-16(7)(v)-6 DISTR Cust Alloc'!J446+'FR-16(7)(v)-5 DISTR Dem Alloc'!J446+'FR-16(7)(v)-3 PROD Comm Alloc'!J446</f>
        <v>0</v>
      </c>
      <c r="K446" s="347">
        <f>SUM(G446:J446)</f>
        <v>217881</v>
      </c>
      <c r="L446" s="347">
        <f>F446-K446</f>
        <v>0</v>
      </c>
    </row>
    <row r="447" spans="1:12">
      <c r="A447" s="333">
        <v>3</v>
      </c>
      <c r="B447" s="353"/>
      <c r="C447" s="353" t="str">
        <f>'FR-16(7)(v)-1 Functional'!C447</f>
        <v xml:space="preserve">  TOTAL PRODUCTION DEPREC EXP.</v>
      </c>
      <c r="D447" s="344"/>
      <c r="E447" s="196"/>
      <c r="F447" s="348">
        <f t="shared" ref="F447:L447" si="111">SUM(F446:F446)</f>
        <v>217881</v>
      </c>
      <c r="G447" s="480">
        <f t="shared" si="111"/>
        <v>127105</v>
      </c>
      <c r="H447" s="348">
        <f t="shared" si="111"/>
        <v>66410</v>
      </c>
      <c r="I447" s="348">
        <f t="shared" si="111"/>
        <v>24366</v>
      </c>
      <c r="J447" s="348">
        <f t="shared" si="111"/>
        <v>0</v>
      </c>
      <c r="K447" s="348">
        <f t="shared" si="111"/>
        <v>217881</v>
      </c>
      <c r="L447" s="348">
        <f t="shared" si="111"/>
        <v>0</v>
      </c>
    </row>
    <row r="448" spans="1:12">
      <c r="A448" s="333">
        <v>4</v>
      </c>
      <c r="B448" s="353"/>
      <c r="C448" s="353"/>
      <c r="D448" s="344"/>
      <c r="E448" s="196"/>
      <c r="F448" s="353"/>
      <c r="H448" s="353"/>
      <c r="J448" s="353"/>
    </row>
    <row r="449" spans="1:12">
      <c r="A449" s="333">
        <v>5</v>
      </c>
      <c r="B449" s="511" t="s">
        <v>57</v>
      </c>
      <c r="C449" s="511"/>
      <c r="D449" s="344"/>
      <c r="E449" s="196"/>
      <c r="F449" s="349"/>
      <c r="G449" s="347"/>
      <c r="H449" s="353"/>
      <c r="J449" s="349"/>
      <c r="K449" s="347"/>
      <c r="L449" s="347"/>
    </row>
    <row r="450" spans="1:12">
      <c r="A450" s="333">
        <v>6</v>
      </c>
      <c r="B450" s="353"/>
      <c r="C450" s="353" t="str">
        <f>'FR-16(7)(v)-1 Functional'!C450</f>
        <v xml:space="preserve">  TOTAL TRANSMISSION DEP. EXP.</v>
      </c>
      <c r="D450" s="344"/>
      <c r="E450" s="196"/>
      <c r="F450" s="348">
        <f t="shared" ref="F450:L450" si="112">SUM(F449)</f>
        <v>0</v>
      </c>
      <c r="G450" s="762">
        <f t="shared" si="112"/>
        <v>0</v>
      </c>
      <c r="H450" s="762">
        <f t="shared" si="112"/>
        <v>0</v>
      </c>
      <c r="I450" s="348">
        <f t="shared" si="112"/>
        <v>0</v>
      </c>
      <c r="J450" s="348">
        <f t="shared" si="112"/>
        <v>0</v>
      </c>
      <c r="K450" s="348">
        <f t="shared" si="112"/>
        <v>0</v>
      </c>
      <c r="L450" s="348">
        <f t="shared" si="112"/>
        <v>0</v>
      </c>
    </row>
    <row r="451" spans="1:12">
      <c r="A451" s="333">
        <v>7</v>
      </c>
      <c r="B451" s="353"/>
      <c r="C451" s="353"/>
      <c r="D451" s="344"/>
      <c r="E451" s="196"/>
      <c r="F451" s="353"/>
      <c r="H451" s="353"/>
      <c r="J451" s="353"/>
    </row>
    <row r="452" spans="1:12">
      <c r="A452" s="333">
        <v>8</v>
      </c>
      <c r="B452" s="353" t="s">
        <v>58</v>
      </c>
      <c r="C452" s="353"/>
      <c r="D452" s="344"/>
      <c r="E452" s="196"/>
      <c r="F452" s="353"/>
      <c r="H452" s="353"/>
      <c r="J452" s="353"/>
    </row>
    <row r="453" spans="1:12">
      <c r="A453" s="333">
        <v>9</v>
      </c>
      <c r="B453" s="353"/>
      <c r="C453" s="511" t="str">
        <f>'FR-16(7)(v)-1 Functional'!C453</f>
        <v>DISTRIBUTION DEPRECIATION</v>
      </c>
      <c r="D453" s="344" t="str">
        <f>'FR-16(7)(v)-1 Functional'!D453</f>
        <v>D249</v>
      </c>
      <c r="E453" s="196"/>
      <c r="F453" s="479">
        <f>'FR-16(7)(v)-1 Functional'!F453</f>
        <v>12074876</v>
      </c>
      <c r="G453" s="349">
        <f>'FR-16(7)(v)-6 DISTR Cust Alloc'!G453+'FR-16(7)(v)-5 DISTR Dem Alloc'!G453+'FR-16(7)(v)-3 PROD Comm Alloc'!G453</f>
        <v>8376339</v>
      </c>
      <c r="H453" s="349">
        <f>'FR-16(7)(v)-6 DISTR Cust Alloc'!H453+'FR-16(7)(v)-5 DISTR Dem Alloc'!H453+'FR-16(7)(v)-3 PROD Comm Alloc'!H453</f>
        <v>2734135</v>
      </c>
      <c r="I453" s="349">
        <f>'FR-16(7)(v)-6 DISTR Cust Alloc'!I453+'FR-16(7)(v)-5 DISTR Dem Alloc'!I453+'FR-16(7)(v)-3 PROD Comm Alloc'!I453</f>
        <v>739258</v>
      </c>
      <c r="J453" s="349">
        <f>'FR-16(7)(v)-6 DISTR Cust Alloc'!J453+'FR-16(7)(v)-5 DISTR Dem Alloc'!J453+'FR-16(7)(v)-3 PROD Comm Alloc'!J453</f>
        <v>225144</v>
      </c>
      <c r="K453" s="347">
        <f>SUM(G453:J453)</f>
        <v>12074876</v>
      </c>
      <c r="L453" s="347">
        <f>F453-K453</f>
        <v>0</v>
      </c>
    </row>
    <row r="454" spans="1:12">
      <c r="A454" s="333">
        <v>10</v>
      </c>
      <c r="B454" s="353"/>
      <c r="C454" s="353" t="str">
        <f>'FR-16(7)(v)-1 Functional'!C454</f>
        <v xml:space="preserve">  TOTAL DIST. DEPREC EXP.</v>
      </c>
      <c r="D454" s="344"/>
      <c r="E454" s="196"/>
      <c r="F454" s="348">
        <f t="shared" ref="F454:L454" si="113">SUM(F453:F453)</f>
        <v>12074876</v>
      </c>
      <c r="G454" s="480">
        <f t="shared" si="113"/>
        <v>8376339</v>
      </c>
      <c r="H454" s="348">
        <f t="shared" si="113"/>
        <v>2734135</v>
      </c>
      <c r="I454" s="348">
        <f t="shared" si="113"/>
        <v>739258</v>
      </c>
      <c r="J454" s="348">
        <f t="shared" si="113"/>
        <v>225144</v>
      </c>
      <c r="K454" s="348">
        <f t="shared" si="113"/>
        <v>12074876</v>
      </c>
      <c r="L454" s="348">
        <f t="shared" si="113"/>
        <v>0</v>
      </c>
    </row>
    <row r="455" spans="1:12">
      <c r="A455" s="333">
        <v>11</v>
      </c>
      <c r="B455" s="353"/>
      <c r="C455" s="353"/>
      <c r="D455" s="344"/>
      <c r="E455" s="196"/>
      <c r="F455" s="353" t="s">
        <v>343</v>
      </c>
      <c r="H455" s="353"/>
      <c r="J455" s="353"/>
    </row>
    <row r="456" spans="1:12">
      <c r="A456" s="333">
        <v>12</v>
      </c>
      <c r="B456" s="353" t="s">
        <v>59</v>
      </c>
      <c r="C456" s="353"/>
      <c r="D456" s="344"/>
      <c r="E456" s="196"/>
      <c r="F456" s="353"/>
      <c r="H456" s="353"/>
      <c r="J456" s="353"/>
    </row>
    <row r="457" spans="1:12">
      <c r="A457" s="333">
        <v>13</v>
      </c>
      <c r="B457" s="353"/>
      <c r="C457" s="511" t="str">
        <f>'FR-16(7)(v)-1 Functional'!C457</f>
        <v>GENERAL DEPRECIATION</v>
      </c>
      <c r="D457" s="344" t="str">
        <f>'FR-16(7)(v)-1 Functional'!D457</f>
        <v>G229</v>
      </c>
      <c r="E457" s="196"/>
      <c r="F457" s="479">
        <f>'FR-16(7)(v)-1 Functional'!F457</f>
        <v>2195008</v>
      </c>
      <c r="G457" s="349">
        <f>'FR-16(7)(v)-6 DISTR Cust Alloc'!G457+'FR-16(7)(v)-5 DISTR Dem Alloc'!G457+'FR-16(7)(v)-3 PROD Comm Alloc'!G457</f>
        <v>1606926</v>
      </c>
      <c r="H457" s="349">
        <f>'FR-16(7)(v)-6 DISTR Cust Alloc'!H457+'FR-16(7)(v)-5 DISTR Dem Alloc'!H457+'FR-16(7)(v)-3 PROD Comm Alloc'!H457</f>
        <v>434829</v>
      </c>
      <c r="I457" s="349">
        <f>'FR-16(7)(v)-6 DISTR Cust Alloc'!I457+'FR-16(7)(v)-5 DISTR Dem Alloc'!I457+'FR-16(7)(v)-3 PROD Comm Alloc'!I457</f>
        <v>130752</v>
      </c>
      <c r="J457" s="349">
        <f>'FR-16(7)(v)-6 DISTR Cust Alloc'!J457+'FR-16(7)(v)-5 DISTR Dem Alloc'!J457+'FR-16(7)(v)-3 PROD Comm Alloc'!J457</f>
        <v>22501</v>
      </c>
      <c r="K457" s="347">
        <f>SUM(G457:J457)</f>
        <v>2195008</v>
      </c>
      <c r="L457" s="347">
        <f>F457-K457</f>
        <v>0</v>
      </c>
    </row>
    <row r="458" spans="1:12">
      <c r="A458" s="333">
        <v>14</v>
      </c>
      <c r="B458" s="353"/>
      <c r="C458" s="353" t="str">
        <f>'FR-16(7)(v)-1 Functional'!C458</f>
        <v xml:space="preserve">  TOTAL GENERAL DEPREC EXP.</v>
      </c>
      <c r="D458" s="344"/>
      <c r="E458" s="196"/>
      <c r="F458" s="348">
        <f t="shared" ref="F458:L458" si="114">SUM(F457:F457)</f>
        <v>2195008</v>
      </c>
      <c r="G458" s="480">
        <f t="shared" si="114"/>
        <v>1606926</v>
      </c>
      <c r="H458" s="348">
        <f t="shared" si="114"/>
        <v>434829</v>
      </c>
      <c r="I458" s="348">
        <f t="shared" si="114"/>
        <v>130752</v>
      </c>
      <c r="J458" s="348">
        <f t="shared" si="114"/>
        <v>22501</v>
      </c>
      <c r="K458" s="348">
        <f t="shared" si="114"/>
        <v>2195008</v>
      </c>
      <c r="L458" s="348">
        <f t="shared" si="114"/>
        <v>0</v>
      </c>
    </row>
    <row r="459" spans="1:12">
      <c r="A459" s="333">
        <v>15</v>
      </c>
      <c r="B459" s="353"/>
      <c r="C459" s="353"/>
      <c r="D459" s="344"/>
      <c r="E459" s="196"/>
      <c r="F459" s="353"/>
      <c r="H459" s="353"/>
      <c r="J459" s="353"/>
    </row>
    <row r="460" spans="1:12">
      <c r="A460" s="333">
        <v>16</v>
      </c>
      <c r="B460" s="353" t="s">
        <v>60</v>
      </c>
      <c r="C460" s="353"/>
      <c r="D460" s="344"/>
      <c r="E460" s="196"/>
      <c r="F460" s="476"/>
      <c r="G460" s="347"/>
      <c r="H460" s="349"/>
      <c r="I460" s="349"/>
      <c r="J460" s="349"/>
      <c r="K460" s="347"/>
      <c r="L460" s="347"/>
    </row>
    <row r="461" spans="1:12">
      <c r="A461" s="333">
        <v>17</v>
      </c>
      <c r="B461" s="353"/>
      <c r="C461" s="511" t="str">
        <f>'FR-16(7)(v)-1 Functional'!C461</f>
        <v>COMMON DEPRECIATION</v>
      </c>
      <c r="D461" s="344" t="str">
        <f>'FR-16(7)(v)-1 Functional'!D461</f>
        <v>C229</v>
      </c>
      <c r="E461" s="196"/>
      <c r="F461" s="479">
        <f>'FR-16(7)(v)-1 Functional'!F461</f>
        <v>127427.06759999999</v>
      </c>
      <c r="G461" s="349">
        <f>'FR-16(7)(v)-6 DISTR Cust Alloc'!G461+'FR-16(7)(v)-5 DISTR Dem Alloc'!G461+'FR-16(7)(v)-3 PROD Comm Alloc'!G461</f>
        <v>93287</v>
      </c>
      <c r="H461" s="349">
        <f>'FR-16(7)(v)-6 DISTR Cust Alloc'!H461+'FR-16(7)(v)-5 DISTR Dem Alloc'!H461+'FR-16(7)(v)-3 PROD Comm Alloc'!H461</f>
        <v>25243</v>
      </c>
      <c r="I461" s="349">
        <f>'FR-16(7)(v)-6 DISTR Cust Alloc'!I461+'FR-16(7)(v)-5 DISTR Dem Alloc'!I461+'FR-16(7)(v)-3 PROD Comm Alloc'!I461</f>
        <v>7591</v>
      </c>
      <c r="J461" s="349">
        <f>'FR-16(7)(v)-6 DISTR Cust Alloc'!J461+'FR-16(7)(v)-5 DISTR Dem Alloc'!J461+'FR-16(7)(v)-3 PROD Comm Alloc'!J461</f>
        <v>1306</v>
      </c>
      <c r="K461" s="347">
        <f>SUM(G461:J461)</f>
        <v>127427</v>
      </c>
      <c r="L461" s="347">
        <f>F461-K461</f>
        <v>6.7599999994854443E-2</v>
      </c>
    </row>
    <row r="462" spans="1:12">
      <c r="A462" s="333">
        <v>18</v>
      </c>
      <c r="B462" s="353"/>
      <c r="C462" s="353" t="str">
        <f>'FR-16(7)(v)-1 Functional'!C462</f>
        <v xml:space="preserve">  TOTAL COM &amp; OTHER DEPREC EXP.</v>
      </c>
      <c r="D462" s="344"/>
      <c r="E462" s="196"/>
      <c r="F462" s="348">
        <f t="shared" ref="F462:L462" si="115">SUM(F461:F461)</f>
        <v>127427.06759999999</v>
      </c>
      <c r="G462" s="480">
        <f t="shared" si="115"/>
        <v>93287</v>
      </c>
      <c r="H462" s="348">
        <f t="shared" si="115"/>
        <v>25243</v>
      </c>
      <c r="I462" s="348">
        <f t="shared" si="115"/>
        <v>7591</v>
      </c>
      <c r="J462" s="348">
        <f t="shared" si="115"/>
        <v>1306</v>
      </c>
      <c r="K462" s="348">
        <f t="shared" si="115"/>
        <v>127427</v>
      </c>
      <c r="L462" s="348">
        <f t="shared" si="115"/>
        <v>6.7599999994854443E-2</v>
      </c>
    </row>
    <row r="463" spans="1:12">
      <c r="A463" s="333">
        <v>19</v>
      </c>
      <c r="B463" s="353"/>
      <c r="C463" s="353"/>
      <c r="D463" s="344"/>
      <c r="E463" s="196"/>
      <c r="H463" s="353"/>
      <c r="J463" s="353"/>
    </row>
    <row r="464" spans="1:12">
      <c r="A464" s="333">
        <v>20</v>
      </c>
      <c r="B464" s="353"/>
      <c r="C464" s="353"/>
      <c r="D464" s="344"/>
      <c r="E464" s="196"/>
      <c r="H464" s="353"/>
      <c r="J464" s="353"/>
    </row>
    <row r="465" spans="1:13">
      <c r="A465" s="333">
        <v>21</v>
      </c>
      <c r="B465" s="353" t="s">
        <v>61</v>
      </c>
      <c r="C465" s="353"/>
      <c r="D465" s="344"/>
      <c r="E465" s="332" t="s">
        <v>343</v>
      </c>
      <c r="F465" s="347">
        <f t="shared" ref="F465:L465" si="116">F462+F458+F454+F450+F447</f>
        <v>14615192.067600001</v>
      </c>
      <c r="G465" s="347">
        <f t="shared" si="116"/>
        <v>10203657</v>
      </c>
      <c r="H465" s="349">
        <f t="shared" si="116"/>
        <v>3260617</v>
      </c>
      <c r="I465" s="349">
        <f t="shared" si="116"/>
        <v>901967</v>
      </c>
      <c r="J465" s="349">
        <f t="shared" si="116"/>
        <v>248951</v>
      </c>
      <c r="K465" s="347">
        <f t="shared" si="116"/>
        <v>14615192</v>
      </c>
      <c r="L465" s="347">
        <f t="shared" si="116"/>
        <v>6.7599999994854443E-2</v>
      </c>
    </row>
    <row r="466" spans="1:13">
      <c r="B466" s="343"/>
      <c r="C466" s="196"/>
      <c r="D466" s="344"/>
      <c r="E466" s="196"/>
      <c r="G466" s="196"/>
      <c r="H466" s="196"/>
      <c r="I466" s="196"/>
      <c r="J466" s="344"/>
      <c r="K466" s="196"/>
      <c r="L466" s="196"/>
    </row>
    <row r="467" spans="1:13">
      <c r="A467" s="343" t="str">
        <f>co_name</f>
        <v>DUKE ENERGY KENTUCKY, INC.</v>
      </c>
      <c r="C467" s="196"/>
      <c r="D467" s="344"/>
      <c r="E467" s="196"/>
      <c r="F467" s="344"/>
      <c r="G467" s="342"/>
      <c r="H467" s="342"/>
      <c r="I467" s="196"/>
      <c r="K467" s="361" t="str">
        <f>$K$1</f>
        <v>FR-16(7)(v)-8</v>
      </c>
      <c r="L467" s="196"/>
    </row>
    <row r="468" spans="1:13">
      <c r="A468" s="343" t="str">
        <f>$A$2</f>
        <v>TOTAL CLASS ALLOCATED - GAS COST OF SERVICE</v>
      </c>
      <c r="C468" s="196"/>
      <c r="D468" s="344"/>
      <c r="E468" s="196"/>
      <c r="F468" s="344"/>
      <c r="G468" s="342"/>
      <c r="H468" s="342"/>
      <c r="I468" s="196"/>
      <c r="K468" s="361" t="str">
        <f>$K$2</f>
        <v>WITNESS RESPONSIBLE:</v>
      </c>
      <c r="L468" s="196"/>
    </row>
    <row r="469" spans="1:13">
      <c r="A469" s="343" t="str">
        <f>case_name</f>
        <v>CASE NO: 2018-00261</v>
      </c>
      <c r="C469" s="196"/>
      <c r="D469" s="344"/>
      <c r="E469" s="196"/>
      <c r="F469" s="344"/>
      <c r="G469" s="342"/>
      <c r="H469" s="342"/>
      <c r="I469" s="196"/>
      <c r="K469" s="361" t="str">
        <f>Witness</f>
        <v>JAMES E. ZIOLKOWSKI</v>
      </c>
      <c r="L469" s="196"/>
    </row>
    <row r="470" spans="1:13">
      <c r="A470" s="343" t="str">
        <f>data_filing</f>
        <v>DATA: 12 MONTH FORECASTED PERIOD</v>
      </c>
      <c r="C470" s="196"/>
      <c r="D470" s="344"/>
      <c r="E470" s="196"/>
      <c r="F470" s="344"/>
      <c r="G470" s="342"/>
      <c r="H470" s="342"/>
      <c r="I470" s="196"/>
      <c r="K470" s="361" t="str">
        <f>"PAGE "&amp;Pages2-4&amp;" OF "&amp;Pages2</f>
        <v>PAGE 11 OF 15</v>
      </c>
      <c r="L470" s="196"/>
    </row>
    <row r="471" spans="1:13">
      <c r="A471" s="343" t="str">
        <f>type</f>
        <v xml:space="preserve">TYPE OF FILING: "X" ORIGINAL   UPDATED    REVISED  </v>
      </c>
      <c r="C471" s="196"/>
      <c r="D471" s="344"/>
      <c r="E471" s="196"/>
      <c r="F471" s="344"/>
      <c r="G471" s="342"/>
      <c r="H471" s="342"/>
      <c r="I471" s="196"/>
      <c r="J471" s="344"/>
      <c r="K471" s="196"/>
      <c r="L471" s="196"/>
    </row>
    <row r="472" spans="1:13">
      <c r="B472" s="343"/>
      <c r="C472" s="196"/>
      <c r="D472" s="344"/>
      <c r="E472" s="196"/>
      <c r="F472" s="344"/>
      <c r="G472" s="196"/>
      <c r="H472" s="196"/>
      <c r="I472" s="196"/>
      <c r="J472" s="344"/>
      <c r="K472" s="196"/>
      <c r="L472" s="196"/>
    </row>
    <row r="473" spans="1:13">
      <c r="B473" s="343"/>
      <c r="C473" s="196"/>
      <c r="D473" s="344"/>
      <c r="E473" s="196"/>
      <c r="F473" s="344" t="str">
        <f>$F$7</f>
        <v>TOTAL</v>
      </c>
      <c r="G473" s="196"/>
      <c r="H473" s="196"/>
      <c r="I473" s="196"/>
      <c r="J473" s="344"/>
      <c r="K473" s="196"/>
      <c r="L473" s="196"/>
    </row>
    <row r="474" spans="1:13">
      <c r="A474" s="344" t="s">
        <v>914</v>
      </c>
      <c r="B474" s="196"/>
      <c r="C474" s="196"/>
      <c r="D474" s="344"/>
      <c r="E474" s="196"/>
      <c r="F474" s="344" t="str">
        <f>$F$8</f>
        <v>CLASS</v>
      </c>
      <c r="G474" s="354" t="s">
        <v>773</v>
      </c>
      <c r="H474" s="354" t="s">
        <v>1282</v>
      </c>
      <c r="I474" s="354" t="s">
        <v>984</v>
      </c>
      <c r="J474" s="354" t="s">
        <v>549</v>
      </c>
      <c r="K474" s="354" t="s">
        <v>229</v>
      </c>
      <c r="L474" s="344" t="s">
        <v>342</v>
      </c>
    </row>
    <row r="475" spans="1:13">
      <c r="A475" s="346" t="s">
        <v>915</v>
      </c>
      <c r="B475" s="345" t="s">
        <v>62</v>
      </c>
      <c r="C475" s="345"/>
      <c r="D475" s="346" t="s">
        <v>337</v>
      </c>
      <c r="E475" s="345"/>
      <c r="F475" s="344" t="str">
        <f>$F$9</f>
        <v>ALLOCATED</v>
      </c>
      <c r="G475" s="355" t="s">
        <v>338</v>
      </c>
      <c r="H475" s="355" t="s">
        <v>405</v>
      </c>
      <c r="I475" s="355" t="s">
        <v>1283</v>
      </c>
      <c r="J475" s="355" t="s">
        <v>550</v>
      </c>
      <c r="K475" s="355" t="s">
        <v>341</v>
      </c>
      <c r="L475" s="346" t="s">
        <v>340</v>
      </c>
      <c r="M475" s="365"/>
    </row>
    <row r="476" spans="1:13">
      <c r="C476" s="578" t="s">
        <v>350</v>
      </c>
      <c r="D476" s="344"/>
      <c r="E476" s="196"/>
      <c r="F476" s="762"/>
      <c r="G476" s="633">
        <f>$G$10</f>
        <v>3</v>
      </c>
      <c r="H476" s="633">
        <f>$H$10</f>
        <v>4</v>
      </c>
      <c r="I476" s="633">
        <f>$I$10</f>
        <v>5</v>
      </c>
      <c r="J476" s="633">
        <f>$J$10</f>
        <v>6</v>
      </c>
      <c r="K476" s="510"/>
      <c r="L476" s="510"/>
    </row>
    <row r="477" spans="1:13">
      <c r="A477" s="333">
        <v>1</v>
      </c>
      <c r="B477" s="332" t="s">
        <v>63</v>
      </c>
      <c r="D477" s="344"/>
      <c r="E477" s="196"/>
      <c r="I477" s="332"/>
    </row>
    <row r="478" spans="1:13">
      <c r="A478" s="333">
        <v>2</v>
      </c>
      <c r="B478" s="332" t="s">
        <v>64</v>
      </c>
      <c r="D478" s="344"/>
      <c r="E478" s="196"/>
      <c r="I478" s="332"/>
    </row>
    <row r="479" spans="1:13">
      <c r="A479" s="333">
        <v>3</v>
      </c>
      <c r="C479" s="332" t="str">
        <f>'FR-16(7)(v)-1 Functional'!C479</f>
        <v>REAL ESTATE &amp; PROPERTY TAX</v>
      </c>
      <c r="D479" s="344" t="str">
        <f>'FR-16(7)(v)-1 Functional'!D479</f>
        <v>NP29</v>
      </c>
      <c r="E479" s="196"/>
      <c r="F479" s="479">
        <f>'FR-16(7)(v)-1 Functional'!F479</f>
        <v>3388723</v>
      </c>
      <c r="G479" s="349">
        <f>'FR-16(7)(v)-6 DISTR Cust Alloc'!$G$479+'FR-16(7)(v)-5 DISTR Dem Alloc'!$G$479+'FR-16(7)(v)-3 PROD Comm Alloc'!$G$479</f>
        <v>2355270</v>
      </c>
      <c r="H479" s="349">
        <f>'FR-16(7)(v)-6 DISTR Cust Alloc'!$H$479+'FR-16(7)(v)-5 DISTR Dem Alloc'!$H$479+'FR-16(7)(v)-3 PROD Comm Alloc'!$H$479</f>
        <v>763939</v>
      </c>
      <c r="I479" s="349">
        <f>'FR-16(7)(v)-6 DISTR Cust Alloc'!$I$479+'FR-16(7)(v)-5 DISTR Dem Alloc'!$I$479+'FR-16(7)(v)-3 PROD Comm Alloc'!$I$479</f>
        <v>207733</v>
      </c>
      <c r="J479" s="349">
        <f>'FR-16(7)(v)-6 DISTR Cust Alloc'!$J$479+'FR-16(7)(v)-5 DISTR Dem Alloc'!$J$479+'FR-16(7)(v)-3 PROD Comm Alloc'!$J$479</f>
        <v>61781</v>
      </c>
      <c r="K479" s="347">
        <f>SUM($G$479:$J$479)</f>
        <v>3388723</v>
      </c>
      <c r="L479" s="347">
        <f>F479-$K$479</f>
        <v>0</v>
      </c>
    </row>
    <row r="480" spans="1:13">
      <c r="A480" s="333">
        <v>4</v>
      </c>
      <c r="C480" s="359" t="str">
        <f>'FR-16(7)(v)-1 Functional'!C480</f>
        <v>ANNUALIZE PROPERTY TAX</v>
      </c>
      <c r="D480" s="344" t="str">
        <f>'FR-16(7)(v)-1 Functional'!D480</f>
        <v>NP29</v>
      </c>
      <c r="E480" s="196" t="s">
        <v>343</v>
      </c>
      <c r="F480" s="479">
        <f>'FR-16(7)(v)-1 Functional'!F480</f>
        <v>0</v>
      </c>
      <c r="G480" s="349">
        <f>'FR-16(7)(v)-6 DISTR Cust Alloc'!$G$480+'FR-16(7)(v)-5 DISTR Dem Alloc'!$G$480+'FR-16(7)(v)-3 PROD Comm Alloc'!$G$480</f>
        <v>0</v>
      </c>
      <c r="H480" s="349">
        <f>'FR-16(7)(v)-6 DISTR Cust Alloc'!$H$480+'FR-16(7)(v)-5 DISTR Dem Alloc'!$H$480+'FR-16(7)(v)-3 PROD Comm Alloc'!$H$480</f>
        <v>0</v>
      </c>
      <c r="I480" s="349">
        <f>'FR-16(7)(v)-6 DISTR Cust Alloc'!$I$480+'FR-16(7)(v)-5 DISTR Dem Alloc'!$I$480+'FR-16(7)(v)-3 PROD Comm Alloc'!$I$480</f>
        <v>0</v>
      </c>
      <c r="J480" s="349">
        <f>'FR-16(7)(v)-6 DISTR Cust Alloc'!$J$480+'FR-16(7)(v)-5 DISTR Dem Alloc'!$J$480+'FR-16(7)(v)-3 PROD Comm Alloc'!$J$480</f>
        <v>0</v>
      </c>
      <c r="K480" s="347">
        <f>SUM($G$480:$J$480)</f>
        <v>0</v>
      </c>
      <c r="L480" s="347">
        <f>F480-$K$480</f>
        <v>0</v>
      </c>
    </row>
    <row r="481" spans="1:12">
      <c r="A481" s="333">
        <v>5</v>
      </c>
      <c r="C481" s="332" t="str">
        <f>'FR-16(7)(v)-1 Functional'!C481</f>
        <v xml:space="preserve">  TOTAL REAL ESTATE &amp; PROPERTY TAX</v>
      </c>
      <c r="D481" s="344"/>
      <c r="E481" s="196"/>
      <c r="F481" s="348">
        <f>SUM(F479:F480)</f>
        <v>3388723</v>
      </c>
      <c r="G481" s="480">
        <f>SUM($G$479:$G$480)</f>
        <v>2355270</v>
      </c>
      <c r="H481" s="348">
        <f>SUM($H$479:$H$480)</f>
        <v>763939</v>
      </c>
      <c r="I481" s="348">
        <f>SUM($I$479:$I$480)</f>
        <v>207733</v>
      </c>
      <c r="J481" s="348">
        <f>SUM($J$479:$J$480)</f>
        <v>61781</v>
      </c>
      <c r="K481" s="348">
        <f>SUM($K$479:$K$480)</f>
        <v>3388723</v>
      </c>
      <c r="L481" s="348">
        <f>SUM($L$479:$L$480)</f>
        <v>0</v>
      </c>
    </row>
    <row r="482" spans="1:12">
      <c r="A482" s="333">
        <v>6</v>
      </c>
      <c r="D482" s="344"/>
      <c r="E482" s="196"/>
      <c r="F482" s="353"/>
      <c r="I482" s="332"/>
    </row>
    <row r="483" spans="1:12">
      <c r="A483" s="333">
        <v>7</v>
      </c>
      <c r="B483" s="332" t="s">
        <v>65</v>
      </c>
      <c r="D483" s="344"/>
      <c r="E483" s="196"/>
      <c r="F483" s="353"/>
      <c r="I483" s="332"/>
    </row>
    <row r="484" spans="1:12">
      <c r="A484" s="333">
        <v>8</v>
      </c>
      <c r="C484" s="332" t="str">
        <f>'FR-16(7)(v)-1 Functional'!C484</f>
        <v>PAYROLL &amp; HIGHWAY</v>
      </c>
      <c r="D484" s="344" t="str">
        <f>'FR-16(7)(v)-1 Functional'!D484</f>
        <v>AG39</v>
      </c>
      <c r="E484" s="196"/>
      <c r="F484" s="479">
        <f>'FR-16(7)(v)-1 Functional'!F484</f>
        <v>708964</v>
      </c>
      <c r="G484" s="349">
        <f>'FR-16(7)(v)-6 DISTR Cust Alloc'!$G$484+'FR-16(7)(v)-5 DISTR Dem Alloc'!$G$484+'FR-16(7)(v)-3 PROD Comm Alloc'!$G$484</f>
        <v>519003</v>
      </c>
      <c r="H484" s="349">
        <f>'FR-16(7)(v)-6 DISTR Cust Alloc'!$H$484+'FR-16(7)(v)-5 DISTR Dem Alloc'!$H$484+'FR-16(7)(v)-3 PROD Comm Alloc'!$H$484</f>
        <v>140437</v>
      </c>
      <c r="I484" s="349">
        <f>'FR-16(7)(v)-6 DISTR Cust Alloc'!$I$484+'FR-16(7)(v)-5 DISTR Dem Alloc'!$I$484+'FR-16(7)(v)-3 PROD Comm Alloc'!$I$484</f>
        <v>42226</v>
      </c>
      <c r="J484" s="349">
        <f>'FR-16(7)(v)-6 DISTR Cust Alloc'!$J$484+'FR-16(7)(v)-5 DISTR Dem Alloc'!$J$484+'FR-16(7)(v)-3 PROD Comm Alloc'!$J$484</f>
        <v>7298</v>
      </c>
      <c r="K484" s="347">
        <f>SUM($G$484:$J$484)</f>
        <v>708964</v>
      </c>
      <c r="L484" s="347">
        <f>F484-$K$484</f>
        <v>0</v>
      </c>
    </row>
    <row r="485" spans="1:12">
      <c r="A485" s="333">
        <v>9</v>
      </c>
      <c r="C485" s="332" t="str">
        <f>'FR-16(7)(v)-1 Functional'!C485</f>
        <v>UNEMPLOYMENT COMPENSATION</v>
      </c>
      <c r="D485" s="344" t="str">
        <f>'FR-16(7)(v)-1 Functional'!D485</f>
        <v>AG39</v>
      </c>
      <c r="E485" s="196"/>
      <c r="F485" s="479">
        <f>'FR-16(7)(v)-1 Functional'!F485</f>
        <v>0</v>
      </c>
      <c r="G485" s="349">
        <f>'FR-16(7)(v)-6 DISTR Cust Alloc'!$G$485+'FR-16(7)(v)-5 DISTR Dem Alloc'!$G$485+'FR-16(7)(v)-3 PROD Comm Alloc'!$G$485</f>
        <v>0</v>
      </c>
      <c r="H485" s="349">
        <f>'FR-16(7)(v)-6 DISTR Cust Alloc'!$H$485+'FR-16(7)(v)-5 DISTR Dem Alloc'!$H$485+'FR-16(7)(v)-3 PROD Comm Alloc'!$H$485</f>
        <v>0</v>
      </c>
      <c r="I485" s="349">
        <f>'FR-16(7)(v)-6 DISTR Cust Alloc'!$I$485+'FR-16(7)(v)-5 DISTR Dem Alloc'!$I$485+'FR-16(7)(v)-3 PROD Comm Alloc'!$I$485</f>
        <v>0</v>
      </c>
      <c r="J485" s="349">
        <f>'FR-16(7)(v)-6 DISTR Cust Alloc'!$J$485+'FR-16(7)(v)-5 DISTR Dem Alloc'!$J$485+'FR-16(7)(v)-3 PROD Comm Alloc'!$J$485</f>
        <v>0</v>
      </c>
      <c r="K485" s="347">
        <f>SUM($G$485:$J$485)</f>
        <v>0</v>
      </c>
      <c r="L485" s="347">
        <f>F485-$K$485</f>
        <v>0</v>
      </c>
    </row>
    <row r="486" spans="1:12">
      <c r="A486" s="333">
        <v>10</v>
      </c>
      <c r="C486" s="332" t="str">
        <f>'FR-16(7)(v)-1 Functional'!C486</f>
        <v>OHIO EXCISE TAX</v>
      </c>
      <c r="D486" s="354" t="str">
        <f>'FR-16(7)(v)-1 Functional'!D486</f>
        <v>OM39</v>
      </c>
      <c r="E486" s="196"/>
      <c r="F486" s="479">
        <f>'FR-16(7)(v)-1 Functional'!F486</f>
        <v>0</v>
      </c>
      <c r="G486" s="349">
        <f>'FR-16(7)(v)-6 DISTR Cust Alloc'!$G$486+'FR-16(7)(v)-5 DISTR Dem Alloc'!$G$486+'FR-16(7)(v)-3 PROD Comm Alloc'!$G$486</f>
        <v>0</v>
      </c>
      <c r="H486" s="349">
        <f>'FR-16(7)(v)-6 DISTR Cust Alloc'!$H$486+'FR-16(7)(v)-5 DISTR Dem Alloc'!$H$486+'FR-16(7)(v)-3 PROD Comm Alloc'!$H$486</f>
        <v>0</v>
      </c>
      <c r="I486" s="349">
        <f>'FR-16(7)(v)-6 DISTR Cust Alloc'!$I$486+'FR-16(7)(v)-5 DISTR Dem Alloc'!$I$486+'FR-16(7)(v)-3 PROD Comm Alloc'!$I$486</f>
        <v>0</v>
      </c>
      <c r="J486" s="349">
        <f>'FR-16(7)(v)-6 DISTR Cust Alloc'!$J$486+'FR-16(7)(v)-5 DISTR Dem Alloc'!$J$486+'FR-16(7)(v)-3 PROD Comm Alloc'!$J$486</f>
        <v>0</v>
      </c>
      <c r="K486" s="347">
        <f>SUM($G$486:$J$486)</f>
        <v>0</v>
      </c>
      <c r="L486" s="347">
        <f>F486-$K$486</f>
        <v>0</v>
      </c>
    </row>
    <row r="487" spans="1:12">
      <c r="A487" s="333">
        <v>11</v>
      </c>
      <c r="C487" s="359" t="str">
        <f>'FR-16(7)(v)-1 Functional'!C487</f>
        <v>STATE TAX RIDER</v>
      </c>
      <c r="D487" s="354" t="str">
        <f>'FR-16(7)(v)-1 Functional'!D487</f>
        <v>OM39</v>
      </c>
      <c r="E487" s="196"/>
      <c r="F487" s="479">
        <f>'FR-16(7)(v)-1 Functional'!F487</f>
        <v>0</v>
      </c>
      <c r="G487" s="349">
        <f>'FR-16(7)(v)-6 DISTR Cust Alloc'!$G$487+'FR-16(7)(v)-5 DISTR Dem Alloc'!$G$487+'FR-16(7)(v)-3 PROD Comm Alloc'!$G$487</f>
        <v>0</v>
      </c>
      <c r="H487" s="349">
        <f>'FR-16(7)(v)-6 DISTR Cust Alloc'!$H$487+'FR-16(7)(v)-5 DISTR Dem Alloc'!$H$487+'FR-16(7)(v)-3 PROD Comm Alloc'!$H$487</f>
        <v>0</v>
      </c>
      <c r="I487" s="349">
        <f>'FR-16(7)(v)-6 DISTR Cust Alloc'!$I$487+'FR-16(7)(v)-5 DISTR Dem Alloc'!$I$487+'FR-16(7)(v)-3 PROD Comm Alloc'!$I$487</f>
        <v>0</v>
      </c>
      <c r="J487" s="349">
        <f>'FR-16(7)(v)-6 DISTR Cust Alloc'!$J$487+'FR-16(7)(v)-5 DISTR Dem Alloc'!$J$487+'FR-16(7)(v)-3 PROD Comm Alloc'!$J$487</f>
        <v>0</v>
      </c>
      <c r="K487" s="347">
        <f>SUM($G$487:$J$487)</f>
        <v>0</v>
      </c>
      <c r="L487" s="347">
        <f>F487-$K$487</f>
        <v>0</v>
      </c>
    </row>
    <row r="488" spans="1:12">
      <c r="A488" s="333">
        <v>12</v>
      </c>
      <c r="C488" s="332" t="str">
        <f>'FR-16(7)(v)-1 Functional'!C488</f>
        <v xml:space="preserve">  TOTAL MISCELLANEOUS TAXES</v>
      </c>
      <c r="D488" s="354"/>
      <c r="E488" s="196"/>
      <c r="F488" s="348">
        <f>SUM(F484:F487)</f>
        <v>708964</v>
      </c>
      <c r="G488" s="480">
        <f>SUM($G$484:$G$487)</f>
        <v>519003</v>
      </c>
      <c r="H488" s="348">
        <f>SUM($H$484:$H$487)</f>
        <v>140437</v>
      </c>
      <c r="I488" s="348">
        <f>SUM($I$484:$I$487)</f>
        <v>42226</v>
      </c>
      <c r="J488" s="348">
        <f>SUM($J$484:$J$487)</f>
        <v>7298</v>
      </c>
      <c r="K488" s="348">
        <f>SUM($K$484:$K$487)</f>
        <v>708964</v>
      </c>
      <c r="L488" s="348">
        <f>SUM($L$484:$L$487)</f>
        <v>0</v>
      </c>
    </row>
    <row r="489" spans="1:12">
      <c r="A489" s="333">
        <v>13</v>
      </c>
      <c r="D489" s="344"/>
      <c r="E489" s="196"/>
      <c r="F489" s="353"/>
      <c r="I489" s="332"/>
    </row>
    <row r="490" spans="1:12">
      <c r="A490" s="333">
        <v>14</v>
      </c>
      <c r="B490" s="332" t="s">
        <v>66</v>
      </c>
      <c r="D490" s="344"/>
      <c r="E490" s="196"/>
      <c r="F490" s="353"/>
      <c r="I490" s="332"/>
    </row>
    <row r="491" spans="1:12">
      <c r="A491" s="333">
        <v>15</v>
      </c>
      <c r="C491" s="332" t="str">
        <f>'FR-16(7)(v)-1 Functional'!C491</f>
        <v>PSC MAINT. EXP ON INCREASE</v>
      </c>
      <c r="D491" s="344" t="str">
        <f>'FR-16(7)(v)-1 Functional'!D491</f>
        <v>AG39</v>
      </c>
      <c r="E491" s="196"/>
      <c r="F491" s="479">
        <f>'FR-16(7)(v)-1 Functional'!F491</f>
        <v>21084</v>
      </c>
      <c r="G491" s="349">
        <f>'FR-16(7)(v)-6 DISTR Cust Alloc'!$G$491+'FR-16(7)(v)-5 DISTR Dem Alloc'!$G$491+'FR-16(7)(v)-3 PROD Comm Alloc'!$G$491</f>
        <v>15434</v>
      </c>
      <c r="H491" s="349">
        <f>'FR-16(7)(v)-6 DISTR Cust Alloc'!$H$491+'FR-16(7)(v)-5 DISTR Dem Alloc'!$H$491+'FR-16(7)(v)-3 PROD Comm Alloc'!$H$491</f>
        <v>4177</v>
      </c>
      <c r="I491" s="349">
        <f>'FR-16(7)(v)-6 DISTR Cust Alloc'!$I$491+'FR-16(7)(v)-5 DISTR Dem Alloc'!$I$491+'FR-16(7)(v)-3 PROD Comm Alloc'!$I$491</f>
        <v>1256</v>
      </c>
      <c r="J491" s="349">
        <f>'FR-16(7)(v)-6 DISTR Cust Alloc'!$J$491+'FR-16(7)(v)-5 DISTR Dem Alloc'!$J$491+'FR-16(7)(v)-3 PROD Comm Alloc'!$J$491</f>
        <v>217</v>
      </c>
      <c r="K491" s="347">
        <f>SUM($G$491:$J$491)</f>
        <v>21084</v>
      </c>
      <c r="L491" s="347">
        <f>F491-$K$491</f>
        <v>0</v>
      </c>
    </row>
    <row r="492" spans="1:12">
      <c r="A492" s="333">
        <v>16</v>
      </c>
      <c r="C492" s="359" t="str">
        <f>'FR-16(7)(v)-1 Functional'!C492</f>
        <v>RESERVED FOR FUTURE USE</v>
      </c>
      <c r="D492" s="344" t="str">
        <f>'FR-16(7)(v)-1 Functional'!D492</f>
        <v>AG39</v>
      </c>
      <c r="E492" s="196"/>
      <c r="F492" s="479">
        <f>'FR-16(7)(v)-1 Functional'!F492</f>
        <v>0</v>
      </c>
      <c r="G492" s="349">
        <f>'FR-16(7)(v)-6 DISTR Cust Alloc'!$G$492+'FR-16(7)(v)-5 DISTR Dem Alloc'!$G$492+'FR-16(7)(v)-3 PROD Comm Alloc'!$G$492</f>
        <v>0</v>
      </c>
      <c r="H492" s="349">
        <f>'FR-16(7)(v)-6 DISTR Cust Alloc'!$H$492+'FR-16(7)(v)-5 DISTR Dem Alloc'!$H$492+'FR-16(7)(v)-3 PROD Comm Alloc'!$H$492</f>
        <v>0</v>
      </c>
      <c r="I492" s="349">
        <f>'FR-16(7)(v)-6 DISTR Cust Alloc'!$I$492+'FR-16(7)(v)-5 DISTR Dem Alloc'!$I$492+'FR-16(7)(v)-3 PROD Comm Alloc'!$I$492</f>
        <v>0</v>
      </c>
      <c r="J492" s="349">
        <f>'FR-16(7)(v)-6 DISTR Cust Alloc'!$J$492+'FR-16(7)(v)-5 DISTR Dem Alloc'!$J$492+'FR-16(7)(v)-3 PROD Comm Alloc'!$J$492</f>
        <v>0</v>
      </c>
      <c r="K492" s="347">
        <f>SUM($G$492:$J$492)</f>
        <v>0</v>
      </c>
      <c r="L492" s="347">
        <f>F492-$K$492</f>
        <v>0</v>
      </c>
    </row>
    <row r="493" spans="1:12">
      <c r="A493" s="333">
        <v>17</v>
      </c>
      <c r="C493" s="332" t="str">
        <f>'FR-16(7)(v)-1 Functional'!C493</f>
        <v xml:space="preserve">  TOTAL MISCELLANEOUS EXPENSES</v>
      </c>
      <c r="D493" s="344"/>
      <c r="E493" s="196"/>
      <c r="F493" s="480">
        <f>SUM(F491:F492)</f>
        <v>21084</v>
      </c>
      <c r="G493" s="480">
        <f>SUM($G$491:$G$492)</f>
        <v>15434</v>
      </c>
      <c r="H493" s="348">
        <f>SUM($H$491:$H$492)</f>
        <v>4177</v>
      </c>
      <c r="I493" s="348">
        <f>SUM($I$491:$I$492)</f>
        <v>1256</v>
      </c>
      <c r="J493" s="348">
        <f>SUM($J$491:$J$492)</f>
        <v>217</v>
      </c>
      <c r="K493" s="348">
        <f>SUM($K$491:$K$492)</f>
        <v>21084</v>
      </c>
      <c r="L493" s="348">
        <f>SUM($L$491:$L$492)</f>
        <v>0</v>
      </c>
    </row>
    <row r="494" spans="1:12">
      <c r="A494" s="333">
        <v>18</v>
      </c>
      <c r="D494" s="344"/>
      <c r="E494" s="196"/>
      <c r="I494" s="332"/>
    </row>
    <row r="495" spans="1:12">
      <c r="A495" s="333">
        <v>19</v>
      </c>
      <c r="B495" s="332" t="s">
        <v>67</v>
      </c>
      <c r="D495" s="344"/>
      <c r="E495" s="196" t="s">
        <v>343</v>
      </c>
      <c r="F495" s="347">
        <f>F488+F481+F493</f>
        <v>4118771</v>
      </c>
      <c r="G495" s="347">
        <f>$G$488+$G$481+$G$493</f>
        <v>2889707</v>
      </c>
      <c r="H495" s="347">
        <f>$H$488+$H$481+$H$493</f>
        <v>908553</v>
      </c>
      <c r="I495" s="347">
        <f>$I$488+$I$481+$I$493</f>
        <v>251215</v>
      </c>
      <c r="J495" s="347">
        <f>$J$488+$J$481+$J$493</f>
        <v>69296</v>
      </c>
      <c r="K495" s="347">
        <f>$K$488+$K$481+$K$493</f>
        <v>4118771</v>
      </c>
      <c r="L495" s="347">
        <f>$L$488+$L$481+$L$493</f>
        <v>0</v>
      </c>
    </row>
    <row r="496" spans="1:12">
      <c r="A496" s="333">
        <v>20</v>
      </c>
      <c r="D496" s="344"/>
      <c r="E496" s="196"/>
      <c r="I496" s="332"/>
    </row>
    <row r="497" spans="1:12">
      <c r="A497" s="333">
        <v>21</v>
      </c>
      <c r="B497" s="332" t="s">
        <v>40</v>
      </c>
      <c r="D497" s="344"/>
      <c r="E497" s="196"/>
      <c r="I497" s="332"/>
    </row>
    <row r="498" spans="1:12">
      <c r="A498" s="333">
        <v>22</v>
      </c>
      <c r="C498" s="332" t="str">
        <f>'FR-16(7)(v)-1 Functional'!C498</f>
        <v>TOTAL O&amp;M EXPENSE</v>
      </c>
      <c r="D498" s="344"/>
      <c r="E498" s="196"/>
      <c r="F498" s="347">
        <f t="shared" ref="F498:L498" si="117">F433</f>
        <v>60507968</v>
      </c>
      <c r="G498" s="347">
        <f t="shared" si="117"/>
        <v>35800714</v>
      </c>
      <c r="H498" s="347">
        <f t="shared" si="117"/>
        <v>15474188</v>
      </c>
      <c r="I498" s="347">
        <f t="shared" si="117"/>
        <v>8824202</v>
      </c>
      <c r="J498" s="347">
        <f t="shared" si="117"/>
        <v>408864</v>
      </c>
      <c r="K498" s="347">
        <f t="shared" si="117"/>
        <v>60507968</v>
      </c>
      <c r="L498" s="347">
        <f t="shared" si="117"/>
        <v>0</v>
      </c>
    </row>
    <row r="499" spans="1:12">
      <c r="A499" s="333">
        <v>23</v>
      </c>
      <c r="C499" s="332" t="str">
        <f>'FR-16(7)(v)-1 Functional'!C499</f>
        <v>TOTAL DEPRECIATION EXPENSE</v>
      </c>
      <c r="D499" s="344"/>
      <c r="E499" s="196"/>
      <c r="F499" s="347">
        <f t="shared" ref="F499:L499" si="118">F465</f>
        <v>14615192.067600001</v>
      </c>
      <c r="G499" s="347">
        <f t="shared" si="118"/>
        <v>10203657</v>
      </c>
      <c r="H499" s="347">
        <f t="shared" si="118"/>
        <v>3260617</v>
      </c>
      <c r="I499" s="347">
        <f t="shared" si="118"/>
        <v>901967</v>
      </c>
      <c r="J499" s="347">
        <f t="shared" si="118"/>
        <v>248951</v>
      </c>
      <c r="K499" s="347">
        <f t="shared" si="118"/>
        <v>14615192</v>
      </c>
      <c r="L499" s="347">
        <f t="shared" si="118"/>
        <v>6.7599999994854443E-2</v>
      </c>
    </row>
    <row r="500" spans="1:12">
      <c r="A500" s="333">
        <v>24</v>
      </c>
      <c r="C500" s="359" t="str">
        <f>'FR-16(7)(v)-1 Functional'!C500</f>
        <v>TOTAL OTHER TAX &amp; MISC EXPENSE</v>
      </c>
      <c r="D500" s="344"/>
      <c r="E500" s="196"/>
      <c r="F500" s="347">
        <f>F495</f>
        <v>4118771</v>
      </c>
      <c r="G500" s="347">
        <f>$G$495</f>
        <v>2889707</v>
      </c>
      <c r="H500" s="347">
        <f>$H$495</f>
        <v>908553</v>
      </c>
      <c r="I500" s="347">
        <f>$I$495</f>
        <v>251215</v>
      </c>
      <c r="J500" s="347">
        <f>$J$495</f>
        <v>69296</v>
      </c>
      <c r="K500" s="347">
        <f>$K$495</f>
        <v>4118771</v>
      </c>
      <c r="L500" s="347">
        <f>$L$495</f>
        <v>0</v>
      </c>
    </row>
    <row r="501" spans="1:12">
      <c r="A501" s="333">
        <v>25</v>
      </c>
      <c r="C501" s="332" t="str">
        <f>'FR-16(7)(v)-1 Functional'!C501</f>
        <v xml:space="preserve">  TOTAL OPER EXP EXCL INCOME &amp; REV TAX</v>
      </c>
      <c r="D501" s="344"/>
      <c r="E501" s="196"/>
      <c r="F501" s="348">
        <f>SUM(F498:F500)</f>
        <v>79241931.067599997</v>
      </c>
      <c r="G501" s="480">
        <f>SUM($G$498:$G$500)</f>
        <v>48894078</v>
      </c>
      <c r="H501" s="348">
        <f>SUM($H$498:$H$500)</f>
        <v>19643358</v>
      </c>
      <c r="I501" s="348">
        <f>SUM($I$498:$I$500)</f>
        <v>9977384</v>
      </c>
      <c r="J501" s="348">
        <f>SUM($J$498:$J$500)</f>
        <v>727111</v>
      </c>
      <c r="K501" s="348">
        <f>SUM($K$498:$K$500)</f>
        <v>79241931</v>
      </c>
      <c r="L501" s="348">
        <f>SUM($L$498:$L$500)</f>
        <v>6.7599999994854443E-2</v>
      </c>
    </row>
    <row r="502" spans="1:12">
      <c r="B502" s="343"/>
      <c r="C502" s="196"/>
      <c r="D502" s="344"/>
      <c r="E502" s="196"/>
      <c r="G502" s="196"/>
      <c r="H502" s="196"/>
      <c r="I502" s="196"/>
      <c r="J502" s="344"/>
      <c r="K502" s="196"/>
      <c r="L502" s="196"/>
    </row>
    <row r="503" spans="1:12">
      <c r="A503" s="343" t="str">
        <f>co_name</f>
        <v>DUKE ENERGY KENTUCKY, INC.</v>
      </c>
      <c r="C503" s="196"/>
      <c r="D503" s="344"/>
      <c r="E503" s="196"/>
      <c r="F503" s="344"/>
      <c r="G503" s="342"/>
      <c r="H503" s="342"/>
      <c r="I503" s="196"/>
      <c r="K503" s="361" t="str">
        <f>$K$1</f>
        <v>FR-16(7)(v)-8</v>
      </c>
      <c r="L503" s="196"/>
    </row>
    <row r="504" spans="1:12">
      <c r="A504" s="343" t="str">
        <f>$A$2</f>
        <v>TOTAL CLASS ALLOCATED - GAS COST OF SERVICE</v>
      </c>
      <c r="C504" s="196"/>
      <c r="D504" s="344"/>
      <c r="E504" s="196"/>
      <c r="F504" s="344"/>
      <c r="G504" s="342"/>
      <c r="H504" s="342"/>
      <c r="I504" s="196"/>
      <c r="K504" s="361" t="str">
        <f>$K$2</f>
        <v>WITNESS RESPONSIBLE:</v>
      </c>
      <c r="L504" s="196"/>
    </row>
    <row r="505" spans="1:12">
      <c r="A505" s="343" t="str">
        <f>case_name</f>
        <v>CASE NO: 2018-00261</v>
      </c>
      <c r="C505" s="196"/>
      <c r="D505" s="344"/>
      <c r="E505" s="196"/>
      <c r="F505" s="344"/>
      <c r="G505" s="342"/>
      <c r="H505" s="342"/>
      <c r="I505" s="196"/>
      <c r="K505" s="361" t="str">
        <f>Witness</f>
        <v>JAMES E. ZIOLKOWSKI</v>
      </c>
      <c r="L505" s="196"/>
    </row>
    <row r="506" spans="1:12">
      <c r="A506" s="343" t="str">
        <f>data_filing</f>
        <v>DATA: 12 MONTH FORECASTED PERIOD</v>
      </c>
      <c r="C506" s="196"/>
      <c r="D506" s="344"/>
      <c r="E506" s="196"/>
      <c r="F506" s="344"/>
      <c r="G506" s="342"/>
      <c r="H506" s="342"/>
      <c r="I506" s="196"/>
      <c r="K506" s="361" t="str">
        <f>"PAGE "&amp;Pages2-3&amp;" OF "&amp;Pages2</f>
        <v>PAGE 12 OF 15</v>
      </c>
      <c r="L506" s="196"/>
    </row>
    <row r="507" spans="1:12">
      <c r="A507" s="343" t="str">
        <f>type</f>
        <v xml:space="preserve">TYPE OF FILING: "X" ORIGINAL   UPDATED    REVISED  </v>
      </c>
      <c r="C507" s="196"/>
      <c r="D507" s="344"/>
      <c r="E507" s="196"/>
      <c r="F507" s="344"/>
      <c r="G507" s="342"/>
      <c r="H507" s="342"/>
      <c r="I507" s="196"/>
      <c r="J507" s="344"/>
      <c r="K507" s="196"/>
      <c r="L507" s="196"/>
    </row>
    <row r="508" spans="1:12">
      <c r="B508" s="343"/>
      <c r="C508" s="196"/>
      <c r="D508" s="344"/>
      <c r="E508" s="196"/>
      <c r="F508" s="344"/>
      <c r="G508" s="196"/>
      <c r="H508" s="196"/>
      <c r="I508" s="196"/>
      <c r="J508" s="344"/>
      <c r="K508" s="196"/>
      <c r="L508" s="196"/>
    </row>
    <row r="509" spans="1:12">
      <c r="B509" s="343"/>
      <c r="C509" s="196"/>
      <c r="D509" s="344"/>
      <c r="E509" s="196"/>
      <c r="F509" s="344" t="str">
        <f>$F$7</f>
        <v>TOTAL</v>
      </c>
      <c r="G509" s="196"/>
      <c r="H509" s="196"/>
      <c r="I509" s="196"/>
      <c r="J509" s="344"/>
      <c r="K509" s="196"/>
      <c r="L509" s="196"/>
    </row>
    <row r="510" spans="1:12">
      <c r="A510" s="344" t="s">
        <v>914</v>
      </c>
      <c r="B510" s="196"/>
      <c r="C510" s="196"/>
      <c r="D510" s="344"/>
      <c r="E510" s="196"/>
      <c r="F510" s="344" t="str">
        <f>$F$8</f>
        <v>CLASS</v>
      </c>
      <c r="G510" s="354" t="s">
        <v>773</v>
      </c>
      <c r="H510" s="354" t="s">
        <v>1282</v>
      </c>
      <c r="I510" s="354" t="s">
        <v>984</v>
      </c>
      <c r="J510" s="354" t="s">
        <v>549</v>
      </c>
      <c r="K510" s="354" t="s">
        <v>229</v>
      </c>
      <c r="L510" s="344" t="s">
        <v>342</v>
      </c>
    </row>
    <row r="511" spans="1:12">
      <c r="A511" s="346" t="s">
        <v>915</v>
      </c>
      <c r="B511" s="345" t="str">
        <f>'FR-16(7)(v)-1 Functional'!B511</f>
        <v>FEDERAL INCOME TAX BASED ON RETURN</v>
      </c>
      <c r="C511" s="345"/>
      <c r="D511" s="346" t="s">
        <v>337</v>
      </c>
      <c r="E511" s="345"/>
      <c r="F511" s="344" t="str">
        <f>$F$9</f>
        <v>ALLOCATED</v>
      </c>
      <c r="G511" s="355" t="s">
        <v>338</v>
      </c>
      <c r="H511" s="355" t="s">
        <v>405</v>
      </c>
      <c r="I511" s="355" t="s">
        <v>1283</v>
      </c>
      <c r="J511" s="355" t="s">
        <v>550</v>
      </c>
      <c r="K511" s="355" t="s">
        <v>341</v>
      </c>
      <c r="L511" s="346" t="s">
        <v>340</v>
      </c>
    </row>
    <row r="512" spans="1:12">
      <c r="C512" s="578" t="s">
        <v>351</v>
      </c>
      <c r="D512" s="344"/>
      <c r="E512" s="196"/>
      <c r="F512" s="761"/>
      <c r="G512" s="633">
        <f>$G$10</f>
        <v>3</v>
      </c>
      <c r="H512" s="633">
        <f>$H$10</f>
        <v>4</v>
      </c>
      <c r="I512" s="633">
        <f>$I$10</f>
        <v>5</v>
      </c>
      <c r="J512" s="633">
        <f>$J$10</f>
        <v>6</v>
      </c>
    </row>
    <row r="513" spans="1:12">
      <c r="A513" s="333">
        <v>1</v>
      </c>
      <c r="B513" s="332" t="s">
        <v>69</v>
      </c>
      <c r="D513" s="344"/>
      <c r="E513" s="196"/>
      <c r="I513" s="332"/>
    </row>
    <row r="514" spans="1:12">
      <c r="A514" s="333">
        <v>2</v>
      </c>
      <c r="B514" s="332" t="s">
        <v>70</v>
      </c>
      <c r="D514" s="344"/>
      <c r="E514" s="196"/>
      <c r="F514" s="332" t="s">
        <v>343</v>
      </c>
      <c r="I514" s="332"/>
    </row>
    <row r="515" spans="1:12">
      <c r="A515" s="333">
        <v>3</v>
      </c>
      <c r="C515" s="359" t="str">
        <f>'FR-16(7)(v)-1 Functional'!C515</f>
        <v>AUTO PROC INTEREST DED</v>
      </c>
      <c r="D515" s="344" t="str">
        <f>'FR-16(7)(v)-1 Functional'!D515</f>
        <v>RB99</v>
      </c>
      <c r="E515" s="196"/>
      <c r="F515" s="479">
        <f>'FR-16(7)(v)-1 Functional'!F515</f>
        <v>6761503</v>
      </c>
      <c r="G515" s="349">
        <f>'FR-16(7)(v)-6 DISTR Cust Alloc'!$G$515+'FR-16(7)(v)-5 DISTR Dem Alloc'!$G$515+'FR-16(7)(v)-3 PROD Comm Alloc'!$G$515</f>
        <v>4664691</v>
      </c>
      <c r="H515" s="349">
        <f>'FR-16(7)(v)-6 DISTR Cust Alloc'!$H$515+'FR-16(7)(v)-5 DISTR Dem Alloc'!$H$515+'FR-16(7)(v)-3 PROD Comm Alloc'!$H$515</f>
        <v>1538255</v>
      </c>
      <c r="I515" s="349">
        <f>'FR-16(7)(v)-6 DISTR Cust Alloc'!$I$515+'FR-16(7)(v)-5 DISTR Dem Alloc'!$I$515+'FR-16(7)(v)-3 PROD Comm Alloc'!$I$515</f>
        <v>432697</v>
      </c>
      <c r="J515" s="349">
        <f>'FR-16(7)(v)-6 DISTR Cust Alloc'!$J$515+'FR-16(7)(v)-5 DISTR Dem Alloc'!$J$515+'FR-16(7)(v)-3 PROD Comm Alloc'!$J$515</f>
        <v>125860</v>
      </c>
      <c r="K515" s="347">
        <f>SUM($G$515:$J$515)</f>
        <v>6761503</v>
      </c>
      <c r="L515" s="347">
        <f>F515-$K$515</f>
        <v>0</v>
      </c>
    </row>
    <row r="516" spans="1:12">
      <c r="A516" s="333">
        <v>4</v>
      </c>
      <c r="C516" s="332" t="str">
        <f>'FR-16(7)(v)-1 Functional'!C516</f>
        <v xml:space="preserve">  TOTAL INTEREST EXPENSE</v>
      </c>
      <c r="D516" s="344"/>
      <c r="E516" s="196"/>
      <c r="F516" s="348">
        <f>F515</f>
        <v>6761503</v>
      </c>
      <c r="G516" s="480">
        <f>$G$515</f>
        <v>4664691</v>
      </c>
      <c r="H516" s="348">
        <f>$H$515</f>
        <v>1538255</v>
      </c>
      <c r="I516" s="348">
        <f>$I$515</f>
        <v>432697</v>
      </c>
      <c r="J516" s="348">
        <f>$J$515</f>
        <v>125860</v>
      </c>
      <c r="K516" s="348">
        <f>$K$515</f>
        <v>6761503</v>
      </c>
      <c r="L516" s="348">
        <f>$L$515</f>
        <v>0</v>
      </c>
    </row>
    <row r="517" spans="1:12">
      <c r="A517" s="333">
        <v>5</v>
      </c>
      <c r="D517" s="344"/>
      <c r="E517" s="196"/>
      <c r="F517" s="353"/>
      <c r="I517" s="332"/>
    </row>
    <row r="518" spans="1:12">
      <c r="A518" s="333">
        <v>6</v>
      </c>
      <c r="B518" s="332" t="s">
        <v>71</v>
      </c>
      <c r="D518" s="344"/>
      <c r="E518" s="196"/>
      <c r="F518" s="353"/>
      <c r="I518" s="332"/>
    </row>
    <row r="519" spans="1:12">
      <c r="A519" s="333">
        <v>7</v>
      </c>
      <c r="C519" s="332" t="str">
        <f>'FR-16(7)(v)-1 Functional'!C519</f>
        <v>DEPREC EXCESS TAX-BOOK</v>
      </c>
      <c r="D519" s="344" t="str">
        <f>'FR-16(7)(v)-1 Functional'!D519</f>
        <v>DE49</v>
      </c>
      <c r="E519" s="196"/>
      <c r="F519" s="479">
        <f>'FR-16(7)(v)-1 Functional'!F519</f>
        <v>6466130</v>
      </c>
      <c r="G519" s="349">
        <f>'FR-16(7)(v)-6 DISTR Cust Alloc'!$G$519+'FR-16(7)(v)-5 DISTR Dem Alloc'!$G$519+'FR-16(7)(v)-3 PROD Comm Alloc'!$G$519</f>
        <v>4514322</v>
      </c>
      <c r="H519" s="349">
        <f>'FR-16(7)(v)-6 DISTR Cust Alloc'!$H$519+'FR-16(7)(v)-5 DISTR Dem Alloc'!$H$519+'FR-16(7)(v)-3 PROD Comm Alloc'!$H$519</f>
        <v>1442585</v>
      </c>
      <c r="I519" s="349">
        <f>'FR-16(7)(v)-6 DISTR Cust Alloc'!$I$519+'FR-16(7)(v)-5 DISTR Dem Alloc'!$I$519+'FR-16(7)(v)-3 PROD Comm Alloc'!$I$519</f>
        <v>399053</v>
      </c>
      <c r="J519" s="349">
        <f>'FR-16(7)(v)-6 DISTR Cust Alloc'!$J$519+'FR-16(7)(v)-5 DISTR Dem Alloc'!$J$519+'FR-16(7)(v)-3 PROD Comm Alloc'!$J$519</f>
        <v>110170</v>
      </c>
      <c r="K519" s="347">
        <f>SUM($G$519:$J$519)</f>
        <v>6466130</v>
      </c>
      <c r="L519" s="347">
        <f>F519-$K$519</f>
        <v>0</v>
      </c>
    </row>
    <row r="520" spans="1:12">
      <c r="A520" s="333">
        <v>8</v>
      </c>
      <c r="C520" s="332" t="str">
        <f>'FR-16(7)(v)-1 Functional'!C520</f>
        <v>PERMANENT DIFFERENCES</v>
      </c>
      <c r="D520" s="344" t="str">
        <f>'FR-16(7)(v)-1 Functional'!D520</f>
        <v>AG39</v>
      </c>
      <c r="E520" s="196"/>
      <c r="F520" s="479">
        <f>'FR-16(7)(v)-1 Functional'!F520</f>
        <v>-99651</v>
      </c>
      <c r="G520" s="349">
        <f>'FR-16(7)(v)-6 DISTR Cust Alloc'!$G$520+'FR-16(7)(v)-5 DISTR Dem Alloc'!$G$520+'FR-16(7)(v)-3 PROD Comm Alloc'!$G$520</f>
        <v>-72952</v>
      </c>
      <c r="H520" s="349">
        <f>'FR-16(7)(v)-6 DISTR Cust Alloc'!$H$520+'FR-16(7)(v)-5 DISTR Dem Alloc'!$H$520+'FR-16(7)(v)-3 PROD Comm Alloc'!$H$520</f>
        <v>-19739</v>
      </c>
      <c r="I520" s="349">
        <f>'FR-16(7)(v)-6 DISTR Cust Alloc'!$I$520+'FR-16(7)(v)-5 DISTR Dem Alloc'!$I$520+'FR-16(7)(v)-3 PROD Comm Alloc'!$I$520</f>
        <v>-5935</v>
      </c>
      <c r="J520" s="349">
        <f>'FR-16(7)(v)-6 DISTR Cust Alloc'!$J$520+'FR-16(7)(v)-5 DISTR Dem Alloc'!$J$520+'FR-16(7)(v)-3 PROD Comm Alloc'!$J$520</f>
        <v>-1025</v>
      </c>
      <c r="K520" s="347">
        <f>SUM($G$520:$J$520)</f>
        <v>-99651</v>
      </c>
      <c r="L520" s="347">
        <f>F520-$K$520</f>
        <v>0</v>
      </c>
    </row>
    <row r="521" spans="1:12">
      <c r="A521" s="333">
        <v>9</v>
      </c>
      <c r="C521" s="359" t="str">
        <f>'FR-16(7)(v)-1 Functional'!C521</f>
        <v>TEMPORARY DIFFERENCES</v>
      </c>
      <c r="D521" s="344" t="str">
        <f>'FR-16(7)(v)-1 Functional'!D521</f>
        <v>DE49</v>
      </c>
      <c r="E521" s="196"/>
      <c r="F521" s="479">
        <f>'FR-16(7)(v)-1 Functional'!F521</f>
        <v>234549</v>
      </c>
      <c r="G521" s="349">
        <f>'FR-16(7)(v)-6 DISTR Cust Alloc'!$G$521+'FR-16(7)(v)-5 DISTR Dem Alloc'!$G$521+'FR-16(7)(v)-3 PROD Comm Alloc'!$G$521</f>
        <v>163750</v>
      </c>
      <c r="H521" s="349">
        <f>'FR-16(7)(v)-6 DISTR Cust Alloc'!$H$521+'FR-16(7)(v)-5 DISTR Dem Alloc'!$H$521+'FR-16(7)(v)-3 PROD Comm Alloc'!$H$521</f>
        <v>52327</v>
      </c>
      <c r="I521" s="349">
        <f>'FR-16(7)(v)-6 DISTR Cust Alloc'!$I$521+'FR-16(7)(v)-5 DISTR Dem Alloc'!$I$521+'FR-16(7)(v)-3 PROD Comm Alloc'!$I$521</f>
        <v>14475</v>
      </c>
      <c r="J521" s="349">
        <f>'FR-16(7)(v)-6 DISTR Cust Alloc'!$J$521+'FR-16(7)(v)-5 DISTR Dem Alloc'!$J$521+'FR-16(7)(v)-3 PROD Comm Alloc'!$J$521</f>
        <v>3997</v>
      </c>
      <c r="K521" s="347">
        <f>SUM($G$521:$J$521)</f>
        <v>234549</v>
      </c>
      <c r="L521" s="347">
        <f>F521-$K$521</f>
        <v>0</v>
      </c>
    </row>
    <row r="522" spans="1:12">
      <c r="A522" s="333">
        <v>10</v>
      </c>
      <c r="C522" s="332" t="str">
        <f>'FR-16(7)(v)-1 Functional'!C522</f>
        <v xml:space="preserve">  TOTAL OTHER DEDUCTIONS</v>
      </c>
      <c r="D522" s="344"/>
      <c r="E522" s="196"/>
      <c r="F522" s="348">
        <f>SUM(F519:F521)</f>
        <v>6601028</v>
      </c>
      <c r="G522" s="480">
        <f>SUM($G$519:$G$521)</f>
        <v>4605120</v>
      </c>
      <c r="H522" s="348">
        <f>SUM($H$519:$H$521)</f>
        <v>1475173</v>
      </c>
      <c r="I522" s="348">
        <f>SUM($I$519:$I$521)</f>
        <v>407593</v>
      </c>
      <c r="J522" s="348">
        <f>SUM($J$519:$J$521)</f>
        <v>113142</v>
      </c>
      <c r="K522" s="348">
        <f>SUM($K$519:$K$521)</f>
        <v>6601028</v>
      </c>
      <c r="L522" s="348">
        <f>SUM($L$519:$L$521)</f>
        <v>0</v>
      </c>
    </row>
    <row r="523" spans="1:12">
      <c r="A523" s="333">
        <v>11</v>
      </c>
      <c r="D523" s="344"/>
      <c r="E523" s="196"/>
      <c r="F523" s="353"/>
      <c r="I523" s="332"/>
    </row>
    <row r="524" spans="1:12">
      <c r="A524" s="333">
        <v>12</v>
      </c>
      <c r="B524" s="332" t="s">
        <v>72</v>
      </c>
      <c r="D524" s="344"/>
      <c r="E524" s="196"/>
      <c r="F524" s="349">
        <f>F522+F516</f>
        <v>13362531</v>
      </c>
      <c r="G524" s="347">
        <f>$G$522+$G$516</f>
        <v>9269811</v>
      </c>
      <c r="H524" s="347">
        <f>$H$522+$H$516</f>
        <v>3013428</v>
      </c>
      <c r="I524" s="347">
        <f>$I$522+$I$516</f>
        <v>840290</v>
      </c>
      <c r="J524" s="347">
        <f>$J$522+$J$516</f>
        <v>239002</v>
      </c>
      <c r="K524" s="347">
        <f>$K$522+$K$516</f>
        <v>13362531</v>
      </c>
      <c r="L524" s="347">
        <f>$L$522+$L$516</f>
        <v>0</v>
      </c>
    </row>
    <row r="525" spans="1:12">
      <c r="A525" s="333">
        <v>13</v>
      </c>
      <c r="D525" s="344"/>
      <c r="E525" s="196"/>
      <c r="F525" s="353"/>
      <c r="I525" s="332"/>
    </row>
    <row r="526" spans="1:12">
      <c r="A526" s="333">
        <v>14</v>
      </c>
      <c r="B526" s="340" t="s">
        <v>544</v>
      </c>
      <c r="D526" s="344"/>
      <c r="E526" s="196"/>
      <c r="F526" s="353"/>
      <c r="I526" s="332"/>
    </row>
    <row r="527" spans="1:12">
      <c r="A527" s="333">
        <v>15</v>
      </c>
      <c r="C527" s="332" t="str">
        <f>'FR-16(7)(v)-1 Functional'!C527</f>
        <v>DEFERRED INCOME TAXES - NET</v>
      </c>
      <c r="D527" s="344" t="str">
        <f>'FR-16(7)(v)-1 Functional'!D527</f>
        <v>OM39</v>
      </c>
      <c r="E527" s="196"/>
      <c r="F527" s="479">
        <f>'FR-16(7)(v)-1 Functional'!F527</f>
        <v>1277969</v>
      </c>
      <c r="G527" s="349">
        <f>'FR-16(7)(v)-6 DISTR Cust Alloc'!$G$527+'FR-16(7)(v)-5 DISTR Dem Alloc'!$G$527+'FR-16(7)(v)-3 PROD Comm Alloc'!$G$527</f>
        <v>756136</v>
      </c>
      <c r="H527" s="349">
        <f>'FR-16(7)(v)-6 DISTR Cust Alloc'!$H$527+'FR-16(7)(v)-5 DISTR Dem Alloc'!$H$527+'FR-16(7)(v)-3 PROD Comm Alloc'!$H$527</f>
        <v>326825</v>
      </c>
      <c r="I527" s="349">
        <f>'FR-16(7)(v)-6 DISTR Cust Alloc'!$I$527+'FR-16(7)(v)-5 DISTR Dem Alloc'!$I$527+'FR-16(7)(v)-3 PROD Comm Alloc'!$I$527</f>
        <v>186373</v>
      </c>
      <c r="J527" s="349">
        <f>'FR-16(7)(v)-6 DISTR Cust Alloc'!$J$527+'FR-16(7)(v)-5 DISTR Dem Alloc'!$J$527+'FR-16(7)(v)-3 PROD Comm Alloc'!$J$527</f>
        <v>8635</v>
      </c>
      <c r="K527" s="347">
        <f>SUM($G$527:$J$527)</f>
        <v>1277969</v>
      </c>
      <c r="L527" s="347">
        <f>F527-$K$527</f>
        <v>0</v>
      </c>
    </row>
    <row r="528" spans="1:12">
      <c r="A528" s="333">
        <v>16</v>
      </c>
      <c r="C528" s="332" t="str">
        <f>'FR-16(7)(v)-1 Functional'!C528</f>
        <v>AMORT OF DEFERRED MERGER COST</v>
      </c>
      <c r="D528" s="344" t="str">
        <f>'FR-16(7)(v)-1 Functional'!D528</f>
        <v>AG39</v>
      </c>
      <c r="E528" s="196"/>
      <c r="F528" s="479">
        <f>'FR-16(7)(v)-1 Functional'!F528</f>
        <v>0</v>
      </c>
      <c r="G528" s="349">
        <f>'FR-16(7)(v)-6 DISTR Cust Alloc'!$G$528+'FR-16(7)(v)-5 DISTR Dem Alloc'!$G$528+'FR-16(7)(v)-3 PROD Comm Alloc'!$G$528</f>
        <v>0</v>
      </c>
      <c r="H528" s="349">
        <f>'FR-16(7)(v)-6 DISTR Cust Alloc'!$H$528+'FR-16(7)(v)-5 DISTR Dem Alloc'!$H$528+'FR-16(7)(v)-3 PROD Comm Alloc'!$H$528</f>
        <v>0</v>
      </c>
      <c r="I528" s="349">
        <f>'FR-16(7)(v)-6 DISTR Cust Alloc'!$I$528+'FR-16(7)(v)-5 DISTR Dem Alloc'!$I$528+'FR-16(7)(v)-3 PROD Comm Alloc'!$I$528</f>
        <v>0</v>
      </c>
      <c r="J528" s="349">
        <f>'FR-16(7)(v)-6 DISTR Cust Alloc'!$J$528+'FR-16(7)(v)-5 DISTR Dem Alloc'!$J$528+'FR-16(7)(v)-3 PROD Comm Alloc'!$J$528</f>
        <v>0</v>
      </c>
      <c r="K528" s="347">
        <f>SUM($G$528:$J$528)</f>
        <v>0</v>
      </c>
      <c r="L528" s="347">
        <f>F528-$K$528</f>
        <v>0</v>
      </c>
    </row>
    <row r="529" spans="1:12">
      <c r="A529" s="333">
        <v>17</v>
      </c>
      <c r="C529" s="618" t="str">
        <f>'FR-16(7)(v)-1 Functional'!C529</f>
        <v>DIT ADJUSTMENT - S/L DEPRECIATION</v>
      </c>
      <c r="D529" s="344" t="str">
        <f>'FR-16(7)(v)-1 Functional'!D529</f>
        <v>DE49</v>
      </c>
      <c r="E529" s="196"/>
      <c r="F529" s="479">
        <f>'FR-16(7)(v)-1 Functional'!F529</f>
        <v>0</v>
      </c>
      <c r="G529" s="349">
        <f>'FR-16(7)(v)-6 DISTR Cust Alloc'!$G$529+'FR-16(7)(v)-5 DISTR Dem Alloc'!$G$529+'FR-16(7)(v)-3 PROD Comm Alloc'!$G$529</f>
        <v>0</v>
      </c>
      <c r="H529" s="349">
        <f>'FR-16(7)(v)-6 DISTR Cust Alloc'!$H$529+'FR-16(7)(v)-5 DISTR Dem Alloc'!$H$529+'FR-16(7)(v)-3 PROD Comm Alloc'!$H$529</f>
        <v>0</v>
      </c>
      <c r="I529" s="349">
        <f>'FR-16(7)(v)-6 DISTR Cust Alloc'!$I$529+'FR-16(7)(v)-5 DISTR Dem Alloc'!$I$529+'FR-16(7)(v)-3 PROD Comm Alloc'!$I$529</f>
        <v>0</v>
      </c>
      <c r="J529" s="349">
        <f>'FR-16(7)(v)-6 DISTR Cust Alloc'!$J$529+'FR-16(7)(v)-5 DISTR Dem Alloc'!$J$529+'FR-16(7)(v)-3 PROD Comm Alloc'!$J$529</f>
        <v>0</v>
      </c>
      <c r="K529" s="347">
        <f>SUM($G$529:$J$529)</f>
        <v>0</v>
      </c>
      <c r="L529" s="347">
        <f>F529-$K$529</f>
        <v>0</v>
      </c>
    </row>
    <row r="530" spans="1:12">
      <c r="A530" s="333">
        <v>18</v>
      </c>
      <c r="C530" s="332" t="str">
        <f>'FR-16(7)(v)-1 Functional'!C530</f>
        <v>DIT ADJUSTMENT - ARAM</v>
      </c>
      <c r="D530" s="344" t="str">
        <f>'FR-16(7)(v)-1 Functional'!D530</f>
        <v>K201</v>
      </c>
      <c r="E530" s="196"/>
      <c r="F530" s="479">
        <f>'FR-16(7)(v)-1 Functional'!F530</f>
        <v>-16534</v>
      </c>
      <c r="G530" s="349">
        <f>'FR-16(7)(v)-6 DISTR Cust Alloc'!$G$530+'FR-16(7)(v)-5 DISTR Dem Alloc'!$G$530+'FR-16(7)(v)-3 PROD Comm Alloc'!$G$530</f>
        <v>-8380</v>
      </c>
      <c r="H530" s="349">
        <f>'FR-16(7)(v)-6 DISTR Cust Alloc'!$H$530+'FR-16(7)(v)-5 DISTR Dem Alloc'!$H$530+'FR-16(7)(v)-3 PROD Comm Alloc'!$H$530</f>
        <v>-4774</v>
      </c>
      <c r="I530" s="349">
        <f>'FR-16(7)(v)-6 DISTR Cust Alloc'!$I$530+'FR-16(7)(v)-5 DISTR Dem Alloc'!$I$530+'FR-16(7)(v)-3 PROD Comm Alloc'!$I$530</f>
        <v>-3380</v>
      </c>
      <c r="J530" s="349">
        <f>'FR-16(7)(v)-6 DISTR Cust Alloc'!$J$530+'FR-16(7)(v)-5 DISTR Dem Alloc'!$J$530+'FR-16(7)(v)-3 PROD Comm Alloc'!$J$530</f>
        <v>0</v>
      </c>
      <c r="K530" s="347">
        <f>SUM($G$530:$J$530)</f>
        <v>-16534</v>
      </c>
      <c r="L530" s="347">
        <f>F530-$K$530</f>
        <v>0</v>
      </c>
    </row>
    <row r="531" spans="1:12">
      <c r="A531" s="333">
        <v>19</v>
      </c>
      <c r="C531" s="359" t="s">
        <v>1495</v>
      </c>
      <c r="D531" s="344" t="str">
        <f>'FR-16(7)(v)-1 Functional'!D531</f>
        <v>AG39</v>
      </c>
      <c r="E531" s="196"/>
      <c r="F531" s="479">
        <f>'FR-16(7)(v)-1 Functional'!F531</f>
        <v>-585952</v>
      </c>
      <c r="G531" s="349">
        <f>'FR-16(7)(v)-6 DISTR Cust Alloc'!$G$531+'FR-16(7)(v)-5 DISTR Dem Alloc'!$G$531+'FR-16(7)(v)-3 PROD Comm Alloc'!$G$531</f>
        <v>-428951</v>
      </c>
      <c r="H531" s="349">
        <f>'FR-16(7)(v)-6 DISTR Cust Alloc'!$H$531+'FR-16(7)(v)-5 DISTR Dem Alloc'!$H$531+'FR-16(7)(v)-3 PROD Comm Alloc'!$H$531</f>
        <v>-116070</v>
      </c>
      <c r="I531" s="349">
        <f>'FR-16(7)(v)-6 DISTR Cust Alloc'!$I$531+'FR-16(7)(v)-5 DISTR Dem Alloc'!$I$531+'FR-16(7)(v)-3 PROD Comm Alloc'!$I$531</f>
        <v>-34900</v>
      </c>
      <c r="J531" s="349">
        <f>'FR-16(7)(v)-6 DISTR Cust Alloc'!$J$531+'FR-16(7)(v)-5 DISTR Dem Alloc'!$J$531+'FR-16(7)(v)-3 PROD Comm Alloc'!$J$531</f>
        <v>-6031</v>
      </c>
      <c r="K531" s="347">
        <f>SUM($G$531:$J$531)</f>
        <v>-585952</v>
      </c>
      <c r="L531" s="347">
        <f>F531-$K$531</f>
        <v>0</v>
      </c>
    </row>
    <row r="532" spans="1:12">
      <c r="A532" s="333">
        <v>20</v>
      </c>
      <c r="C532" s="332" t="str">
        <f>'FR-16(7)(v)-1 Functional'!C532</f>
        <v xml:space="preserve">  TOTAL FED DEF IT (410 &amp; 411)</v>
      </c>
      <c r="D532" s="344"/>
      <c r="E532" s="196"/>
      <c r="F532" s="348">
        <f>SUM(F527:F531)</f>
        <v>675483</v>
      </c>
      <c r="G532" s="480">
        <f>SUM($G$527:$G$531)</f>
        <v>318805</v>
      </c>
      <c r="H532" s="348">
        <f>SUM($H$527:$H$531)</f>
        <v>205981</v>
      </c>
      <c r="I532" s="348">
        <f>SUM($I$527:$I$531)</f>
        <v>148093</v>
      </c>
      <c r="J532" s="348">
        <f>SUM($J$527:$J$531)</f>
        <v>2604</v>
      </c>
      <c r="K532" s="348">
        <f>SUM($K$527:$K$531)</f>
        <v>675483</v>
      </c>
      <c r="L532" s="348">
        <f>SUM($L$527:$L$531)</f>
        <v>0</v>
      </c>
    </row>
    <row r="533" spans="1:12">
      <c r="A533" s="333">
        <v>21</v>
      </c>
      <c r="D533" s="344"/>
      <c r="E533" s="196"/>
      <c r="F533" s="353"/>
      <c r="I533" s="332"/>
    </row>
    <row r="534" spans="1:12">
      <c r="A534" s="333">
        <v>22</v>
      </c>
      <c r="B534" s="332" t="s">
        <v>419</v>
      </c>
      <c r="D534" s="344"/>
      <c r="E534" s="196"/>
      <c r="F534" s="353"/>
      <c r="I534" s="332"/>
    </row>
    <row r="535" spans="1:12">
      <c r="A535" s="333">
        <v>23</v>
      </c>
      <c r="C535" s="359" t="str">
        <f>'FR-16(7)(v)-1 Functional'!C535</f>
        <v>AMORTIZE ITC</v>
      </c>
      <c r="D535" s="344" t="str">
        <f>'FR-16(7)(v)-1 Functional'!D535</f>
        <v>NP29</v>
      </c>
      <c r="E535" s="196"/>
      <c r="F535" s="479">
        <f>'FR-16(7)(v)-1 Functional'!F535</f>
        <v>66055</v>
      </c>
      <c r="G535" s="349">
        <f>'FR-16(7)(v)-6 DISTR Cust Alloc'!$G$535+'FR-16(7)(v)-5 DISTR Dem Alloc'!$G$535+'FR-16(7)(v)-3 PROD Comm Alloc'!$G$535</f>
        <v>45912</v>
      </c>
      <c r="H535" s="349">
        <f>'FR-16(7)(v)-6 DISTR Cust Alloc'!$H$535+'FR-16(7)(v)-5 DISTR Dem Alloc'!$H$535+'FR-16(7)(v)-3 PROD Comm Alloc'!$H$535</f>
        <v>14890</v>
      </c>
      <c r="I535" s="349">
        <f>'FR-16(7)(v)-6 DISTR Cust Alloc'!$I$535+'FR-16(7)(v)-5 DISTR Dem Alloc'!$I$535+'FR-16(7)(v)-3 PROD Comm Alloc'!$I$535</f>
        <v>4049</v>
      </c>
      <c r="J535" s="349">
        <f>'FR-16(7)(v)-6 DISTR Cust Alloc'!$J$535+'FR-16(7)(v)-5 DISTR Dem Alloc'!$J$535+'FR-16(7)(v)-3 PROD Comm Alloc'!$J$535</f>
        <v>1203</v>
      </c>
      <c r="K535" s="512">
        <f>SUM($G$535:$J$535)</f>
        <v>66054</v>
      </c>
      <c r="L535" s="512">
        <f>F535-$K$535</f>
        <v>1</v>
      </c>
    </row>
    <row r="536" spans="1:12">
      <c r="A536" s="333">
        <v>24</v>
      </c>
      <c r="C536" s="332" t="str">
        <f>'FR-16(7)(v)-1 Functional'!C536</f>
        <v xml:space="preserve">  TOTAL AMORTIZED ITC</v>
      </c>
      <c r="D536" s="344"/>
      <c r="E536" s="196"/>
      <c r="F536" s="348">
        <f>SUM(F535:F535)</f>
        <v>66055</v>
      </c>
      <c r="G536" s="480">
        <f>SUM($G$535:$G$535)</f>
        <v>45912</v>
      </c>
      <c r="H536" s="348">
        <f>SUM($H$535:$H$535)</f>
        <v>14890</v>
      </c>
      <c r="I536" s="348">
        <f>SUM($I$535:$I$535)</f>
        <v>4049</v>
      </c>
      <c r="J536" s="348">
        <f>SUM($J$535:$J$535)</f>
        <v>1203</v>
      </c>
      <c r="K536" s="348">
        <f>SUM($K$535:$K$535)</f>
        <v>66054</v>
      </c>
      <c r="L536" s="348">
        <f>SUM($L$535:$L$535)</f>
        <v>1</v>
      </c>
    </row>
    <row r="537" spans="1:12">
      <c r="A537" s="333">
        <v>25</v>
      </c>
      <c r="D537" s="344"/>
      <c r="E537" s="196"/>
      <c r="F537" s="510"/>
      <c r="G537" s="670"/>
      <c r="H537" s="510"/>
      <c r="I537" s="510"/>
      <c r="J537" s="510"/>
      <c r="K537" s="510"/>
      <c r="L537" s="510"/>
    </row>
    <row r="538" spans="1:12" ht="15.75">
      <c r="A538" s="333">
        <v>26</v>
      </c>
      <c r="B538" s="332" t="s">
        <v>73</v>
      </c>
      <c r="D538" s="735"/>
      <c r="E538" s="1"/>
      <c r="F538" s="510"/>
      <c r="G538" s="670"/>
      <c r="H538" s="510"/>
      <c r="I538" s="510"/>
      <c r="J538" s="510"/>
      <c r="K538" s="510"/>
      <c r="L538" s="510"/>
    </row>
    <row r="539" spans="1:12">
      <c r="A539" s="333">
        <v>27</v>
      </c>
      <c r="C539" s="332" t="str">
        <f>'FR-16(7)(v)-1 Functional'!C539</f>
        <v>PROV INVEST TAX CREDIT</v>
      </c>
      <c r="D539" s="344" t="s">
        <v>315</v>
      </c>
      <c r="F539" s="479">
        <f>'FR-16(7)(v)-1 Functional'!F539</f>
        <v>0</v>
      </c>
      <c r="G539" s="349">
        <f>'FR-16(7)(v)-6 DISTR Cust Alloc'!$G$539+'FR-16(7)(v)-5 DISTR Dem Alloc'!$G$539+'FR-16(7)(v)-3 PROD Comm Alloc'!$G$539</f>
        <v>0</v>
      </c>
      <c r="H539" s="349">
        <f>'FR-16(7)(v)-6 DISTR Cust Alloc'!$H$539+'FR-16(7)(v)-5 DISTR Dem Alloc'!$H$539+'FR-16(7)(v)-3 PROD Comm Alloc'!$H$539</f>
        <v>0</v>
      </c>
      <c r="I539" s="349">
        <f>'FR-16(7)(v)-6 DISTR Cust Alloc'!$I$539+'FR-16(7)(v)-5 DISTR Dem Alloc'!$I$539+'FR-16(7)(v)-3 PROD Comm Alloc'!$I$539</f>
        <v>0</v>
      </c>
      <c r="J539" s="349">
        <f>'FR-16(7)(v)-6 DISTR Cust Alloc'!$J$539+'FR-16(7)(v)-5 DISTR Dem Alloc'!$J$539+'FR-16(7)(v)-3 PROD Comm Alloc'!$J$539</f>
        <v>0</v>
      </c>
      <c r="K539" s="512">
        <f>SUM($G$539:$J$539)</f>
        <v>0</v>
      </c>
      <c r="L539" s="512">
        <f>F539-$K$539</f>
        <v>0</v>
      </c>
    </row>
    <row r="540" spans="1:12" ht="15.75">
      <c r="A540" s="333">
        <v>28</v>
      </c>
      <c r="C540" s="339" t="str">
        <f>'FR-16(7)(v)-1 Functional'!C540</f>
        <v xml:space="preserve">  TEST YEAR INV TAX CREDIT</v>
      </c>
      <c r="D540" s="735"/>
      <c r="E540" s="1"/>
      <c r="F540" s="348">
        <f>SUM(F539:F539)</f>
        <v>0</v>
      </c>
      <c r="G540" s="480">
        <f>SUM($G$539:$G$539)</f>
        <v>0</v>
      </c>
      <c r="H540" s="480">
        <f>SUM($H$539:$H$539)</f>
        <v>0</v>
      </c>
      <c r="I540" s="480">
        <f>SUM($I$539:$I$539)</f>
        <v>0</v>
      </c>
      <c r="J540" s="480">
        <f>SUM($J$539:$J$539)</f>
        <v>0</v>
      </c>
      <c r="K540" s="480">
        <f>SUM($K$539:$K$539)</f>
        <v>0</v>
      </c>
      <c r="L540" s="480">
        <f>SUM($L$539:$L$539)</f>
        <v>0</v>
      </c>
    </row>
    <row r="541" spans="1:12" ht="15.75">
      <c r="A541" s="333">
        <v>29</v>
      </c>
      <c r="B541" s="193"/>
      <c r="C541" s="193"/>
      <c r="D541" s="735"/>
      <c r="E541" s="1"/>
      <c r="F541" s="510"/>
      <c r="G541" s="670"/>
      <c r="H541" s="510"/>
      <c r="I541" s="510"/>
      <c r="J541" s="510"/>
      <c r="K541" s="510"/>
      <c r="L541" s="510"/>
    </row>
    <row r="542" spans="1:12" ht="15.75">
      <c r="A542" s="333">
        <v>30</v>
      </c>
      <c r="B542" s="332" t="s">
        <v>40</v>
      </c>
      <c r="C542" s="193"/>
      <c r="D542" s="735"/>
      <c r="E542" s="1"/>
      <c r="F542" s="510"/>
      <c r="G542" s="670"/>
      <c r="H542" s="510"/>
      <c r="I542" s="510"/>
      <c r="J542" s="510"/>
      <c r="K542" s="510"/>
      <c r="L542" s="510"/>
    </row>
    <row r="543" spans="1:12">
      <c r="A543" s="333">
        <v>31</v>
      </c>
      <c r="C543" s="332" t="str">
        <f>'FR-16(7)(v)-1 Functional'!C543</f>
        <v>TOTAL FED DEF IT (410 &amp; 411)</v>
      </c>
      <c r="D543" s="344"/>
      <c r="E543" s="196"/>
      <c r="F543" s="349">
        <f>F532</f>
        <v>675483</v>
      </c>
      <c r="G543" s="347">
        <f>$G$532</f>
        <v>318805</v>
      </c>
      <c r="H543" s="347">
        <f>$H$532</f>
        <v>205981</v>
      </c>
      <c r="I543" s="347">
        <f>$I$532</f>
        <v>148093</v>
      </c>
      <c r="J543" s="347">
        <f>$J$532</f>
        <v>2604</v>
      </c>
      <c r="K543" s="347">
        <f>$K$532</f>
        <v>675483</v>
      </c>
      <c r="L543" s="347">
        <f>$L$532</f>
        <v>0</v>
      </c>
    </row>
    <row r="544" spans="1:12">
      <c r="A544" s="333">
        <v>32</v>
      </c>
      <c r="C544" s="359" t="str">
        <f>'FR-16(7)(v)-1 Functional'!C544</f>
        <v>TOTAL AMORTIZED ITC</v>
      </c>
      <c r="D544" s="344"/>
      <c r="E544" s="196"/>
      <c r="F544" s="349">
        <f>-F536</f>
        <v>-66055</v>
      </c>
      <c r="G544" s="347">
        <f>-$G$536</f>
        <v>-45912</v>
      </c>
      <c r="H544" s="347">
        <f>-$H$536</f>
        <v>-14890</v>
      </c>
      <c r="I544" s="347">
        <f>-$I$536</f>
        <v>-4049</v>
      </c>
      <c r="J544" s="347">
        <f>-$J$536</f>
        <v>-1203</v>
      </c>
      <c r="K544" s="347">
        <f>-$K$536</f>
        <v>-66054</v>
      </c>
      <c r="L544" s="347">
        <f>-$L$536</f>
        <v>-1</v>
      </c>
    </row>
    <row r="545" spans="1:12">
      <c r="A545" s="333">
        <v>33</v>
      </c>
      <c r="C545" s="332" t="str">
        <f>'FR-16(7)(v)-1 Functional'!C545</f>
        <v xml:space="preserve">  TOTAL FEDERAL TAX ADJUSTMENTS</v>
      </c>
      <c r="D545" s="344"/>
      <c r="E545" s="196"/>
      <c r="F545" s="348">
        <f>SUM(F543:F544)</f>
        <v>609428</v>
      </c>
      <c r="G545" s="480">
        <f>SUM($G$543:$G$544)</f>
        <v>272893</v>
      </c>
      <c r="H545" s="348">
        <f>SUM($H$543:$H$544)</f>
        <v>191091</v>
      </c>
      <c r="I545" s="348">
        <f>SUM($I$543:$I$544)</f>
        <v>144044</v>
      </c>
      <c r="J545" s="348">
        <f>SUM($J$543:$J$544)</f>
        <v>1401</v>
      </c>
      <c r="K545" s="348">
        <f>SUM($K$543:$K$544)</f>
        <v>609429</v>
      </c>
      <c r="L545" s="348">
        <f>SUM($L$543:$L$544)</f>
        <v>-1</v>
      </c>
    </row>
    <row r="546" spans="1:12">
      <c r="A546" s="333">
        <v>34</v>
      </c>
      <c r="D546" s="344"/>
      <c r="E546" s="196"/>
      <c r="F546" s="353"/>
      <c r="I546" s="332"/>
    </row>
    <row r="547" spans="1:12">
      <c r="A547" s="333">
        <v>35</v>
      </c>
      <c r="B547" s="332" t="s">
        <v>74</v>
      </c>
      <c r="D547" s="344"/>
      <c r="E547" s="196"/>
      <c r="F547" s="353"/>
      <c r="I547" s="332"/>
    </row>
    <row r="548" spans="1:12">
      <c r="A548" s="333">
        <v>36</v>
      </c>
      <c r="C548" s="332" t="str">
        <f>'FR-16(7)(v)-1 Functional'!C548</f>
        <v>RETURN ON RATE BASE</v>
      </c>
      <c r="D548" s="344"/>
      <c r="E548" s="196"/>
      <c r="F548" s="349">
        <f t="shared" ref="F548:L548" si="119">F334</f>
        <v>22525019</v>
      </c>
      <c r="G548" s="347">
        <f t="shared" si="119"/>
        <v>15539826</v>
      </c>
      <c r="H548" s="347">
        <f t="shared" si="119"/>
        <v>5124462</v>
      </c>
      <c r="I548" s="347">
        <f t="shared" si="119"/>
        <v>1441452</v>
      </c>
      <c r="J548" s="347">
        <f t="shared" si="119"/>
        <v>419279</v>
      </c>
      <c r="K548" s="347">
        <f t="shared" si="119"/>
        <v>22525019</v>
      </c>
      <c r="L548" s="347">
        <f t="shared" si="119"/>
        <v>0</v>
      </c>
    </row>
    <row r="549" spans="1:12">
      <c r="A549" s="333">
        <v>37</v>
      </c>
      <c r="C549" s="332" t="str">
        <f>'FR-16(7)(v)-1 Functional'!C549</f>
        <v>NET DEDUCTIONS AND ADDITIONS</v>
      </c>
      <c r="D549" s="344"/>
      <c r="E549" s="196"/>
      <c r="F549" s="349">
        <f>-F524</f>
        <v>-13362531</v>
      </c>
      <c r="G549" s="347">
        <f>-$G$524</f>
        <v>-9269811</v>
      </c>
      <c r="H549" s="347">
        <f>-$H$524</f>
        <v>-3013428</v>
      </c>
      <c r="I549" s="347">
        <f>-$I$524</f>
        <v>-840290</v>
      </c>
      <c r="J549" s="347">
        <f>-$J$524</f>
        <v>-239002</v>
      </c>
      <c r="K549" s="347">
        <f>-$K$524</f>
        <v>-13362531</v>
      </c>
      <c r="L549" s="347">
        <f>-$L$524</f>
        <v>0</v>
      </c>
    </row>
    <row r="550" spans="1:12">
      <c r="A550" s="333">
        <v>38</v>
      </c>
      <c r="C550" s="332" t="s">
        <v>1496</v>
      </c>
      <c r="D550" s="344"/>
      <c r="E550" s="196"/>
      <c r="F550" s="349">
        <f>F591</f>
        <v>450960</v>
      </c>
      <c r="G550" s="349">
        <f t="shared" ref="G550:L550" ca="1" si="120">G591</f>
        <v>313237</v>
      </c>
      <c r="H550" s="349">
        <f t="shared" si="120"/>
        <v>101662</v>
      </c>
      <c r="I550" s="349">
        <f t="shared" ca="1" si="120"/>
        <v>27556</v>
      </c>
      <c r="J550" s="349">
        <f t="shared" si="120"/>
        <v>8506</v>
      </c>
      <c r="K550" s="349">
        <f t="shared" ca="1" si="120"/>
        <v>450961</v>
      </c>
      <c r="L550" s="349">
        <f t="shared" ca="1" si="120"/>
        <v>-1</v>
      </c>
    </row>
    <row r="551" spans="1:12">
      <c r="A551" s="333">
        <v>39</v>
      </c>
      <c r="C551" s="359" t="str">
        <f>'FR-16(7)(v)-1 Functional'!C551</f>
        <v>TOTAL FEDERAL TAX ADJUSTMENTS</v>
      </c>
      <c r="D551" s="344"/>
      <c r="E551" s="196"/>
      <c r="F551" s="349">
        <f>F545</f>
        <v>609428</v>
      </c>
      <c r="G551" s="347">
        <f>$G$545</f>
        <v>272893</v>
      </c>
      <c r="H551" s="347">
        <f>$H$545</f>
        <v>191091</v>
      </c>
      <c r="I551" s="347">
        <f>$I$545</f>
        <v>144044</v>
      </c>
      <c r="J551" s="347">
        <f>$J$545</f>
        <v>1401</v>
      </c>
      <c r="K551" s="347">
        <f>$K$545</f>
        <v>609429</v>
      </c>
      <c r="L551" s="347">
        <f>$L$545</f>
        <v>-1</v>
      </c>
    </row>
    <row r="552" spans="1:12">
      <c r="A552" s="333">
        <v>40</v>
      </c>
      <c r="C552" s="332" t="str">
        <f>'FR-16(7)(v)-1 Functional'!C552</f>
        <v xml:space="preserve">  BASE FOR FIT COMPUATION</v>
      </c>
      <c r="D552" s="344"/>
      <c r="E552" s="196"/>
      <c r="F552" s="348">
        <f>SUM(F548:F551)</f>
        <v>10222876</v>
      </c>
      <c r="G552" s="480">
        <f ca="1">SUM($G$548:$G$551)</f>
        <v>6856145</v>
      </c>
      <c r="H552" s="348">
        <f>SUM($H$548:$H$551)</f>
        <v>2403787</v>
      </c>
      <c r="I552" s="348">
        <f ca="1">SUM($I$548:$I$551)</f>
        <v>772762</v>
      </c>
      <c r="J552" s="348">
        <f>SUM($J$548:$J$551)</f>
        <v>190184</v>
      </c>
      <c r="K552" s="348">
        <f ca="1">SUM($K$548:$K$551)</f>
        <v>10222878</v>
      </c>
      <c r="L552" s="348">
        <f ca="1">SUM($L$548:$L$551)</f>
        <v>-2</v>
      </c>
    </row>
    <row r="553" spans="1:12">
      <c r="A553" s="333">
        <v>41</v>
      </c>
      <c r="D553" s="344"/>
      <c r="E553" s="196"/>
      <c r="F553" s="353"/>
      <c r="I553" s="332"/>
    </row>
    <row r="554" spans="1:12">
      <c r="A554" s="333">
        <v>42</v>
      </c>
      <c r="C554" s="332" t="str">
        <f>'FR-16(7)(v)-1 Functional'!C554</f>
        <v>FIT FACTOR K190/(1-K190)</v>
      </c>
      <c r="D554" s="344"/>
      <c r="E554" s="196"/>
      <c r="F554" s="356">
        <f>ROUND(F692/(1-F692),9)</f>
        <v>0.26582278500000001</v>
      </c>
      <c r="G554" s="350">
        <f>ROUND(G692/(1-G692),9)</f>
        <v>0.26582278500000001</v>
      </c>
      <c r="H554" s="350">
        <f>ROUND(H692/(1-H692),9)</f>
        <v>0.26582278500000001</v>
      </c>
      <c r="I554" s="350">
        <f>ROUND(I692/(1-I692),9)</f>
        <v>0.26582278500000001</v>
      </c>
      <c r="J554" s="350">
        <f>ROUND(J692/(1-J692),9)</f>
        <v>0.26582278500000001</v>
      </c>
      <c r="K554" s="350"/>
      <c r="L554" s="350">
        <f>ROUND(K692/(1-K692),9)</f>
        <v>0.26582278500000001</v>
      </c>
    </row>
    <row r="555" spans="1:12">
      <c r="A555" s="333">
        <v>43</v>
      </c>
      <c r="C555" s="332" t="str">
        <f>'FR-16(7)(v)-1 Functional'!C555</f>
        <v>PRELIM FED INCOME TAX</v>
      </c>
      <c r="D555" s="344"/>
      <c r="E555" s="196"/>
      <c r="F555" s="349">
        <f>ROUND(F554*F552,0)</f>
        <v>2717473</v>
      </c>
      <c r="G555" s="347">
        <f ca="1">F555-SUM($H$555:$J$555)</f>
        <v>1822520</v>
      </c>
      <c r="H555" s="347">
        <f>ROUND($H$552*$H$554,0)</f>
        <v>638981</v>
      </c>
      <c r="I555" s="347">
        <f ca="1">ROUND($I$552*$I$554,0)</f>
        <v>205418</v>
      </c>
      <c r="J555" s="347">
        <f>ROUND($J$552*$J$554,0)</f>
        <v>50555</v>
      </c>
      <c r="K555" s="347">
        <f ca="1">SUM($G$555:$J$555)</f>
        <v>2717474</v>
      </c>
      <c r="L555" s="347">
        <f ca="1">ROUND($L$552*$L$554,0)</f>
        <v>-1</v>
      </c>
    </row>
    <row r="556" spans="1:12">
      <c r="A556" s="333">
        <v>44</v>
      </c>
      <c r="C556" s="359" t="str">
        <f>'FR-16(7)(v)-1 Functional'!C556</f>
        <v>TOTAL FEDERAL TAX ADJUSTMENTS</v>
      </c>
      <c r="D556" s="344"/>
      <c r="E556" s="196"/>
      <c r="F556" s="349">
        <f>F545</f>
        <v>609428</v>
      </c>
      <c r="G556" s="347">
        <f>$G$545</f>
        <v>272893</v>
      </c>
      <c r="H556" s="347">
        <f>$H$545</f>
        <v>191091</v>
      </c>
      <c r="I556" s="347">
        <f>$I$545</f>
        <v>144044</v>
      </c>
      <c r="J556" s="347">
        <f>$J$545</f>
        <v>1401</v>
      </c>
      <c r="K556" s="347">
        <f>$K$545</f>
        <v>609429</v>
      </c>
      <c r="L556" s="347">
        <f>$L$545</f>
        <v>-1</v>
      </c>
    </row>
    <row r="557" spans="1:12">
      <c r="A557" s="333">
        <v>45</v>
      </c>
      <c r="C557" s="353" t="str">
        <f>'FR-16(7)(v)-1 Functional'!C557</f>
        <v xml:space="preserve">  NET FED INCOME TAX ALLOWABLE</v>
      </c>
      <c r="D557" s="344"/>
      <c r="E557" s="196"/>
      <c r="F557" s="348">
        <f>SUM(F555:F556)</f>
        <v>3326901</v>
      </c>
      <c r="G557" s="348">
        <f ca="1">SUM($G$555:$G$556)</f>
        <v>2095413</v>
      </c>
      <c r="H557" s="348">
        <f>SUM($H$555:$H$556)</f>
        <v>830072</v>
      </c>
      <c r="I557" s="348">
        <f ca="1">SUM($I$555:$I$556)</f>
        <v>349462</v>
      </c>
      <c r="J557" s="348">
        <f>SUM($J$555:$J$556)</f>
        <v>51956</v>
      </c>
      <c r="K557" s="348">
        <f ca="1">SUM($K$555:$K$556)</f>
        <v>3326903</v>
      </c>
      <c r="L557" s="348">
        <f ca="1">SUM($L$555:$L$556)</f>
        <v>-2</v>
      </c>
    </row>
    <row r="558" spans="1:12">
      <c r="A558" s="333">
        <v>46</v>
      </c>
      <c r="D558" s="344"/>
      <c r="E558" s="196"/>
      <c r="F558" s="353"/>
      <c r="I558" s="332"/>
    </row>
    <row r="559" spans="1:12">
      <c r="A559" s="333">
        <v>47</v>
      </c>
      <c r="B559" s="332" t="s">
        <v>68</v>
      </c>
      <c r="D559" s="344"/>
      <c r="E559" s="196"/>
      <c r="F559" s="353"/>
      <c r="I559" s="332"/>
    </row>
    <row r="560" spans="1:12">
      <c r="A560" s="333">
        <v>48</v>
      </c>
      <c r="B560" s="332" t="s">
        <v>75</v>
      </c>
      <c r="D560" s="344"/>
      <c r="E560" s="196"/>
      <c r="F560" s="353"/>
      <c r="I560" s="332"/>
    </row>
    <row r="561" spans="1:12">
      <c r="A561" s="333">
        <v>49</v>
      </c>
      <c r="C561" s="332" t="str">
        <f>'FR-16(7)(v)-1 Functional'!C561</f>
        <v>PRELIM FEDERAL INCOME TAX</v>
      </c>
      <c r="D561" s="344"/>
      <c r="E561" s="196"/>
      <c r="F561" s="349">
        <f>F555</f>
        <v>2717473</v>
      </c>
      <c r="G561" s="347">
        <f ca="1">$G$555</f>
        <v>1822520</v>
      </c>
      <c r="H561" s="347">
        <f>$H$555</f>
        <v>638981</v>
      </c>
      <c r="I561" s="347">
        <f ca="1">$I$555</f>
        <v>205418</v>
      </c>
      <c r="J561" s="347">
        <f>$J$555</f>
        <v>50555</v>
      </c>
      <c r="K561" s="347">
        <f ca="1">$K$555</f>
        <v>2717474</v>
      </c>
      <c r="L561" s="347">
        <f ca="1">$L$555</f>
        <v>-1</v>
      </c>
    </row>
    <row r="562" spans="1:12">
      <c r="A562" s="333">
        <v>50</v>
      </c>
      <c r="C562" s="359" t="str">
        <f>'FR-16(7)(v)-1 Functional'!C562</f>
        <v>TEST YEAR INV TAX CREDIT</v>
      </c>
      <c r="D562" s="344"/>
      <c r="E562" s="196"/>
      <c r="F562" s="347">
        <f>-F540</f>
        <v>0</v>
      </c>
      <c r="G562" s="626">
        <f>-$G$540</f>
        <v>0</v>
      </c>
      <c r="H562" s="626">
        <f>-$H$540</f>
        <v>0</v>
      </c>
      <c r="I562" s="347">
        <f>-$I$540</f>
        <v>0</v>
      </c>
      <c r="J562" s="347">
        <f>-$J$540</f>
        <v>0</v>
      </c>
      <c r="K562" s="347">
        <f>-$K$540</f>
        <v>0</v>
      </c>
      <c r="L562" s="347">
        <f>-$L$540</f>
        <v>0</v>
      </c>
    </row>
    <row r="563" spans="1:12">
      <c r="A563" s="333">
        <v>51</v>
      </c>
      <c r="C563" s="332" t="str">
        <f>'FR-16(7)(v)-1 Functional'!C563</f>
        <v xml:space="preserve">  NET FED INCOME TAX PAYABLE</v>
      </c>
      <c r="D563" s="344"/>
      <c r="E563" s="196"/>
      <c r="F563" s="348">
        <f>SUM(F560:F562)</f>
        <v>2717473</v>
      </c>
      <c r="G563" s="348">
        <f ca="1">SUM($G$560:$G$562)</f>
        <v>1822520</v>
      </c>
      <c r="H563" s="348">
        <f>SUM($H$560:$H$562)</f>
        <v>638981</v>
      </c>
      <c r="I563" s="348">
        <f ca="1">SUM($I$560:$I$562)</f>
        <v>205418</v>
      </c>
      <c r="J563" s="348">
        <f>SUM($J$560:$J$562)</f>
        <v>50555</v>
      </c>
      <c r="K563" s="348">
        <f ca="1">SUM($K$560:$K$562)</f>
        <v>2717474</v>
      </c>
      <c r="L563" s="348">
        <f ca="1">SUM($L$560:$L$562)</f>
        <v>-1</v>
      </c>
    </row>
    <row r="564" spans="1:12">
      <c r="A564" s="333">
        <v>52</v>
      </c>
      <c r="D564" s="344"/>
      <c r="E564" s="196"/>
      <c r="I564" s="332"/>
    </row>
    <row r="565" spans="1:12">
      <c r="A565" s="333">
        <v>53</v>
      </c>
      <c r="B565" s="332" t="s">
        <v>76</v>
      </c>
      <c r="D565" s="344"/>
      <c r="E565" s="196"/>
      <c r="F565" s="332">
        <f>ROUND((F693*(1-F692))+((1-F693)*(1-F692)*F694)+F692,5)</f>
        <v>0.24925</v>
      </c>
      <c r="G565" s="332">
        <f>ROUND((G693*(1-G692))+((1-G693)*(1-G692)*G694)+G692,5)</f>
        <v>0.24925</v>
      </c>
      <c r="H565" s="332">
        <f>ROUND((H693*(1-H692))+((1-H693)*(1-H692)*H694)+H692,5)</f>
        <v>0.24925</v>
      </c>
      <c r="I565" s="332">
        <f>ROUND((I693*(1-I692))+((1-I693)*(1-I692)*I694)+I692,7)</f>
        <v>0.24925120000000001</v>
      </c>
      <c r="J565" s="332">
        <f>ROUND((J693*(1-J692))+((1-J693)*(1-J692)*J694)+J692,5)</f>
        <v>0.24925</v>
      </c>
      <c r="L565" s="332">
        <f>ROUND((K693*(1-K692))+((1-K693)*(1-K692)*K694)+K692,5)</f>
        <v>0.24925</v>
      </c>
    </row>
    <row r="566" spans="1:12">
      <c r="B566" s="343"/>
      <c r="C566" s="196"/>
      <c r="D566" s="344"/>
      <c r="E566" s="196"/>
      <c r="G566" s="196"/>
      <c r="H566" s="196"/>
      <c r="I566" s="196"/>
      <c r="J566" s="344"/>
      <c r="K566" s="196"/>
      <c r="L566" s="196"/>
    </row>
    <row r="567" spans="1:12">
      <c r="A567" s="343" t="str">
        <f>co_name</f>
        <v>DUKE ENERGY KENTUCKY, INC.</v>
      </c>
      <c r="C567" s="196"/>
      <c r="D567" s="344"/>
      <c r="E567" s="196"/>
      <c r="F567" s="344"/>
      <c r="G567" s="342"/>
      <c r="H567" s="342"/>
      <c r="I567" s="196"/>
      <c r="K567" s="361" t="str">
        <f>$K$1</f>
        <v>FR-16(7)(v)-8</v>
      </c>
      <c r="L567" s="196"/>
    </row>
    <row r="568" spans="1:12">
      <c r="A568" s="343" t="str">
        <f>$A$2</f>
        <v>TOTAL CLASS ALLOCATED - GAS COST OF SERVICE</v>
      </c>
      <c r="C568" s="196"/>
      <c r="D568" s="344"/>
      <c r="E568" s="196"/>
      <c r="F568" s="344"/>
      <c r="G568" s="342"/>
      <c r="H568" s="342"/>
      <c r="I568" s="196"/>
      <c r="K568" s="361" t="str">
        <f>$K$2</f>
        <v>WITNESS RESPONSIBLE:</v>
      </c>
      <c r="L568" s="196"/>
    </row>
    <row r="569" spans="1:12">
      <c r="A569" s="343" t="str">
        <f>case_name</f>
        <v>CASE NO: 2018-00261</v>
      </c>
      <c r="C569" s="196"/>
      <c r="D569" s="344"/>
      <c r="E569" s="196"/>
      <c r="F569" s="344"/>
      <c r="G569" s="342"/>
      <c r="H569" s="342"/>
      <c r="I569" s="196"/>
      <c r="K569" s="361" t="str">
        <f>Witness</f>
        <v>JAMES E. ZIOLKOWSKI</v>
      </c>
      <c r="L569" s="196"/>
    </row>
    <row r="570" spans="1:12">
      <c r="A570" s="343" t="str">
        <f>data_filing</f>
        <v>DATA: 12 MONTH FORECASTED PERIOD</v>
      </c>
      <c r="C570" s="196"/>
      <c r="D570" s="344"/>
      <c r="E570" s="196"/>
      <c r="F570" s="344"/>
      <c r="G570" s="342"/>
      <c r="H570" s="342"/>
      <c r="I570" s="196"/>
      <c r="K570" s="361" t="str">
        <f>"PAGE "&amp;Pages2-2&amp;" OF "&amp;Pages2</f>
        <v>PAGE 13 OF 15</v>
      </c>
      <c r="L570" s="196"/>
    </row>
    <row r="571" spans="1:12">
      <c r="A571" s="343" t="str">
        <f>type</f>
        <v xml:space="preserve">TYPE OF FILING: "X" ORIGINAL   UPDATED    REVISED  </v>
      </c>
      <c r="C571" s="196"/>
      <c r="D571" s="344"/>
      <c r="E571" s="196"/>
      <c r="F571" s="344"/>
      <c r="G571" s="342"/>
      <c r="H571" s="342"/>
      <c r="I571" s="196"/>
      <c r="J571" s="344"/>
      <c r="K571" s="196"/>
      <c r="L571" s="196"/>
    </row>
    <row r="573" spans="1:12">
      <c r="F573" s="344" t="str">
        <f>$F$7</f>
        <v>TOTAL</v>
      </c>
      <c r="G573" s="196"/>
      <c r="H573" s="196"/>
      <c r="I573" s="196"/>
      <c r="J573" s="344"/>
      <c r="K573" s="196"/>
      <c r="L573" s="196"/>
    </row>
    <row r="574" spans="1:12">
      <c r="A574" s="344" t="s">
        <v>914</v>
      </c>
      <c r="B574" s="1392"/>
      <c r="C574" s="1091"/>
      <c r="D574" s="1091"/>
      <c r="E574" s="342"/>
      <c r="F574" s="344" t="str">
        <f>$F$8</f>
        <v>CLASS</v>
      </c>
      <c r="G574" s="354" t="s">
        <v>773</v>
      </c>
      <c r="H574" s="354" t="s">
        <v>1282</v>
      </c>
      <c r="I574" s="354" t="s">
        <v>984</v>
      </c>
      <c r="J574" s="354" t="s">
        <v>549</v>
      </c>
      <c r="K574" s="354" t="s">
        <v>229</v>
      </c>
      <c r="L574" s="344" t="s">
        <v>342</v>
      </c>
    </row>
    <row r="575" spans="1:12">
      <c r="A575" s="346" t="s">
        <v>915</v>
      </c>
      <c r="B575" s="1394" t="s">
        <v>1453</v>
      </c>
      <c r="C575" s="1395"/>
      <c r="D575" s="1396" t="s">
        <v>1454</v>
      </c>
      <c r="E575" s="1397"/>
      <c r="F575" s="344" t="str">
        <f>$F$9</f>
        <v>ALLOCATED</v>
      </c>
      <c r="G575" s="355" t="s">
        <v>338</v>
      </c>
      <c r="H575" s="355" t="s">
        <v>405</v>
      </c>
      <c r="I575" s="355" t="s">
        <v>1283</v>
      </c>
      <c r="J575" s="355" t="s">
        <v>550</v>
      </c>
      <c r="K575" s="355" t="s">
        <v>341</v>
      </c>
      <c r="L575" s="346" t="s">
        <v>340</v>
      </c>
    </row>
    <row r="576" spans="1:12" ht="15">
      <c r="A576" s="1398"/>
      <c r="B576" s="1399"/>
      <c r="C576" s="1400" t="s">
        <v>1455</v>
      </c>
      <c r="D576" s="1401"/>
      <c r="E576" s="342"/>
      <c r="F576" s="761"/>
      <c r="G576" s="633">
        <f>$G$10</f>
        <v>3</v>
      </c>
      <c r="H576" s="633">
        <f>$H$10</f>
        <v>4</v>
      </c>
      <c r="I576" s="633">
        <f>$I$10</f>
        <v>5</v>
      </c>
      <c r="J576" s="633">
        <f>$J$10</f>
        <v>6</v>
      </c>
    </row>
    <row r="577" spans="1:12">
      <c r="A577" s="968">
        <v>1</v>
      </c>
      <c r="B577" s="1405" t="s">
        <v>1456</v>
      </c>
      <c r="C577" s="1392"/>
      <c r="D577" s="1392"/>
      <c r="E577" s="342"/>
    </row>
    <row r="578" spans="1:12">
      <c r="A578" s="968">
        <v>2</v>
      </c>
      <c r="B578" s="1409" t="s">
        <v>1457</v>
      </c>
      <c r="C578" s="1392"/>
      <c r="D578" s="1410" t="s">
        <v>315</v>
      </c>
      <c r="E578" s="342"/>
      <c r="F578" s="479">
        <f>'FR-16(7)(v)-1 Functional'!F578</f>
        <v>5681089</v>
      </c>
      <c r="G578" s="349">
        <f ca="1">'FR-16(7)(v)-6 DISTR Cust Alloc'!G578+'FR-16(7)(v)-5 DISTR Dem Alloc'!G578+'FR-16(7)(v)-3 PROD Comm Alloc'!G578</f>
        <v>3946066</v>
      </c>
      <c r="H578" s="349">
        <f>'FR-16(7)(v)-6 DISTR Cust Alloc'!H578+'FR-16(7)(v)-5 DISTR Dem Alloc'!H578+'FR-16(7)(v)-3 PROD Comm Alloc'!H578</f>
        <v>1280720</v>
      </c>
      <c r="I578" s="349">
        <f ca="1">'FR-16(7)(v)-6 DISTR Cust Alloc'!I578+'FR-16(7)(v)-5 DISTR Dem Alloc'!I578+'FR-16(7)(v)-3 PROD Comm Alloc'!I578</f>
        <v>347131</v>
      </c>
      <c r="J578" s="349">
        <f>'FR-16(7)(v)-6 DISTR Cust Alloc'!J578+'FR-16(7)(v)-5 DISTR Dem Alloc'!J578+'FR-16(7)(v)-3 PROD Comm Alloc'!J578</f>
        <v>107172</v>
      </c>
      <c r="K578" s="347">
        <f ca="1">SUM(G578:J578)</f>
        <v>5681089</v>
      </c>
      <c r="L578" s="347">
        <f ca="1">F578-K578</f>
        <v>0</v>
      </c>
    </row>
    <row r="579" spans="1:12">
      <c r="A579" s="968">
        <v>3</v>
      </c>
      <c r="B579" s="1409" t="s">
        <v>1171</v>
      </c>
      <c r="C579" s="1411"/>
      <c r="D579" s="1410" t="s">
        <v>315</v>
      </c>
      <c r="E579" s="342"/>
      <c r="F579" s="1495">
        <f>'FR-16(7)(v)-1 Functional'!F579</f>
        <v>0</v>
      </c>
      <c r="G579" s="1493">
        <f>'FR-16(7)(v)-6 DISTR Cust Alloc'!G579+'FR-16(7)(v)-5 DISTR Dem Alloc'!G579+'FR-16(7)(v)-3 PROD Comm Alloc'!G579</f>
        <v>0</v>
      </c>
      <c r="H579" s="1493">
        <f>'FR-16(7)(v)-6 DISTR Cust Alloc'!H579+'FR-16(7)(v)-5 DISTR Dem Alloc'!H579+'FR-16(7)(v)-3 PROD Comm Alloc'!H579</f>
        <v>0</v>
      </c>
      <c r="I579" s="1493">
        <f>'FR-16(7)(v)-6 DISTR Cust Alloc'!I579+'FR-16(7)(v)-5 DISTR Dem Alloc'!I579+'FR-16(7)(v)-3 PROD Comm Alloc'!I579</f>
        <v>0</v>
      </c>
      <c r="J579" s="1493">
        <f>'FR-16(7)(v)-6 DISTR Cust Alloc'!J579+'FR-16(7)(v)-5 DISTR Dem Alloc'!J579+'FR-16(7)(v)-3 PROD Comm Alloc'!J579</f>
        <v>0</v>
      </c>
      <c r="K579" s="1494">
        <f>SUM(G579:J579)</f>
        <v>0</v>
      </c>
      <c r="L579" s="1494">
        <f>F579-K579</f>
        <v>0</v>
      </c>
    </row>
    <row r="580" spans="1:12">
      <c r="A580" s="968">
        <v>4</v>
      </c>
      <c r="B580" s="1413" t="s">
        <v>1458</v>
      </c>
      <c r="C580" s="1392"/>
      <c r="D580" s="1414"/>
      <c r="E580" s="342"/>
      <c r="F580" s="335">
        <f>SUM(F578:F579)</f>
        <v>5681089</v>
      </c>
      <c r="G580" s="335">
        <f t="shared" ref="G580:L580" ca="1" si="121">SUM(G578:G579)</f>
        <v>3946066</v>
      </c>
      <c r="H580" s="335">
        <f t="shared" si="121"/>
        <v>1280720</v>
      </c>
      <c r="I580" s="335">
        <f t="shared" ca="1" si="121"/>
        <v>347131</v>
      </c>
      <c r="J580" s="335">
        <f t="shared" si="121"/>
        <v>107172</v>
      </c>
      <c r="K580" s="335">
        <f t="shared" ca="1" si="121"/>
        <v>5681089</v>
      </c>
      <c r="L580" s="335">
        <f t="shared" ca="1" si="121"/>
        <v>0</v>
      </c>
    </row>
    <row r="581" spans="1:12" ht="15">
      <c r="A581" s="968">
        <v>5</v>
      </c>
      <c r="B581" s="1398"/>
      <c r="C581" s="1401"/>
      <c r="D581" s="1415"/>
      <c r="E581" s="342"/>
    </row>
    <row r="582" spans="1:12">
      <c r="A582" s="968">
        <v>6</v>
      </c>
      <c r="B582" s="1416" t="s">
        <v>1459</v>
      </c>
      <c r="C582" s="1392"/>
      <c r="D582" s="1414"/>
      <c r="E582" s="342"/>
    </row>
    <row r="583" spans="1:12">
      <c r="A583" s="968">
        <v>7</v>
      </c>
      <c r="B583" s="1417" t="s">
        <v>1460</v>
      </c>
      <c r="C583" s="1392"/>
      <c r="D583" s="1414"/>
      <c r="E583" s="342"/>
    </row>
    <row r="584" spans="1:12">
      <c r="A584" s="968">
        <v>8</v>
      </c>
      <c r="B584" s="1418" t="s">
        <v>1461</v>
      </c>
      <c r="C584" s="1411"/>
      <c r="D584" s="1410" t="s">
        <v>315</v>
      </c>
      <c r="E584" s="342"/>
      <c r="F584" s="1495">
        <f>'FR-16(7)(v)-1 Functional'!F584</f>
        <v>450960</v>
      </c>
      <c r="G584" s="1493">
        <f ca="1">'FR-16(7)(v)-6 DISTR Cust Alloc'!G584+'FR-16(7)(v)-5 DISTR Dem Alloc'!G584+'FR-16(7)(v)-3 PROD Comm Alloc'!G584</f>
        <v>313236</v>
      </c>
      <c r="H584" s="1493">
        <f>'FR-16(7)(v)-6 DISTR Cust Alloc'!H584+'FR-16(7)(v)-5 DISTR Dem Alloc'!H584+'FR-16(7)(v)-3 PROD Comm Alloc'!H584</f>
        <v>101662</v>
      </c>
      <c r="I584" s="1493">
        <f ca="1">'FR-16(7)(v)-6 DISTR Cust Alloc'!I584+'FR-16(7)(v)-5 DISTR Dem Alloc'!I584+'FR-16(7)(v)-3 PROD Comm Alloc'!I584</f>
        <v>27555</v>
      </c>
      <c r="J584" s="1493">
        <f>'FR-16(7)(v)-6 DISTR Cust Alloc'!J584+'FR-16(7)(v)-5 DISTR Dem Alloc'!J584+'FR-16(7)(v)-3 PROD Comm Alloc'!J584</f>
        <v>8506</v>
      </c>
      <c r="K584" s="1494">
        <f ca="1">SUM(G584:J584)</f>
        <v>450959</v>
      </c>
      <c r="L584" s="1494">
        <f ca="1">F584-K584</f>
        <v>1</v>
      </c>
    </row>
    <row r="585" spans="1:12">
      <c r="A585" s="968">
        <v>9</v>
      </c>
      <c r="B585" s="1413" t="s">
        <v>1463</v>
      </c>
      <c r="C585" s="1392"/>
      <c r="D585" s="1414"/>
      <c r="E585" s="342"/>
      <c r="F585" s="335">
        <f>SUM(F584)</f>
        <v>450960</v>
      </c>
      <c r="G585" s="335">
        <f t="shared" ref="G585:L585" ca="1" si="122">SUM(G584)</f>
        <v>313236</v>
      </c>
      <c r="H585" s="335">
        <f t="shared" si="122"/>
        <v>101662</v>
      </c>
      <c r="I585" s="335">
        <f t="shared" ca="1" si="122"/>
        <v>27555</v>
      </c>
      <c r="J585" s="335">
        <f t="shared" si="122"/>
        <v>8506</v>
      </c>
      <c r="K585" s="335">
        <f t="shared" ca="1" si="122"/>
        <v>450959</v>
      </c>
      <c r="L585" s="335">
        <f t="shared" ca="1" si="122"/>
        <v>1</v>
      </c>
    </row>
    <row r="586" spans="1:12">
      <c r="A586" s="968">
        <v>10</v>
      </c>
      <c r="B586" s="1090"/>
      <c r="C586" s="1392"/>
      <c r="D586" s="1414"/>
      <c r="E586" s="342"/>
    </row>
    <row r="587" spans="1:12">
      <c r="A587" s="968">
        <v>11</v>
      </c>
      <c r="B587" s="1419" t="s">
        <v>1464</v>
      </c>
      <c r="C587" s="1420"/>
      <c r="D587" s="1421"/>
      <c r="E587" s="342"/>
    </row>
    <row r="588" spans="1:12">
      <c r="A588" s="968">
        <v>12</v>
      </c>
      <c r="B588" s="1409" t="s">
        <v>1465</v>
      </c>
      <c r="C588" s="1411"/>
      <c r="D588" s="1410" t="s">
        <v>315</v>
      </c>
      <c r="E588" s="342"/>
      <c r="F588" s="1495">
        <f>'FR-16(7)(v)-1 Functional'!F588</f>
        <v>0</v>
      </c>
      <c r="G588" s="1493">
        <f ca="1">'FR-16(7)(v)-6 DISTR Cust Alloc'!G588+'FR-16(7)(v)-5 DISTR Dem Alloc'!G588+'FR-16(7)(v)-3 PROD Comm Alloc'!G588</f>
        <v>0</v>
      </c>
      <c r="H588" s="1493">
        <f>'FR-16(7)(v)-6 DISTR Cust Alloc'!H588+'FR-16(7)(v)-5 DISTR Dem Alloc'!H588+'FR-16(7)(v)-3 PROD Comm Alloc'!H588</f>
        <v>0</v>
      </c>
      <c r="I588" s="1493">
        <f ca="1">'FR-16(7)(v)-6 DISTR Cust Alloc'!I588+'FR-16(7)(v)-5 DISTR Dem Alloc'!I588+'FR-16(7)(v)-3 PROD Comm Alloc'!I588</f>
        <v>0</v>
      </c>
      <c r="J588" s="1493">
        <f>'FR-16(7)(v)-6 DISTR Cust Alloc'!J588+'FR-16(7)(v)-5 DISTR Dem Alloc'!J588+'FR-16(7)(v)-3 PROD Comm Alloc'!J588</f>
        <v>0</v>
      </c>
      <c r="K588" s="1494">
        <f ca="1">SUM(G588:J588)</f>
        <v>0</v>
      </c>
      <c r="L588" s="1494">
        <f ca="1">F588-K588</f>
        <v>0</v>
      </c>
    </row>
    <row r="589" spans="1:12">
      <c r="A589" s="968">
        <v>13</v>
      </c>
      <c r="B589" s="1413" t="s">
        <v>1466</v>
      </c>
      <c r="C589" s="1392"/>
      <c r="D589" s="1414"/>
      <c r="E589" s="342"/>
    </row>
    <row r="590" spans="1:12">
      <c r="A590" s="968">
        <v>14</v>
      </c>
      <c r="B590" s="1392"/>
      <c r="C590" s="1392"/>
      <c r="D590" s="1414"/>
      <c r="E590" s="342"/>
    </row>
    <row r="591" spans="1:12">
      <c r="A591" s="968">
        <v>15</v>
      </c>
      <c r="B591" s="1392" t="s">
        <v>1467</v>
      </c>
      <c r="C591" s="1392"/>
      <c r="D591" s="1414"/>
      <c r="E591" s="342"/>
      <c r="F591" s="1291">
        <f>F589+F585</f>
        <v>450960</v>
      </c>
      <c r="G591" s="1291">
        <f t="shared" ref="G591:L591" ca="1" si="123">G589+G585</f>
        <v>313236</v>
      </c>
      <c r="H591" s="1291">
        <f t="shared" si="123"/>
        <v>101662</v>
      </c>
      <c r="I591" s="1291">
        <f t="shared" ca="1" si="123"/>
        <v>27555</v>
      </c>
      <c r="J591" s="1291">
        <f t="shared" si="123"/>
        <v>8506</v>
      </c>
      <c r="K591" s="1291">
        <f t="shared" ca="1" si="123"/>
        <v>450959</v>
      </c>
      <c r="L591" s="1291">
        <f t="shared" ca="1" si="123"/>
        <v>1</v>
      </c>
    </row>
    <row r="592" spans="1:12">
      <c r="A592" s="968">
        <v>16</v>
      </c>
      <c r="B592" s="1392"/>
      <c r="C592" s="1392"/>
      <c r="D592" s="1414"/>
      <c r="E592" s="342"/>
    </row>
    <row r="593" spans="1:12">
      <c r="A593" s="968">
        <v>17</v>
      </c>
      <c r="B593" s="1422" t="s">
        <v>68</v>
      </c>
      <c r="C593" s="1423"/>
      <c r="D593" s="968"/>
      <c r="E593" s="342"/>
    </row>
    <row r="594" spans="1:12">
      <c r="A594" s="968">
        <v>18</v>
      </c>
      <c r="B594" s="1417" t="s">
        <v>1468</v>
      </c>
      <c r="C594" s="1392"/>
      <c r="D594" s="1414"/>
      <c r="E594" s="342"/>
    </row>
    <row r="595" spans="1:12">
      <c r="A595" s="968">
        <v>19</v>
      </c>
      <c r="B595" s="1392" t="s">
        <v>43</v>
      </c>
      <c r="C595" s="1392"/>
      <c r="D595" s="1414"/>
      <c r="E595" s="342"/>
      <c r="F595" s="479">
        <f>F334</f>
        <v>22525019</v>
      </c>
      <c r="G595" s="479">
        <f t="shared" ref="G595:L595" si="124">G334</f>
        <v>15539826</v>
      </c>
      <c r="H595" s="479">
        <f t="shared" si="124"/>
        <v>5124462</v>
      </c>
      <c r="I595" s="479">
        <f t="shared" si="124"/>
        <v>1441452</v>
      </c>
      <c r="J595" s="479">
        <f t="shared" si="124"/>
        <v>419279</v>
      </c>
      <c r="K595" s="479">
        <f t="shared" si="124"/>
        <v>22525019</v>
      </c>
      <c r="L595" s="479">
        <f t="shared" si="124"/>
        <v>0</v>
      </c>
    </row>
    <row r="596" spans="1:12">
      <c r="A596" s="968">
        <v>20</v>
      </c>
      <c r="B596" s="1392" t="s">
        <v>199</v>
      </c>
      <c r="C596" s="1392"/>
      <c r="D596" s="1414"/>
      <c r="E596" s="342"/>
      <c r="F596" s="479">
        <f>F557</f>
        <v>3326901</v>
      </c>
      <c r="G596" s="479">
        <f t="shared" ref="G596:L596" ca="1" si="125">G557</f>
        <v>2095413</v>
      </c>
      <c r="H596" s="479">
        <f t="shared" si="125"/>
        <v>830072</v>
      </c>
      <c r="I596" s="479">
        <f t="shared" ca="1" si="125"/>
        <v>349462</v>
      </c>
      <c r="J596" s="479">
        <f t="shared" si="125"/>
        <v>51956</v>
      </c>
      <c r="K596" s="479">
        <f t="shared" ca="1" si="125"/>
        <v>3326903</v>
      </c>
      <c r="L596" s="479">
        <f t="shared" ca="1" si="125"/>
        <v>-2</v>
      </c>
    </row>
    <row r="597" spans="1:12">
      <c r="A597" s="968">
        <v>21</v>
      </c>
      <c r="B597" s="1392" t="s">
        <v>1469</v>
      </c>
      <c r="C597" s="1392"/>
      <c r="D597" s="1414"/>
      <c r="E597" s="342"/>
      <c r="F597" s="479">
        <f>-F524</f>
        <v>-13362531</v>
      </c>
      <c r="G597" s="479">
        <f t="shared" ref="G597:L597" si="126">-G524</f>
        <v>-9269811</v>
      </c>
      <c r="H597" s="479">
        <f t="shared" si="126"/>
        <v>-3013428</v>
      </c>
      <c r="I597" s="479">
        <f t="shared" si="126"/>
        <v>-840290</v>
      </c>
      <c r="J597" s="479">
        <f t="shared" si="126"/>
        <v>-239002</v>
      </c>
      <c r="K597" s="479">
        <f t="shared" si="126"/>
        <v>-13362531</v>
      </c>
      <c r="L597" s="479">
        <f t="shared" si="126"/>
        <v>0</v>
      </c>
    </row>
    <row r="598" spans="1:12">
      <c r="A598" s="968">
        <v>22</v>
      </c>
      <c r="B598" s="1392" t="s">
        <v>1470</v>
      </c>
      <c r="C598" s="1392"/>
      <c r="D598" s="1414"/>
      <c r="E598" s="342"/>
      <c r="F598" s="479">
        <f>-F580</f>
        <v>-5681089</v>
      </c>
      <c r="G598" s="479">
        <f t="shared" ref="G598:L598" ca="1" si="127">-G580</f>
        <v>-3946066</v>
      </c>
      <c r="H598" s="479">
        <f t="shared" si="127"/>
        <v>-1280720</v>
      </c>
      <c r="I598" s="479">
        <f t="shared" ca="1" si="127"/>
        <v>-347131</v>
      </c>
      <c r="J598" s="479">
        <f t="shared" si="127"/>
        <v>-107172</v>
      </c>
      <c r="K598" s="479">
        <f t="shared" ca="1" si="127"/>
        <v>-5681089</v>
      </c>
      <c r="L598" s="479">
        <f t="shared" ca="1" si="127"/>
        <v>0</v>
      </c>
    </row>
    <row r="599" spans="1:12">
      <c r="A599" s="968">
        <v>23</v>
      </c>
      <c r="B599" s="1411" t="s">
        <v>1471</v>
      </c>
      <c r="C599" s="1411"/>
      <c r="D599" s="1414"/>
      <c r="E599" s="342"/>
      <c r="F599" s="1495">
        <f>F591</f>
        <v>450960</v>
      </c>
      <c r="G599" s="1495">
        <f t="shared" ref="G599:L599" ca="1" si="128">G591</f>
        <v>313236</v>
      </c>
      <c r="H599" s="1495">
        <f t="shared" si="128"/>
        <v>101662</v>
      </c>
      <c r="I599" s="1495">
        <f t="shared" ca="1" si="128"/>
        <v>27555</v>
      </c>
      <c r="J599" s="1495">
        <f t="shared" si="128"/>
        <v>8506</v>
      </c>
      <c r="K599" s="1495">
        <f t="shared" ca="1" si="128"/>
        <v>450959</v>
      </c>
      <c r="L599" s="1495">
        <f t="shared" ca="1" si="128"/>
        <v>1</v>
      </c>
    </row>
    <row r="600" spans="1:12">
      <c r="A600" s="968">
        <v>24</v>
      </c>
      <c r="B600" s="1090" t="s">
        <v>1472</v>
      </c>
      <c r="C600" s="1392"/>
      <c r="D600" s="1414"/>
      <c r="E600" s="342"/>
      <c r="F600" s="1291">
        <f t="shared" ref="F600:L600" si="129">SUM(F595:F599)</f>
        <v>7259260</v>
      </c>
      <c r="G600" s="1291">
        <f t="shared" ca="1" si="129"/>
        <v>4732598</v>
      </c>
      <c r="H600" s="1291">
        <f t="shared" si="129"/>
        <v>1762048</v>
      </c>
      <c r="I600" s="1291">
        <f t="shared" ca="1" si="129"/>
        <v>631048</v>
      </c>
      <c r="J600" s="1291">
        <f t="shared" si="129"/>
        <v>133567</v>
      </c>
      <c r="K600" s="1291">
        <f t="shared" ca="1" si="129"/>
        <v>7259261</v>
      </c>
      <c r="L600" s="1291">
        <f t="shared" ca="1" si="129"/>
        <v>-1</v>
      </c>
    </row>
    <row r="601" spans="1:12">
      <c r="A601" s="968">
        <v>25</v>
      </c>
      <c r="B601" s="1392"/>
      <c r="C601" s="1392"/>
      <c r="D601" s="1414"/>
      <c r="E601" s="342"/>
    </row>
    <row r="602" spans="1:12">
      <c r="A602" s="968">
        <v>26</v>
      </c>
      <c r="B602" s="1392" t="s">
        <v>1473</v>
      </c>
      <c r="C602" s="1392"/>
      <c r="D602" s="1414"/>
      <c r="E602" s="342"/>
      <c r="F602" s="1429">
        <f t="shared" ref="F602:L602" si="130">ROUND(SIT/(1-SIT),8)</f>
        <v>5.2282660000000002E-2</v>
      </c>
      <c r="G602" s="1429">
        <f t="shared" si="130"/>
        <v>5.2282660000000002E-2</v>
      </c>
      <c r="H602" s="1429">
        <f t="shared" si="130"/>
        <v>5.2282660000000002E-2</v>
      </c>
      <c r="I602" s="1429">
        <f t="shared" si="130"/>
        <v>5.2282660000000002E-2</v>
      </c>
      <c r="J602" s="1429">
        <f t="shared" si="130"/>
        <v>5.2282660000000002E-2</v>
      </c>
      <c r="K602" s="1429">
        <f t="shared" si="130"/>
        <v>5.2282660000000002E-2</v>
      </c>
      <c r="L602" s="1429">
        <f t="shared" si="130"/>
        <v>5.2282660000000002E-2</v>
      </c>
    </row>
    <row r="603" spans="1:12">
      <c r="A603" s="968">
        <v>27</v>
      </c>
      <c r="B603" s="1392" t="s">
        <v>1474</v>
      </c>
      <c r="C603" s="1392"/>
      <c r="D603" s="1433" t="s">
        <v>1475</v>
      </c>
      <c r="E603" s="342"/>
      <c r="F603" s="1434">
        <f t="shared" ref="F603:L603" si="131">ROUND(F600*F602,0)</f>
        <v>379533</v>
      </c>
      <c r="G603" s="1434">
        <f t="shared" ca="1" si="131"/>
        <v>247433</v>
      </c>
      <c r="H603" s="1434">
        <f t="shared" si="131"/>
        <v>92125</v>
      </c>
      <c r="I603" s="1434">
        <f t="shared" ca="1" si="131"/>
        <v>32993</v>
      </c>
      <c r="J603" s="1434">
        <f t="shared" si="131"/>
        <v>6983</v>
      </c>
      <c r="K603" s="1434">
        <f t="shared" ca="1" si="131"/>
        <v>379533</v>
      </c>
      <c r="L603" s="1434">
        <f t="shared" ca="1" si="131"/>
        <v>0</v>
      </c>
    </row>
    <row r="604" spans="1:12">
      <c r="A604" s="968">
        <v>28</v>
      </c>
      <c r="B604" s="1411" t="s">
        <v>1476</v>
      </c>
      <c r="C604" s="1411"/>
      <c r="D604" s="1414"/>
      <c r="E604" s="1435"/>
      <c r="F604" s="1434">
        <f t="shared" ref="F604:L604" si="132">F591</f>
        <v>450960</v>
      </c>
      <c r="G604" s="1434">
        <f t="shared" ca="1" si="132"/>
        <v>313236</v>
      </c>
      <c r="H604" s="1434">
        <f t="shared" si="132"/>
        <v>101662</v>
      </c>
      <c r="I604" s="1434">
        <f t="shared" ca="1" si="132"/>
        <v>27555</v>
      </c>
      <c r="J604" s="1434">
        <f t="shared" si="132"/>
        <v>8506</v>
      </c>
      <c r="K604" s="1434">
        <f t="shared" ca="1" si="132"/>
        <v>450959</v>
      </c>
      <c r="L604" s="1434">
        <f t="shared" ca="1" si="132"/>
        <v>1</v>
      </c>
    </row>
    <row r="605" spans="1:12">
      <c r="A605" s="968">
        <v>29</v>
      </c>
      <c r="B605" s="1090" t="s">
        <v>1477</v>
      </c>
      <c r="C605" s="1392"/>
      <c r="D605" s="1414"/>
      <c r="E605" s="342"/>
      <c r="F605" s="1439">
        <f t="shared" ref="F605:L605" si="133">F604+F603</f>
        <v>830493</v>
      </c>
      <c r="G605" s="1439">
        <f t="shared" ca="1" si="133"/>
        <v>560669</v>
      </c>
      <c r="H605" s="1439">
        <f t="shared" si="133"/>
        <v>193787</v>
      </c>
      <c r="I605" s="1439">
        <f t="shared" ca="1" si="133"/>
        <v>60548</v>
      </c>
      <c r="J605" s="1439">
        <f t="shared" si="133"/>
        <v>15489</v>
      </c>
      <c r="K605" s="1439">
        <f t="shared" ca="1" si="133"/>
        <v>830492</v>
      </c>
      <c r="L605" s="1439">
        <f t="shared" ca="1" si="133"/>
        <v>1</v>
      </c>
    </row>
    <row r="606" spans="1:12">
      <c r="A606" s="968">
        <v>30</v>
      </c>
      <c r="B606" s="1392"/>
      <c r="C606" s="1392"/>
      <c r="D606" s="1414"/>
      <c r="E606" s="342"/>
    </row>
    <row r="607" spans="1:12">
      <c r="A607" s="968">
        <v>31</v>
      </c>
      <c r="B607" s="1392" t="s">
        <v>1478</v>
      </c>
      <c r="C607" s="1392"/>
      <c r="D607" s="1414"/>
      <c r="E607" s="342"/>
    </row>
    <row r="608" spans="1:12">
      <c r="A608" s="968">
        <v>32</v>
      </c>
      <c r="B608" s="1392" t="s">
        <v>1474</v>
      </c>
      <c r="C608" s="1392"/>
      <c r="D608" s="1414"/>
      <c r="E608" s="342"/>
      <c r="F608" s="1434">
        <f t="shared" ref="F608:L608" si="134">F603</f>
        <v>379533</v>
      </c>
      <c r="G608" s="1434">
        <f t="shared" ca="1" si="134"/>
        <v>247433</v>
      </c>
      <c r="H608" s="1434">
        <f t="shared" si="134"/>
        <v>92125</v>
      </c>
      <c r="I608" s="1434">
        <f t="shared" ca="1" si="134"/>
        <v>32993</v>
      </c>
      <c r="J608" s="1434">
        <f t="shared" si="134"/>
        <v>6983</v>
      </c>
      <c r="K608" s="1434">
        <f t="shared" ca="1" si="134"/>
        <v>379533</v>
      </c>
      <c r="L608" s="1434">
        <f t="shared" ca="1" si="134"/>
        <v>0</v>
      </c>
    </row>
    <row r="609" spans="1:12">
      <c r="A609" s="968">
        <v>33</v>
      </c>
      <c r="B609" s="1411" t="s">
        <v>1464</v>
      </c>
      <c r="C609" s="1411"/>
      <c r="D609" s="1414"/>
      <c r="E609" s="342"/>
      <c r="F609" s="1434">
        <f t="shared" ref="F609:L609" si="135">F589</f>
        <v>0</v>
      </c>
      <c r="G609" s="1434">
        <f t="shared" si="135"/>
        <v>0</v>
      </c>
      <c r="H609" s="1434">
        <f t="shared" si="135"/>
        <v>0</v>
      </c>
      <c r="I609" s="1434">
        <f t="shared" si="135"/>
        <v>0</v>
      </c>
      <c r="J609" s="1434">
        <f t="shared" si="135"/>
        <v>0</v>
      </c>
      <c r="K609" s="1434">
        <f t="shared" si="135"/>
        <v>0</v>
      </c>
      <c r="L609" s="1434">
        <f t="shared" si="135"/>
        <v>0</v>
      </c>
    </row>
    <row r="610" spans="1:12">
      <c r="A610" s="968">
        <v>34</v>
      </c>
      <c r="B610" s="1090" t="s">
        <v>1479</v>
      </c>
      <c r="C610" s="1392"/>
      <c r="D610" s="1414"/>
      <c r="E610" s="342"/>
      <c r="F610" s="1439">
        <f t="shared" ref="F610:L610" si="136">F608+F609</f>
        <v>379533</v>
      </c>
      <c r="G610" s="1439">
        <f t="shared" ca="1" si="136"/>
        <v>247433</v>
      </c>
      <c r="H610" s="1439">
        <f t="shared" si="136"/>
        <v>92125</v>
      </c>
      <c r="I610" s="1439">
        <f t="shared" ca="1" si="136"/>
        <v>32993</v>
      </c>
      <c r="J610" s="1439">
        <f t="shared" si="136"/>
        <v>6983</v>
      </c>
      <c r="K610" s="1439">
        <f t="shared" ca="1" si="136"/>
        <v>379533</v>
      </c>
      <c r="L610" s="1439">
        <f t="shared" ca="1" si="136"/>
        <v>0</v>
      </c>
    </row>
    <row r="611" spans="1:12">
      <c r="A611" s="968">
        <v>35</v>
      </c>
      <c r="B611" s="1392"/>
      <c r="C611" s="1392"/>
      <c r="D611" s="1392"/>
      <c r="E611" s="342"/>
    </row>
    <row r="612" spans="1:12">
      <c r="A612" s="968">
        <v>36</v>
      </c>
      <c r="B612" s="1392" t="s">
        <v>76</v>
      </c>
      <c r="C612" s="1392"/>
      <c r="D612" s="1392"/>
      <c r="E612" s="342"/>
      <c r="F612" s="1443">
        <f t="shared" ref="F612:L612" si="137">(SIT*(1-FIT))+((1-SIT)*(1-FIT)*RevTax)+FIT</f>
        <v>0.24925115</v>
      </c>
      <c r="G612" s="1443">
        <f t="shared" si="137"/>
        <v>0.24925115</v>
      </c>
      <c r="H612" s="1443">
        <f t="shared" si="137"/>
        <v>0.24925115</v>
      </c>
      <c r="I612" s="1443">
        <f t="shared" si="137"/>
        <v>0.24925115</v>
      </c>
      <c r="J612" s="1443">
        <f t="shared" si="137"/>
        <v>0.24925115</v>
      </c>
      <c r="K612" s="1443">
        <f t="shared" si="137"/>
        <v>0.24925115</v>
      </c>
      <c r="L612" s="1443">
        <f t="shared" si="137"/>
        <v>0.24925115</v>
      </c>
    </row>
    <row r="614" spans="1:12">
      <c r="A614" s="343" t="str">
        <f>co_name</f>
        <v>DUKE ENERGY KENTUCKY, INC.</v>
      </c>
      <c r="C614" s="196"/>
      <c r="D614" s="344"/>
      <c r="E614" s="196"/>
      <c r="F614" s="344"/>
      <c r="G614" s="342"/>
      <c r="H614" s="342"/>
      <c r="I614" s="196"/>
      <c r="K614" s="361" t="str">
        <f>$K$1</f>
        <v>FR-16(7)(v)-8</v>
      </c>
      <c r="L614" s="196"/>
    </row>
    <row r="615" spans="1:12">
      <c r="A615" s="343" t="str">
        <f>$A$2</f>
        <v>TOTAL CLASS ALLOCATED - GAS COST OF SERVICE</v>
      </c>
      <c r="C615" s="196"/>
      <c r="D615" s="344"/>
      <c r="E615" s="196"/>
      <c r="F615" s="344"/>
      <c r="G615" s="342"/>
      <c r="H615" s="342"/>
      <c r="I615" s="196"/>
      <c r="K615" s="361" t="str">
        <f>$K$2</f>
        <v>WITNESS RESPONSIBLE:</v>
      </c>
      <c r="L615" s="196"/>
    </row>
    <row r="616" spans="1:12">
      <c r="A616" s="343" t="str">
        <f>case_name</f>
        <v>CASE NO: 2018-00261</v>
      </c>
      <c r="C616" s="196"/>
      <c r="D616" s="344"/>
      <c r="E616" s="196"/>
      <c r="F616" s="344"/>
      <c r="G616" s="342"/>
      <c r="H616" s="342"/>
      <c r="I616" s="196"/>
      <c r="K616" s="361" t="str">
        <f>Witness</f>
        <v>JAMES E. ZIOLKOWSKI</v>
      </c>
      <c r="L616" s="196"/>
    </row>
    <row r="617" spans="1:12">
      <c r="A617" s="343" t="str">
        <f>data_filing</f>
        <v>DATA: 12 MONTH FORECASTED PERIOD</v>
      </c>
      <c r="C617" s="196"/>
      <c r="D617" s="344"/>
      <c r="E617" s="196"/>
      <c r="F617" s="344"/>
      <c r="G617" s="342"/>
      <c r="H617" s="342"/>
      <c r="I617" s="196"/>
      <c r="K617" s="361" t="str">
        <f>"PAGE "&amp;Pages2-1&amp;" OF "&amp;Pages2</f>
        <v>PAGE 14 OF 15</v>
      </c>
      <c r="L617" s="196"/>
    </row>
    <row r="618" spans="1:12">
      <c r="A618" s="343" t="str">
        <f>type</f>
        <v xml:space="preserve">TYPE OF FILING: "X" ORIGINAL   UPDATED    REVISED  </v>
      </c>
      <c r="C618" s="196"/>
      <c r="D618" s="344"/>
      <c r="E618" s="196"/>
      <c r="F618" s="344"/>
      <c r="G618" s="342"/>
      <c r="H618" s="342"/>
      <c r="I618" s="196"/>
      <c r="J618" s="344"/>
      <c r="K618" s="196"/>
      <c r="L618" s="196"/>
    </row>
    <row r="619" spans="1:12">
      <c r="B619" s="343"/>
      <c r="C619" s="196"/>
      <c r="D619" s="344"/>
      <c r="E619" s="196"/>
      <c r="F619" s="344"/>
      <c r="G619" s="196"/>
      <c r="H619" s="196"/>
      <c r="I619" s="196"/>
      <c r="J619" s="344"/>
      <c r="K619" s="196"/>
      <c r="L619" s="196"/>
    </row>
    <row r="620" spans="1:12">
      <c r="B620" s="343"/>
      <c r="C620" s="196"/>
      <c r="D620" s="344"/>
      <c r="E620" s="196"/>
      <c r="F620" s="344" t="str">
        <f>$F$7</f>
        <v>TOTAL</v>
      </c>
      <c r="G620" s="196"/>
      <c r="H620" s="196"/>
      <c r="I620" s="196"/>
      <c r="J620" s="344"/>
      <c r="K620" s="196"/>
      <c r="L620" s="196"/>
    </row>
    <row r="621" spans="1:12">
      <c r="A621" s="344" t="s">
        <v>914</v>
      </c>
      <c r="B621" s="196"/>
      <c r="C621" s="196"/>
      <c r="D621" s="344"/>
      <c r="E621" s="196"/>
      <c r="F621" s="344" t="str">
        <f>$F$8</f>
        <v>CLASS</v>
      </c>
      <c r="G621" s="354" t="s">
        <v>773</v>
      </c>
      <c r="H621" s="354" t="s">
        <v>1282</v>
      </c>
      <c r="I621" s="354" t="s">
        <v>984</v>
      </c>
      <c r="J621" s="354" t="s">
        <v>549</v>
      </c>
      <c r="K621" s="354" t="s">
        <v>229</v>
      </c>
      <c r="L621" s="344" t="s">
        <v>342</v>
      </c>
    </row>
    <row r="622" spans="1:12">
      <c r="A622" s="346" t="s">
        <v>915</v>
      </c>
      <c r="B622" s="345" t="s">
        <v>77</v>
      </c>
      <c r="C622" s="345"/>
      <c r="D622" s="346" t="s">
        <v>337</v>
      </c>
      <c r="E622" s="345"/>
      <c r="F622" s="344" t="str">
        <f>$F$9</f>
        <v>ALLOCATED</v>
      </c>
      <c r="G622" s="355" t="s">
        <v>338</v>
      </c>
      <c r="H622" s="355" t="s">
        <v>405</v>
      </c>
      <c r="I622" s="355" t="s">
        <v>1283</v>
      </c>
      <c r="J622" s="355" t="s">
        <v>550</v>
      </c>
      <c r="K622" s="355" t="s">
        <v>341</v>
      </c>
      <c r="L622" s="346" t="s">
        <v>340</v>
      </c>
    </row>
    <row r="623" spans="1:12">
      <c r="C623" s="578" t="s">
        <v>352</v>
      </c>
      <c r="D623" s="344"/>
      <c r="E623" s="196"/>
      <c r="F623" s="761"/>
      <c r="G623" s="633">
        <f>$G$10</f>
        <v>3</v>
      </c>
      <c r="H623" s="633">
        <f>$H$10</f>
        <v>4</v>
      </c>
      <c r="I623" s="633">
        <f>$I$10</f>
        <v>5</v>
      </c>
      <c r="J623" s="633">
        <f>$J$10</f>
        <v>6</v>
      </c>
    </row>
    <row r="624" spans="1:12">
      <c r="A624" s="333">
        <v>1</v>
      </c>
      <c r="B624" s="332" t="s">
        <v>78</v>
      </c>
      <c r="D624" s="344"/>
      <c r="E624" s="196"/>
      <c r="I624" s="332"/>
    </row>
    <row r="625" spans="1:12">
      <c r="A625" s="333">
        <v>2</v>
      </c>
      <c r="C625" s="332" t="str">
        <f>'FR-16(7)(v)-1 Functional'!C625</f>
        <v>MISC SERVICE REVENUE</v>
      </c>
      <c r="D625" s="344" t="str">
        <f>'FR-16(7)(v)-1 Functional'!D625</f>
        <v>K401</v>
      </c>
      <c r="E625" s="196"/>
      <c r="F625" s="479">
        <f>'FR-16(7)(v)-1 Functional'!F625</f>
        <v>50100</v>
      </c>
      <c r="G625" s="349">
        <f>'FR-16(7)(v)-6 DISTR Cust Alloc'!$G$625+'FR-16(7)(v)-5 DISTR Dem Alloc'!$G$625+'FR-16(7)(v)-3 PROD Comm Alloc'!$G$625</f>
        <v>46506</v>
      </c>
      <c r="H625" s="349">
        <f>'FR-16(7)(v)-6 DISTR Cust Alloc'!$H$625+'FR-16(7)(v)-5 DISTR Dem Alloc'!$H$625+'FR-16(7)(v)-3 PROD Comm Alloc'!$H$625</f>
        <v>3534</v>
      </c>
      <c r="I625" s="349">
        <f>'FR-16(7)(v)-6 DISTR Cust Alloc'!$I$625+'FR-16(7)(v)-5 DISTR Dem Alloc'!$I$625+'FR-16(7)(v)-3 PROD Comm Alloc'!$I$625</f>
        <v>49</v>
      </c>
      <c r="J625" s="349">
        <f>'FR-16(7)(v)-6 DISTR Cust Alloc'!$J$625+'FR-16(7)(v)-5 DISTR Dem Alloc'!$J$625+'FR-16(7)(v)-3 PROD Comm Alloc'!$J$625</f>
        <v>11</v>
      </c>
      <c r="K625" s="347">
        <f>SUM($G$625:$J$625)</f>
        <v>50100</v>
      </c>
      <c r="L625" s="347">
        <f>F625-K625</f>
        <v>0</v>
      </c>
    </row>
    <row r="626" spans="1:12">
      <c r="A626" s="333">
        <v>3</v>
      </c>
      <c r="C626" s="332" t="str">
        <f>'FR-16(7)(v)-1 Functional'!C626</f>
        <v>INTERDEPARTMENTAL</v>
      </c>
      <c r="D626" s="344" t="str">
        <f>'FR-16(7)(v)-1 Functional'!D626</f>
        <v>AG39</v>
      </c>
      <c r="E626" s="196"/>
      <c r="F626" s="479">
        <f>'FR-16(7)(v)-1 Functional'!F626</f>
        <v>27765</v>
      </c>
      <c r="G626" s="349">
        <f>'FR-16(7)(v)-6 DISTR Cust Alloc'!$G$626+'FR-16(7)(v)-5 DISTR Dem Alloc'!$G$626+'FR-16(7)(v)-3 PROD Comm Alloc'!$G$626</f>
        <v>20326</v>
      </c>
      <c r="H626" s="349">
        <f>'FR-16(7)(v)-6 DISTR Cust Alloc'!$H$626+'FR-16(7)(v)-5 DISTR Dem Alloc'!$H$626+'FR-16(7)(v)-3 PROD Comm Alloc'!$H$626</f>
        <v>5500</v>
      </c>
      <c r="I626" s="349">
        <f>'FR-16(7)(v)-6 DISTR Cust Alloc'!$I$626+'FR-16(7)(v)-5 DISTR Dem Alloc'!$I$626+'FR-16(7)(v)-3 PROD Comm Alloc'!$I$626</f>
        <v>1654</v>
      </c>
      <c r="J626" s="349">
        <f>'FR-16(7)(v)-6 DISTR Cust Alloc'!$J$626+'FR-16(7)(v)-5 DISTR Dem Alloc'!$J$626+'FR-16(7)(v)-3 PROD Comm Alloc'!$J$626</f>
        <v>285</v>
      </c>
      <c r="K626" s="347">
        <f>SUM($G$626:$J$626)</f>
        <v>27765</v>
      </c>
      <c r="L626" s="347">
        <f>F626-K626</f>
        <v>0</v>
      </c>
    </row>
    <row r="627" spans="1:12">
      <c r="A627" s="333">
        <v>4</v>
      </c>
      <c r="C627" s="332" t="str">
        <f>'FR-16(7)(v)-1 Functional'!C627</f>
        <v>OTH MISC REVENUE</v>
      </c>
      <c r="D627" s="344" t="str">
        <f>'FR-16(7)(v)-1 Functional'!D627</f>
        <v>K401</v>
      </c>
      <c r="E627" s="196"/>
      <c r="F627" s="479">
        <f>'FR-16(7)(v)-1 Functional'!F627</f>
        <v>1896</v>
      </c>
      <c r="G627" s="349">
        <f>'FR-16(7)(v)-6 DISTR Cust Alloc'!$G$627+'FR-16(7)(v)-5 DISTR Dem Alloc'!$G$627+'FR-16(7)(v)-3 PROD Comm Alloc'!$G$627</f>
        <v>1760</v>
      </c>
      <c r="H627" s="349">
        <f>'FR-16(7)(v)-6 DISTR Cust Alloc'!$H$627+'FR-16(7)(v)-5 DISTR Dem Alloc'!$H$627+'FR-16(7)(v)-3 PROD Comm Alloc'!$H$627</f>
        <v>134</v>
      </c>
      <c r="I627" s="349">
        <f>'FR-16(7)(v)-6 DISTR Cust Alloc'!$I$627+'FR-16(7)(v)-5 DISTR Dem Alloc'!$I$627+'FR-16(7)(v)-3 PROD Comm Alloc'!$I$627</f>
        <v>2</v>
      </c>
      <c r="J627" s="349">
        <f>'FR-16(7)(v)-6 DISTR Cust Alloc'!$J$627+'FR-16(7)(v)-5 DISTR Dem Alloc'!$J$627+'FR-16(7)(v)-3 PROD Comm Alloc'!$J$627</f>
        <v>0</v>
      </c>
      <c r="K627" s="347">
        <f>SUM($G$627:$J$627)</f>
        <v>1896</v>
      </c>
      <c r="L627" s="347">
        <f>F627-K627</f>
        <v>0</v>
      </c>
    </row>
    <row r="628" spans="1:12">
      <c r="A628" s="333">
        <v>5</v>
      </c>
      <c r="C628" s="332" t="str">
        <f>'FR-16(7)(v)-1 Functional'!C628</f>
        <v>RENTS</v>
      </c>
      <c r="D628" s="344" t="str">
        <f>'FR-16(7)(v)-1 Functional'!D628</f>
        <v>D249</v>
      </c>
      <c r="E628" s="196"/>
      <c r="F628" s="479">
        <f>'FR-16(7)(v)-1 Functional'!F628</f>
        <v>14496</v>
      </c>
      <c r="G628" s="349">
        <f>'FR-16(7)(v)-6 DISTR Cust Alloc'!$G$628+'FR-16(7)(v)-5 DISTR Dem Alloc'!$G$628+'FR-16(7)(v)-3 PROD Comm Alloc'!$G$628</f>
        <v>10057</v>
      </c>
      <c r="H628" s="349">
        <f>'FR-16(7)(v)-6 DISTR Cust Alloc'!$H$628+'FR-16(7)(v)-5 DISTR Dem Alloc'!$H$628+'FR-16(7)(v)-3 PROD Comm Alloc'!$H$628</f>
        <v>3282</v>
      </c>
      <c r="I628" s="349">
        <f>'FR-16(7)(v)-6 DISTR Cust Alloc'!$I$628+'FR-16(7)(v)-5 DISTR Dem Alloc'!$I$628+'FR-16(7)(v)-3 PROD Comm Alloc'!$I$628</f>
        <v>887</v>
      </c>
      <c r="J628" s="349">
        <f>'FR-16(7)(v)-6 DISTR Cust Alloc'!$J$628+'FR-16(7)(v)-5 DISTR Dem Alloc'!$J$628+'FR-16(7)(v)-3 PROD Comm Alloc'!$J$628</f>
        <v>270</v>
      </c>
      <c r="K628" s="347">
        <f>SUM($G$628:$J$628)</f>
        <v>14496</v>
      </c>
      <c r="L628" s="347">
        <f>F628-K628</f>
        <v>0</v>
      </c>
    </row>
    <row r="629" spans="1:12">
      <c r="A629" s="333">
        <v>6</v>
      </c>
      <c r="C629" s="359" t="str">
        <f>'FR-16(7)(v)-1 Functional'!C629</f>
        <v>IT TRANSPORT SPECIAL CONTRACTS</v>
      </c>
      <c r="D629" s="344" t="str">
        <f>'FR-16(7)(v)-1 Functional'!D629</f>
        <v>AG39</v>
      </c>
      <c r="E629" s="196"/>
      <c r="F629" s="479">
        <f>'FR-16(7)(v)-1 Functional'!F629</f>
        <v>0</v>
      </c>
      <c r="G629" s="349">
        <f>'FR-16(7)(v)-6 DISTR Cust Alloc'!$G$629+'FR-16(7)(v)-5 DISTR Dem Alloc'!$G$629+'FR-16(7)(v)-3 PROD Comm Alloc'!$G$629</f>
        <v>0</v>
      </c>
      <c r="H629" s="349">
        <f>'FR-16(7)(v)-6 DISTR Cust Alloc'!$H$629+'FR-16(7)(v)-5 DISTR Dem Alloc'!$H$629+'FR-16(7)(v)-3 PROD Comm Alloc'!$H$629</f>
        <v>0</v>
      </c>
      <c r="I629" s="349">
        <f>'FR-16(7)(v)-6 DISTR Cust Alloc'!$I$629+'FR-16(7)(v)-5 DISTR Dem Alloc'!$I$629+'FR-16(7)(v)-3 PROD Comm Alloc'!$I$629</f>
        <v>0</v>
      </c>
      <c r="J629" s="349">
        <f>'FR-16(7)(v)-6 DISTR Cust Alloc'!$J$629+'FR-16(7)(v)-5 DISTR Dem Alloc'!$J$629+'FR-16(7)(v)-3 PROD Comm Alloc'!$J$629</f>
        <v>0</v>
      </c>
      <c r="K629" s="347">
        <f>SUM($G$629:$J$629)</f>
        <v>0</v>
      </c>
      <c r="L629" s="347">
        <f>F629-K629</f>
        <v>0</v>
      </c>
    </row>
    <row r="630" spans="1:12">
      <c r="A630" s="333">
        <v>7</v>
      </c>
      <c r="C630" s="332" t="str">
        <f>'FR-16(7)(v)-1 Functional'!C630</f>
        <v xml:space="preserve">  TOTAL OTHER OPERATING REVS</v>
      </c>
      <c r="D630" s="344"/>
      <c r="E630" s="196"/>
      <c r="F630" s="348">
        <f>SUM(F625:F629)</f>
        <v>94257</v>
      </c>
      <c r="G630" s="348">
        <f>SUM($G$625:$G$629)</f>
        <v>78649</v>
      </c>
      <c r="H630" s="348">
        <f>SUM($H$625:$H$629)</f>
        <v>12450</v>
      </c>
      <c r="I630" s="348">
        <f>SUM($I$625:$I$629)</f>
        <v>2592</v>
      </c>
      <c r="J630" s="348">
        <f>SUM($J$625:$J$629)</f>
        <v>566</v>
      </c>
      <c r="K630" s="348">
        <f>SUM($K$625:$K$629)</f>
        <v>94257</v>
      </c>
      <c r="L630" s="348">
        <f>SUM($L$625:$L$629)</f>
        <v>0</v>
      </c>
    </row>
    <row r="631" spans="1:12">
      <c r="A631" s="333">
        <v>8</v>
      </c>
      <c r="D631" s="344"/>
      <c r="E631" s="196"/>
      <c r="I631" s="332"/>
    </row>
    <row r="632" spans="1:12">
      <c r="A632" s="333">
        <v>9</v>
      </c>
      <c r="B632" s="332" t="s">
        <v>77</v>
      </c>
      <c r="D632" s="344"/>
      <c r="E632" s="196"/>
      <c r="I632" s="332"/>
    </row>
    <row r="633" spans="1:12">
      <c r="A633" s="333">
        <v>10</v>
      </c>
      <c r="C633" s="332" t="str">
        <f>'FR-16(7)(v)-1 Functional'!C633</f>
        <v>TOTAL OP EXP EXC INC &amp; REV TAX</v>
      </c>
      <c r="D633" s="344"/>
      <c r="E633" s="196"/>
      <c r="F633" s="347">
        <f>F501</f>
        <v>79241931.067599997</v>
      </c>
      <c r="G633" s="347">
        <f>$G$501</f>
        <v>48894078</v>
      </c>
      <c r="H633" s="347">
        <f>$H$501</f>
        <v>19643358</v>
      </c>
      <c r="I633" s="347">
        <f>$I$501</f>
        <v>9977384</v>
      </c>
      <c r="J633" s="347">
        <f>$J$501</f>
        <v>727111</v>
      </c>
      <c r="K633" s="347">
        <f>$K$501</f>
        <v>79241931</v>
      </c>
      <c r="L633" s="347">
        <f>$L$501</f>
        <v>6.7599999994854443E-2</v>
      </c>
    </row>
    <row r="634" spans="1:12">
      <c r="A634" s="333">
        <v>11</v>
      </c>
      <c r="C634" s="332" t="str">
        <f>'FR-16(7)(v)-1 Functional'!C634</f>
        <v>RETURN ON RATE BASE</v>
      </c>
      <c r="D634" s="344"/>
      <c r="E634" s="196"/>
      <c r="F634" s="347">
        <f t="shared" ref="F634:L634" si="138">F334</f>
        <v>22525019</v>
      </c>
      <c r="G634" s="347">
        <f t="shared" si="138"/>
        <v>15539826</v>
      </c>
      <c r="H634" s="347">
        <f t="shared" si="138"/>
        <v>5124462</v>
      </c>
      <c r="I634" s="347">
        <f t="shared" si="138"/>
        <v>1441452</v>
      </c>
      <c r="J634" s="347">
        <f t="shared" si="138"/>
        <v>419279</v>
      </c>
      <c r="K634" s="347">
        <f t="shared" si="138"/>
        <v>22525019</v>
      </c>
      <c r="L634" s="347">
        <f t="shared" si="138"/>
        <v>0</v>
      </c>
    </row>
    <row r="635" spans="1:12">
      <c r="A635" s="333">
        <v>12</v>
      </c>
      <c r="C635" s="332" t="str">
        <f>'FR-16(7)(v)-1 Functional'!C635</f>
        <v>NET FED INCOME TAX ALLOWABLE</v>
      </c>
      <c r="D635" s="344"/>
      <c r="E635" s="196"/>
      <c r="F635" s="347">
        <f>F557</f>
        <v>3326901</v>
      </c>
      <c r="G635" s="347">
        <f ca="1">$G$557</f>
        <v>2095413</v>
      </c>
      <c r="H635" s="347">
        <f>$H$557</f>
        <v>830072</v>
      </c>
      <c r="I635" s="347">
        <f ca="1">$I$557</f>
        <v>349462</v>
      </c>
      <c r="J635" s="347">
        <f>$J$557</f>
        <v>51956</v>
      </c>
      <c r="K635" s="347">
        <f ca="1">$K$557</f>
        <v>3326903</v>
      </c>
      <c r="L635" s="347">
        <f ca="1">$L$557</f>
        <v>-2</v>
      </c>
    </row>
    <row r="636" spans="1:12">
      <c r="A636" s="333">
        <v>13</v>
      </c>
      <c r="C636" s="359" t="str">
        <f>'FR-16(7)(v)-1 Functional'!C636</f>
        <v>TOTAL OTHER OPERATING REVENUES</v>
      </c>
      <c r="D636" s="344"/>
      <c r="E636" s="196"/>
      <c r="F636" s="347">
        <f>-F630</f>
        <v>-94257</v>
      </c>
      <c r="G636" s="347">
        <f>-$G$630</f>
        <v>-78649</v>
      </c>
      <c r="H636" s="347">
        <f>-$H$630</f>
        <v>-12450</v>
      </c>
      <c r="I636" s="347">
        <f>-$I$630</f>
        <v>-2592</v>
      </c>
      <c r="J636" s="347">
        <f>-$J$630</f>
        <v>-566</v>
      </c>
      <c r="K636" s="347">
        <f>-$K$630</f>
        <v>-94257</v>
      </c>
      <c r="L636" s="347">
        <f>-$L$630</f>
        <v>0</v>
      </c>
    </row>
    <row r="637" spans="1:12">
      <c r="A637" s="333">
        <v>14</v>
      </c>
      <c r="C637" s="332" t="str">
        <f>'FR-16(7)(v)-1 Functional'!C637</f>
        <v xml:space="preserve">  SUBTOTAL B</v>
      </c>
      <c r="D637" s="344"/>
      <c r="E637" s="196"/>
      <c r="F637" s="348">
        <f>SUM(F632:F636)</f>
        <v>104999594.0676</v>
      </c>
      <c r="G637" s="348">
        <f ca="1">SUM($G$632:$G$636)</f>
        <v>66450668</v>
      </c>
      <c r="H637" s="348">
        <f>SUM($H$632:$H$636)</f>
        <v>25585442</v>
      </c>
      <c r="I637" s="348">
        <f ca="1">SUM($I$632:$I$636)</f>
        <v>11765706</v>
      </c>
      <c r="J637" s="348">
        <f>SUM($J$632:$J$636)</f>
        <v>1197780</v>
      </c>
      <c r="K637" s="348">
        <f ca="1">SUM($K$632:$K$636)</f>
        <v>104999596</v>
      </c>
      <c r="L637" s="348">
        <f ca="1">$K$637-F637</f>
        <v>1.9324000030755997</v>
      </c>
    </row>
    <row r="638" spans="1:12">
      <c r="A638" s="333">
        <v>15</v>
      </c>
      <c r="D638" s="344"/>
      <c r="E638" s="196"/>
      <c r="I638" s="332"/>
    </row>
    <row r="639" spans="1:12">
      <c r="A639" s="333">
        <v>16</v>
      </c>
      <c r="C639" s="332" t="str">
        <f>'FR-16(7)(v)-1 Functional'!C639</f>
        <v>TOTAL OTHER OPERATING REVENUES</v>
      </c>
      <c r="D639" s="344"/>
      <c r="E639" s="196"/>
      <c r="F639" s="347">
        <f>-F636</f>
        <v>94257</v>
      </c>
      <c r="G639" s="347">
        <f>-$G$636</f>
        <v>78649</v>
      </c>
      <c r="H639" s="347">
        <f>-$H$636</f>
        <v>12450</v>
      </c>
      <c r="I639" s="347">
        <f>-$I$636</f>
        <v>2592</v>
      </c>
      <c r="J639" s="347">
        <f>-$J$636</f>
        <v>566</v>
      </c>
      <c r="K639" s="347">
        <f>-$K$636</f>
        <v>94257</v>
      </c>
      <c r="L639" s="347">
        <f>-$L$636</f>
        <v>0</v>
      </c>
    </row>
    <row r="640" spans="1:12">
      <c r="A640" s="333">
        <v>17</v>
      </c>
      <c r="C640" s="359" t="str">
        <f>'FR-16(7)(v)-1 Functional'!C640</f>
        <v>LESS: REVS EXCL FROM REV TAX CALC</v>
      </c>
      <c r="D640" s="344"/>
      <c r="E640" s="196"/>
      <c r="F640" s="479">
        <f>SUM(G640:J640)</f>
        <v>0</v>
      </c>
      <c r="G640" s="349">
        <f>'FR-16(7)(v)-6 DISTR Cust Alloc'!G640+'FR-16(7)(v)-5 DISTR Dem Alloc'!G640+'FR-16(7)(v)-3 PROD Comm Alloc'!G640</f>
        <v>0</v>
      </c>
      <c r="H640" s="349">
        <f>'FR-16(7)(v)-6 DISTR Cust Alloc'!H640+'FR-16(7)(v)-5 DISTR Dem Alloc'!H640+'FR-16(7)(v)-3 PROD Comm Alloc'!H640</f>
        <v>0</v>
      </c>
      <c r="I640" s="349">
        <f>'FR-16(7)(v)-6 DISTR Cust Alloc'!I640+'FR-16(7)(v)-5 DISTR Dem Alloc'!I640+'FR-16(7)(v)-3 PROD Comm Alloc'!I640</f>
        <v>0</v>
      </c>
      <c r="J640" s="349">
        <f>'FR-16(7)(v)-6 DISTR Cust Alloc'!J640+'FR-16(7)(v)-5 DISTR Dem Alloc'!J640+'FR-16(7)(v)-3 PROD Comm Alloc'!J640</f>
        <v>0</v>
      </c>
      <c r="K640" s="347">
        <f>SUM(G640:J640)</f>
        <v>0</v>
      </c>
      <c r="L640" s="347">
        <f>F640-K640</f>
        <v>0</v>
      </c>
    </row>
    <row r="641" spans="1:12">
      <c r="A641" s="333">
        <v>18</v>
      </c>
      <c r="C641" s="332" t="str">
        <f>'FR-16(7)(v)-1 Functional'!C641</f>
        <v>OTHER OPERATING REVS TO BE TAXED</v>
      </c>
      <c r="D641" s="344"/>
      <c r="E641" s="196"/>
      <c r="F641" s="348">
        <f>F639-F640</f>
        <v>94257</v>
      </c>
      <c r="G641" s="348">
        <f>$G$639-G640</f>
        <v>78649</v>
      </c>
      <c r="H641" s="348">
        <f>$H$639-H640</f>
        <v>12450</v>
      </c>
      <c r="I641" s="348">
        <f>$I$639-I640</f>
        <v>2592</v>
      </c>
      <c r="J641" s="348">
        <f>$J$639-J640</f>
        <v>566</v>
      </c>
      <c r="K641" s="348">
        <f>$K$639-K640</f>
        <v>94257</v>
      </c>
      <c r="L641" s="348">
        <f>$L$639-L640</f>
        <v>0</v>
      </c>
    </row>
    <row r="642" spans="1:12">
      <c r="A642" s="333">
        <v>19</v>
      </c>
      <c r="D642" s="344"/>
      <c r="E642" s="196"/>
      <c r="I642" s="332"/>
    </row>
    <row r="643" spans="1:12">
      <c r="A643" s="333">
        <v>20</v>
      </c>
      <c r="C643" s="332" t="str">
        <f>'FR-16(7)(v)-1 Functional'!C643</f>
        <v>REVENUE TAX FACTOR</v>
      </c>
      <c r="D643" s="344"/>
      <c r="E643" s="196"/>
      <c r="F643" s="350">
        <f t="shared" ref="F643:L643" si="139">ROUND(F694/(1-F694),8)</f>
        <v>0</v>
      </c>
      <c r="G643" s="350">
        <f t="shared" si="139"/>
        <v>0</v>
      </c>
      <c r="H643" s="350">
        <f t="shared" si="139"/>
        <v>0</v>
      </c>
      <c r="I643" s="350">
        <f t="shared" si="139"/>
        <v>0</v>
      </c>
      <c r="J643" s="350">
        <f t="shared" si="139"/>
        <v>0</v>
      </c>
      <c r="K643" s="350">
        <f t="shared" si="139"/>
        <v>0</v>
      </c>
      <c r="L643" s="350">
        <f t="shared" si="139"/>
        <v>0</v>
      </c>
    </row>
    <row r="644" spans="1:12">
      <c r="A644" s="333">
        <v>21</v>
      </c>
      <c r="C644" s="332" t="str">
        <f>'FR-16(7)(v)-1 Functional'!C644</f>
        <v>REVENUE TAX ON OTHER OPER. REVS</v>
      </c>
      <c r="D644" s="344"/>
      <c r="E644" s="196"/>
      <c r="F644" s="347">
        <f>ROUND(F643*F641,0)</f>
        <v>0</v>
      </c>
      <c r="G644" s="347">
        <f>F644-SUM(H644:J644)</f>
        <v>0</v>
      </c>
      <c r="H644" s="347">
        <f>ROUND(H643*H641,0)</f>
        <v>0</v>
      </c>
      <c r="I644" s="347">
        <f>ROUND(I643*I641,0)</f>
        <v>0</v>
      </c>
      <c r="J644" s="347">
        <f>ROUND(J643*J641,0)</f>
        <v>0</v>
      </c>
      <c r="K644" s="347">
        <f>SUM(G644:J644)</f>
        <v>0</v>
      </c>
      <c r="L644" s="347">
        <f>ROUND(L643*L641,0)</f>
        <v>0</v>
      </c>
    </row>
    <row r="645" spans="1:12">
      <c r="A645" s="333">
        <v>22</v>
      </c>
      <c r="C645" s="332" t="str">
        <f>'FR-16(7)(v)-1 Functional'!C645</f>
        <v>REVENUE TAX ON COST OF SERVICE</v>
      </c>
      <c r="D645" s="344"/>
      <c r="E645" s="196"/>
      <c r="F645" s="512">
        <f>ROUND(F643*F637,0)</f>
        <v>0</v>
      </c>
      <c r="G645" s="512">
        <f ca="1">F645-SUM(H645:J645)</f>
        <v>0</v>
      </c>
      <c r="H645" s="512">
        <f>ROUND(H643*$H$637,0)</f>
        <v>0</v>
      </c>
      <c r="I645" s="512">
        <f ca="1">ROUND(I643*$I$637,0)</f>
        <v>0</v>
      </c>
      <c r="J645" s="512">
        <f>ROUND(J643*$J$637,0)</f>
        <v>0</v>
      </c>
      <c r="K645" s="347">
        <f ca="1">SUM(G645:J645)</f>
        <v>0</v>
      </c>
      <c r="L645" s="512">
        <f ca="1">ROUND(L643*$L$637,0)</f>
        <v>0</v>
      </c>
    </row>
    <row r="646" spans="1:12">
      <c r="A646" s="333">
        <v>23</v>
      </c>
      <c r="C646" s="359" t="str">
        <f>'FR-16(7)(v)-1 Functional'!C646</f>
        <v>TOTAL REVENUE TAX</v>
      </c>
      <c r="D646" s="344"/>
      <c r="E646" s="196"/>
      <c r="F646" s="510">
        <f>F645+F644</f>
        <v>0</v>
      </c>
      <c r="G646" s="510">
        <f ca="1">G645+G644</f>
        <v>0</v>
      </c>
      <c r="H646" s="510">
        <f>H645+H644</f>
        <v>0</v>
      </c>
      <c r="I646" s="510">
        <f ca="1">I645+I644</f>
        <v>0</v>
      </c>
      <c r="J646" s="510">
        <f>J645+J644</f>
        <v>0</v>
      </c>
      <c r="K646" s="347">
        <f ca="1">SUM(G646:J646)</f>
        <v>0</v>
      </c>
      <c r="L646" s="510">
        <f ca="1">L645+L644</f>
        <v>0</v>
      </c>
    </row>
    <row r="647" spans="1:12">
      <c r="A647" s="333">
        <v>24</v>
      </c>
      <c r="C647" s="332" t="str">
        <f>'FR-16(7)(v)-1 Functional'!C647</f>
        <v xml:space="preserve">  TOTAL GAS COST OF SERVICE</v>
      </c>
      <c r="D647" s="344"/>
      <c r="E647" s="196"/>
      <c r="F647" s="348">
        <f>F646+F637</f>
        <v>104999594.0676</v>
      </c>
      <c r="G647" s="348">
        <f ca="1">G646+$G$637</f>
        <v>66450668</v>
      </c>
      <c r="H647" s="348">
        <f>H646+$H$637</f>
        <v>25585442</v>
      </c>
      <c r="I647" s="348">
        <f ca="1">I646+$I$637</f>
        <v>11765706</v>
      </c>
      <c r="J647" s="348">
        <f>J646+$J$637</f>
        <v>1197780</v>
      </c>
      <c r="K647" s="348">
        <f ca="1">K646+$K$637</f>
        <v>104999596</v>
      </c>
      <c r="L647" s="348">
        <f ca="1">L646+$L$637</f>
        <v>1.9324000030755997</v>
      </c>
    </row>
    <row r="648" spans="1:12">
      <c r="A648" s="333">
        <v>25</v>
      </c>
      <c r="D648" s="344"/>
      <c r="E648" s="196"/>
      <c r="I648" s="332"/>
    </row>
    <row r="649" spans="1:12">
      <c r="A649" s="333">
        <v>26</v>
      </c>
      <c r="B649" s="332" t="s">
        <v>1194</v>
      </c>
      <c r="D649" s="344"/>
      <c r="E649" s="196"/>
      <c r="F649" s="479">
        <f>SUM(G649:J649)</f>
        <v>95287873</v>
      </c>
      <c r="G649" s="349">
        <f>'FR-16(7)(v)-6 DISTR Cust Alloc'!G649+'FR-16(7)(v)-5 DISTR Dem Alloc'!G649+'FR-16(7)(v)-3 PROD Comm Alloc'!G649</f>
        <v>65522694</v>
      </c>
      <c r="H649" s="349">
        <f>'FR-16(7)(v)-6 DISTR Cust Alloc'!H649+'FR-16(7)(v)-5 DISTR Dem Alloc'!H649+'FR-16(7)(v)-3 PROD Comm Alloc'!H649</f>
        <v>23198248</v>
      </c>
      <c r="I649" s="349">
        <f>'FR-16(7)(v)-6 DISTR Cust Alloc'!I649+'FR-16(7)(v)-5 DISTR Dem Alloc'!I649+'FR-16(7)(v)-3 PROD Comm Alloc'!I649</f>
        <v>5042683</v>
      </c>
      <c r="J649" s="349">
        <f>'FR-16(7)(v)-6 DISTR Cust Alloc'!J649+'FR-16(7)(v)-5 DISTR Dem Alloc'!J649+'FR-16(7)(v)-3 PROD Comm Alloc'!J649</f>
        <v>1524248</v>
      </c>
      <c r="K649" s="347">
        <f>SUM(G649:J649)</f>
        <v>95287873</v>
      </c>
      <c r="L649" s="347">
        <f>F649-K649</f>
        <v>0</v>
      </c>
    </row>
    <row r="650" spans="1:12">
      <c r="A650" s="333">
        <v>27</v>
      </c>
      <c r="B650" s="332" t="s">
        <v>79</v>
      </c>
      <c r="D650" s="344"/>
      <c r="E650" s="196"/>
      <c r="F650" s="347">
        <f t="shared" ref="F650:L650" si="140">-F647</f>
        <v>-104999594.0676</v>
      </c>
      <c r="G650" s="347">
        <f t="shared" ca="1" si="140"/>
        <v>-66450668</v>
      </c>
      <c r="H650" s="347">
        <f t="shared" si="140"/>
        <v>-25585442</v>
      </c>
      <c r="I650" s="347">
        <f t="shared" ca="1" si="140"/>
        <v>-11765706</v>
      </c>
      <c r="J650" s="347">
        <f t="shared" si="140"/>
        <v>-1197780</v>
      </c>
      <c r="K650" s="347">
        <f t="shared" ca="1" si="140"/>
        <v>-104999596</v>
      </c>
      <c r="L650" s="347">
        <f t="shared" ca="1" si="140"/>
        <v>-1.9324000030755997</v>
      </c>
    </row>
    <row r="651" spans="1:12">
      <c r="A651" s="333">
        <v>28</v>
      </c>
      <c r="B651" s="332" t="s">
        <v>80</v>
      </c>
      <c r="D651" s="344"/>
      <c r="E651" s="196"/>
      <c r="F651" s="347">
        <f>F650+F649</f>
        <v>-9711721.0675999969</v>
      </c>
      <c r="G651" s="347">
        <f ca="1">G650+G649</f>
        <v>-927974</v>
      </c>
      <c r="H651" s="347">
        <f>H650+H649</f>
        <v>-2387194</v>
      </c>
      <c r="I651" s="347">
        <f ca="1">I650+I649</f>
        <v>-6723023</v>
      </c>
      <c r="J651" s="347">
        <f>J650+J649</f>
        <v>326468</v>
      </c>
      <c r="K651" s="347">
        <f ca="1">SUM(G651:J651)</f>
        <v>-9711723</v>
      </c>
      <c r="L651" s="347">
        <f ca="1">L650+L649</f>
        <v>-1.9324000030755997</v>
      </c>
    </row>
    <row r="652" spans="1:12">
      <c r="A652" s="333">
        <v>29</v>
      </c>
      <c r="B652" s="332" t="s">
        <v>76</v>
      </c>
      <c r="D652" s="344"/>
      <c r="E652" s="196"/>
      <c r="F652" s="350">
        <f>F565</f>
        <v>0.24925</v>
      </c>
      <c r="G652" s="350">
        <f>$G$565</f>
        <v>0.24925</v>
      </c>
      <c r="H652" s="350">
        <f>$H$565</f>
        <v>0.24925</v>
      </c>
      <c r="I652" s="350">
        <f>$I$565</f>
        <v>0.24925120000000001</v>
      </c>
      <c r="J652" s="350">
        <f>$J$565</f>
        <v>0.24925</v>
      </c>
      <c r="K652" s="350">
        <f>$L$565</f>
        <v>0.24925</v>
      </c>
      <c r="L652" s="350">
        <f>$L$565</f>
        <v>0.24925</v>
      </c>
    </row>
    <row r="653" spans="1:12">
      <c r="A653" s="333">
        <v>30</v>
      </c>
      <c r="B653" s="332" t="s">
        <v>81</v>
      </c>
      <c r="D653" s="344"/>
      <c r="E653" s="196"/>
      <c r="F653" s="347">
        <f>ROUND(F652*F651,0)</f>
        <v>-2420646</v>
      </c>
      <c r="G653" s="347">
        <f ca="1">F653-SUM(H653:J653)</f>
        <v>-231289</v>
      </c>
      <c r="H653" s="347">
        <f>ROUND(H652*H651,0)</f>
        <v>-595008</v>
      </c>
      <c r="I653" s="347">
        <f ca="1">ROUND(I652*I651,0)</f>
        <v>-1675722</v>
      </c>
      <c r="J653" s="347">
        <f>ROUND(J652*J651,0)</f>
        <v>81372</v>
      </c>
      <c r="K653" s="347">
        <f ca="1">SUM(G653:J653)</f>
        <v>-2420647</v>
      </c>
      <c r="L653" s="347">
        <f t="shared" ref="L653:L654" ca="1" si="141">F653-K653</f>
        <v>1</v>
      </c>
    </row>
    <row r="654" spans="1:12">
      <c r="A654" s="333">
        <v>31</v>
      </c>
      <c r="B654" s="332" t="s">
        <v>82</v>
      </c>
      <c r="D654" s="344"/>
      <c r="E654" s="196"/>
      <c r="F654" s="347">
        <f>F651-F653</f>
        <v>-7291075.0675999969</v>
      </c>
      <c r="G654" s="347">
        <f ca="1">G651-G653</f>
        <v>-696685</v>
      </c>
      <c r="H654" s="347">
        <f>H651-H653</f>
        <v>-1792186</v>
      </c>
      <c r="I654" s="347">
        <f ca="1">I651-I653</f>
        <v>-5047301</v>
      </c>
      <c r="J654" s="347">
        <f>J651-J653</f>
        <v>245096</v>
      </c>
      <c r="K654" s="347">
        <f ca="1">SUM(G654:J654)</f>
        <v>-7291076</v>
      </c>
      <c r="L654" s="347">
        <f t="shared" ca="1" si="141"/>
        <v>0.93240000307559967</v>
      </c>
    </row>
    <row r="655" spans="1:12">
      <c r="A655" s="532"/>
      <c r="B655" s="584"/>
      <c r="C655" s="584"/>
      <c r="D655" s="736"/>
      <c r="E655" s="584"/>
      <c r="F655" s="532"/>
      <c r="G655" s="532"/>
      <c r="H655" s="532"/>
      <c r="I655" s="532"/>
      <c r="J655" s="532"/>
      <c r="K655" s="532"/>
      <c r="L655" s="532"/>
    </row>
    <row r="656" spans="1:12">
      <c r="A656" s="343" t="str">
        <f>co_name</f>
        <v>DUKE ENERGY KENTUCKY, INC.</v>
      </c>
      <c r="C656" s="196"/>
      <c r="D656" s="344"/>
      <c r="E656" s="196"/>
      <c r="F656" s="344"/>
      <c r="G656" s="342"/>
      <c r="H656" s="342"/>
      <c r="I656" s="196"/>
      <c r="K656" s="361" t="str">
        <f>$K$1</f>
        <v>FR-16(7)(v)-8</v>
      </c>
      <c r="L656" s="196"/>
    </row>
    <row r="657" spans="1:12">
      <c r="A657" s="343" t="str">
        <f>$A$2</f>
        <v>TOTAL CLASS ALLOCATED - GAS COST OF SERVICE</v>
      </c>
      <c r="C657" s="196"/>
      <c r="D657" s="344"/>
      <c r="E657" s="196"/>
      <c r="F657" s="344"/>
      <c r="G657" s="342"/>
      <c r="H657" s="342"/>
      <c r="I657" s="196"/>
      <c r="K657" s="361" t="str">
        <f>$K$2</f>
        <v>WITNESS RESPONSIBLE:</v>
      </c>
      <c r="L657" s="196"/>
    </row>
    <row r="658" spans="1:12">
      <c r="A658" s="343" t="str">
        <f>case_name</f>
        <v>CASE NO: 2018-00261</v>
      </c>
      <c r="C658" s="196"/>
      <c r="D658" s="344"/>
      <c r="E658" s="196"/>
      <c r="F658" s="344"/>
      <c r="G658" s="342"/>
      <c r="H658" s="342"/>
      <c r="I658" s="196"/>
      <c r="K658" s="361" t="str">
        <f>Witness</f>
        <v>JAMES E. ZIOLKOWSKI</v>
      </c>
      <c r="L658" s="196"/>
    </row>
    <row r="659" spans="1:12">
      <c r="A659" s="343" t="str">
        <f>data_filing</f>
        <v>DATA: 12 MONTH FORECASTED PERIOD</v>
      </c>
      <c r="C659" s="196"/>
      <c r="D659" s="344"/>
      <c r="E659" s="196"/>
      <c r="F659" s="344"/>
      <c r="G659" s="342"/>
      <c r="H659" s="342"/>
      <c r="I659" s="196"/>
      <c r="K659" s="361" t="str">
        <f>"PAGE "&amp;Pages2&amp;" OF "&amp;Pages2</f>
        <v>PAGE 15 OF 15</v>
      </c>
      <c r="L659" s="196"/>
    </row>
    <row r="660" spans="1:12">
      <c r="A660" s="343" t="str">
        <f>type</f>
        <v xml:space="preserve">TYPE OF FILING: "X" ORIGINAL   UPDATED    REVISED  </v>
      </c>
      <c r="C660" s="196"/>
      <c r="D660" s="344"/>
      <c r="E660" s="196"/>
      <c r="F660" s="344"/>
      <c r="G660" s="342"/>
      <c r="H660" s="342"/>
      <c r="I660" s="196"/>
      <c r="J660" s="344"/>
      <c r="K660" s="196"/>
      <c r="L660" s="196"/>
    </row>
    <row r="661" spans="1:12">
      <c r="B661" s="343"/>
      <c r="C661" s="196"/>
      <c r="D661" s="344"/>
      <c r="E661" s="196"/>
      <c r="F661" s="344"/>
      <c r="G661" s="196"/>
      <c r="H661" s="196"/>
      <c r="I661" s="196"/>
      <c r="J661" s="344"/>
      <c r="K661" s="196"/>
      <c r="L661" s="196"/>
    </row>
    <row r="662" spans="1:12">
      <c r="B662" s="343"/>
      <c r="C662" s="196"/>
      <c r="D662" s="344"/>
      <c r="E662" s="196"/>
      <c r="F662" s="344" t="s">
        <v>229</v>
      </c>
      <c r="G662" s="196"/>
      <c r="H662" s="196"/>
      <c r="I662" s="196"/>
      <c r="J662" s="344"/>
      <c r="K662" s="196"/>
      <c r="L662" s="196"/>
    </row>
    <row r="663" spans="1:12">
      <c r="A663" s="344" t="s">
        <v>914</v>
      </c>
      <c r="B663" s="196"/>
      <c r="C663" s="196"/>
      <c r="D663" s="344"/>
      <c r="E663" s="196"/>
      <c r="F663" s="344" t="str">
        <f>$F$8</f>
        <v>CLASS</v>
      </c>
      <c r="G663" s="354" t="s">
        <v>773</v>
      </c>
      <c r="H663" s="354" t="s">
        <v>1282</v>
      </c>
      <c r="I663" s="354" t="s">
        <v>984</v>
      </c>
      <c r="J663" s="354" t="s">
        <v>549</v>
      </c>
      <c r="K663" s="354" t="s">
        <v>229</v>
      </c>
      <c r="L663" s="344" t="s">
        <v>342</v>
      </c>
    </row>
    <row r="664" spans="1:12">
      <c r="A664" s="346" t="s">
        <v>915</v>
      </c>
      <c r="B664" s="345" t="s">
        <v>83</v>
      </c>
      <c r="C664" s="345"/>
      <c r="D664" s="346" t="s">
        <v>337</v>
      </c>
      <c r="E664" s="345"/>
      <c r="F664" s="344" t="str">
        <f>$F$9</f>
        <v>ALLOCATED</v>
      </c>
      <c r="G664" s="355" t="s">
        <v>338</v>
      </c>
      <c r="H664" s="355" t="s">
        <v>405</v>
      </c>
      <c r="I664" s="355" t="s">
        <v>1283</v>
      </c>
      <c r="J664" s="355" t="s">
        <v>550</v>
      </c>
      <c r="K664" s="355" t="s">
        <v>341</v>
      </c>
      <c r="L664" s="346" t="s">
        <v>340</v>
      </c>
    </row>
    <row r="665" spans="1:12">
      <c r="C665" s="578" t="s">
        <v>353</v>
      </c>
      <c r="D665" s="344"/>
      <c r="E665" s="196"/>
      <c r="F665" s="761"/>
      <c r="G665" s="633">
        <f>$G$10</f>
        <v>3</v>
      </c>
      <c r="H665" s="633">
        <f>$H$10</f>
        <v>4</v>
      </c>
      <c r="I665" s="633">
        <f>$I$10</f>
        <v>5</v>
      </c>
      <c r="J665" s="633">
        <f>$J$10</f>
        <v>6</v>
      </c>
    </row>
    <row r="666" spans="1:12">
      <c r="A666" s="333">
        <v>1</v>
      </c>
      <c r="B666" s="332" t="s">
        <v>84</v>
      </c>
      <c r="D666" s="344"/>
      <c r="E666" s="196"/>
      <c r="I666" s="332"/>
    </row>
    <row r="667" spans="1:12">
      <c r="A667" s="333">
        <v>2</v>
      </c>
      <c r="B667" s="332" t="s">
        <v>85</v>
      </c>
      <c r="D667" s="344"/>
      <c r="E667" s="196"/>
      <c r="G667" s="519" t="s">
        <v>339</v>
      </c>
      <c r="I667" s="332"/>
    </row>
    <row r="668" spans="1:12">
      <c r="A668" s="333">
        <v>3</v>
      </c>
      <c r="C668" s="332" t="str">
        <f>'FR-16(7)(v)-1 Functional'!C668</f>
        <v>LONG TERM DEBT</v>
      </c>
      <c r="D668" s="344"/>
      <c r="E668" s="196"/>
      <c r="F668" s="479">
        <f>'FR-16(7)(v)-1 Functional'!$F$668</f>
        <v>518128763</v>
      </c>
      <c r="G668" s="350">
        <f>IF($F$673=0,0,ROUND(F668/$F$673,5))</f>
        <v>0.42338999999999999</v>
      </c>
      <c r="I668" s="332"/>
    </row>
    <row r="669" spans="1:12">
      <c r="A669" s="333">
        <v>4</v>
      </c>
      <c r="C669" s="332" t="str">
        <f>'FR-16(7)(v)-1 Functional'!C669</f>
        <v>PREFERRED STOCK</v>
      </c>
      <c r="D669" s="344"/>
      <c r="E669" s="196"/>
      <c r="F669" s="479">
        <f>'FR-16(7)(v)-1 Functional'!$F$669</f>
        <v>0</v>
      </c>
      <c r="G669" s="350">
        <f>IF($F$673=0,0,ROUND(F669/$F$673,5))</f>
        <v>0</v>
      </c>
      <c r="I669" s="332"/>
    </row>
    <row r="670" spans="1:12">
      <c r="A670" s="333">
        <v>5</v>
      </c>
      <c r="C670" s="332" t="str">
        <f>'FR-16(7)(v)-1 Functional'!C670</f>
        <v>COMMON STOCK</v>
      </c>
      <c r="D670" s="344"/>
      <c r="E670" s="196"/>
      <c r="F670" s="479">
        <f>'FR-16(7)(v)-1 Functional'!$F$670</f>
        <v>621113054</v>
      </c>
      <c r="G670" s="350">
        <f>1-G668-G669-G671-G672</f>
        <v>0.50755000000000006</v>
      </c>
      <c r="I670" s="332"/>
    </row>
    <row r="671" spans="1:12">
      <c r="A671" s="333">
        <v>6</v>
      </c>
      <c r="C671" s="332" t="str">
        <f>'FR-16(7)(v)-1 Functional'!C671</f>
        <v>SHORT TERM DEBT</v>
      </c>
      <c r="D671" s="344"/>
      <c r="E671" s="196"/>
      <c r="F671" s="479">
        <f>'FR-16(7)(v)-1 Functional'!$F$671</f>
        <v>84508435</v>
      </c>
      <c r="G671" s="350">
        <f>IF($F$673=0,0,ROUND(F671/$F$673,5))</f>
        <v>6.9059999999999996E-2</v>
      </c>
      <c r="I671" s="332"/>
    </row>
    <row r="672" spans="1:12">
      <c r="A672" s="333">
        <v>7</v>
      </c>
      <c r="C672" s="332" t="str">
        <f>'FR-16(7)(v)-1 Functional'!C672</f>
        <v>UNAMORTIZED DISCOUNT</v>
      </c>
      <c r="D672" s="344"/>
      <c r="E672" s="196"/>
      <c r="F672" s="479">
        <f>'FR-16(7)(v)-1 Functional'!$F$672</f>
        <v>0</v>
      </c>
      <c r="G672" s="350">
        <f>IF($F$673=0,0,ROUND(F672/$F$673,5))</f>
        <v>0</v>
      </c>
      <c r="I672" s="332"/>
    </row>
    <row r="673" spans="1:9">
      <c r="A673" s="333">
        <v>8</v>
      </c>
      <c r="C673" s="332" t="str">
        <f>'FR-16(7)(v)-1 Functional'!C673</f>
        <v xml:space="preserve">  TOTAL</v>
      </c>
      <c r="D673" s="344"/>
      <c r="E673" s="196"/>
      <c r="F673" s="480">
        <f>SUM(F667:F672)</f>
        <v>1223750252</v>
      </c>
      <c r="G673" s="521">
        <f>SUM(G668:G672)</f>
        <v>1</v>
      </c>
      <c r="I673" s="332"/>
    </row>
    <row r="674" spans="1:9">
      <c r="A674" s="333">
        <v>9</v>
      </c>
      <c r="D674" s="344"/>
      <c r="E674" s="196"/>
      <c r="I674" s="332"/>
    </row>
    <row r="675" spans="1:9">
      <c r="A675" s="333">
        <v>10</v>
      </c>
      <c r="B675" s="332" t="s">
        <v>86</v>
      </c>
      <c r="D675" s="344"/>
      <c r="E675" s="196"/>
      <c r="I675" s="332"/>
    </row>
    <row r="676" spans="1:9">
      <c r="A676" s="333">
        <v>11</v>
      </c>
      <c r="C676" s="332" t="str">
        <f>'FR-16(7)(v)-1 Functional'!C676</f>
        <v>LONG TERM DEBT</v>
      </c>
      <c r="D676" s="344"/>
      <c r="E676" s="196"/>
      <c r="F676" s="586">
        <f>'FR-16(7)(v)-1 Functional'!$F$676</f>
        <v>4.3979999999999998E-2</v>
      </c>
      <c r="G676" s="522"/>
      <c r="I676" s="332"/>
    </row>
    <row r="677" spans="1:9">
      <c r="A677" s="333">
        <v>12</v>
      </c>
      <c r="C677" s="332" t="str">
        <f>'FR-16(7)(v)-1 Functional'!C677</f>
        <v>PREFERRED STOCK</v>
      </c>
      <c r="D677" s="344"/>
      <c r="E677" s="196"/>
      <c r="F677" s="586">
        <f>'FR-16(7)(v)-1 Functional'!$F$677</f>
        <v>0</v>
      </c>
      <c r="G677" s="522"/>
      <c r="I677" s="332"/>
    </row>
    <row r="678" spans="1:9">
      <c r="A678" s="333">
        <v>13</v>
      </c>
      <c r="C678" s="332" t="str">
        <f>'FR-16(7)(v)-1 Functional'!C678</f>
        <v>COMMON STOCK</v>
      </c>
      <c r="D678" s="344"/>
      <c r="E678" s="196"/>
      <c r="F678" s="586">
        <f>'FR-16(7)(v)-1 Functional'!$F$678</f>
        <v>9.9000000000000005E-2</v>
      </c>
      <c r="G678" s="522"/>
      <c r="I678" s="332"/>
    </row>
    <row r="679" spans="1:9">
      <c r="A679" s="333">
        <v>14</v>
      </c>
      <c r="C679" s="332" t="str">
        <f>'FR-16(7)(v)-1 Functional'!C679</f>
        <v>SHORT TERM DEBT</v>
      </c>
      <c r="D679" s="344"/>
      <c r="E679" s="196"/>
      <c r="F679" s="586">
        <f>'FR-16(7)(v)-1 Functional'!$F$679</f>
        <v>4.2500000000000003E-2</v>
      </c>
      <c r="G679" s="522"/>
      <c r="I679" s="332"/>
    </row>
    <row r="680" spans="1:9">
      <c r="A680" s="333">
        <v>15</v>
      </c>
      <c r="C680" s="332" t="str">
        <f>'FR-16(7)(v)-1 Functional'!C680</f>
        <v>UNAMORTIZED DISCOUNT</v>
      </c>
      <c r="D680" s="344"/>
      <c r="E680" s="196"/>
      <c r="F680" s="586">
        <f>'FR-16(7)(v)-1 Functional'!$F$680</f>
        <v>0</v>
      </c>
      <c r="G680" s="522"/>
      <c r="I680" s="332"/>
    </row>
    <row r="681" spans="1:9">
      <c r="A681" s="333">
        <v>16</v>
      </c>
      <c r="D681" s="344"/>
      <c r="E681" s="196"/>
      <c r="I681" s="332"/>
    </row>
    <row r="682" spans="1:9">
      <c r="A682" s="333">
        <v>17</v>
      </c>
      <c r="B682" s="332" t="s">
        <v>87</v>
      </c>
      <c r="D682" s="344"/>
      <c r="E682" s="196"/>
      <c r="I682" s="332"/>
    </row>
    <row r="683" spans="1:9">
      <c r="A683" s="333">
        <v>18</v>
      </c>
      <c r="C683" s="332" t="str">
        <f>'FR-16(7)(v)-1 Functional'!C683</f>
        <v>LONG TERM DEBT</v>
      </c>
      <c r="D683" s="344"/>
      <c r="E683" s="196"/>
      <c r="F683" s="350">
        <f>ROUND(G668*F676,5)</f>
        <v>1.8620000000000001E-2</v>
      </c>
      <c r="G683" s="520"/>
      <c r="I683" s="332"/>
    </row>
    <row r="684" spans="1:9">
      <c r="A684" s="333">
        <v>19</v>
      </c>
      <c r="C684" s="332" t="str">
        <f>'FR-16(7)(v)-1 Functional'!C684</f>
        <v>PREFERRED STOCK</v>
      </c>
      <c r="D684" s="344"/>
      <c r="E684" s="196"/>
      <c r="F684" s="350">
        <f>ROUND(G669*F677,5)</f>
        <v>0</v>
      </c>
      <c r="G684" s="520"/>
      <c r="I684" s="332"/>
    </row>
    <row r="685" spans="1:9">
      <c r="A685" s="333">
        <v>20</v>
      </c>
      <c r="C685" s="332" t="str">
        <f>'FR-16(7)(v)-1 Functional'!C685</f>
        <v>COMMON STOCK</v>
      </c>
      <c r="D685" s="344"/>
      <c r="E685" s="196"/>
      <c r="F685" s="350">
        <f>ROUND(G670*F678,5)</f>
        <v>5.0250000000000003E-2</v>
      </c>
      <c r="G685" s="520"/>
      <c r="I685" s="332"/>
    </row>
    <row r="686" spans="1:9">
      <c r="A686" s="333">
        <v>21</v>
      </c>
      <c r="C686" s="332" t="str">
        <f>'FR-16(7)(v)-1 Functional'!C686</f>
        <v>SHORT TERM DEBT</v>
      </c>
      <c r="D686" s="344"/>
      <c r="E686" s="196"/>
      <c r="F686" s="350">
        <f>ROUND(G671*F679,5)</f>
        <v>2.9399999999999999E-3</v>
      </c>
      <c r="G686" s="520"/>
      <c r="I686" s="332"/>
    </row>
    <row r="687" spans="1:9">
      <c r="A687" s="333">
        <v>22</v>
      </c>
      <c r="C687" s="332" t="str">
        <f>'FR-16(7)(v)-1 Functional'!C687</f>
        <v>UNAMORTIZED DISCOUNT</v>
      </c>
      <c r="D687" s="344"/>
      <c r="E687" s="196"/>
      <c r="F687" s="350">
        <f>ROUND(G672*F680,5)</f>
        <v>0</v>
      </c>
      <c r="G687" s="520"/>
      <c r="H687" s="353"/>
      <c r="I687" s="332"/>
    </row>
    <row r="688" spans="1:9">
      <c r="A688" s="333">
        <v>23</v>
      </c>
      <c r="C688" s="332" t="str">
        <f>'FR-16(7)(v)-1 Functional'!C688</f>
        <v xml:space="preserve">  TOT RATE OF RETURN ALLOWABLE</v>
      </c>
      <c r="D688" s="344"/>
      <c r="E688" s="196"/>
      <c r="F688" s="1487">
        <f>SUM(F683:F687)</f>
        <v>7.1809999999999999E-2</v>
      </c>
      <c r="G688" s="524"/>
      <c r="H688" s="353"/>
      <c r="I688" s="332"/>
    </row>
    <row r="689" spans="1:12">
      <c r="A689" s="333">
        <v>24</v>
      </c>
      <c r="D689" s="344"/>
      <c r="E689" s="196"/>
      <c r="H689" s="353"/>
      <c r="I689" s="332"/>
    </row>
    <row r="690" spans="1:12">
      <c r="A690" s="333">
        <v>25</v>
      </c>
      <c r="B690" s="332" t="s">
        <v>88</v>
      </c>
      <c r="D690" s="344"/>
      <c r="E690" s="196"/>
      <c r="H690" s="353"/>
      <c r="I690" s="332"/>
    </row>
    <row r="691" spans="1:12">
      <c r="A691" s="333">
        <v>26</v>
      </c>
      <c r="C691" s="332" t="str">
        <f>'FR-16(7)(v)-1 Functional'!C691</f>
        <v>SHORT TERM DEBT COST</v>
      </c>
      <c r="D691" s="344"/>
      <c r="E691" s="196"/>
      <c r="F691" s="766">
        <v>0</v>
      </c>
      <c r="G691" s="525">
        <f t="shared" ref="G691:L691" si="142">$F$691</f>
        <v>0</v>
      </c>
      <c r="H691" s="525">
        <f t="shared" si="142"/>
        <v>0</v>
      </c>
      <c r="I691" s="525">
        <f t="shared" si="142"/>
        <v>0</v>
      </c>
      <c r="J691" s="525">
        <f t="shared" si="142"/>
        <v>0</v>
      </c>
      <c r="K691" s="525">
        <f t="shared" si="142"/>
        <v>0</v>
      </c>
      <c r="L691" s="525">
        <f t="shared" si="142"/>
        <v>0</v>
      </c>
    </row>
    <row r="692" spans="1:12">
      <c r="A692" s="333">
        <v>27</v>
      </c>
      <c r="C692" s="332" t="str">
        <f>'FR-16(7)(v)-1 Functional'!C692</f>
        <v>FEDERAL INCOME TAX RATE</v>
      </c>
      <c r="D692" s="344"/>
      <c r="E692" s="196"/>
      <c r="F692" s="525">
        <f t="shared" ref="F692:L692" si="143">FIT</f>
        <v>0.21</v>
      </c>
      <c r="G692" s="525">
        <f t="shared" si="143"/>
        <v>0.21</v>
      </c>
      <c r="H692" s="525">
        <f t="shared" si="143"/>
        <v>0.21</v>
      </c>
      <c r="I692" s="525">
        <f t="shared" si="143"/>
        <v>0.21</v>
      </c>
      <c r="J692" s="525">
        <f t="shared" si="143"/>
        <v>0.21</v>
      </c>
      <c r="K692" s="525">
        <f t="shared" si="143"/>
        <v>0.21</v>
      </c>
      <c r="L692" s="525">
        <f t="shared" si="143"/>
        <v>0.21</v>
      </c>
    </row>
    <row r="693" spans="1:12">
      <c r="A693" s="333">
        <v>28</v>
      </c>
      <c r="C693" s="332" t="str">
        <f>'FR-16(7)(v)-1 Functional'!C693</f>
        <v>STATE INCOME TAX RATE</v>
      </c>
      <c r="D693" s="344"/>
      <c r="E693" s="196"/>
      <c r="F693" s="525">
        <f t="shared" ref="F693:L693" si="144">SIT</f>
        <v>4.9685000000000007E-2</v>
      </c>
      <c r="G693" s="525">
        <f t="shared" si="144"/>
        <v>4.9685000000000007E-2</v>
      </c>
      <c r="H693" s="525">
        <f t="shared" si="144"/>
        <v>4.9685000000000007E-2</v>
      </c>
      <c r="I693" s="525">
        <f t="shared" si="144"/>
        <v>4.9685000000000007E-2</v>
      </c>
      <c r="J693" s="525">
        <f t="shared" si="144"/>
        <v>4.9685000000000007E-2</v>
      </c>
      <c r="K693" s="525">
        <f t="shared" si="144"/>
        <v>4.9685000000000007E-2</v>
      </c>
      <c r="L693" s="525">
        <f t="shared" si="144"/>
        <v>4.9685000000000007E-2</v>
      </c>
    </row>
    <row r="694" spans="1:12">
      <c r="A694" s="333">
        <v>29</v>
      </c>
      <c r="C694" s="332" t="str">
        <f>'FR-16(7)(v)-1 Functional'!C694</f>
        <v>REVENUE TAX RATE</v>
      </c>
      <c r="D694" s="344"/>
      <c r="E694" s="196"/>
      <c r="F694" s="522">
        <v>0</v>
      </c>
      <c r="G694" s="525">
        <f t="shared" ref="G694:L694" si="145">RevTax</f>
        <v>0</v>
      </c>
      <c r="H694" s="525">
        <f t="shared" si="145"/>
        <v>0</v>
      </c>
      <c r="I694" s="525">
        <f t="shared" si="145"/>
        <v>0</v>
      </c>
      <c r="J694" s="525">
        <f t="shared" si="145"/>
        <v>0</v>
      </c>
      <c r="K694" s="525">
        <f t="shared" si="145"/>
        <v>0</v>
      </c>
      <c r="L694" s="525">
        <f t="shared" si="145"/>
        <v>0</v>
      </c>
    </row>
    <row r="696" spans="1:12">
      <c r="A696" s="343"/>
      <c r="C696" s="196"/>
      <c r="D696" s="344"/>
      <c r="E696" s="196"/>
      <c r="F696" s="344"/>
      <c r="G696" s="342"/>
      <c r="H696" s="342"/>
      <c r="I696" s="196"/>
      <c r="J696" s="344"/>
      <c r="K696" s="196"/>
    </row>
    <row r="697" spans="1:12">
      <c r="A697" s="343"/>
      <c r="C697" s="196"/>
      <c r="D697" s="344"/>
      <c r="E697" s="196"/>
      <c r="F697" s="344"/>
      <c r="G697" s="342"/>
      <c r="H697" s="342"/>
      <c r="I697" s="196"/>
      <c r="J697" s="344"/>
      <c r="K697" s="196"/>
    </row>
    <row r="698" spans="1:12">
      <c r="A698" s="343"/>
      <c r="C698" s="196"/>
      <c r="D698" s="344"/>
      <c r="E698" s="196"/>
      <c r="F698" s="344"/>
      <c r="G698" s="342"/>
      <c r="H698" s="342"/>
      <c r="I698" s="196"/>
      <c r="J698" s="344"/>
      <c r="K698" s="196"/>
    </row>
    <row r="699" spans="1:12">
      <c r="A699" s="343"/>
      <c r="C699" s="196"/>
      <c r="D699" s="344"/>
      <c r="E699" s="196"/>
      <c r="F699" s="344"/>
      <c r="G699" s="342"/>
      <c r="H699" s="342"/>
      <c r="I699" s="196"/>
      <c r="J699" s="344"/>
      <c r="K699" s="196"/>
    </row>
    <row r="700" spans="1:12">
      <c r="A700" s="343"/>
      <c r="C700" s="196"/>
      <c r="D700" s="344"/>
      <c r="E700" s="196"/>
      <c r="F700" s="344"/>
      <c r="G700" s="342"/>
      <c r="H700" s="342"/>
      <c r="I700" s="196"/>
      <c r="J700" s="344"/>
      <c r="K700" s="196"/>
    </row>
    <row r="747" spans="1:11">
      <c r="A747" s="343"/>
      <c r="C747" s="196"/>
      <c r="D747" s="344"/>
      <c r="E747" s="196"/>
      <c r="F747" s="344"/>
      <c r="G747" s="342"/>
      <c r="H747" s="342"/>
      <c r="I747" s="196"/>
      <c r="J747" s="344"/>
      <c r="K747" s="196"/>
    </row>
    <row r="748" spans="1:11">
      <c r="A748" s="343"/>
      <c r="C748" s="196"/>
      <c r="D748" s="344"/>
      <c r="E748" s="196"/>
      <c r="F748" s="344"/>
      <c r="G748" s="342"/>
      <c r="H748" s="342"/>
      <c r="I748" s="196"/>
      <c r="J748" s="344"/>
      <c r="K748" s="196"/>
    </row>
    <row r="749" spans="1:11">
      <c r="A749" s="343"/>
      <c r="C749" s="196"/>
      <c r="D749" s="344"/>
      <c r="E749" s="196"/>
      <c r="F749" s="344"/>
      <c r="G749" s="342"/>
      <c r="H749" s="342"/>
      <c r="I749" s="196"/>
      <c r="J749" s="344"/>
      <c r="K749" s="196"/>
    </row>
    <row r="750" spans="1:11">
      <c r="A750" s="343"/>
      <c r="C750" s="196"/>
      <c r="D750" s="344"/>
      <c r="E750" s="196"/>
      <c r="F750" s="344"/>
      <c r="G750" s="342"/>
      <c r="H750" s="342"/>
      <c r="I750" s="196"/>
      <c r="J750" s="344"/>
      <c r="K750" s="196"/>
    </row>
    <row r="751" spans="1:11">
      <c r="A751" s="343"/>
      <c r="C751" s="196"/>
      <c r="D751" s="344"/>
      <c r="E751" s="196"/>
      <c r="F751" s="344"/>
      <c r="G751" s="342"/>
      <c r="H751" s="342"/>
      <c r="I751" s="196"/>
      <c r="J751" s="344"/>
      <c r="K751" s="196"/>
    </row>
    <row r="805" spans="1:11">
      <c r="A805" s="343"/>
      <c r="C805" s="196"/>
      <c r="D805" s="344"/>
      <c r="E805" s="196"/>
      <c r="F805" s="344"/>
      <c r="G805" s="342"/>
      <c r="H805" s="342"/>
      <c r="I805" s="196"/>
      <c r="J805" s="344"/>
      <c r="K805" s="196"/>
    </row>
    <row r="806" spans="1:11">
      <c r="A806" s="343"/>
      <c r="C806" s="196"/>
      <c r="D806" s="344"/>
      <c r="E806" s="196"/>
      <c r="F806" s="344"/>
      <c r="G806" s="342"/>
      <c r="H806" s="342"/>
      <c r="I806" s="196"/>
      <c r="J806" s="344"/>
      <c r="K806" s="196"/>
    </row>
    <row r="807" spans="1:11">
      <c r="A807" s="343"/>
      <c r="C807" s="196"/>
      <c r="D807" s="344"/>
      <c r="E807" s="196"/>
      <c r="F807" s="344"/>
      <c r="G807" s="342"/>
      <c r="H807" s="342"/>
      <c r="I807" s="196"/>
      <c r="J807" s="344"/>
      <c r="K807" s="196"/>
    </row>
    <row r="808" spans="1:11">
      <c r="A808" s="343"/>
      <c r="C808" s="196"/>
      <c r="D808" s="344"/>
      <c r="E808" s="196"/>
      <c r="F808" s="344"/>
      <c r="G808" s="342"/>
      <c r="H808" s="342"/>
      <c r="I808" s="196"/>
      <c r="J808" s="344"/>
      <c r="K808" s="196"/>
    </row>
    <row r="809" spans="1:11">
      <c r="A809" s="343"/>
      <c r="C809" s="196"/>
      <c r="D809" s="344"/>
      <c r="E809" s="196"/>
      <c r="F809" s="344"/>
      <c r="G809" s="342"/>
      <c r="H809" s="342"/>
      <c r="I809" s="196"/>
      <c r="J809" s="344"/>
      <c r="K809" s="196"/>
    </row>
    <row r="861" spans="1:12" ht="20.25">
      <c r="A861" s="1192" t="s">
        <v>1215</v>
      </c>
    </row>
    <row r="863" spans="1:12">
      <c r="A863" s="344" t="s">
        <v>914</v>
      </c>
      <c r="B863" s="196"/>
      <c r="C863" s="196"/>
      <c r="D863" s="344"/>
      <c r="E863" s="196"/>
      <c r="F863" s="344" t="str">
        <f>$F$8</f>
        <v>CLASS</v>
      </c>
      <c r="G863" s="344" t="s">
        <v>418</v>
      </c>
      <c r="H863" s="344" t="s">
        <v>864</v>
      </c>
      <c r="I863" s="344" t="s">
        <v>865</v>
      </c>
      <c r="J863" s="344" t="s">
        <v>549</v>
      </c>
      <c r="K863" s="344" t="s">
        <v>229</v>
      </c>
      <c r="L863" s="344" t="s">
        <v>342</v>
      </c>
    </row>
    <row r="864" spans="1:12">
      <c r="A864" s="346" t="s">
        <v>915</v>
      </c>
      <c r="B864" s="345" t="s">
        <v>99</v>
      </c>
      <c r="C864" s="345"/>
      <c r="D864" s="346" t="s">
        <v>337</v>
      </c>
      <c r="E864" s="345"/>
      <c r="F864" s="344" t="str">
        <f>$F$9</f>
        <v>ALLOCATED</v>
      </c>
      <c r="G864" s="346" t="s">
        <v>338</v>
      </c>
      <c r="H864" s="346" t="s">
        <v>405</v>
      </c>
      <c r="I864" s="346" t="s">
        <v>405</v>
      </c>
      <c r="J864" s="346" t="s">
        <v>550</v>
      </c>
      <c r="K864" s="346" t="s">
        <v>341</v>
      </c>
      <c r="L864" s="346" t="s">
        <v>340</v>
      </c>
    </row>
    <row r="865" spans="1:12">
      <c r="B865" s="196"/>
      <c r="C865" s="578" t="s">
        <v>4</v>
      </c>
      <c r="D865" s="344"/>
      <c r="E865" s="196"/>
      <c r="F865" s="761"/>
      <c r="G865" s="633">
        <f>$G$10</f>
        <v>3</v>
      </c>
      <c r="H865" s="633">
        <f>$H$10</f>
        <v>4</v>
      </c>
      <c r="I865" s="633">
        <f>$I$10</f>
        <v>5</v>
      </c>
      <c r="J865" s="633">
        <f>$J$10</f>
        <v>6</v>
      </c>
    </row>
    <row r="866" spans="1:12">
      <c r="A866" s="333">
        <v>1</v>
      </c>
      <c r="B866" s="332" t="s">
        <v>100</v>
      </c>
      <c r="D866" s="344"/>
      <c r="E866" s="196"/>
      <c r="I866" s="332"/>
    </row>
    <row r="867" spans="1:12">
      <c r="A867" s="333">
        <v>2</v>
      </c>
      <c r="C867" s="332" t="str">
        <f>'FR-16(7)(v)-1 Functional'!C867</f>
        <v>TOTAL GAS COST OF SERVICE</v>
      </c>
      <c r="D867" s="344"/>
      <c r="E867" s="196"/>
      <c r="F867" s="347">
        <f t="shared" ref="F867:L867" si="146">F647</f>
        <v>104999594.0676</v>
      </c>
      <c r="G867" s="347">
        <f t="shared" ca="1" si="146"/>
        <v>66450668</v>
      </c>
      <c r="H867" s="347">
        <f t="shared" si="146"/>
        <v>25585442</v>
      </c>
      <c r="I867" s="347">
        <f t="shared" ca="1" si="146"/>
        <v>11765706</v>
      </c>
      <c r="J867" s="347">
        <f t="shared" si="146"/>
        <v>1197780</v>
      </c>
      <c r="K867" s="347">
        <f t="shared" ca="1" si="146"/>
        <v>104999596</v>
      </c>
      <c r="L867" s="347">
        <f t="shared" ca="1" si="146"/>
        <v>1.9324000030755997</v>
      </c>
    </row>
    <row r="868" spans="1:12">
      <c r="A868" s="333">
        <v>3</v>
      </c>
      <c r="C868" s="359" t="str">
        <f>'FR-16(7)(v)-1 Functional'!C868</f>
        <v>TOTAL OTHER OPERATING REVENUES</v>
      </c>
      <c r="D868" s="344"/>
      <c r="E868" s="196"/>
      <c r="F868" s="347">
        <f>F630</f>
        <v>94257</v>
      </c>
      <c r="G868" s="347">
        <f>$G$630</f>
        <v>78649</v>
      </c>
      <c r="H868" s="347">
        <f>$H$630</f>
        <v>12450</v>
      </c>
      <c r="I868" s="347">
        <f>$I$630</f>
        <v>2592</v>
      </c>
      <c r="J868" s="347">
        <f>$J$630</f>
        <v>566</v>
      </c>
      <c r="K868" s="347">
        <f>$K$630</f>
        <v>94257</v>
      </c>
      <c r="L868" s="347">
        <f>$L$630</f>
        <v>0</v>
      </c>
    </row>
    <row r="869" spans="1:12">
      <c r="A869" s="333">
        <v>4</v>
      </c>
      <c r="C869" s="332" t="str">
        <f>'FR-16(7)(v)-1 Functional'!C869</f>
        <v xml:space="preserve">  TOTAL GAS REVENUE</v>
      </c>
      <c r="D869" s="344"/>
      <c r="E869" s="196"/>
      <c r="F869" s="348">
        <f t="shared" ref="F869:L869" si="147">SUM(F866:F868)</f>
        <v>105093851.0676</v>
      </c>
      <c r="G869" s="348">
        <f t="shared" ca="1" si="147"/>
        <v>66529317</v>
      </c>
      <c r="H869" s="348">
        <f t="shared" si="147"/>
        <v>25597892</v>
      </c>
      <c r="I869" s="348">
        <f t="shared" ca="1" si="147"/>
        <v>11768298</v>
      </c>
      <c r="J869" s="348">
        <f t="shared" si="147"/>
        <v>1198346</v>
      </c>
      <c r="K869" s="348">
        <f t="shared" ca="1" si="147"/>
        <v>105093853</v>
      </c>
      <c r="L869" s="348">
        <f t="shared" ca="1" si="147"/>
        <v>1.9324000030755997</v>
      </c>
    </row>
    <row r="870" spans="1:12">
      <c r="A870" s="333">
        <v>5</v>
      </c>
      <c r="C870" s="332" t="str">
        <f>'FR-16(7)(v)-1 Functional'!C870</f>
        <v>TOTAL OP EXP EX INC &amp; REV TAX</v>
      </c>
      <c r="D870" s="344"/>
      <c r="E870" s="196"/>
      <c r="F870" s="347">
        <f>-F501</f>
        <v>-79241931.067599997</v>
      </c>
      <c r="G870" s="347">
        <f>-$G$501</f>
        <v>-48894078</v>
      </c>
      <c r="H870" s="347">
        <f>-$H$501</f>
        <v>-19643358</v>
      </c>
      <c r="I870" s="347">
        <f>-$I$501</f>
        <v>-9977384</v>
      </c>
      <c r="J870" s="347">
        <f>-$J$501</f>
        <v>-727111</v>
      </c>
      <c r="K870" s="512">
        <f>-$K$501</f>
        <v>-79241931</v>
      </c>
      <c r="L870" s="347">
        <f>-$L$501</f>
        <v>-6.7599999994854443E-2</v>
      </c>
    </row>
    <row r="871" spans="1:12">
      <c r="A871" s="333">
        <v>6</v>
      </c>
      <c r="C871" s="359" t="str">
        <f>'FR-16(7)(v)-1 Functional'!C871</f>
        <v>FIRM SERVICE REVENUE TAX</v>
      </c>
      <c r="D871" s="344"/>
      <c r="E871" s="196"/>
      <c r="F871" s="347">
        <f>-ROUND(F694*F867,0)</f>
        <v>0</v>
      </c>
      <c r="G871" s="347">
        <f ca="1">F871-SUM(H871:J871)</f>
        <v>0</v>
      </c>
      <c r="H871" s="347">
        <f>-ROUND(H694*H867,0)</f>
        <v>0</v>
      </c>
      <c r="I871" s="347">
        <f ca="1">-ROUND(I694*I867,0)</f>
        <v>0</v>
      </c>
      <c r="J871" s="347">
        <f>-ROUND(J694*J867,0)</f>
        <v>0</v>
      </c>
      <c r="K871" s="510">
        <f ca="1">SUM(G871:J871)</f>
        <v>0</v>
      </c>
      <c r="L871" s="347">
        <f ca="1">-ROUND('FR-16(7)(v)-1 Functional'!K694*L867,0)</f>
        <v>0</v>
      </c>
    </row>
    <row r="872" spans="1:12">
      <c r="A872" s="333">
        <v>7</v>
      </c>
      <c r="C872" s="332" t="str">
        <f>'FR-16(7)(v)-1 Functional'!C872</f>
        <v xml:space="preserve">  NET INCOME</v>
      </c>
      <c r="D872" s="344"/>
      <c r="E872" s="196"/>
      <c r="F872" s="348">
        <f>SUM(F869:F871)</f>
        <v>25851920</v>
      </c>
      <c r="G872" s="348">
        <f ca="1">SUM(G869:G871)</f>
        <v>17635239</v>
      </c>
      <c r="H872" s="348">
        <f>SUM(H869:H871)</f>
        <v>5954534</v>
      </c>
      <c r="I872" s="348">
        <f ca="1">SUM(I869:I871)</f>
        <v>1790914</v>
      </c>
      <c r="J872" s="348">
        <f>SUM(J869:J871)</f>
        <v>471235</v>
      </c>
      <c r="K872" s="348">
        <f ca="1">SUM(G872:J872)</f>
        <v>25851922</v>
      </c>
      <c r="L872" s="348">
        <f ca="1">SUM(L869:L871)</f>
        <v>1.8648000030807452</v>
      </c>
    </row>
    <row r="873" spans="1:12">
      <c r="A873" s="333">
        <v>8</v>
      </c>
      <c r="D873" s="344"/>
      <c r="E873" s="196"/>
      <c r="I873" s="332"/>
    </row>
    <row r="874" spans="1:12">
      <c r="A874" s="333">
        <v>9</v>
      </c>
      <c r="B874" s="332" t="s">
        <v>101</v>
      </c>
      <c r="D874" s="344"/>
      <c r="E874" s="196"/>
      <c r="I874" s="332"/>
    </row>
    <row r="875" spans="1:12">
      <c r="A875" s="333">
        <v>10</v>
      </c>
      <c r="C875" s="332" t="str">
        <f>'FR-16(7)(v)-1 Functional'!C875</f>
        <v>TOTAL INTEREST EXPENSE</v>
      </c>
      <c r="D875" s="344"/>
      <c r="E875" s="196"/>
      <c r="F875" s="347">
        <f>-F516</f>
        <v>-6761503</v>
      </c>
      <c r="G875" s="347">
        <f>-$G$516</f>
        <v>-4664691</v>
      </c>
      <c r="H875" s="347">
        <f>-$H$516</f>
        <v>-1538255</v>
      </c>
      <c r="I875" s="347">
        <f>-$I$516</f>
        <v>-432697</v>
      </c>
      <c r="J875" s="347">
        <f>-$J$516</f>
        <v>-125860</v>
      </c>
      <c r="K875" s="347">
        <f>-$K$516</f>
        <v>-6761503</v>
      </c>
      <c r="L875" s="347">
        <f>-$L$516</f>
        <v>0</v>
      </c>
    </row>
    <row r="876" spans="1:12">
      <c r="A876" s="333">
        <v>11</v>
      </c>
      <c r="C876" s="359" t="str">
        <f>'FR-16(7)(v)-1 Functional'!C876</f>
        <v>TOTAL OTHER DEDUCTIONS</v>
      </c>
      <c r="D876" s="344"/>
      <c r="E876" s="196"/>
      <c r="F876" s="347">
        <f>-F522</f>
        <v>-6601028</v>
      </c>
      <c r="G876" s="347">
        <f>-$G$522</f>
        <v>-4605120</v>
      </c>
      <c r="H876" s="347">
        <f>-$H$522</f>
        <v>-1475173</v>
      </c>
      <c r="I876" s="347">
        <f>-$I$522</f>
        <v>-407593</v>
      </c>
      <c r="J876" s="347">
        <f>-$J$522</f>
        <v>-113142</v>
      </c>
      <c r="K876" s="347">
        <f>-$K$522</f>
        <v>-6601028</v>
      </c>
      <c r="L876" s="347">
        <f>-$L$522</f>
        <v>0</v>
      </c>
    </row>
    <row r="877" spans="1:12">
      <c r="A877" s="333">
        <v>12</v>
      </c>
      <c r="C877" s="332" t="str">
        <f>'FR-16(7)(v)-1 Functional'!C877</f>
        <v xml:space="preserve">  PRELIMINARY TAXABLE INCOME</v>
      </c>
      <c r="D877" s="344"/>
      <c r="E877" s="196"/>
      <c r="F877" s="348">
        <f>SUM(F874:F876)+F872</f>
        <v>12489389</v>
      </c>
      <c r="G877" s="348">
        <f ca="1">SUM(G874:G876)+G872</f>
        <v>8365428</v>
      </c>
      <c r="H877" s="348">
        <f>SUM(H874:H876)+H872</f>
        <v>2941106</v>
      </c>
      <c r="I877" s="348">
        <f ca="1">SUM(I874:I876)+I872</f>
        <v>950624</v>
      </c>
      <c r="J877" s="348">
        <f>SUM(J874:J876)+J872</f>
        <v>232233</v>
      </c>
      <c r="K877" s="348">
        <f ca="1">SUM(G877:J877)</f>
        <v>12489391</v>
      </c>
      <c r="L877" s="348">
        <f ca="1">SUM(L874:L876)+L872</f>
        <v>1.8648000030807452</v>
      </c>
    </row>
    <row r="878" spans="1:12">
      <c r="A878" s="333">
        <v>13</v>
      </c>
      <c r="D878" s="344"/>
      <c r="E878" s="196"/>
      <c r="I878" s="332"/>
    </row>
    <row r="879" spans="1:12">
      <c r="A879" s="333">
        <v>14</v>
      </c>
      <c r="B879" s="332" t="s">
        <v>99</v>
      </c>
      <c r="D879" s="344"/>
      <c r="E879" s="196"/>
      <c r="I879" s="332"/>
    </row>
    <row r="880" spans="1:12">
      <c r="A880" s="333">
        <v>15</v>
      </c>
      <c r="B880" s="332" t="s">
        <v>74</v>
      </c>
      <c r="D880" s="344"/>
      <c r="E880" s="196"/>
      <c r="I880" s="332"/>
    </row>
    <row r="881" spans="1:12">
      <c r="A881" s="333">
        <v>16</v>
      </c>
      <c r="C881" s="332" t="str">
        <f>'FR-16(7)(v)-1 Functional'!C881</f>
        <v>PRELIMINARY TAXABLE INCOME</v>
      </c>
      <c r="D881" s="344"/>
      <c r="E881" s="196"/>
      <c r="F881" s="347">
        <f t="shared" ref="F881:L881" si="148">F877</f>
        <v>12489389</v>
      </c>
      <c r="G881" s="347">
        <f t="shared" ca="1" si="148"/>
        <v>8365428</v>
      </c>
      <c r="H881" s="347">
        <f t="shared" si="148"/>
        <v>2941106</v>
      </c>
      <c r="I881" s="347">
        <f t="shared" ca="1" si="148"/>
        <v>950624</v>
      </c>
      <c r="J881" s="347">
        <f t="shared" si="148"/>
        <v>232233</v>
      </c>
      <c r="K881" s="347">
        <f t="shared" ca="1" si="148"/>
        <v>12489391</v>
      </c>
      <c r="L881" s="347">
        <f t="shared" ca="1" si="148"/>
        <v>1.8648000030807452</v>
      </c>
    </row>
    <row r="882" spans="1:12">
      <c r="A882" s="333">
        <v>17</v>
      </c>
      <c r="C882" s="332" t="str">
        <f>'FR-16(7)(v)-1 Functional'!C882</f>
        <v xml:space="preserve">  NET FEDERAL TAXABLE INCOME</v>
      </c>
      <c r="D882" s="344"/>
      <c r="E882" s="196"/>
      <c r="F882" s="347">
        <f t="shared" ref="F882:L882" si="149">SUM(F881:F881)</f>
        <v>12489389</v>
      </c>
      <c r="G882" s="347">
        <f t="shared" ca="1" si="149"/>
        <v>8365428</v>
      </c>
      <c r="H882" s="347">
        <f t="shared" si="149"/>
        <v>2941106</v>
      </c>
      <c r="I882" s="347">
        <f t="shared" ca="1" si="149"/>
        <v>950624</v>
      </c>
      <c r="J882" s="347">
        <f t="shared" si="149"/>
        <v>232233</v>
      </c>
      <c r="K882" s="347">
        <f t="shared" ca="1" si="149"/>
        <v>12489391</v>
      </c>
      <c r="L882" s="347">
        <f t="shared" ca="1" si="149"/>
        <v>1.8648000030807452</v>
      </c>
    </row>
    <row r="883" spans="1:12">
      <c r="A883" s="333">
        <v>18</v>
      </c>
      <c r="C883" s="332" t="str">
        <f>'FR-16(7)(v)-1 Functional'!C883</f>
        <v xml:space="preserve">  FEDERAL INCOME TAX RATE</v>
      </c>
      <c r="D883" s="344"/>
      <c r="E883" s="196"/>
      <c r="F883" s="350">
        <f>F692</f>
        <v>0.21</v>
      </c>
      <c r="G883" s="350">
        <f>G692</f>
        <v>0.21</v>
      </c>
      <c r="H883" s="350">
        <f>H692</f>
        <v>0.21</v>
      </c>
      <c r="I883" s="350">
        <f>I692</f>
        <v>0.21</v>
      </c>
      <c r="J883" s="350">
        <f>J692</f>
        <v>0.21</v>
      </c>
      <c r="K883" s="350"/>
      <c r="L883" s="350">
        <f>'FR-16(7)(v)-1 Functional'!K692</f>
        <v>0.21</v>
      </c>
    </row>
    <row r="884" spans="1:12">
      <c r="A884" s="333">
        <v>19</v>
      </c>
      <c r="C884" s="332" t="str">
        <f>'FR-16(7)(v)-1 Functional'!C884</f>
        <v>PRELIMINARY FIT = FI01 * K190</v>
      </c>
      <c r="D884" s="344"/>
      <c r="E884" s="196"/>
      <c r="F884" s="347">
        <f>ROUND(F883*F882,0)</f>
        <v>2622772</v>
      </c>
      <c r="G884" s="347">
        <f ca="1">F884-SUM(H884:J884)</f>
        <v>1756740</v>
      </c>
      <c r="H884" s="347">
        <f>ROUND(H883*H882,0)</f>
        <v>617632</v>
      </c>
      <c r="I884" s="347">
        <f ca="1">ROUND(I883*I882,0)</f>
        <v>199631</v>
      </c>
      <c r="J884" s="347">
        <f>ROUND(J883*J882,0)</f>
        <v>48769</v>
      </c>
      <c r="K884" s="347">
        <f ca="1">SUM(G884:J884)</f>
        <v>2622772</v>
      </c>
      <c r="L884" s="347">
        <f ca="1">ROUND(L883*L882,0)</f>
        <v>0</v>
      </c>
    </row>
    <row r="885" spans="1:12">
      <c r="A885" s="333">
        <v>20</v>
      </c>
      <c r="C885" s="332" t="str">
        <f>'FR-16(7)(v)-1 Functional'!C885</f>
        <v>TOTAL FED DEF IT (410 &amp; 411)</v>
      </c>
      <c r="D885" s="344"/>
      <c r="E885" s="196"/>
      <c r="F885" s="347">
        <f>F532</f>
        <v>675483</v>
      </c>
      <c r="G885" s="347">
        <f>$G$532</f>
        <v>318805</v>
      </c>
      <c r="H885" s="347">
        <f>$H$532</f>
        <v>205981</v>
      </c>
      <c r="I885" s="347">
        <f>$I$532</f>
        <v>148093</v>
      </c>
      <c r="J885" s="347">
        <f>$J$532</f>
        <v>2604</v>
      </c>
      <c r="K885" s="347">
        <f>$K$532</f>
        <v>675483</v>
      </c>
      <c r="L885" s="347">
        <f>$L$532</f>
        <v>0</v>
      </c>
    </row>
    <row r="886" spans="1:12">
      <c r="A886" s="333">
        <v>21</v>
      </c>
      <c r="C886" s="359" t="str">
        <f>'FR-16(7)(v)-1 Functional'!C886</f>
        <v>TOTAL AMORTIZED ITC</v>
      </c>
      <c r="D886" s="344"/>
      <c r="E886" s="196"/>
      <c r="F886" s="347">
        <f>-F536</f>
        <v>-66055</v>
      </c>
      <c r="G886" s="347">
        <f>-$G$536</f>
        <v>-45912</v>
      </c>
      <c r="H886" s="347">
        <f>-$H$536</f>
        <v>-14890</v>
      </c>
      <c r="I886" s="347">
        <f>-$I$536</f>
        <v>-4049</v>
      </c>
      <c r="J886" s="347">
        <f>-$J$536</f>
        <v>-1203</v>
      </c>
      <c r="K886" s="347">
        <f>-$K$536</f>
        <v>-66054</v>
      </c>
      <c r="L886" s="347">
        <f>-$L$536</f>
        <v>-1</v>
      </c>
    </row>
    <row r="887" spans="1:12">
      <c r="A887" s="333">
        <v>22</v>
      </c>
      <c r="C887" s="332" t="str">
        <f>'FR-16(7)(v)-1 Functional'!C887</f>
        <v xml:space="preserve">  NET FED INC TAX ALLOWABLE</v>
      </c>
      <c r="D887" s="344"/>
      <c r="E887" s="196"/>
      <c r="F887" s="348">
        <f t="shared" ref="F887:L887" si="150">SUM(F884:F886)</f>
        <v>3232200</v>
      </c>
      <c r="G887" s="348">
        <f t="shared" ca="1" si="150"/>
        <v>2029633</v>
      </c>
      <c r="H887" s="348">
        <f t="shared" si="150"/>
        <v>808723</v>
      </c>
      <c r="I887" s="348">
        <f t="shared" ca="1" si="150"/>
        <v>343675</v>
      </c>
      <c r="J887" s="348">
        <f t="shared" si="150"/>
        <v>50170</v>
      </c>
      <c r="K887" s="348">
        <f t="shared" ca="1" si="150"/>
        <v>3232201</v>
      </c>
      <c r="L887" s="348">
        <f t="shared" ca="1" si="150"/>
        <v>-1</v>
      </c>
    </row>
    <row r="888" spans="1:12">
      <c r="A888" s="333">
        <v>23</v>
      </c>
      <c r="D888" s="344"/>
      <c r="E888" s="196"/>
      <c r="I888" s="332"/>
    </row>
    <row r="889" spans="1:12">
      <c r="A889" s="333">
        <v>24</v>
      </c>
      <c r="B889" s="332" t="s">
        <v>75</v>
      </c>
      <c r="D889" s="344"/>
      <c r="E889" s="196"/>
      <c r="I889" s="332"/>
    </row>
    <row r="890" spans="1:12">
      <c r="A890" s="333">
        <v>25</v>
      </c>
      <c r="C890" s="332" t="str">
        <f>'FR-16(7)(v)-1 Functional'!C890</f>
        <v>PRELIM FIT</v>
      </c>
      <c r="D890" s="344"/>
      <c r="E890" s="196"/>
      <c r="F890" s="347">
        <f t="shared" ref="F890:L890" si="151">F884</f>
        <v>2622772</v>
      </c>
      <c r="G890" s="347">
        <f t="shared" ca="1" si="151"/>
        <v>1756740</v>
      </c>
      <c r="H890" s="347">
        <f t="shared" si="151"/>
        <v>617632</v>
      </c>
      <c r="I890" s="347">
        <f t="shared" ca="1" si="151"/>
        <v>199631</v>
      </c>
      <c r="J890" s="347">
        <f t="shared" si="151"/>
        <v>48769</v>
      </c>
      <c r="K890" s="347">
        <f t="shared" ca="1" si="151"/>
        <v>2622772</v>
      </c>
      <c r="L890" s="347">
        <f t="shared" ca="1" si="151"/>
        <v>0</v>
      </c>
    </row>
    <row r="891" spans="1:12">
      <c r="A891" s="333">
        <v>26</v>
      </c>
      <c r="C891" s="359" t="str">
        <f>'FR-16(7)(v)-1 Functional'!C891</f>
        <v>TEST YEAR INV TAX CREDIT</v>
      </c>
      <c r="D891" s="344"/>
      <c r="E891" s="196"/>
      <c r="F891" s="347">
        <f>-F540</f>
        <v>0</v>
      </c>
      <c r="G891" s="626">
        <f>-$G$540</f>
        <v>0</v>
      </c>
      <c r="H891" s="626">
        <f>-$H$540</f>
        <v>0</v>
      </c>
      <c r="I891" s="347">
        <f>-$I$540</f>
        <v>0</v>
      </c>
      <c r="J891" s="347">
        <f>-$J$540</f>
        <v>0</v>
      </c>
      <c r="K891" s="347">
        <f>-$K$540</f>
        <v>0</v>
      </c>
      <c r="L891" s="347">
        <f>-$L$540</f>
        <v>0</v>
      </c>
    </row>
    <row r="892" spans="1:12">
      <c r="A892" s="333">
        <v>27</v>
      </c>
      <c r="C892" s="332" t="str">
        <f>'FR-16(7)(v)-1 Functional'!C892</f>
        <v xml:space="preserve">  FED INC TAX PAYABLE</v>
      </c>
      <c r="D892" s="344"/>
      <c r="E892" s="196"/>
      <c r="F892" s="348">
        <f t="shared" ref="F892:L892" si="152">SUM(F889:F891)</f>
        <v>2622772</v>
      </c>
      <c r="G892" s="348">
        <f t="shared" ca="1" si="152"/>
        <v>1756740</v>
      </c>
      <c r="H892" s="348">
        <f t="shared" si="152"/>
        <v>617632</v>
      </c>
      <c r="I892" s="348">
        <f t="shared" ca="1" si="152"/>
        <v>199631</v>
      </c>
      <c r="J892" s="348">
        <f t="shared" si="152"/>
        <v>48769</v>
      </c>
      <c r="K892" s="348">
        <f t="shared" ca="1" si="152"/>
        <v>2622772</v>
      </c>
      <c r="L892" s="348">
        <f t="shared" ca="1" si="152"/>
        <v>0</v>
      </c>
    </row>
    <row r="893" spans="1:12">
      <c r="A893" s="333">
        <v>28</v>
      </c>
      <c r="D893" s="344"/>
      <c r="E893" s="196"/>
      <c r="I893" s="332"/>
    </row>
    <row r="894" spans="1:12">
      <c r="A894" s="333">
        <v>29</v>
      </c>
      <c r="B894" s="332" t="s">
        <v>40</v>
      </c>
      <c r="D894" s="344"/>
      <c r="E894" s="196"/>
      <c r="I894" s="332"/>
    </row>
    <row r="895" spans="1:12">
      <c r="A895" s="333">
        <v>30</v>
      </c>
      <c r="C895" s="332" t="str">
        <f>'FR-16(7)(v)-1 Functional'!C895</f>
        <v>NET INCOME</v>
      </c>
      <c r="D895" s="344"/>
      <c r="E895" s="196"/>
      <c r="F895" s="347">
        <f t="shared" ref="F895:L895" si="153">F872</f>
        <v>25851920</v>
      </c>
      <c r="G895" s="347">
        <f t="shared" ca="1" si="153"/>
        <v>17635239</v>
      </c>
      <c r="H895" s="347">
        <f t="shared" si="153"/>
        <v>5954534</v>
      </c>
      <c r="I895" s="347">
        <f t="shared" ca="1" si="153"/>
        <v>1790914</v>
      </c>
      <c r="J895" s="347">
        <f t="shared" si="153"/>
        <v>471235</v>
      </c>
      <c r="K895" s="347">
        <f t="shared" ca="1" si="153"/>
        <v>25851922</v>
      </c>
      <c r="L895" s="347">
        <f t="shared" ca="1" si="153"/>
        <v>1.8648000030807452</v>
      </c>
    </row>
    <row r="896" spans="1:12">
      <c r="A896" s="333">
        <v>31</v>
      </c>
      <c r="C896" s="359" t="str">
        <f>'FR-16(7)(v)-1 Functional'!C896</f>
        <v>NET FED INC TAX ALLOWABLE</v>
      </c>
      <c r="D896" s="344"/>
      <c r="E896" s="196"/>
      <c r="F896" s="347">
        <f t="shared" ref="F896:L896" si="154">-F887</f>
        <v>-3232200</v>
      </c>
      <c r="G896" s="347">
        <f t="shared" ca="1" si="154"/>
        <v>-2029633</v>
      </c>
      <c r="H896" s="347">
        <f t="shared" si="154"/>
        <v>-808723</v>
      </c>
      <c r="I896" s="347">
        <f t="shared" ca="1" si="154"/>
        <v>-343675</v>
      </c>
      <c r="J896" s="347">
        <f t="shared" si="154"/>
        <v>-50170</v>
      </c>
      <c r="K896" s="347">
        <f t="shared" ca="1" si="154"/>
        <v>-3232201</v>
      </c>
      <c r="L896" s="347">
        <f t="shared" ca="1" si="154"/>
        <v>1</v>
      </c>
    </row>
    <row r="897" spans="1:14">
      <c r="A897" s="333">
        <v>32</v>
      </c>
      <c r="C897" s="332" t="str">
        <f>'FR-16(7)(v)-1 Functional'!C897</f>
        <v xml:space="preserve">  OVERALL RETURN EARNED</v>
      </c>
      <c r="D897" s="344"/>
      <c r="E897" s="196"/>
      <c r="F897" s="348">
        <f t="shared" ref="F897:L897" si="155">SUM(F894:F896)</f>
        <v>22619720</v>
      </c>
      <c r="G897" s="348">
        <f t="shared" ca="1" si="155"/>
        <v>15605606</v>
      </c>
      <c r="H897" s="348">
        <f t="shared" si="155"/>
        <v>5145811</v>
      </c>
      <c r="I897" s="348">
        <f t="shared" ca="1" si="155"/>
        <v>1447239</v>
      </c>
      <c r="J897" s="348">
        <f t="shared" si="155"/>
        <v>421065</v>
      </c>
      <c r="K897" s="348">
        <f t="shared" ca="1" si="155"/>
        <v>22619721</v>
      </c>
      <c r="L897" s="348">
        <f t="shared" ca="1" si="155"/>
        <v>2.8648000030807452</v>
      </c>
    </row>
    <row r="898" spans="1:14">
      <c r="A898" s="333">
        <v>33</v>
      </c>
      <c r="D898" s="344"/>
      <c r="E898" s="196"/>
      <c r="I898" s="332"/>
    </row>
    <row r="899" spans="1:14">
      <c r="A899" s="333">
        <v>34</v>
      </c>
      <c r="C899" s="332" t="str">
        <f>'FR-16(7)(v)-1 Functional'!C899</f>
        <v xml:space="preserve">  RATE OF RETURN EARNED</v>
      </c>
      <c r="D899" s="344"/>
      <c r="E899" s="196"/>
      <c r="F899" s="350">
        <f t="shared" ref="F899:L899" si="156">IF(F331=0,0,ROUND(F897/F331,5))</f>
        <v>7.2109999999999994E-2</v>
      </c>
      <c r="G899" s="350">
        <f t="shared" ca="1" si="156"/>
        <v>7.2109999999999994E-2</v>
      </c>
      <c r="H899" s="350">
        <f t="shared" si="156"/>
        <v>7.2109999999999994E-2</v>
      </c>
      <c r="I899" s="350">
        <f t="shared" ca="1" si="156"/>
        <v>7.2099999999999997E-2</v>
      </c>
      <c r="J899" s="350">
        <f t="shared" si="156"/>
        <v>7.2120000000000004E-2</v>
      </c>
      <c r="K899" s="350">
        <f t="shared" ca="1" si="156"/>
        <v>7.2109999999999994E-2</v>
      </c>
      <c r="L899" s="350">
        <f t="shared" ca="1" si="156"/>
        <v>20.108689999999999</v>
      </c>
    </row>
    <row r="900" spans="1:14">
      <c r="N900" s="196"/>
    </row>
  </sheetData>
  <pageMargins left="1" right="1" top="1" bottom="1" header="1" footer="0.5"/>
  <pageSetup scale="64" orientation="landscape" blackAndWhite="1" r:id="rId1"/>
  <headerFooter alignWithMargins="0"/>
  <rowBreaks count="13" manualBreakCount="13">
    <brk id="44" max="11" man="1"/>
    <brk id="101" max="11" man="1"/>
    <brk id="151" max="11" man="1"/>
    <brk id="191" max="11" man="1"/>
    <brk id="238" max="11" man="1"/>
    <brk id="283" max="11" man="1"/>
    <brk id="334" max="11" man="1"/>
    <brk id="389" max="11" man="1"/>
    <brk id="433" max="11" man="1"/>
    <brk id="465" max="11" man="1"/>
    <brk id="501" max="11" man="1"/>
    <brk id="565" max="11" man="1"/>
    <brk id="655" max="11" man="1"/>
  </row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>
    <tabColor rgb="FFFFFF00"/>
    <pageSetUpPr fitToPage="1"/>
  </sheetPr>
  <dimension ref="A1:N899"/>
  <sheetViews>
    <sheetView zoomScale="80" zoomScaleNormal="80" zoomScaleSheetLayoutView="80" zoomScalePageLayoutView="90" workbookViewId="0">
      <selection activeCell="J617" sqref="J617"/>
    </sheetView>
  </sheetViews>
  <sheetFormatPr defaultColWidth="8.77734375" defaultRowHeight="12.75"/>
  <cols>
    <col min="1" max="1" width="6.44140625" style="332" customWidth="1"/>
    <col min="2" max="2" width="3.5546875" style="332" customWidth="1"/>
    <col min="3" max="3" width="41.6640625" style="332" customWidth="1"/>
    <col min="4" max="4" width="8.33203125" style="333" customWidth="1"/>
    <col min="5" max="5" width="8.77734375" style="332" customWidth="1"/>
    <col min="6" max="6" width="14" style="332" customWidth="1"/>
    <col min="7" max="8" width="11.88671875" style="332" customWidth="1"/>
    <col min="9" max="9" width="13.77734375" style="332" customWidth="1"/>
    <col min="10" max="11" width="11.88671875" style="332" customWidth="1"/>
    <col min="12" max="16384" width="8.77734375" style="332"/>
  </cols>
  <sheetData>
    <row r="1" spans="1:11">
      <c r="A1" s="343" t="str">
        <f>co_name</f>
        <v>DUKE ENERGY KENTUCKY, INC.</v>
      </c>
      <c r="C1" s="196"/>
      <c r="D1" s="344"/>
      <c r="E1" s="196"/>
      <c r="F1" s="196"/>
      <c r="G1" s="196"/>
      <c r="H1" s="196"/>
      <c r="I1" s="196"/>
      <c r="J1" s="583" t="s">
        <v>1546</v>
      </c>
      <c r="K1" s="196"/>
    </row>
    <row r="2" spans="1:11">
      <c r="A2" s="583" t="s">
        <v>1227</v>
      </c>
      <c r="C2" s="196"/>
      <c r="D2" s="344"/>
      <c r="E2" s="196"/>
      <c r="F2" s="196"/>
      <c r="G2" s="196"/>
      <c r="H2" s="196"/>
      <c r="I2" s="196"/>
      <c r="J2" s="583" t="s">
        <v>437</v>
      </c>
      <c r="K2" s="196"/>
    </row>
    <row r="3" spans="1:11">
      <c r="A3" s="343" t="str">
        <f>case_name</f>
        <v>CASE NO: 2018-00261</v>
      </c>
      <c r="C3" s="196"/>
      <c r="D3" s="344"/>
      <c r="E3" s="196"/>
      <c r="F3" s="196"/>
      <c r="G3" s="196"/>
      <c r="H3" s="196"/>
      <c r="I3" s="196"/>
      <c r="J3" s="196" t="str">
        <f>Witness</f>
        <v>JAMES E. ZIOLKOWSKI</v>
      </c>
      <c r="K3" s="196"/>
    </row>
    <row r="4" spans="1:11">
      <c r="A4" s="343" t="str">
        <f>data_filing</f>
        <v>DATA: 12 MONTH FORECASTED PERIOD</v>
      </c>
      <c r="C4" s="196"/>
      <c r="D4" s="344"/>
      <c r="E4" s="196"/>
      <c r="F4" s="196"/>
      <c r="G4" s="196"/>
      <c r="H4" s="196"/>
      <c r="I4" s="196"/>
      <c r="J4" s="196" t="str">
        <f>"PAGE "&amp;Pages2-14&amp;" OF "&amp;Pages2</f>
        <v>PAGE 1 OF 15</v>
      </c>
      <c r="K4" s="196"/>
    </row>
    <row r="5" spans="1:11">
      <c r="A5" s="343" t="str">
        <f>type</f>
        <v xml:space="preserve">TYPE OF FILING: "X" ORIGINAL   UPDATED    REVISED  </v>
      </c>
      <c r="C5" s="196"/>
      <c r="D5" s="344"/>
      <c r="E5" s="196"/>
      <c r="F5" s="196"/>
      <c r="G5" s="196"/>
      <c r="H5" s="196"/>
      <c r="I5" s="196"/>
      <c r="J5" s="196"/>
      <c r="K5" s="196"/>
    </row>
    <row r="6" spans="1:11">
      <c r="A6" s="343"/>
      <c r="C6" s="196"/>
      <c r="D6" s="344"/>
      <c r="E6" s="196"/>
      <c r="F6" s="196"/>
      <c r="G6" s="196"/>
      <c r="H6" s="196"/>
      <c r="I6" s="196"/>
      <c r="J6" s="196"/>
      <c r="K6" s="196"/>
    </row>
    <row r="7" spans="1:11">
      <c r="A7" s="343"/>
      <c r="C7" s="196"/>
      <c r="D7" s="344"/>
      <c r="E7" s="196"/>
      <c r="F7" s="196"/>
      <c r="G7" s="196"/>
      <c r="H7" s="196"/>
      <c r="I7" s="196"/>
      <c r="J7" s="196"/>
      <c r="K7" s="196"/>
    </row>
    <row r="8" spans="1:11">
      <c r="A8" s="344" t="s">
        <v>914</v>
      </c>
      <c r="B8" s="196"/>
      <c r="C8" s="196"/>
      <c r="D8" s="344"/>
      <c r="E8" s="196"/>
      <c r="F8" s="344" t="s">
        <v>229</v>
      </c>
      <c r="G8" s="545" t="s">
        <v>1005</v>
      </c>
      <c r="H8" s="533"/>
      <c r="I8" s="534"/>
      <c r="J8" s="344" t="s">
        <v>229</v>
      </c>
      <c r="K8" s="344" t="s">
        <v>342</v>
      </c>
    </row>
    <row r="9" spans="1:11">
      <c r="A9" s="346" t="s">
        <v>915</v>
      </c>
      <c r="B9" s="345" t="s">
        <v>102</v>
      </c>
      <c r="C9" s="345"/>
      <c r="D9" s="346" t="s">
        <v>337</v>
      </c>
      <c r="E9" s="345"/>
      <c r="F9" s="829" t="s">
        <v>338</v>
      </c>
      <c r="G9" s="546" t="s">
        <v>847</v>
      </c>
      <c r="H9" s="535" t="s">
        <v>848</v>
      </c>
      <c r="I9" s="536" t="s">
        <v>849</v>
      </c>
      <c r="J9" s="346" t="s">
        <v>341</v>
      </c>
      <c r="K9" s="346" t="s">
        <v>340</v>
      </c>
    </row>
    <row r="10" spans="1:11">
      <c r="C10" s="578" t="s">
        <v>354</v>
      </c>
      <c r="D10" s="344"/>
      <c r="E10" s="196"/>
      <c r="G10" s="785">
        <v>3</v>
      </c>
      <c r="H10" s="786">
        <v>4</v>
      </c>
      <c r="I10" s="787">
        <v>5</v>
      </c>
    </row>
    <row r="11" spans="1:11">
      <c r="A11" s="333">
        <v>1</v>
      </c>
      <c r="B11" s="332" t="s">
        <v>100</v>
      </c>
      <c r="D11" s="344"/>
      <c r="E11" s="196"/>
      <c r="G11" s="547"/>
      <c r="H11" s="537"/>
      <c r="I11" s="538"/>
    </row>
    <row r="12" spans="1:11">
      <c r="A12" s="333">
        <v>2</v>
      </c>
      <c r="C12" s="332" t="str">
        <f>'FR-16(7)(v)-1 Functional'!C12</f>
        <v>GROSS GAS PLANT IN SERVICE</v>
      </c>
      <c r="D12" s="344"/>
      <c r="E12" s="196"/>
      <c r="F12" s="347">
        <f>F101</f>
        <v>411599984</v>
      </c>
      <c r="G12" s="548">
        <f>G101</f>
        <v>179723521</v>
      </c>
      <c r="H12" s="539">
        <f>H101</f>
        <v>3586520</v>
      </c>
      <c r="I12" s="540">
        <f>I101</f>
        <v>228289943</v>
      </c>
      <c r="J12" s="347">
        <f>J101</f>
        <v>411599984</v>
      </c>
      <c r="K12" s="347">
        <f>F12-J12</f>
        <v>0</v>
      </c>
    </row>
    <row r="13" spans="1:11">
      <c r="A13" s="333">
        <v>3</v>
      </c>
      <c r="C13" s="332" t="str">
        <f>'FR-16(7)(v)-1 Functional'!C13</f>
        <v>TOTAL DEPRECIATION RESERVE</v>
      </c>
      <c r="D13" s="344"/>
      <c r="E13" s="196"/>
      <c r="F13" s="347">
        <f>-F151</f>
        <v>-132832282</v>
      </c>
      <c r="G13" s="548">
        <f>-G151</f>
        <v>-57716066</v>
      </c>
      <c r="H13" s="539">
        <f>-H151</f>
        <v>-2002318</v>
      </c>
      <c r="I13" s="540">
        <f>-I151</f>
        <v>-73113898</v>
      </c>
      <c r="J13" s="347">
        <f>-J151</f>
        <v>-132832282</v>
      </c>
      <c r="K13" s="347">
        <f>F13-J13</f>
        <v>0</v>
      </c>
    </row>
    <row r="14" spans="1:11">
      <c r="A14" s="333">
        <v>4</v>
      </c>
      <c r="C14" s="359" t="str">
        <f>'FR-16(7)(v)-1 Functional'!C14</f>
        <v>TOTAL RATE BASE ADJUSTMENTS</v>
      </c>
      <c r="D14" s="344"/>
      <c r="E14" s="196"/>
      <c r="F14" s="347">
        <f>F326</f>
        <v>-62365719</v>
      </c>
      <c r="G14" s="548">
        <f>G326</f>
        <v>-26784641</v>
      </c>
      <c r="H14" s="539">
        <f>H326</f>
        <v>1817236</v>
      </c>
      <c r="I14" s="540">
        <f>I326</f>
        <v>-37398314</v>
      </c>
      <c r="J14" s="347">
        <f>J326</f>
        <v>-62365719</v>
      </c>
      <c r="K14" s="347">
        <f>F14-J14</f>
        <v>0</v>
      </c>
    </row>
    <row r="15" spans="1:11">
      <c r="A15" s="333">
        <v>5</v>
      </c>
      <c r="C15" s="332" t="str">
        <f>'FR-16(7)(v)-1 Functional'!C15</f>
        <v xml:space="preserve">  TOTAL RATE BASE</v>
      </c>
      <c r="D15" s="344"/>
      <c r="E15" s="196"/>
      <c r="F15" s="348">
        <f t="shared" ref="F15:K15" si="0">SUM(F12:F14)</f>
        <v>216401983</v>
      </c>
      <c r="G15" s="549">
        <f t="shared" si="0"/>
        <v>95222814</v>
      </c>
      <c r="H15" s="541">
        <f t="shared" si="0"/>
        <v>3401438</v>
      </c>
      <c r="I15" s="542">
        <f t="shared" si="0"/>
        <v>117777731</v>
      </c>
      <c r="J15" s="348">
        <f t="shared" si="0"/>
        <v>216401983</v>
      </c>
      <c r="K15" s="348">
        <f t="shared" si="0"/>
        <v>0</v>
      </c>
    </row>
    <row r="16" spans="1:11">
      <c r="A16" s="333">
        <v>6</v>
      </c>
      <c r="D16" s="344"/>
      <c r="E16" s="196"/>
      <c r="G16" s="547"/>
      <c r="H16" s="537"/>
      <c r="I16" s="538"/>
    </row>
    <row r="17" spans="1:11">
      <c r="A17" s="333">
        <v>7</v>
      </c>
      <c r="B17" s="332" t="s">
        <v>98</v>
      </c>
      <c r="D17" s="344"/>
      <c r="E17" s="196"/>
      <c r="G17" s="547"/>
      <c r="H17" s="537"/>
      <c r="I17" s="538"/>
    </row>
    <row r="18" spans="1:11">
      <c r="A18" s="333">
        <v>8</v>
      </c>
      <c r="C18" s="332" t="str">
        <f>'FR-16(7)(v)-1 Functional'!C18</f>
        <v>TOTAL O&amp;M EXPENSE</v>
      </c>
      <c r="D18" s="344"/>
      <c r="E18" s="196"/>
      <c r="F18" s="347">
        <f>F433</f>
        <v>35800714</v>
      </c>
      <c r="G18" s="548">
        <f>G433</f>
        <v>6145478</v>
      </c>
      <c r="H18" s="539">
        <f>H433</f>
        <v>19213586</v>
      </c>
      <c r="I18" s="540">
        <f>I433</f>
        <v>10441650</v>
      </c>
      <c r="J18" s="347">
        <f>J433</f>
        <v>35800714</v>
      </c>
      <c r="K18" s="347">
        <f t="shared" ref="K18:K24" si="1">F18-J18</f>
        <v>0</v>
      </c>
    </row>
    <row r="19" spans="1:11">
      <c r="A19" s="333">
        <v>9</v>
      </c>
      <c r="C19" s="332" t="str">
        <f>'FR-16(7)(v)-1 Functional'!C19</f>
        <v>TOTAL DEPRECIATION EXPENSE</v>
      </c>
      <c r="D19" s="344"/>
      <c r="E19" s="196"/>
      <c r="F19" s="347">
        <f>F465</f>
        <v>10203657</v>
      </c>
      <c r="G19" s="548">
        <f>G465</f>
        <v>4239883</v>
      </c>
      <c r="H19" s="539">
        <f>H465</f>
        <v>248589</v>
      </c>
      <c r="I19" s="540">
        <f>I465</f>
        <v>5715185</v>
      </c>
      <c r="J19" s="347">
        <f>J465</f>
        <v>10203657</v>
      </c>
      <c r="K19" s="347">
        <f t="shared" si="1"/>
        <v>0</v>
      </c>
    </row>
    <row r="20" spans="1:11">
      <c r="A20" s="333">
        <v>10</v>
      </c>
      <c r="C20" s="359" t="str">
        <f>'FR-16(7)(v)-1 Functional'!C20</f>
        <v>TOTAL OTHER TAX &amp; MISC EXPENSE</v>
      </c>
      <c r="D20" s="344"/>
      <c r="E20" s="196"/>
      <c r="F20" s="347">
        <f>F495</f>
        <v>2889707</v>
      </c>
      <c r="G20" s="548">
        <f>$G$495</f>
        <v>1190888</v>
      </c>
      <c r="H20" s="539">
        <f>$H$495</f>
        <v>51554</v>
      </c>
      <c r="I20" s="540">
        <f>$I$495</f>
        <v>1647265</v>
      </c>
      <c r="J20" s="347">
        <f>$J$495</f>
        <v>2889707</v>
      </c>
      <c r="K20" s="347">
        <f t="shared" si="1"/>
        <v>0</v>
      </c>
    </row>
    <row r="21" spans="1:11">
      <c r="A21" s="333">
        <v>11</v>
      </c>
      <c r="C21" s="332" t="str">
        <f>'FR-16(7)(v)-1 Functional'!C21</f>
        <v xml:space="preserve">  TOTAL OP EXP EXCLUDING INC &amp; REV TAX</v>
      </c>
      <c r="D21" s="344"/>
      <c r="E21" s="196"/>
      <c r="F21" s="348">
        <f>SUM(F17:F20)</f>
        <v>48894078</v>
      </c>
      <c r="G21" s="549">
        <f>SUM(G17:G20)</f>
        <v>11576249</v>
      </c>
      <c r="H21" s="541">
        <f>SUM(H17:H20)</f>
        <v>19513729</v>
      </c>
      <c r="I21" s="542">
        <f>SUM(I17:I20)</f>
        <v>17804100</v>
      </c>
      <c r="J21" s="348">
        <f>SUM(J17:J20)</f>
        <v>48894078</v>
      </c>
      <c r="K21" s="348">
        <f t="shared" si="1"/>
        <v>0</v>
      </c>
    </row>
    <row r="22" spans="1:11">
      <c r="A22" s="333">
        <v>12</v>
      </c>
      <c r="C22" s="332" t="str">
        <f>'FR-16(7)(v)-1 Functional'!C22</f>
        <v>NET FED INCOME TAX EXP ALLOWABLE</v>
      </c>
      <c r="D22" s="344"/>
      <c r="E22" s="196"/>
      <c r="F22" s="347">
        <f ca="1">F557</f>
        <v>2095412</v>
      </c>
      <c r="G22" s="548">
        <f ca="1">$G$557</f>
        <v>737984</v>
      </c>
      <c r="H22" s="539">
        <f ca="1">$H$557</f>
        <v>480495</v>
      </c>
      <c r="I22" s="540">
        <f ca="1">$I$557</f>
        <v>876932</v>
      </c>
      <c r="J22" s="347">
        <f ca="1">$J$557</f>
        <v>2095411</v>
      </c>
      <c r="K22" s="347">
        <f t="shared" ca="1" si="1"/>
        <v>1</v>
      </c>
    </row>
    <row r="23" spans="1:11">
      <c r="A23" s="333">
        <v>13</v>
      </c>
      <c r="C23" s="359" t="str">
        <f>'FR-16(7)(v)-1 Functional'!C23</f>
        <v>NET STATE INCOME TAX EXP ALLOWABLE</v>
      </c>
      <c r="D23" s="344"/>
      <c r="E23" s="196"/>
      <c r="F23" s="347">
        <f ca="1">F605</f>
        <v>560670</v>
      </c>
      <c r="G23" s="548">
        <f ca="1">G605</f>
        <v>189194</v>
      </c>
      <c r="H23" s="539">
        <f ca="1">H605</f>
        <v>28373</v>
      </c>
      <c r="I23" s="540">
        <f ca="1">I605</f>
        <v>343104</v>
      </c>
      <c r="J23" s="347">
        <f ca="1">J605</f>
        <v>560671</v>
      </c>
      <c r="K23" s="347">
        <f t="shared" ca="1" si="1"/>
        <v>-1</v>
      </c>
    </row>
    <row r="24" spans="1:11">
      <c r="A24" s="333">
        <v>14</v>
      </c>
      <c r="C24" s="332" t="str">
        <f>'FR-16(7)(v)-1 Functional'!C24</f>
        <v xml:space="preserve">  TOTAL OPERATING EXPENSE</v>
      </c>
      <c r="D24" s="344"/>
      <c r="E24" s="196"/>
      <c r="F24" s="348">
        <f ca="1">SUM(F21:F23)</f>
        <v>51550160</v>
      </c>
      <c r="G24" s="549">
        <f ca="1">SUM(G21:G23)</f>
        <v>12503427</v>
      </c>
      <c r="H24" s="541">
        <f ca="1">SUM(H21:H23)</f>
        <v>20022597</v>
      </c>
      <c r="I24" s="542">
        <f ca="1">SUM(I21:I23)</f>
        <v>19024136</v>
      </c>
      <c r="J24" s="348">
        <f ca="1">SUM(J21:J23)</f>
        <v>51550160</v>
      </c>
      <c r="K24" s="348">
        <f t="shared" ca="1" si="1"/>
        <v>0</v>
      </c>
    </row>
    <row r="25" spans="1:11">
      <c r="A25" s="333">
        <v>15</v>
      </c>
      <c r="D25" s="344"/>
      <c r="E25" s="196"/>
      <c r="G25" s="547"/>
      <c r="H25" s="537"/>
      <c r="I25" s="538"/>
    </row>
    <row r="26" spans="1:11">
      <c r="A26" s="333">
        <v>16</v>
      </c>
      <c r="B26" s="332" t="s">
        <v>43</v>
      </c>
      <c r="D26" s="344"/>
      <c r="E26" s="196"/>
      <c r="F26" s="347">
        <f>F334</f>
        <v>15539826</v>
      </c>
      <c r="G26" s="548">
        <f>G334</f>
        <v>6837950</v>
      </c>
      <c r="H26" s="539">
        <f>H334</f>
        <v>244257</v>
      </c>
      <c r="I26" s="540">
        <f>I334</f>
        <v>8457619</v>
      </c>
      <c r="J26" s="347">
        <f>J334</f>
        <v>15539826</v>
      </c>
      <c r="K26" s="347">
        <f t="shared" ref="K26:K31" si="2">F26-J26</f>
        <v>0</v>
      </c>
    </row>
    <row r="27" spans="1:11">
      <c r="A27" s="333">
        <v>17</v>
      </c>
      <c r="B27" s="359" t="s">
        <v>103</v>
      </c>
      <c r="C27" s="359"/>
      <c r="D27" s="344"/>
      <c r="E27" s="196"/>
      <c r="F27" s="347">
        <f>-F630</f>
        <v>-78649</v>
      </c>
      <c r="G27" s="548">
        <f>-$G$630</f>
        <v>-10567</v>
      </c>
      <c r="H27" s="539">
        <f>-$H$630</f>
        <v>-1452</v>
      </c>
      <c r="I27" s="540">
        <f>-$I$630</f>
        <v>-66630</v>
      </c>
      <c r="J27" s="347">
        <f>-$J$630</f>
        <v>-78649</v>
      </c>
      <c r="K27" s="347">
        <f t="shared" si="2"/>
        <v>0</v>
      </c>
    </row>
    <row r="28" spans="1:11">
      <c r="A28" s="333">
        <v>18</v>
      </c>
      <c r="C28" s="332" t="str">
        <f>'FR-16(7)(v)-1 Functional'!C28</f>
        <v>TOTAL GAS COST OF SERVICE</v>
      </c>
      <c r="D28" s="344"/>
      <c r="E28" s="196"/>
      <c r="F28" s="348">
        <f ca="1">SUM(F24:F27)</f>
        <v>67011337</v>
      </c>
      <c r="G28" s="557">
        <f ca="1">SUM(G24:G27)</f>
        <v>19330810</v>
      </c>
      <c r="H28" s="558">
        <f ca="1">SUM(H24:H27)</f>
        <v>20265402</v>
      </c>
      <c r="I28" s="559">
        <f ca="1">SUM(I24:I27)</f>
        <v>27415125</v>
      </c>
      <c r="J28" s="348">
        <f ca="1">SUM(J24:J27)</f>
        <v>67011337</v>
      </c>
      <c r="K28" s="348">
        <f t="shared" ca="1" si="2"/>
        <v>0</v>
      </c>
    </row>
    <row r="29" spans="1:11">
      <c r="A29" s="1112">
        <v>19</v>
      </c>
      <c r="B29" s="1113" t="s">
        <v>1206</v>
      </c>
      <c r="C29" s="1114"/>
      <c r="D29" s="1115">
        <f>1-'WP FR-16(7)(v)Rate Incr (15.0%)'!I11</f>
        <v>0.85</v>
      </c>
      <c r="E29" s="1116"/>
      <c r="F29" s="1117">
        <f ca="1">SUM(G29:I29)</f>
        <v>4672416</v>
      </c>
      <c r="G29" s="1178">
        <f ca="1">'WP FR-16(7)(v)Rate Incr (15.0%)'!T15</f>
        <v>2589780</v>
      </c>
      <c r="H29" s="1120">
        <f ca="1">'WP FR-16(7)(v)Rate Incr (15.0%)'!U15</f>
        <v>0</v>
      </c>
      <c r="I29" s="1179">
        <f ca="1">'WP FR-16(7)(v)Rate Incr (15.0%)'!V15</f>
        <v>2082636</v>
      </c>
      <c r="J29" s="1120">
        <f ca="1">SUM(G29:I29)</f>
        <v>4672416</v>
      </c>
      <c r="K29" s="1120">
        <f t="shared" ca="1" si="2"/>
        <v>0</v>
      </c>
    </row>
    <row r="30" spans="1:11">
      <c r="A30" s="1112">
        <v>20</v>
      </c>
      <c r="B30" s="1121" t="s">
        <v>1207</v>
      </c>
      <c r="C30" s="1024"/>
      <c r="D30" s="1122"/>
      <c r="E30" s="1116"/>
      <c r="F30" s="1123">
        <f ca="1">F28+F29</f>
        <v>71683753</v>
      </c>
      <c r="G30" s="1124">
        <f ca="1">G28+G29</f>
        <v>21920590</v>
      </c>
      <c r="H30" s="1125">
        <f ca="1">H28+H29</f>
        <v>20265402</v>
      </c>
      <c r="I30" s="1126">
        <f ca="1">I28+I29</f>
        <v>29497761</v>
      </c>
      <c r="J30" s="1127">
        <f ca="1">SUM(G30:I30)</f>
        <v>71683753</v>
      </c>
      <c r="K30" s="1127">
        <f t="shared" ca="1" si="2"/>
        <v>0</v>
      </c>
    </row>
    <row r="31" spans="1:11">
      <c r="A31" s="1112">
        <v>21</v>
      </c>
      <c r="B31" s="1128" t="s">
        <v>850</v>
      </c>
      <c r="C31" s="1114"/>
      <c r="D31" s="1122"/>
      <c r="E31" s="1116"/>
      <c r="F31" s="1148">
        <f>'FR-16(7)(v)-8 TOT CLASS Alloc'!G31</f>
        <v>65522694</v>
      </c>
      <c r="G31" s="1124">
        <f>'FR-16(7)(v)-5 DISTR Dem Alloc'!G31</f>
        <v>20762035</v>
      </c>
      <c r="H31" s="1125">
        <f>'FR-16(7)(v)-3 PROD Comm Alloc'!G31</f>
        <v>24976596</v>
      </c>
      <c r="I31" s="1126">
        <f>'FR-16(7)(v)-6 DISTR Cust Alloc'!G31</f>
        <v>19784063</v>
      </c>
      <c r="J31" s="1127">
        <f>SUM(G31:I31)</f>
        <v>65522694</v>
      </c>
      <c r="K31" s="1127">
        <f t="shared" si="2"/>
        <v>0</v>
      </c>
    </row>
    <row r="32" spans="1:11">
      <c r="A32" s="1112">
        <v>22</v>
      </c>
      <c r="B32" s="1129" t="s">
        <v>1208</v>
      </c>
      <c r="C32" s="1024"/>
      <c r="D32" s="1122"/>
      <c r="E32" s="1116"/>
      <c r="F32" s="1132">
        <f t="shared" ref="F32:K32" ca="1" si="3">F30-F31</f>
        <v>6161059</v>
      </c>
      <c r="G32" s="1131">
        <f t="shared" ca="1" si="3"/>
        <v>1158555</v>
      </c>
      <c r="H32" s="1132">
        <f t="shared" ca="1" si="3"/>
        <v>-4711194</v>
      </c>
      <c r="I32" s="1133">
        <f t="shared" ca="1" si="3"/>
        <v>9713698</v>
      </c>
      <c r="J32" s="1132">
        <f t="shared" ca="1" si="3"/>
        <v>6161059</v>
      </c>
      <c r="K32" s="1132">
        <f t="shared" ca="1" si="3"/>
        <v>0</v>
      </c>
    </row>
    <row r="33" spans="1:14">
      <c r="A33" s="1112">
        <v>23</v>
      </c>
      <c r="B33" s="1024"/>
      <c r="C33" s="1024"/>
      <c r="D33" s="1122"/>
      <c r="E33" s="1116"/>
      <c r="F33" s="1024"/>
      <c r="G33" s="1134"/>
      <c r="H33" s="1135"/>
      <c r="I33" s="1136"/>
      <c r="J33" s="1024"/>
      <c r="K33" s="1024"/>
    </row>
    <row r="34" spans="1:14">
      <c r="A34" s="1112">
        <v>24</v>
      </c>
      <c r="B34" s="1024" t="s">
        <v>104</v>
      </c>
      <c r="C34" s="1024"/>
      <c r="D34" s="1122"/>
      <c r="E34" s="1116"/>
      <c r="F34" s="1127">
        <f ca="1">F654+F26</f>
        <v>14843150</v>
      </c>
      <c r="G34" s="1124">
        <f ca="1">G654+G26</f>
        <v>8054479</v>
      </c>
      <c r="H34" s="1125">
        <f ca="1">H654+H26</f>
        <v>3802487</v>
      </c>
      <c r="I34" s="1126">
        <f ca="1">I654+I26</f>
        <v>2986185</v>
      </c>
      <c r="J34" s="1127">
        <f ca="1">J654+J26</f>
        <v>14843151</v>
      </c>
      <c r="K34" s="1127">
        <f ca="1">F34-J34</f>
        <v>-1</v>
      </c>
    </row>
    <row r="35" spans="1:14">
      <c r="A35" s="1112">
        <v>25</v>
      </c>
      <c r="B35" s="1024" t="s">
        <v>105</v>
      </c>
      <c r="C35" s="1024"/>
      <c r="D35" s="1122"/>
      <c r="E35" s="1116"/>
      <c r="F35" s="1137">
        <f t="shared" ref="F35:K35" ca="1" si="4">IF(F331=0,0,ROUND(F34/F331,5))</f>
        <v>6.8589999999999998E-2</v>
      </c>
      <c r="G35" s="1138">
        <f t="shared" ca="1" si="4"/>
        <v>8.4589999999999999E-2</v>
      </c>
      <c r="H35" s="1139">
        <f t="shared" ca="1" si="4"/>
        <v>1.11791</v>
      </c>
      <c r="I35" s="1140">
        <f t="shared" ca="1" si="4"/>
        <v>2.5350000000000001E-2</v>
      </c>
      <c r="J35" s="1137">
        <f t="shared" ca="1" si="4"/>
        <v>6.8589999999999998E-2</v>
      </c>
      <c r="K35" s="1137">
        <f t="shared" si="4"/>
        <v>0</v>
      </c>
    </row>
    <row r="36" spans="1:14">
      <c r="A36" s="1112">
        <v>26</v>
      </c>
      <c r="B36" s="1024" t="s">
        <v>42</v>
      </c>
      <c r="C36" s="1024"/>
      <c r="D36" s="1122"/>
      <c r="E36" s="1116"/>
      <c r="F36" s="1137">
        <f>$F$688</f>
        <v>7.1809999999999999E-2</v>
      </c>
      <c r="G36" s="1138">
        <f>F688</f>
        <v>7.1809999999999999E-2</v>
      </c>
      <c r="H36" s="1139">
        <f>F688</f>
        <v>7.1809999999999999E-2</v>
      </c>
      <c r="I36" s="1140">
        <f>F688</f>
        <v>7.1809999999999999E-2</v>
      </c>
      <c r="J36" s="1137">
        <f>$F$688</f>
        <v>7.1809999999999999E-2</v>
      </c>
      <c r="K36" s="1137">
        <f>IF(K35=0,0,$F$688)</f>
        <v>0</v>
      </c>
      <c r="N36" s="659" t="s">
        <v>1210</v>
      </c>
    </row>
    <row r="37" spans="1:14">
      <c r="A37" s="1112">
        <v>27</v>
      </c>
      <c r="B37" s="1024" t="s">
        <v>106</v>
      </c>
      <c r="C37" s="1024"/>
      <c r="D37" s="1122"/>
      <c r="E37" s="1116"/>
      <c r="F37" s="1137">
        <f ca="1">IF(F670=0,0,(F35-$F$683-$F$684-$F$686)*$F$673/$F$670)</f>
        <v>9.2661028424561184E-2</v>
      </c>
      <c r="G37" s="1138">
        <f ca="1">IF(F670=0,0,(G35-F683-F684-F686)*F673/F670)</f>
        <v>0.12418508657452883</v>
      </c>
      <c r="H37" s="1139">
        <f ca="1">IF(F670=0,0,(H35-F683-F684-F686)*F673/F670)</f>
        <v>2.1600875720448149</v>
      </c>
      <c r="I37" s="1140">
        <f ca="1">IF(F670=0,0,(I35-F683-F684-F686)*F673/F670)</f>
        <v>7.4672612742735876E-3</v>
      </c>
      <c r="J37" s="1137">
        <f ca="1">IF(F670=0,0,(J35-F683-F684-F686)*F673/F670)</f>
        <v>9.2661028424561184E-2</v>
      </c>
      <c r="K37" s="1137">
        <f>IF(OR(E670=0,K35=0)=TRUE,0,(K35-E683-E684-E686)*E673/E670)</f>
        <v>0</v>
      </c>
      <c r="N37" s="659" t="s">
        <v>1211</v>
      </c>
    </row>
    <row r="38" spans="1:14">
      <c r="A38" s="1112">
        <v>28</v>
      </c>
      <c r="B38" s="1024" t="s">
        <v>107</v>
      </c>
      <c r="C38" s="1024"/>
      <c r="D38" s="1122"/>
      <c r="E38" s="1116"/>
      <c r="F38" s="1137">
        <f>IF($F$670=0,0,(F36-$F$683-$F$684-$F$686)*$F$673/$F$670)</f>
        <v>9.9005245127242167E-2</v>
      </c>
      <c r="G38" s="1138">
        <f>IF(F670=0,0,(G36-F683-F684-F686)*F673/F670)</f>
        <v>9.9005245127242167E-2</v>
      </c>
      <c r="H38" s="1139">
        <f>IF(F670=0,0,(H36-F683-F684-F686)*F673/F670)</f>
        <v>9.9005245127242167E-2</v>
      </c>
      <c r="I38" s="1140">
        <f>IF(F670=0,0,(I36-F683-F684-F686)*F673/F670)</f>
        <v>9.9005245127242167E-2</v>
      </c>
      <c r="J38" s="1137">
        <f>IF($F$670=0,0,(J36-$F$683-$F$684-$F$686)*$F$673/$F$670)</f>
        <v>9.9005245127242167E-2</v>
      </c>
      <c r="K38" s="1137">
        <f>IF(OR($F$670=0,K36=0)=TRUE,0,(K36-$F$683-$F$684-$F$686)*$F$673/$F$670)</f>
        <v>0</v>
      </c>
    </row>
    <row r="39" spans="1:14">
      <c r="A39" s="1112">
        <v>29</v>
      </c>
      <c r="B39" s="1024"/>
      <c r="C39" s="1024"/>
      <c r="D39" s="1122"/>
      <c r="E39" s="1116"/>
      <c r="F39" s="1024" t="s">
        <v>343</v>
      </c>
      <c r="G39" s="1134"/>
      <c r="H39" s="1135"/>
      <c r="I39" s="1136"/>
      <c r="J39" s="1024"/>
      <c r="K39" s="1024"/>
    </row>
    <row r="40" spans="1:14">
      <c r="A40" s="1112">
        <v>30</v>
      </c>
      <c r="B40" s="1024" t="s">
        <v>108</v>
      </c>
      <c r="C40" s="1024"/>
      <c r="D40" s="1122"/>
      <c r="E40" s="1116"/>
      <c r="F40" s="1148">
        <f>'FR-16(7)(v)-8 TOT CLASS Alloc'!G40</f>
        <v>65522695</v>
      </c>
      <c r="G40" s="1124">
        <f>F40-SUM(H40:I40)</f>
        <v>20762036</v>
      </c>
      <c r="H40" s="1125">
        <f>'FR-16(7)(v)-3 PROD Comm Alloc'!G40</f>
        <v>24976596</v>
      </c>
      <c r="I40" s="1126">
        <f>'FR-16(7)(v)-6 DISTR Cust Alloc'!G40</f>
        <v>19784063</v>
      </c>
      <c r="J40" s="1127">
        <f>SUM(G40:I40)</f>
        <v>65522695</v>
      </c>
      <c r="K40" s="1127">
        <f>F40-J40</f>
        <v>0</v>
      </c>
    </row>
    <row r="41" spans="1:14">
      <c r="A41" s="1112">
        <v>31</v>
      </c>
      <c r="B41" s="1024" t="s">
        <v>109</v>
      </c>
      <c r="C41" s="1024"/>
      <c r="D41" s="1122"/>
      <c r="E41" s="1116"/>
      <c r="F41" s="1127">
        <f t="shared" ref="F41:K41" ca="1" si="5">F28-F40</f>
        <v>1488642</v>
      </c>
      <c r="G41" s="1124">
        <f t="shared" ca="1" si="5"/>
        <v>-1431226</v>
      </c>
      <c r="H41" s="1125">
        <f t="shared" ca="1" si="5"/>
        <v>-4711194</v>
      </c>
      <c r="I41" s="1126">
        <f t="shared" ca="1" si="5"/>
        <v>7631062</v>
      </c>
      <c r="J41" s="1127">
        <f t="shared" ca="1" si="5"/>
        <v>1488642</v>
      </c>
      <c r="K41" s="1127">
        <f t="shared" ca="1" si="5"/>
        <v>0</v>
      </c>
    </row>
    <row r="42" spans="1:14">
      <c r="A42" s="1112">
        <v>32</v>
      </c>
      <c r="B42" s="1024"/>
      <c r="C42" s="1024" t="s">
        <v>283</v>
      </c>
      <c r="D42" s="1122"/>
      <c r="E42" s="1116"/>
      <c r="F42" s="1141">
        <f t="shared" ref="F42:K42" ca="1" si="6">IF(F40=0,0,ROUND(F41/F40,5))</f>
        <v>2.2720000000000001E-2</v>
      </c>
      <c r="G42" s="1142">
        <f t="shared" ca="1" si="6"/>
        <v>-6.8930000000000005E-2</v>
      </c>
      <c r="H42" s="1143">
        <f t="shared" ca="1" si="6"/>
        <v>-0.18862000000000001</v>
      </c>
      <c r="I42" s="1144">
        <f t="shared" ca="1" si="6"/>
        <v>0.38572000000000001</v>
      </c>
      <c r="J42" s="1141">
        <f t="shared" ca="1" si="6"/>
        <v>2.2720000000000001E-2</v>
      </c>
      <c r="K42" s="1127">
        <f t="shared" si="6"/>
        <v>0</v>
      </c>
    </row>
    <row r="43" spans="1:14">
      <c r="A43" s="1112">
        <v>33</v>
      </c>
      <c r="B43" s="1024" t="s">
        <v>110</v>
      </c>
      <c r="C43" s="1024"/>
      <c r="D43" s="1122"/>
      <c r="E43" s="1116"/>
      <c r="F43" s="1127">
        <f t="shared" ref="F43:K43" si="7">F31-F40</f>
        <v>-1</v>
      </c>
      <c r="G43" s="1124">
        <f t="shared" si="7"/>
        <v>-1</v>
      </c>
      <c r="H43" s="1125">
        <f t="shared" si="7"/>
        <v>0</v>
      </c>
      <c r="I43" s="1126">
        <f t="shared" si="7"/>
        <v>0</v>
      </c>
      <c r="J43" s="1127">
        <f t="shared" si="7"/>
        <v>-1</v>
      </c>
      <c r="K43" s="1127">
        <f t="shared" si="7"/>
        <v>0</v>
      </c>
    </row>
    <row r="44" spans="1:14">
      <c r="A44" s="1112">
        <v>34</v>
      </c>
      <c r="B44" s="1024"/>
      <c r="C44" s="1024" t="s">
        <v>283</v>
      </c>
      <c r="D44" s="1122"/>
      <c r="E44" s="1116"/>
      <c r="F44" s="1141">
        <f t="shared" ref="F44:K44" si="8">IF(F40=0,0,ROUND(F43/F40,5))</f>
        <v>0</v>
      </c>
      <c r="G44" s="1145">
        <f t="shared" si="8"/>
        <v>0</v>
      </c>
      <c r="H44" s="1146">
        <f t="shared" si="8"/>
        <v>0</v>
      </c>
      <c r="I44" s="1147">
        <f t="shared" si="8"/>
        <v>0</v>
      </c>
      <c r="J44" s="1141">
        <f t="shared" si="8"/>
        <v>0</v>
      </c>
      <c r="K44" s="1127">
        <f t="shared" si="8"/>
        <v>0</v>
      </c>
    </row>
    <row r="45" spans="1:14">
      <c r="A45" s="343"/>
      <c r="C45" s="196"/>
      <c r="D45" s="344"/>
      <c r="E45" s="196"/>
      <c r="F45" s="196"/>
      <c r="G45" s="196"/>
      <c r="H45" s="196"/>
      <c r="I45" s="196"/>
      <c r="J45" s="196"/>
      <c r="K45" s="196"/>
    </row>
    <row r="46" spans="1:14">
      <c r="A46" s="343" t="str">
        <f>co_name</f>
        <v>DUKE ENERGY KENTUCKY, INC.</v>
      </c>
      <c r="C46" s="196"/>
      <c r="D46" s="344"/>
      <c r="E46" s="196"/>
      <c r="F46" s="196"/>
      <c r="G46" s="196"/>
      <c r="H46" s="196"/>
      <c r="I46" s="196"/>
      <c r="J46" s="196" t="str">
        <f>$J$1</f>
        <v>FR-16(7)(v)-9</v>
      </c>
      <c r="K46" s="196"/>
    </row>
    <row r="47" spans="1:14">
      <c r="A47" s="343" t="str">
        <f>$A$2</f>
        <v>RESIDENTIAL CLASSIFIED - GAS COST OF SERVICE</v>
      </c>
      <c r="C47" s="196"/>
      <c r="D47" s="344"/>
      <c r="E47" s="196"/>
      <c r="F47" s="196"/>
      <c r="G47" s="196"/>
      <c r="H47" s="196"/>
      <c r="I47" s="196"/>
      <c r="J47" s="196" t="str">
        <f>$J$2</f>
        <v>WITNESS RESPONSIBLE:</v>
      </c>
      <c r="K47" s="196"/>
    </row>
    <row r="48" spans="1:14">
      <c r="A48" s="343" t="str">
        <f>case_name</f>
        <v>CASE NO: 2018-00261</v>
      </c>
      <c r="C48" s="196"/>
      <c r="D48" s="344"/>
      <c r="E48" s="196"/>
      <c r="F48" s="196"/>
      <c r="G48" s="196"/>
      <c r="H48" s="196"/>
      <c r="I48" s="196"/>
      <c r="J48" s="196" t="str">
        <f>Witness</f>
        <v>JAMES E. ZIOLKOWSKI</v>
      </c>
      <c r="K48" s="196"/>
    </row>
    <row r="49" spans="1:11">
      <c r="A49" s="343" t="str">
        <f>data_filing</f>
        <v>DATA: 12 MONTH FORECASTED PERIOD</v>
      </c>
      <c r="C49" s="196"/>
      <c r="D49" s="344"/>
      <c r="E49" s="196"/>
      <c r="F49" s="196"/>
      <c r="G49" s="196"/>
      <c r="H49" s="196"/>
      <c r="I49" s="196"/>
      <c r="J49" s="196" t="str">
        <f>"PAGE "&amp;Pages2-13&amp;" OF "&amp;Pages2</f>
        <v>PAGE 2 OF 15</v>
      </c>
      <c r="K49" s="196"/>
    </row>
    <row r="50" spans="1:11">
      <c r="A50" s="343" t="str">
        <f>type</f>
        <v xml:space="preserve">TYPE OF FILING: "X" ORIGINAL   UPDATED    REVISED  </v>
      </c>
      <c r="C50" s="196"/>
      <c r="D50" s="344"/>
      <c r="E50" s="196"/>
      <c r="F50" s="196"/>
      <c r="G50" s="196"/>
      <c r="H50" s="196"/>
      <c r="I50" s="196"/>
      <c r="J50" s="196"/>
      <c r="K50" s="196"/>
    </row>
    <row r="51" spans="1:11">
      <c r="A51" s="343"/>
      <c r="C51" s="196"/>
      <c r="D51" s="344"/>
      <c r="E51" s="196"/>
      <c r="F51" s="196"/>
      <c r="G51" s="196"/>
      <c r="H51" s="196"/>
      <c r="I51" s="196"/>
      <c r="J51" s="196"/>
      <c r="K51" s="196"/>
    </row>
    <row r="52" spans="1:11">
      <c r="A52" s="343"/>
      <c r="C52" s="196"/>
      <c r="D52" s="344"/>
      <c r="E52" s="196"/>
      <c r="F52" s="196"/>
      <c r="G52" s="196"/>
      <c r="H52" s="196"/>
      <c r="I52" s="196"/>
      <c r="J52" s="196"/>
      <c r="K52" s="196"/>
    </row>
    <row r="53" spans="1:11">
      <c r="A53" s="344" t="s">
        <v>914</v>
      </c>
      <c r="B53" s="196"/>
      <c r="C53" s="196"/>
      <c r="D53" s="344"/>
      <c r="E53" s="196"/>
      <c r="F53" s="344" t="s">
        <v>229</v>
      </c>
      <c r="G53" s="545" t="s">
        <v>1005</v>
      </c>
      <c r="H53" s="533"/>
      <c r="I53" s="534"/>
      <c r="J53" s="344" t="s">
        <v>229</v>
      </c>
      <c r="K53" s="344" t="s">
        <v>342</v>
      </c>
    </row>
    <row r="54" spans="1:11">
      <c r="A54" s="346" t="s">
        <v>915</v>
      </c>
      <c r="B54" s="345" t="s">
        <v>95</v>
      </c>
      <c r="C54" s="345"/>
      <c r="D54" s="346" t="s">
        <v>337</v>
      </c>
      <c r="E54" s="345"/>
      <c r="F54" s="346" t="str">
        <f>$F$9</f>
        <v>RESIDENTIAL</v>
      </c>
      <c r="G54" s="546" t="s">
        <v>847</v>
      </c>
      <c r="H54" s="535" t="s">
        <v>848</v>
      </c>
      <c r="I54" s="536" t="s">
        <v>849</v>
      </c>
      <c r="J54" s="346" t="s">
        <v>341</v>
      </c>
      <c r="K54" s="346" t="s">
        <v>340</v>
      </c>
    </row>
    <row r="55" spans="1:11">
      <c r="C55" s="578" t="s">
        <v>344</v>
      </c>
      <c r="D55" s="344"/>
      <c r="E55" s="196"/>
      <c r="G55" s="800">
        <f>$G$10</f>
        <v>3</v>
      </c>
      <c r="H55" s="801">
        <f>$H$10</f>
        <v>4</v>
      </c>
      <c r="I55" s="802">
        <f>$I$10</f>
        <v>5</v>
      </c>
      <c r="K55" s="332" t="s">
        <v>343</v>
      </c>
    </row>
    <row r="56" spans="1:11">
      <c r="A56" s="333">
        <v>1</v>
      </c>
      <c r="B56" s="332" t="s">
        <v>14</v>
      </c>
      <c r="E56" s="196"/>
      <c r="G56" s="547"/>
      <c r="H56" s="537"/>
      <c r="I56" s="538"/>
    </row>
    <row r="57" spans="1:11">
      <c r="A57" s="333">
        <v>2</v>
      </c>
      <c r="C57" s="365" t="str">
        <f>'FR-16(7)(v)-1 Functional'!C57</f>
        <v>PRODUCTION PLANT</v>
      </c>
      <c r="D57" s="344" t="str">
        <f>'FR-16(7)(v)-1 Functional'!D57</f>
        <v>K205</v>
      </c>
      <c r="E57" s="196"/>
      <c r="F57" s="479">
        <f>'FR-16(7)(v)-8 TOT CLASS Alloc'!G57</f>
        <v>1633207</v>
      </c>
      <c r="G57" s="548">
        <f>'FR-16(7)(v)-5 DISTR Dem Alloc'!$G$57</f>
        <v>0</v>
      </c>
      <c r="H57" s="539">
        <f>'FR-16(7)(v)-3 PROD Comm Alloc'!$G$57</f>
        <v>1633207</v>
      </c>
      <c r="I57" s="540">
        <f>'FR-16(7)(v)-6 DISTR Cust Alloc'!$G$57</f>
        <v>0</v>
      </c>
      <c r="J57" s="347">
        <f>SUM(G57:I57)</f>
        <v>1633207</v>
      </c>
      <c r="K57" s="347">
        <f>F57-$J$57</f>
        <v>0</v>
      </c>
    </row>
    <row r="58" spans="1:11">
      <c r="A58" s="333">
        <v>3</v>
      </c>
      <c r="C58" s="359" t="str">
        <f>'FR-16(7)(v)-1 Functional'!C58</f>
        <v>GAS PRODUCTION -CPMPL NOT CLASS</v>
      </c>
      <c r="D58" s="344" t="str">
        <f>'FR-16(7)(v)-1 Functional'!D58</f>
        <v>K205</v>
      </c>
      <c r="E58" s="196"/>
      <c r="F58" s="479">
        <f>'FR-16(7)(v)-8 TOT CLASS Alloc'!G58</f>
        <v>0</v>
      </c>
      <c r="G58" s="548">
        <f>'FR-16(7)(v)-5 DISTR Dem Alloc'!$G$58</f>
        <v>0</v>
      </c>
      <c r="H58" s="539">
        <f>'FR-16(7)(v)-3 PROD Comm Alloc'!$G$58</f>
        <v>0</v>
      </c>
      <c r="I58" s="540">
        <f>'FR-16(7)(v)-6 DISTR Cust Alloc'!$G$58</f>
        <v>0</v>
      </c>
      <c r="J58" s="347">
        <f>SUM(G58:I58)</f>
        <v>0</v>
      </c>
      <c r="K58" s="347">
        <f>F58-$J$58</f>
        <v>0</v>
      </c>
    </row>
    <row r="59" spans="1:11">
      <c r="A59" s="333">
        <v>4</v>
      </c>
      <c r="C59" s="332" t="str">
        <f>'FR-16(7)(v)-1 Functional'!C59</f>
        <v xml:space="preserve">  PRODUCTION PLANT IN SERVICE</v>
      </c>
      <c r="D59" s="344"/>
      <c r="E59" s="196"/>
      <c r="F59" s="348">
        <f>SUM(F57:F58)</f>
        <v>1633207</v>
      </c>
      <c r="G59" s="549">
        <f>SUM($G$57:$G$58)</f>
        <v>0</v>
      </c>
      <c r="H59" s="541">
        <f>SUM($H$57:$H$58)</f>
        <v>1633207</v>
      </c>
      <c r="I59" s="542">
        <f>SUM($I$57:$I$58)</f>
        <v>0</v>
      </c>
      <c r="J59" s="348">
        <f>SUM($J$57:$J$58)</f>
        <v>1633207</v>
      </c>
      <c r="K59" s="348">
        <f>SUM($K$57:$K$58)</f>
        <v>0</v>
      </c>
    </row>
    <row r="60" spans="1:11">
      <c r="A60" s="333">
        <v>5</v>
      </c>
      <c r="D60" s="344"/>
      <c r="E60" s="196"/>
      <c r="G60" s="547"/>
      <c r="H60" s="537"/>
      <c r="I60" s="538"/>
    </row>
    <row r="61" spans="1:11">
      <c r="A61" s="333">
        <v>6</v>
      </c>
      <c r="B61" s="332" t="s">
        <v>15</v>
      </c>
      <c r="D61" s="344"/>
      <c r="E61" s="196"/>
      <c r="G61" s="547"/>
      <c r="H61" s="537"/>
      <c r="I61" s="538"/>
    </row>
    <row r="62" spans="1:11">
      <c r="A62" s="333">
        <v>7</v>
      </c>
      <c r="C62" s="359" t="str">
        <f>'FR-16(7)(v)-1 Functional'!C62</f>
        <v>TRANSMISSION PLANT</v>
      </c>
      <c r="D62" s="344" t="s">
        <v>343</v>
      </c>
      <c r="E62" s="196"/>
      <c r="F62" s="477"/>
      <c r="G62" s="548"/>
      <c r="H62" s="539"/>
      <c r="I62" s="540"/>
      <c r="J62" s="347"/>
      <c r="K62" s="347"/>
    </row>
    <row r="63" spans="1:11">
      <c r="A63" s="333">
        <v>8</v>
      </c>
      <c r="C63" s="332" t="str">
        <f>'FR-16(7)(v)-1 Functional'!C63</f>
        <v xml:space="preserve">  TRANSMISSION PLANT IN SERVICE</v>
      </c>
      <c r="D63" s="344"/>
      <c r="E63" s="196"/>
      <c r="F63" s="348">
        <f>SUM(F62)</f>
        <v>0</v>
      </c>
      <c r="G63" s="549">
        <f>SUM($G$62)</f>
        <v>0</v>
      </c>
      <c r="H63" s="541">
        <f>SUM($H$62)</f>
        <v>0</v>
      </c>
      <c r="I63" s="542">
        <f>SUM($I$62)</f>
        <v>0</v>
      </c>
      <c r="J63" s="348">
        <f>SUM($J$62)</f>
        <v>0</v>
      </c>
      <c r="K63" s="348">
        <f>SUM($K$62)</f>
        <v>0</v>
      </c>
    </row>
    <row r="64" spans="1:11">
      <c r="A64" s="333">
        <v>9</v>
      </c>
      <c r="D64" s="344"/>
      <c r="E64" s="196"/>
      <c r="G64" s="547"/>
      <c r="H64" s="537"/>
      <c r="I64" s="538"/>
    </row>
    <row r="65" spans="1:11">
      <c r="A65" s="333">
        <v>10</v>
      </c>
      <c r="B65" s="332" t="s">
        <v>16</v>
      </c>
      <c r="D65" s="344"/>
      <c r="E65" s="196"/>
      <c r="F65" s="347">
        <f>F63+F59</f>
        <v>1633207</v>
      </c>
      <c r="G65" s="548">
        <f>$G$63+$G$59</f>
        <v>0</v>
      </c>
      <c r="H65" s="539">
        <f>$H$63+$H$59</f>
        <v>1633207</v>
      </c>
      <c r="I65" s="540">
        <f>$I$63+$I$59</f>
        <v>0</v>
      </c>
      <c r="J65" s="347">
        <f>$J$63+$J$59</f>
        <v>1633207</v>
      </c>
      <c r="K65" s="347">
        <f>$K$63+$K$59</f>
        <v>0</v>
      </c>
    </row>
    <row r="66" spans="1:11">
      <c r="A66" s="333">
        <v>11</v>
      </c>
      <c r="D66" s="344"/>
      <c r="E66" s="196"/>
      <c r="G66" s="547"/>
      <c r="H66" s="537"/>
      <c r="I66" s="538"/>
    </row>
    <row r="67" spans="1:11">
      <c r="A67" s="333">
        <v>12</v>
      </c>
      <c r="B67" s="332" t="s">
        <v>17</v>
      </c>
      <c r="D67" s="344"/>
      <c r="E67" s="196"/>
      <c r="G67" s="547"/>
      <c r="H67" s="537"/>
      <c r="I67" s="538"/>
    </row>
    <row r="68" spans="1:11">
      <c r="A68" s="333">
        <v>13</v>
      </c>
      <c r="C68" s="332" t="str">
        <f>'FR-16(7)(v)-1 Functional'!C68</f>
        <v>SYSTEM M&amp;R - (2780, 2781)</v>
      </c>
      <c r="D68" s="344" t="str">
        <f>'FR-16(7)(v)-1 Functional'!D68</f>
        <v>K203</v>
      </c>
      <c r="E68" s="196"/>
      <c r="F68" s="479">
        <f>'FR-16(7)(v)-8 TOT CLASS Alloc'!G68</f>
        <v>4627423</v>
      </c>
      <c r="G68" s="548">
        <f>'FR-16(7)(v)-5 DISTR Dem Alloc'!G68</f>
        <v>4627423</v>
      </c>
      <c r="H68" s="539">
        <f>'FR-16(7)(v)-3 PROD Comm Alloc'!G68</f>
        <v>0</v>
      </c>
      <c r="I68" s="540">
        <f>'FR-16(7)(v)-6 DISTR Cust Alloc'!G68</f>
        <v>0</v>
      </c>
      <c r="J68" s="347">
        <f t="shared" ref="J68:J77" si="9">SUM(G68:I68)</f>
        <v>4627423</v>
      </c>
      <c r="K68" s="347">
        <f t="shared" ref="K68:K77" si="10">F68-J68</f>
        <v>0</v>
      </c>
    </row>
    <row r="69" spans="1:11">
      <c r="A69" s="333">
        <v>14</v>
      </c>
      <c r="C69" s="332" t="str">
        <f>'FR-16(7)(v)-1 Functional'!C69</f>
        <v xml:space="preserve">DIST REG EQUIP &amp; CITY GATE M&amp;R- (2782, 2790) </v>
      </c>
      <c r="D69" s="344" t="str">
        <f>'FR-16(7)(v)-1 Functional'!D69</f>
        <v>K203</v>
      </c>
      <c r="E69" s="196"/>
      <c r="F69" s="479">
        <f>'FR-16(7)(v)-8 TOT CLASS Alloc'!G69</f>
        <v>1366036</v>
      </c>
      <c r="G69" s="548">
        <f>'FR-16(7)(v)-5 DISTR Dem Alloc'!G69</f>
        <v>1366036</v>
      </c>
      <c r="H69" s="539">
        <f>'FR-16(7)(v)-3 PROD Comm Alloc'!G69</f>
        <v>0</v>
      </c>
      <c r="I69" s="540">
        <f>'FR-16(7)(v)-6 DISTR Cust Alloc'!G69</f>
        <v>0</v>
      </c>
      <c r="J69" s="347">
        <f t="shared" si="9"/>
        <v>1366036</v>
      </c>
      <c r="K69" s="347">
        <f t="shared" si="10"/>
        <v>0</v>
      </c>
    </row>
    <row r="70" spans="1:11">
      <c r="A70" s="333">
        <v>15</v>
      </c>
      <c r="C70" s="332" t="str">
        <f>'FR-16(7)(v)-1 Functional'!C70</f>
        <v>LARGE IND M&amp;R - (2850, 2851)</v>
      </c>
      <c r="D70" s="344" t="str">
        <f>'FR-16(7)(v)-1 Functional'!D70</f>
        <v>K595</v>
      </c>
      <c r="E70" s="196"/>
      <c r="F70" s="479">
        <f>'FR-16(7)(v)-8 TOT CLASS Alloc'!G70</f>
        <v>0</v>
      </c>
      <c r="G70" s="548">
        <f>'FR-16(7)(v)-5 DISTR Dem Alloc'!G70</f>
        <v>0</v>
      </c>
      <c r="H70" s="539">
        <f>'FR-16(7)(v)-3 PROD Comm Alloc'!G70</f>
        <v>0</v>
      </c>
      <c r="I70" s="540">
        <f>'FR-16(7)(v)-6 DISTR Cust Alloc'!G70</f>
        <v>0</v>
      </c>
      <c r="J70" s="347">
        <f t="shared" si="9"/>
        <v>0</v>
      </c>
      <c r="K70" s="347">
        <f t="shared" si="10"/>
        <v>0</v>
      </c>
    </row>
    <row r="71" spans="1:11">
      <c r="A71" s="333">
        <v>16</v>
      </c>
      <c r="C71" s="332" t="str">
        <f>'FR-16(7)(v)-1 Functional'!C71</f>
        <v>MAINS - (2761, 2762, 2763, 2765)</v>
      </c>
      <c r="D71" s="344" t="str">
        <f>'FR-16(7)(v)-1 Functional'!D71</f>
        <v>K415</v>
      </c>
      <c r="E71" s="196"/>
      <c r="F71" s="479">
        <f>'FR-16(7)(v)-8 TOT CLASS Alloc'!G71</f>
        <v>176544069</v>
      </c>
      <c r="G71" s="548">
        <f>'FR-16(7)(v)-5 DISTR Dem Alloc'!G71</f>
        <v>134445211</v>
      </c>
      <c r="H71" s="539">
        <f>'FR-16(7)(v)-3 PROD Comm Alloc'!G71</f>
        <v>0</v>
      </c>
      <c r="I71" s="540">
        <f>'FR-16(7)(v)-6 DISTR Cust Alloc'!G71</f>
        <v>42098858</v>
      </c>
      <c r="J71" s="347">
        <f t="shared" si="9"/>
        <v>176544069</v>
      </c>
      <c r="K71" s="347">
        <f t="shared" si="10"/>
        <v>0</v>
      </c>
    </row>
    <row r="72" spans="1:11">
      <c r="A72" s="333">
        <v>17</v>
      </c>
      <c r="C72" s="332" t="str">
        <f>'FR-16(7)(v)-1 Functional'!C72</f>
        <v>SERVICES - (2801, 2802, 2803)</v>
      </c>
      <c r="D72" s="344" t="str">
        <f>'FR-16(7)(v)-1 Functional'!D72</f>
        <v>K403</v>
      </c>
      <c r="E72" s="196"/>
      <c r="F72" s="479">
        <f>'FR-16(7)(v)-8 TOT CLASS Alloc'!G72</f>
        <v>142322242</v>
      </c>
      <c r="G72" s="548">
        <f>'FR-16(7)(v)-5 DISTR Dem Alloc'!G72</f>
        <v>0</v>
      </c>
      <c r="H72" s="539">
        <f>'FR-16(7)(v)-3 PROD Comm Alloc'!G72</f>
        <v>0</v>
      </c>
      <c r="I72" s="540">
        <f>'FR-16(7)(v)-6 DISTR Cust Alloc'!G72</f>
        <v>142322242</v>
      </c>
      <c r="J72" s="347">
        <f t="shared" si="9"/>
        <v>142322242</v>
      </c>
      <c r="K72" s="347">
        <f t="shared" si="10"/>
        <v>0</v>
      </c>
    </row>
    <row r="73" spans="1:11">
      <c r="A73" s="333">
        <v>18</v>
      </c>
      <c r="C73" s="332" t="str">
        <f>'FR-16(7)(v)-1 Functional'!C73</f>
        <v>MTRS &amp; MTR INST (2810, 2811, 2820, 2821)</v>
      </c>
      <c r="D73" s="344" t="str">
        <f>'FR-16(7)(v)-1 Functional'!D73</f>
        <v>K413</v>
      </c>
      <c r="E73" s="196"/>
      <c r="F73" s="479">
        <f>'FR-16(7)(v)-8 TOT CLASS Alloc'!G73</f>
        <v>18414161</v>
      </c>
      <c r="G73" s="548">
        <f>'FR-16(7)(v)-5 DISTR Dem Alloc'!G73</f>
        <v>0</v>
      </c>
      <c r="H73" s="539">
        <f>'FR-16(7)(v)-3 PROD Comm Alloc'!G73</f>
        <v>0</v>
      </c>
      <c r="I73" s="540">
        <f>'FR-16(7)(v)-6 DISTR Cust Alloc'!G73</f>
        <v>18414161</v>
      </c>
      <c r="J73" s="347">
        <f t="shared" si="9"/>
        <v>18414161</v>
      </c>
      <c r="K73" s="347">
        <f t="shared" si="10"/>
        <v>0</v>
      </c>
    </row>
    <row r="74" spans="1:11">
      <c r="A74" s="333">
        <v>19</v>
      </c>
      <c r="C74" s="332" t="str">
        <f>'FR-16(7)(v)-1 Functional'!C74</f>
        <v>LAND, R OF W, STRUCT &amp; IMPROV</v>
      </c>
      <c r="D74" s="344" t="str">
        <f>'FR-16(7)(v)-1 Functional'!D74</f>
        <v>K203</v>
      </c>
      <c r="E74" s="196"/>
      <c r="F74" s="479">
        <f>'FR-16(7)(v)-8 TOT CLASS Alloc'!G74</f>
        <v>824640</v>
      </c>
      <c r="G74" s="548">
        <f>'FR-16(7)(v)-5 DISTR Dem Alloc'!G74</f>
        <v>824640</v>
      </c>
      <c r="H74" s="539">
        <f>'FR-16(7)(v)-3 PROD Comm Alloc'!G74</f>
        <v>0</v>
      </c>
      <c r="I74" s="540">
        <f>'FR-16(7)(v)-6 DISTR Cust Alloc'!G74</f>
        <v>0</v>
      </c>
      <c r="J74" s="347">
        <f t="shared" si="9"/>
        <v>824640</v>
      </c>
      <c r="K74" s="347">
        <f t="shared" si="10"/>
        <v>0</v>
      </c>
    </row>
    <row r="75" spans="1:11">
      <c r="A75" s="333">
        <v>20</v>
      </c>
      <c r="C75" s="332" t="str">
        <f>'FR-16(7)(v)-1 Functional'!C75</f>
        <v>HOUSE REG &amp; INSTALL (2830, 2840)</v>
      </c>
      <c r="D75" s="344" t="str">
        <f>'FR-16(7)(v)-1 Functional'!D75</f>
        <v>K417</v>
      </c>
      <c r="E75" s="196"/>
      <c r="F75" s="479">
        <f>'FR-16(7)(v)-8 TOT CLASS Alloc'!G75</f>
        <v>8257323</v>
      </c>
      <c r="G75" s="548">
        <f>'FR-16(7)(v)-5 DISTR Dem Alloc'!G75</f>
        <v>0</v>
      </c>
      <c r="H75" s="539">
        <f>'FR-16(7)(v)-3 PROD Comm Alloc'!G75</f>
        <v>0</v>
      </c>
      <c r="I75" s="540">
        <f>'FR-16(7)(v)-6 DISTR Cust Alloc'!G75</f>
        <v>8257323</v>
      </c>
      <c r="J75" s="347">
        <f t="shared" si="9"/>
        <v>8257323</v>
      </c>
      <c r="K75" s="347">
        <f t="shared" si="10"/>
        <v>0</v>
      </c>
    </row>
    <row r="76" spans="1:11">
      <c r="A76" s="333">
        <v>21</v>
      </c>
      <c r="C76" s="365" t="str">
        <f>'FR-16(7)(v)-1 Functional'!C76</f>
        <v>STREET LIGHTING EQUIPMENT &amp; OTH</v>
      </c>
      <c r="D76" s="344" t="str">
        <f>'FR-16(7)(v)-1 Functional'!D76</f>
        <v>K597</v>
      </c>
      <c r="E76" s="196"/>
      <c r="F76" s="479">
        <f>'FR-16(7)(v)-8 TOT CLASS Alloc'!G76</f>
        <v>0</v>
      </c>
      <c r="G76" s="548">
        <f>'FR-16(7)(v)-5 DISTR Dem Alloc'!G76</f>
        <v>0</v>
      </c>
      <c r="H76" s="539">
        <f>'FR-16(7)(v)-3 PROD Comm Alloc'!G76</f>
        <v>0</v>
      </c>
      <c r="I76" s="540">
        <f>'FR-16(7)(v)-6 DISTR Cust Alloc'!G76</f>
        <v>0</v>
      </c>
      <c r="J76" s="347">
        <f t="shared" si="9"/>
        <v>0</v>
      </c>
      <c r="K76" s="347">
        <f t="shared" si="10"/>
        <v>0</v>
      </c>
    </row>
    <row r="77" spans="1:11">
      <c r="A77" s="333">
        <v>22</v>
      </c>
      <c r="C77" s="332" t="str">
        <f>'FR-16(7)(v)-1 Functional'!C77</f>
        <v>ASSET RETIREMENT COST FOR DISTRIBUTION PLANT</v>
      </c>
      <c r="D77" s="344" t="str">
        <f>'FR-16(7)(v)-1 Functional'!D77</f>
        <v>K203</v>
      </c>
      <c r="E77" s="196"/>
      <c r="F77" s="479">
        <f>'FR-16(7)(v)-8 TOT CLASS Alloc'!G77</f>
        <v>30272092</v>
      </c>
      <c r="G77" s="548">
        <f>'FR-16(7)(v)-5 DISTR Dem Alloc'!G77</f>
        <v>30272092</v>
      </c>
      <c r="H77" s="539">
        <f>'FR-16(7)(v)-3 PROD Comm Alloc'!G77</f>
        <v>0</v>
      </c>
      <c r="I77" s="540">
        <f>'FR-16(7)(v)-6 DISTR Cust Alloc'!G77</f>
        <v>0</v>
      </c>
      <c r="J77" s="347">
        <f t="shared" si="9"/>
        <v>30272092</v>
      </c>
      <c r="K77" s="347">
        <f t="shared" si="10"/>
        <v>0</v>
      </c>
    </row>
    <row r="78" spans="1:11">
      <c r="A78" s="333">
        <v>23</v>
      </c>
      <c r="C78" s="339" t="str">
        <f>'FR-16(7)(v)-1 Functional'!C78</f>
        <v xml:space="preserve">  DISTRIBUTION PLANT IN SERVICE</v>
      </c>
      <c r="D78" s="344"/>
      <c r="E78" s="196"/>
      <c r="F78" s="348">
        <f t="shared" ref="F78:K78" si="11">SUM(F68:F77)</f>
        <v>382627986</v>
      </c>
      <c r="G78" s="549">
        <f t="shared" si="11"/>
        <v>171535402</v>
      </c>
      <c r="H78" s="541">
        <f t="shared" si="11"/>
        <v>0</v>
      </c>
      <c r="I78" s="542">
        <f t="shared" si="11"/>
        <v>211092584</v>
      </c>
      <c r="J78" s="348">
        <f t="shared" si="11"/>
        <v>382627986</v>
      </c>
      <c r="K78" s="348">
        <f t="shared" si="11"/>
        <v>0</v>
      </c>
    </row>
    <row r="79" spans="1:11">
      <c r="A79" s="333">
        <v>24</v>
      </c>
      <c r="D79" s="344"/>
      <c r="E79" s="196"/>
      <c r="G79" s="547"/>
      <c r="H79" s="537"/>
      <c r="I79" s="538"/>
    </row>
    <row r="80" spans="1:11">
      <c r="A80" s="333">
        <v>25</v>
      </c>
      <c r="B80" s="332" t="s">
        <v>18</v>
      </c>
      <c r="D80" s="344"/>
      <c r="E80" s="196"/>
      <c r="F80" s="347">
        <f>F78+F63</f>
        <v>382627986</v>
      </c>
      <c r="G80" s="548">
        <f>G78+$G$63</f>
        <v>171535402</v>
      </c>
      <c r="H80" s="539">
        <f>H78+$H$63</f>
        <v>0</v>
      </c>
      <c r="I80" s="540">
        <f>I78+$I$63</f>
        <v>211092584</v>
      </c>
      <c r="J80" s="347">
        <f>J78+$J$63</f>
        <v>382627986</v>
      </c>
      <c r="K80" s="347">
        <f>K78+$K$63</f>
        <v>0</v>
      </c>
    </row>
    <row r="81" spans="1:11">
      <c r="A81" s="333">
        <v>26</v>
      </c>
      <c r="B81" s="332" t="s">
        <v>19</v>
      </c>
      <c r="D81" s="344"/>
      <c r="E81" s="196"/>
      <c r="F81" s="347">
        <f t="shared" ref="F81:K81" si="12">F78+F65</f>
        <v>384261193</v>
      </c>
      <c r="G81" s="548">
        <f t="shared" si="12"/>
        <v>171535402</v>
      </c>
      <c r="H81" s="539">
        <f t="shared" si="12"/>
        <v>1633207</v>
      </c>
      <c r="I81" s="540">
        <f t="shared" si="12"/>
        <v>211092584</v>
      </c>
      <c r="J81" s="347">
        <f t="shared" si="12"/>
        <v>384261193</v>
      </c>
      <c r="K81" s="347">
        <f t="shared" si="12"/>
        <v>0</v>
      </c>
    </row>
    <row r="82" spans="1:11">
      <c r="A82" s="333">
        <v>27</v>
      </c>
      <c r="D82" s="344"/>
      <c r="E82" s="196"/>
      <c r="G82" s="547"/>
      <c r="H82" s="537"/>
      <c r="I82" s="538"/>
    </row>
    <row r="83" spans="1:11">
      <c r="A83" s="333">
        <v>28</v>
      </c>
      <c r="B83" s="332" t="s">
        <v>20</v>
      </c>
      <c r="D83" s="344"/>
      <c r="E83" s="196"/>
      <c r="G83" s="547"/>
      <c r="H83" s="537"/>
      <c r="I83" s="538"/>
    </row>
    <row r="84" spans="1:11">
      <c r="A84" s="333">
        <v>29</v>
      </c>
      <c r="C84" s="332" t="str">
        <f>'FR-16(7)(v)-1 Functional'!C84</f>
        <v>PRODUCTION PLANT</v>
      </c>
      <c r="D84" s="344" t="str">
        <f>'FR-16(7)(v)-1 Functional'!D84</f>
        <v>K201</v>
      </c>
      <c r="E84" s="196"/>
      <c r="F84" s="479">
        <f>'FR-16(7)(v)-8 TOT CLASS Alloc'!G84</f>
        <v>719100</v>
      </c>
      <c r="G84" s="548">
        <f>'FR-16(7)(v)-5 DISTR Dem Alloc'!G84</f>
        <v>0</v>
      </c>
      <c r="H84" s="539">
        <f>'FR-16(7)(v)-3 PROD Comm Alloc'!G84</f>
        <v>719100</v>
      </c>
      <c r="I84" s="540">
        <f>'FR-16(7)(v)-6 DISTR Cust Alloc'!G84</f>
        <v>0</v>
      </c>
      <c r="J84" s="347">
        <f t="shared" ref="J84:J89" si="13">SUM(G84:I84)</f>
        <v>719100</v>
      </c>
      <c r="K84" s="347">
        <f t="shared" ref="K84:K89" si="14">F84-J84</f>
        <v>0</v>
      </c>
    </row>
    <row r="85" spans="1:11">
      <c r="A85" s="333">
        <v>30</v>
      </c>
      <c r="C85" s="332" t="str">
        <f>'FR-16(7)(v)-1 Functional'!C85</f>
        <v>PRODUCTION PLANT COMMODITY</v>
      </c>
      <c r="D85" s="344" t="str">
        <f>'FR-16(7)(v)-1 Functional'!D85</f>
        <v>P349</v>
      </c>
      <c r="E85" s="196"/>
      <c r="F85" s="479">
        <f>'FR-16(7)(v)-8 TOT CLASS Alloc'!G85</f>
        <v>560619</v>
      </c>
      <c r="G85" s="548">
        <f>'FR-16(7)(v)-5 DISTR Dem Alloc'!G85</f>
        <v>0</v>
      </c>
      <c r="H85" s="539">
        <f>'FR-16(7)(v)-3 PROD Comm Alloc'!G85</f>
        <v>560619</v>
      </c>
      <c r="I85" s="540">
        <f>'FR-16(7)(v)-6 DISTR Cust Alloc'!G85</f>
        <v>0</v>
      </c>
      <c r="J85" s="347">
        <f t="shared" si="13"/>
        <v>560619</v>
      </c>
      <c r="K85" s="347">
        <f t="shared" si="14"/>
        <v>0</v>
      </c>
    </row>
    <row r="86" spans="1:11">
      <c r="A86" s="333">
        <v>31</v>
      </c>
      <c r="C86" s="332" t="str">
        <f>'FR-16(7)(v)-1 Functional'!C86</f>
        <v>DISTRIBUTION PLANT</v>
      </c>
      <c r="D86" s="344" t="str">
        <f>'FR-16(7)(v)-1 Functional'!D86</f>
        <v>D349</v>
      </c>
      <c r="E86" s="196"/>
      <c r="F86" s="479">
        <f>'FR-16(7)(v)-8 TOT CLASS Alloc'!G86</f>
        <v>10220473</v>
      </c>
      <c r="G86" s="548">
        <f>'FR-16(7)(v)-5 DISTR Dem Alloc'!G86</f>
        <v>5364471</v>
      </c>
      <c r="H86" s="539">
        <f>'FR-16(7)(v)-3 PROD Comm Alloc'!G86</f>
        <v>0</v>
      </c>
      <c r="I86" s="540">
        <f>'FR-16(7)(v)-6 DISTR Cust Alloc'!G86</f>
        <v>4856002</v>
      </c>
      <c r="J86" s="347">
        <f t="shared" si="13"/>
        <v>10220473</v>
      </c>
      <c r="K86" s="347">
        <f t="shared" si="14"/>
        <v>0</v>
      </c>
    </row>
    <row r="87" spans="1:11">
      <c r="A87" s="333">
        <v>32</v>
      </c>
      <c r="C87" s="332" t="str">
        <f>'FR-16(7)(v)-1 Functional'!C87</f>
        <v>CUSTOMER ACCOUNTING</v>
      </c>
      <c r="D87" s="344" t="str">
        <f>'FR-16(7)(v)-1 Functional'!D87</f>
        <v>CA19</v>
      </c>
      <c r="E87" s="196"/>
      <c r="F87" s="479">
        <f>'FR-16(7)(v)-8 TOT CLASS Alloc'!G87</f>
        <v>5895043</v>
      </c>
      <c r="G87" s="548">
        <f>'FR-16(7)(v)-5 DISTR Dem Alloc'!G87</f>
        <v>0</v>
      </c>
      <c r="H87" s="539">
        <f>'FR-16(7)(v)-3 PROD Comm Alloc'!G87</f>
        <v>0</v>
      </c>
      <c r="I87" s="540">
        <f>'FR-16(7)(v)-6 DISTR Cust Alloc'!G87</f>
        <v>5895043</v>
      </c>
      <c r="J87" s="347">
        <f t="shared" si="13"/>
        <v>5895043</v>
      </c>
      <c r="K87" s="347">
        <f t="shared" si="14"/>
        <v>0</v>
      </c>
    </row>
    <row r="88" spans="1:11">
      <c r="A88" s="333">
        <v>33</v>
      </c>
      <c r="C88" s="332" t="str">
        <f>'FR-16(7)(v)-1 Functional'!C88</f>
        <v>CUSTOMER SERVICE &amp; INFORMATION</v>
      </c>
      <c r="D88" s="344" t="str">
        <f>'FR-16(7)(v)-1 Functional'!D88</f>
        <v>CS19</v>
      </c>
      <c r="E88" s="196"/>
      <c r="F88" s="479">
        <f>'FR-16(7)(v)-8 TOT CLASS Alloc'!G88</f>
        <v>515857</v>
      </c>
      <c r="G88" s="548">
        <f>'FR-16(7)(v)-5 DISTR Dem Alloc'!G88</f>
        <v>0</v>
      </c>
      <c r="H88" s="539">
        <f>'FR-16(7)(v)-3 PROD Comm Alloc'!G88</f>
        <v>0</v>
      </c>
      <c r="I88" s="540">
        <f>'FR-16(7)(v)-6 DISTR Cust Alloc'!G88</f>
        <v>515857</v>
      </c>
      <c r="J88" s="347">
        <f t="shared" si="13"/>
        <v>515857</v>
      </c>
      <c r="K88" s="347">
        <f t="shared" si="14"/>
        <v>0</v>
      </c>
    </row>
    <row r="89" spans="1:11">
      <c r="A89" s="333">
        <v>34</v>
      </c>
      <c r="C89" s="332" t="str">
        <f>'FR-16(7)(v)-1 Functional'!C89</f>
        <v>SALES</v>
      </c>
      <c r="D89" s="344" t="str">
        <f>'FR-16(7)(v)-1 Functional'!D89</f>
        <v>SE19</v>
      </c>
      <c r="E89" s="196"/>
      <c r="F89" s="479">
        <f>'FR-16(7)(v)-8 TOT CLASS Alloc'!G89</f>
        <v>0</v>
      </c>
      <c r="G89" s="548">
        <f>'FR-16(7)(v)-5 DISTR Dem Alloc'!G89</f>
        <v>0</v>
      </c>
      <c r="H89" s="539">
        <f>'FR-16(7)(v)-3 PROD Comm Alloc'!G89</f>
        <v>0</v>
      </c>
      <c r="I89" s="540">
        <f>'FR-16(7)(v)-6 DISTR Cust Alloc'!G89</f>
        <v>0</v>
      </c>
      <c r="J89" s="347">
        <f t="shared" si="13"/>
        <v>0</v>
      </c>
      <c r="K89" s="347">
        <f t="shared" si="14"/>
        <v>0</v>
      </c>
    </row>
    <row r="90" spans="1:11">
      <c r="A90" s="333">
        <v>35</v>
      </c>
      <c r="C90" s="339" t="str">
        <f>'FR-16(7)(v)-1 Functional'!C90</f>
        <v xml:space="preserve">  GEN &amp; INTANG PLANT IN SERVICE</v>
      </c>
      <c r="D90" s="344"/>
      <c r="E90" s="196"/>
      <c r="F90" s="480">
        <f t="shared" ref="F90:K90" si="15">SUM(F84:F89)</f>
        <v>17911092</v>
      </c>
      <c r="G90" s="549">
        <f t="shared" si="15"/>
        <v>5364471</v>
      </c>
      <c r="H90" s="541">
        <f t="shared" si="15"/>
        <v>1279719</v>
      </c>
      <c r="I90" s="542">
        <f t="shared" si="15"/>
        <v>11266902</v>
      </c>
      <c r="J90" s="348">
        <f t="shared" si="15"/>
        <v>17911092</v>
      </c>
      <c r="K90" s="348">
        <f t="shared" si="15"/>
        <v>0</v>
      </c>
    </row>
    <row r="91" spans="1:11">
      <c r="A91" s="333">
        <v>36</v>
      </c>
      <c r="D91" s="344"/>
      <c r="E91" s="196"/>
      <c r="G91" s="547"/>
      <c r="H91" s="537"/>
      <c r="I91" s="538"/>
    </row>
    <row r="92" spans="1:11">
      <c r="A92" s="333">
        <v>37</v>
      </c>
      <c r="B92" s="332" t="s">
        <v>21</v>
      </c>
      <c r="D92" s="344"/>
      <c r="E92" s="196"/>
      <c r="G92" s="547"/>
      <c r="H92" s="537"/>
      <c r="I92" s="538"/>
    </row>
    <row r="93" spans="1:11">
      <c r="A93" s="333">
        <v>38</v>
      </c>
      <c r="C93" s="332" t="str">
        <f>'FR-16(7)(v)-1 Functional'!C93</f>
        <v>PRODUCTION PLANT</v>
      </c>
      <c r="D93" s="344" t="str">
        <f>'FR-16(7)(v)-1 Functional'!D93</f>
        <v>K201</v>
      </c>
      <c r="E93" s="196"/>
      <c r="F93" s="479">
        <f>'FR-16(7)(v)-8 TOT CLASS Alloc'!G93</f>
        <v>378506</v>
      </c>
      <c r="G93" s="548">
        <f>'FR-16(7)(v)-5 DISTR Dem Alloc'!G93</f>
        <v>0</v>
      </c>
      <c r="H93" s="539">
        <f>'FR-16(7)(v)-3 PROD Comm Alloc'!G93</f>
        <v>378506</v>
      </c>
      <c r="I93" s="540">
        <f>'FR-16(7)(v)-6 DISTR Cust Alloc'!G93</f>
        <v>0</v>
      </c>
      <c r="J93" s="347">
        <f t="shared" ref="J93:J98" si="16">SUM(G93:I93)</f>
        <v>378506</v>
      </c>
      <c r="K93" s="347">
        <f t="shared" ref="K93:K98" si="17">F93-J93</f>
        <v>0</v>
      </c>
    </row>
    <row r="94" spans="1:11">
      <c r="A94" s="333">
        <v>39</v>
      </c>
      <c r="C94" s="332" t="str">
        <f>'FR-16(7)(v)-1 Functional'!C94</f>
        <v>PRODUCTION PLANT COMMODITY</v>
      </c>
      <c r="D94" s="344" t="str">
        <f>'FR-16(7)(v)-1 Functional'!D94</f>
        <v>P349</v>
      </c>
      <c r="E94" s="196"/>
      <c r="F94" s="479">
        <f>'FR-16(7)(v)-8 TOT CLASS Alloc'!G94</f>
        <v>295088</v>
      </c>
      <c r="G94" s="548">
        <f>'FR-16(7)(v)-5 DISTR Dem Alloc'!G94</f>
        <v>0</v>
      </c>
      <c r="H94" s="539">
        <f>'FR-16(7)(v)-3 PROD Comm Alloc'!G94</f>
        <v>295088</v>
      </c>
      <c r="I94" s="540">
        <f>'FR-16(7)(v)-6 DISTR Cust Alloc'!G94</f>
        <v>0</v>
      </c>
      <c r="J94" s="347">
        <f t="shared" si="16"/>
        <v>295088</v>
      </c>
      <c r="K94" s="347">
        <f t="shared" si="17"/>
        <v>0</v>
      </c>
    </row>
    <row r="95" spans="1:11">
      <c r="A95" s="333">
        <v>40</v>
      </c>
      <c r="C95" s="332" t="str">
        <f>'FR-16(7)(v)-1 Functional'!C95</f>
        <v>DISTRIBUTION PLANT</v>
      </c>
      <c r="D95" s="344" t="str">
        <f>'FR-16(7)(v)-1 Functional'!D95</f>
        <v>D349</v>
      </c>
      <c r="E95" s="196"/>
      <c r="F95" s="479">
        <f>'FR-16(7)(v)-8 TOT CLASS Alloc'!G95</f>
        <v>5379657</v>
      </c>
      <c r="G95" s="548">
        <f>'FR-16(7)(v)-5 DISTR Dem Alloc'!G95</f>
        <v>2823648</v>
      </c>
      <c r="H95" s="539">
        <f>'FR-16(7)(v)-3 PROD Comm Alloc'!G95</f>
        <v>0</v>
      </c>
      <c r="I95" s="540">
        <f>'FR-16(7)(v)-6 DISTR Cust Alloc'!G95</f>
        <v>2556009</v>
      </c>
      <c r="J95" s="347">
        <f t="shared" si="16"/>
        <v>5379657</v>
      </c>
      <c r="K95" s="347">
        <f t="shared" si="17"/>
        <v>0</v>
      </c>
    </row>
    <row r="96" spans="1:11">
      <c r="A96" s="333">
        <v>41</v>
      </c>
      <c r="C96" s="332" t="str">
        <f>'FR-16(7)(v)-1 Functional'!C96</f>
        <v>CUSTOMER ACCOUNTING</v>
      </c>
      <c r="D96" s="344" t="str">
        <f>'FR-16(7)(v)-1 Functional'!D96</f>
        <v>CA19</v>
      </c>
      <c r="E96" s="196"/>
      <c r="F96" s="479">
        <f>'FR-16(7)(v)-8 TOT CLASS Alloc'!G96</f>
        <v>3102921</v>
      </c>
      <c r="G96" s="548">
        <f>'FR-16(7)(v)-5 DISTR Dem Alloc'!G96</f>
        <v>0</v>
      </c>
      <c r="H96" s="539">
        <f>'FR-16(7)(v)-3 PROD Comm Alloc'!G96</f>
        <v>0</v>
      </c>
      <c r="I96" s="540">
        <f>'FR-16(7)(v)-6 DISTR Cust Alloc'!G96</f>
        <v>3102921</v>
      </c>
      <c r="J96" s="347">
        <f t="shared" si="16"/>
        <v>3102921</v>
      </c>
      <c r="K96" s="347">
        <f t="shared" si="17"/>
        <v>0</v>
      </c>
    </row>
    <row r="97" spans="1:11">
      <c r="A97" s="333">
        <v>42</v>
      </c>
      <c r="C97" s="332" t="str">
        <f>'FR-16(7)(v)-1 Functional'!C97</f>
        <v>CUSTOMER SERVICE &amp; INFORMATION</v>
      </c>
      <c r="D97" s="344" t="str">
        <f>'FR-16(7)(v)-1 Functional'!D97</f>
        <v>CS19</v>
      </c>
      <c r="E97" s="196"/>
      <c r="F97" s="479">
        <f>'FR-16(7)(v)-8 TOT CLASS Alloc'!G97</f>
        <v>271527</v>
      </c>
      <c r="G97" s="548">
        <f>'FR-16(7)(v)-5 DISTR Dem Alloc'!G97</f>
        <v>0</v>
      </c>
      <c r="H97" s="539">
        <f>'FR-16(7)(v)-3 PROD Comm Alloc'!G97</f>
        <v>0</v>
      </c>
      <c r="I97" s="540">
        <f>'FR-16(7)(v)-6 DISTR Cust Alloc'!G97</f>
        <v>271527</v>
      </c>
      <c r="J97" s="347">
        <f t="shared" si="16"/>
        <v>271527</v>
      </c>
      <c r="K97" s="347">
        <f t="shared" si="17"/>
        <v>0</v>
      </c>
    </row>
    <row r="98" spans="1:11">
      <c r="A98" s="333">
        <v>43</v>
      </c>
      <c r="C98" s="365" t="str">
        <f>'FR-16(7)(v)-1 Functional'!C98</f>
        <v>SALES</v>
      </c>
      <c r="D98" s="344" t="str">
        <f>'FR-16(7)(v)-1 Functional'!D98</f>
        <v>SE19</v>
      </c>
      <c r="E98" s="196"/>
      <c r="F98" s="479">
        <f>'FR-16(7)(v)-8 TOT CLASS Alloc'!G98</f>
        <v>0</v>
      </c>
      <c r="G98" s="548">
        <f>'FR-16(7)(v)-5 DISTR Dem Alloc'!G98</f>
        <v>0</v>
      </c>
      <c r="H98" s="539">
        <f>'FR-16(7)(v)-3 PROD Comm Alloc'!G98</f>
        <v>0</v>
      </c>
      <c r="I98" s="540">
        <f>'FR-16(7)(v)-6 DISTR Cust Alloc'!G98</f>
        <v>0</v>
      </c>
      <c r="J98" s="347">
        <f t="shared" si="16"/>
        <v>0</v>
      </c>
      <c r="K98" s="347">
        <f t="shared" si="17"/>
        <v>0</v>
      </c>
    </row>
    <row r="99" spans="1:11">
      <c r="A99" s="333">
        <v>44</v>
      </c>
      <c r="C99" s="339" t="str">
        <f>'FR-16(7)(v)-1 Functional'!C99</f>
        <v xml:space="preserve">  COMMON &amp; OTHER PLANT IN SERVICE</v>
      </c>
      <c r="E99" s="196"/>
      <c r="F99" s="348">
        <f t="shared" ref="F99:K99" si="18">SUM(F93:F98)</f>
        <v>9427699</v>
      </c>
      <c r="G99" s="549">
        <f t="shared" si="18"/>
        <v>2823648</v>
      </c>
      <c r="H99" s="541">
        <f t="shared" si="18"/>
        <v>673594</v>
      </c>
      <c r="I99" s="542">
        <f t="shared" si="18"/>
        <v>5930457</v>
      </c>
      <c r="J99" s="348">
        <f t="shared" si="18"/>
        <v>9427699</v>
      </c>
      <c r="K99" s="348">
        <f t="shared" si="18"/>
        <v>0</v>
      </c>
    </row>
    <row r="100" spans="1:11">
      <c r="A100" s="333">
        <v>45</v>
      </c>
      <c r="E100" s="196"/>
      <c r="G100" s="547"/>
      <c r="H100" s="537"/>
      <c r="I100" s="538"/>
    </row>
    <row r="101" spans="1:11">
      <c r="A101" s="333">
        <v>46</v>
      </c>
      <c r="B101" s="332" t="s">
        <v>95</v>
      </c>
      <c r="E101" s="196"/>
      <c r="F101" s="347">
        <f t="shared" ref="F101:K101" si="19">F81+F90+F99</f>
        <v>411599984</v>
      </c>
      <c r="G101" s="550">
        <f t="shared" si="19"/>
        <v>179723521</v>
      </c>
      <c r="H101" s="543">
        <f t="shared" si="19"/>
        <v>3586520</v>
      </c>
      <c r="I101" s="544">
        <f t="shared" si="19"/>
        <v>228289943</v>
      </c>
      <c r="J101" s="347">
        <f t="shared" si="19"/>
        <v>411599984</v>
      </c>
      <c r="K101" s="347">
        <f t="shared" si="19"/>
        <v>0</v>
      </c>
    </row>
    <row r="102" spans="1:11">
      <c r="B102" s="343"/>
      <c r="C102" s="196"/>
      <c r="D102" s="344"/>
      <c r="E102" s="196"/>
      <c r="F102" s="196"/>
      <c r="G102" s="196"/>
      <c r="H102" s="196"/>
      <c r="I102" s="196"/>
      <c r="J102" s="196"/>
      <c r="K102" s="196"/>
    </row>
    <row r="103" spans="1:11">
      <c r="A103" s="343" t="str">
        <f>co_name</f>
        <v>DUKE ENERGY KENTUCKY, INC.</v>
      </c>
      <c r="C103" s="196"/>
      <c r="D103" s="344"/>
      <c r="E103" s="196"/>
      <c r="F103" s="196"/>
      <c r="G103" s="196"/>
      <c r="H103" s="196"/>
      <c r="I103" s="196"/>
      <c r="J103" s="196" t="str">
        <f>$J$1</f>
        <v>FR-16(7)(v)-9</v>
      </c>
      <c r="K103" s="196"/>
    </row>
    <row r="104" spans="1:11">
      <c r="A104" s="343" t="str">
        <f>$A$2</f>
        <v>RESIDENTIAL CLASSIFIED - GAS COST OF SERVICE</v>
      </c>
      <c r="C104" s="196"/>
      <c r="D104" s="344"/>
      <c r="E104" s="196"/>
      <c r="F104" s="196"/>
      <c r="G104" s="196"/>
      <c r="H104" s="196"/>
      <c r="I104" s="196"/>
      <c r="J104" s="196" t="str">
        <f>$J$2</f>
        <v>WITNESS RESPONSIBLE:</v>
      </c>
      <c r="K104" s="196"/>
    </row>
    <row r="105" spans="1:11">
      <c r="A105" s="343" t="str">
        <f>case_name</f>
        <v>CASE NO: 2018-00261</v>
      </c>
      <c r="C105" s="196"/>
      <c r="D105" s="344"/>
      <c r="E105" s="196"/>
      <c r="F105" s="196"/>
      <c r="G105" s="196"/>
      <c r="H105" s="196"/>
      <c r="I105" s="196"/>
      <c r="J105" s="196" t="str">
        <f>Witness</f>
        <v>JAMES E. ZIOLKOWSKI</v>
      </c>
      <c r="K105" s="196"/>
    </row>
    <row r="106" spans="1:11">
      <c r="A106" s="343" t="str">
        <f>data_filing</f>
        <v>DATA: 12 MONTH FORECASTED PERIOD</v>
      </c>
      <c r="C106" s="196"/>
      <c r="D106" s="344"/>
      <c r="E106" s="196"/>
      <c r="F106" s="196"/>
      <c r="G106" s="196"/>
      <c r="H106" s="196"/>
      <c r="I106" s="196"/>
      <c r="J106" s="196" t="str">
        <f>"PAGE "&amp;Pages2-12&amp;" OF "&amp;Pages2</f>
        <v>PAGE 3 OF 15</v>
      </c>
      <c r="K106" s="196"/>
    </row>
    <row r="107" spans="1:11">
      <c r="A107" s="343" t="str">
        <f>type</f>
        <v xml:space="preserve">TYPE OF FILING: "X" ORIGINAL   UPDATED    REVISED  </v>
      </c>
      <c r="C107" s="196"/>
      <c r="D107" s="344"/>
      <c r="E107" s="196"/>
      <c r="F107" s="196"/>
      <c r="G107" s="196"/>
      <c r="H107" s="196"/>
      <c r="I107" s="196"/>
      <c r="J107" s="196"/>
      <c r="K107" s="196"/>
    </row>
    <row r="108" spans="1:11">
      <c r="A108" s="343"/>
      <c r="C108" s="196"/>
      <c r="D108" s="344"/>
      <c r="E108" s="196"/>
      <c r="F108" s="196"/>
      <c r="G108" s="196"/>
      <c r="H108" s="196"/>
      <c r="I108" s="196"/>
      <c r="J108" s="196"/>
      <c r="K108" s="196"/>
    </row>
    <row r="109" spans="1:11">
      <c r="B109" s="343"/>
      <c r="C109" s="196"/>
      <c r="D109" s="344"/>
      <c r="E109" s="196"/>
      <c r="F109" s="196"/>
      <c r="G109" s="196"/>
      <c r="H109" s="196"/>
      <c r="I109" s="196"/>
      <c r="J109" s="196"/>
      <c r="K109" s="196"/>
    </row>
    <row r="110" spans="1:11">
      <c r="A110" s="344" t="s">
        <v>914</v>
      </c>
      <c r="B110" s="196"/>
      <c r="C110" s="196"/>
      <c r="D110" s="344"/>
      <c r="E110" s="196"/>
      <c r="F110" s="344" t="s">
        <v>229</v>
      </c>
      <c r="G110" s="545" t="s">
        <v>1005</v>
      </c>
      <c r="H110" s="533"/>
      <c r="I110" s="534"/>
      <c r="J110" s="344" t="s">
        <v>229</v>
      </c>
      <c r="K110" s="344" t="s">
        <v>342</v>
      </c>
    </row>
    <row r="111" spans="1:11">
      <c r="A111" s="346" t="s">
        <v>915</v>
      </c>
      <c r="B111" s="345" t="s">
        <v>22</v>
      </c>
      <c r="C111" s="345"/>
      <c r="D111" s="346" t="s">
        <v>337</v>
      </c>
      <c r="E111" s="345"/>
      <c r="F111" s="346" t="str">
        <f>$F$9</f>
        <v>RESIDENTIAL</v>
      </c>
      <c r="G111" s="546" t="s">
        <v>847</v>
      </c>
      <c r="H111" s="535" t="s">
        <v>848</v>
      </c>
      <c r="I111" s="536" t="s">
        <v>849</v>
      </c>
      <c r="J111" s="346" t="s">
        <v>341</v>
      </c>
      <c r="K111" s="346" t="s">
        <v>340</v>
      </c>
    </row>
    <row r="112" spans="1:11">
      <c r="C112" s="578" t="s">
        <v>345</v>
      </c>
      <c r="D112" s="344"/>
      <c r="E112" s="196"/>
      <c r="G112" s="800">
        <f>$G$10</f>
        <v>3</v>
      </c>
      <c r="H112" s="801">
        <f>$H$10</f>
        <v>4</v>
      </c>
      <c r="I112" s="802">
        <f>$I$10</f>
        <v>5</v>
      </c>
    </row>
    <row r="113" spans="1:11">
      <c r="A113" s="333">
        <v>1</v>
      </c>
      <c r="B113" s="332" t="s">
        <v>14</v>
      </c>
      <c r="D113" s="344"/>
      <c r="E113" s="196"/>
      <c r="G113" s="547"/>
      <c r="H113" s="537"/>
      <c r="I113" s="538"/>
    </row>
    <row r="114" spans="1:11">
      <c r="A114" s="333">
        <v>2</v>
      </c>
      <c r="C114" s="365" t="str">
        <f>'FR-16(7)(v)-1 Functional'!C114</f>
        <v>PRODUCTION PLANT</v>
      </c>
      <c r="D114" s="344" t="str">
        <f>'FR-16(7)(v)-1 Functional'!D114</f>
        <v>K205</v>
      </c>
      <c r="E114" s="196"/>
      <c r="F114" s="479">
        <f>'FR-16(7)(v)-8 TOT CLASS Alloc'!G114</f>
        <v>953576</v>
      </c>
      <c r="G114" s="548">
        <f>'FR-16(7)(v)-5 DISTR Dem Alloc'!G114</f>
        <v>0</v>
      </c>
      <c r="H114" s="539">
        <f>'FR-16(7)(v)-3 PROD Comm Alloc'!G114</f>
        <v>953576</v>
      </c>
      <c r="I114" s="540">
        <f>'FR-16(7)(v)-6 DISTR Cust Alloc'!G114</f>
        <v>0</v>
      </c>
      <c r="J114" s="347">
        <f>SUM(G114:I114)</f>
        <v>953576</v>
      </c>
      <c r="K114" s="347">
        <f>F114-J114</f>
        <v>0</v>
      </c>
    </row>
    <row r="115" spans="1:11">
      <c r="A115" s="333">
        <v>3</v>
      </c>
      <c r="C115" s="339" t="str">
        <f>'FR-16(7)(v)-1 Functional'!C115</f>
        <v xml:space="preserve">  TOTAL PROD DEPREC RESERVE</v>
      </c>
      <c r="D115" s="344"/>
      <c r="E115" s="196"/>
      <c r="F115" s="348">
        <f t="shared" ref="F115:K115" si="20">SUM(F114:F114)</f>
        <v>953576</v>
      </c>
      <c r="G115" s="549">
        <f t="shared" si="20"/>
        <v>0</v>
      </c>
      <c r="H115" s="541">
        <f t="shared" si="20"/>
        <v>953576</v>
      </c>
      <c r="I115" s="542">
        <f t="shared" si="20"/>
        <v>0</v>
      </c>
      <c r="J115" s="348">
        <f t="shared" si="20"/>
        <v>953576</v>
      </c>
      <c r="K115" s="348">
        <f t="shared" si="20"/>
        <v>0</v>
      </c>
    </row>
    <row r="116" spans="1:11">
      <c r="A116" s="333">
        <v>4</v>
      </c>
      <c r="D116" s="344"/>
      <c r="E116" s="196"/>
      <c r="G116" s="547"/>
      <c r="H116" s="537"/>
      <c r="I116" s="538"/>
    </row>
    <row r="117" spans="1:11">
      <c r="A117" s="333">
        <v>5</v>
      </c>
      <c r="B117" s="332" t="s">
        <v>15</v>
      </c>
      <c r="D117" s="344"/>
      <c r="E117" s="196"/>
      <c r="G117" s="547"/>
      <c r="H117" s="537"/>
      <c r="I117" s="538"/>
    </row>
    <row r="118" spans="1:11">
      <c r="A118" s="333">
        <v>6</v>
      </c>
      <c r="C118" s="359" t="str">
        <f>'FR-16(7)(v)-1 Functional'!C118</f>
        <v>TRANSMISSION PLANT</v>
      </c>
      <c r="D118" s="344" t="s">
        <v>343</v>
      </c>
      <c r="E118" s="196"/>
      <c r="F118" s="477"/>
      <c r="G118" s="548"/>
      <c r="H118" s="539"/>
      <c r="I118" s="540"/>
      <c r="J118" s="347"/>
      <c r="K118" s="347"/>
    </row>
    <row r="119" spans="1:11">
      <c r="A119" s="333">
        <v>7</v>
      </c>
      <c r="C119" s="332" t="str">
        <f>'FR-16(7)(v)-1 Functional'!C119</f>
        <v>TOTAL TRANS DEPREC RESERVE</v>
      </c>
      <c r="D119" s="344"/>
      <c r="E119" s="196"/>
      <c r="F119" s="348">
        <f t="shared" ref="F119:K119" si="21">SUM(F118:F118)</f>
        <v>0</v>
      </c>
      <c r="G119" s="549">
        <f t="shared" si="21"/>
        <v>0</v>
      </c>
      <c r="H119" s="541">
        <f t="shared" si="21"/>
        <v>0</v>
      </c>
      <c r="I119" s="542">
        <f t="shared" si="21"/>
        <v>0</v>
      </c>
      <c r="J119" s="348">
        <f t="shared" si="21"/>
        <v>0</v>
      </c>
      <c r="K119" s="348">
        <f t="shared" si="21"/>
        <v>0</v>
      </c>
    </row>
    <row r="120" spans="1:11">
      <c r="A120" s="333">
        <v>8</v>
      </c>
      <c r="D120" s="344"/>
      <c r="E120" s="196"/>
      <c r="G120" s="547"/>
      <c r="H120" s="537"/>
      <c r="I120" s="538"/>
    </row>
    <row r="121" spans="1:11">
      <c r="A121" s="333">
        <v>9</v>
      </c>
      <c r="B121" s="332" t="s">
        <v>17</v>
      </c>
      <c r="D121" s="344"/>
      <c r="E121" s="196"/>
      <c r="G121" s="547"/>
      <c r="H121" s="537"/>
      <c r="I121" s="538"/>
    </row>
    <row r="122" spans="1:11">
      <c r="A122" s="333">
        <v>10</v>
      </c>
      <c r="C122" s="332" t="str">
        <f>'FR-16(7)(v)-1 Functional'!C122</f>
        <v>SYSTEM M&amp;R - (2780, 2781)</v>
      </c>
      <c r="D122" s="344" t="str">
        <f>'FR-16(7)(v)-1 Functional'!D122</f>
        <v>K203</v>
      </c>
      <c r="E122" s="196"/>
      <c r="F122" s="479">
        <f>'FR-16(7)(v)-8 TOT CLASS Alloc'!G122</f>
        <v>1670176</v>
      </c>
      <c r="G122" s="548">
        <f>'FR-16(7)(v)-5 DISTR Dem Alloc'!G122</f>
        <v>1670176</v>
      </c>
      <c r="H122" s="539">
        <f>'FR-16(7)(v)-3 PROD Comm Alloc'!G122</f>
        <v>0</v>
      </c>
      <c r="I122" s="540">
        <f>'FR-16(7)(v)-6 DISTR Cust Alloc'!G122</f>
        <v>0</v>
      </c>
      <c r="J122" s="347">
        <f t="shared" ref="J122:J130" si="22">SUM(G122:I122)</f>
        <v>1670176</v>
      </c>
      <c r="K122" s="347">
        <f t="shared" ref="K122:K130" si="23">F122-J122</f>
        <v>0</v>
      </c>
    </row>
    <row r="123" spans="1:11">
      <c r="A123" s="333">
        <v>11</v>
      </c>
      <c r="C123" s="332" t="str">
        <f>'FR-16(7)(v)-1 Functional'!C123</f>
        <v xml:space="preserve">DIST REG EQUIP &amp; CITY GATE M&amp;R- (2782, 2790) </v>
      </c>
      <c r="D123" s="344" t="str">
        <f>'FR-16(7)(v)-1 Functional'!D123</f>
        <v>K203</v>
      </c>
      <c r="E123" s="196"/>
      <c r="F123" s="479">
        <f>'FR-16(7)(v)-8 TOT CLASS Alloc'!G123</f>
        <v>626958</v>
      </c>
      <c r="G123" s="548">
        <f>'FR-16(7)(v)-5 DISTR Dem Alloc'!G123</f>
        <v>626958</v>
      </c>
      <c r="H123" s="539">
        <f>'FR-16(7)(v)-3 PROD Comm Alloc'!G123</f>
        <v>0</v>
      </c>
      <c r="I123" s="540">
        <f>'FR-16(7)(v)-6 DISTR Cust Alloc'!G123</f>
        <v>0</v>
      </c>
      <c r="J123" s="347">
        <f t="shared" si="22"/>
        <v>626958</v>
      </c>
      <c r="K123" s="347">
        <f t="shared" si="23"/>
        <v>0</v>
      </c>
    </row>
    <row r="124" spans="1:11">
      <c r="A124" s="333">
        <v>12</v>
      </c>
      <c r="C124" s="332" t="str">
        <f>'FR-16(7)(v)-1 Functional'!C124</f>
        <v>LARGE IND M&amp;R - (2850, 2851)</v>
      </c>
      <c r="D124" s="344" t="str">
        <f>'FR-16(7)(v)-1 Functional'!D124</f>
        <v>K595</v>
      </c>
      <c r="E124" s="196"/>
      <c r="F124" s="479">
        <f>'FR-16(7)(v)-8 TOT CLASS Alloc'!G124</f>
        <v>0</v>
      </c>
      <c r="G124" s="548">
        <f>'FR-16(7)(v)-5 DISTR Dem Alloc'!G124</f>
        <v>0</v>
      </c>
      <c r="H124" s="539">
        <f>'FR-16(7)(v)-3 PROD Comm Alloc'!G124</f>
        <v>0</v>
      </c>
      <c r="I124" s="540">
        <f>'FR-16(7)(v)-6 DISTR Cust Alloc'!G124</f>
        <v>0</v>
      </c>
      <c r="J124" s="347">
        <f t="shared" si="22"/>
        <v>0</v>
      </c>
      <c r="K124" s="347">
        <f t="shared" si="23"/>
        <v>0</v>
      </c>
    </row>
    <row r="125" spans="1:11">
      <c r="A125" s="333">
        <v>13</v>
      </c>
      <c r="C125" s="332" t="str">
        <f>'FR-16(7)(v)-1 Functional'!C125</f>
        <v>MAINS - (2761, 2762, 2763, 2765)</v>
      </c>
      <c r="D125" s="344" t="str">
        <f>'FR-16(7)(v)-1 Functional'!D125</f>
        <v>K415</v>
      </c>
      <c r="E125" s="196"/>
      <c r="F125" s="479">
        <f>'FR-16(7)(v)-8 TOT CLASS Alloc'!G125</f>
        <v>66499419</v>
      </c>
      <c r="G125" s="548">
        <f>'FR-16(7)(v)-5 DISTR Dem Alloc'!G125</f>
        <v>50641907</v>
      </c>
      <c r="H125" s="539">
        <f>'FR-16(7)(v)-3 PROD Comm Alloc'!G125</f>
        <v>0</v>
      </c>
      <c r="I125" s="540">
        <f>'FR-16(7)(v)-6 DISTR Cust Alloc'!G125</f>
        <v>15857512</v>
      </c>
      <c r="J125" s="347">
        <f t="shared" si="22"/>
        <v>66499419</v>
      </c>
      <c r="K125" s="347">
        <f t="shared" si="23"/>
        <v>0</v>
      </c>
    </row>
    <row r="126" spans="1:11">
      <c r="A126" s="333">
        <v>14</v>
      </c>
      <c r="C126" s="332" t="str">
        <f>'FR-16(7)(v)-1 Functional'!C126</f>
        <v>SERVICES - (2801, 2802, 2803)</v>
      </c>
      <c r="D126" s="344" t="str">
        <f>'FR-16(7)(v)-1 Functional'!D126</f>
        <v>K403</v>
      </c>
      <c r="E126" s="196"/>
      <c r="F126" s="479">
        <f>'FR-16(7)(v)-8 TOT CLASS Alloc'!G126</f>
        <v>46942259</v>
      </c>
      <c r="G126" s="548">
        <f>'FR-16(7)(v)-5 DISTR Dem Alloc'!G126</f>
        <v>0</v>
      </c>
      <c r="H126" s="539">
        <f>'FR-16(7)(v)-3 PROD Comm Alloc'!G126</f>
        <v>0</v>
      </c>
      <c r="I126" s="540">
        <f>'FR-16(7)(v)-6 DISTR Cust Alloc'!G126</f>
        <v>46942259</v>
      </c>
      <c r="J126" s="347">
        <f t="shared" si="22"/>
        <v>46942259</v>
      </c>
      <c r="K126" s="347">
        <f t="shared" si="23"/>
        <v>0</v>
      </c>
    </row>
    <row r="127" spans="1:11">
      <c r="A127" s="333">
        <v>15</v>
      </c>
      <c r="C127" s="332" t="str">
        <f>'FR-16(7)(v)-1 Functional'!C127</f>
        <v>MTRS &amp; MTR INST (2810, 2811, 2820, 2821)</v>
      </c>
      <c r="D127" s="344" t="str">
        <f>'FR-16(7)(v)-1 Functional'!D127</f>
        <v>K413</v>
      </c>
      <c r="E127" s="196"/>
      <c r="F127" s="479">
        <f>'FR-16(7)(v)-8 TOT CLASS Alloc'!G127</f>
        <v>-2310819</v>
      </c>
      <c r="G127" s="548">
        <f>'FR-16(7)(v)-5 DISTR Dem Alloc'!G127</f>
        <v>0</v>
      </c>
      <c r="H127" s="539">
        <f>'FR-16(7)(v)-3 PROD Comm Alloc'!G127</f>
        <v>0</v>
      </c>
      <c r="I127" s="540">
        <f>'FR-16(7)(v)-6 DISTR Cust Alloc'!G127</f>
        <v>-2310819</v>
      </c>
      <c r="J127" s="347">
        <f t="shared" si="22"/>
        <v>-2310819</v>
      </c>
      <c r="K127" s="347">
        <f t="shared" si="23"/>
        <v>0</v>
      </c>
    </row>
    <row r="128" spans="1:11">
      <c r="A128" s="333">
        <v>16</v>
      </c>
      <c r="C128" s="332" t="str">
        <f>'FR-16(7)(v)-1 Functional'!C128</f>
        <v>LAND, R OF W, STRUCT &amp; IMPROV &amp; OTH</v>
      </c>
      <c r="D128" s="344" t="str">
        <f>'FR-16(7)(v)-1 Functional'!D128</f>
        <v>K203</v>
      </c>
      <c r="E128" s="196"/>
      <c r="F128" s="479">
        <f>'FR-16(7)(v)-8 TOT CLASS Alloc'!G128</f>
        <v>380789</v>
      </c>
      <c r="G128" s="548">
        <f>'FR-16(7)(v)-5 DISTR Dem Alloc'!G128</f>
        <v>380789</v>
      </c>
      <c r="H128" s="539">
        <f>'FR-16(7)(v)-3 PROD Comm Alloc'!G128</f>
        <v>0</v>
      </c>
      <c r="I128" s="540">
        <f>'FR-16(7)(v)-6 DISTR Cust Alloc'!G128</f>
        <v>0</v>
      </c>
      <c r="J128" s="347">
        <f t="shared" si="22"/>
        <v>380789</v>
      </c>
      <c r="K128" s="347">
        <f t="shared" si="23"/>
        <v>0</v>
      </c>
    </row>
    <row r="129" spans="1:11">
      <c r="A129" s="333">
        <v>17</v>
      </c>
      <c r="C129" s="332" t="str">
        <f>'FR-16(7)(v)-1 Functional'!C129</f>
        <v>HOUSE REG &amp; INSTALL (2830, 2840)</v>
      </c>
      <c r="D129" s="344" t="str">
        <f>'FR-16(7)(v)-1 Functional'!D129</f>
        <v>K417</v>
      </c>
      <c r="E129" s="196"/>
      <c r="F129" s="479">
        <f>'FR-16(7)(v)-8 TOT CLASS Alloc'!G129</f>
        <v>3391612</v>
      </c>
      <c r="G129" s="548">
        <f>'FR-16(7)(v)-5 DISTR Dem Alloc'!G129</f>
        <v>0</v>
      </c>
      <c r="H129" s="539">
        <f>'FR-16(7)(v)-3 PROD Comm Alloc'!G129</f>
        <v>0</v>
      </c>
      <c r="I129" s="540">
        <f>'FR-16(7)(v)-6 DISTR Cust Alloc'!G129</f>
        <v>3391612</v>
      </c>
      <c r="J129" s="347">
        <f t="shared" si="22"/>
        <v>3391612</v>
      </c>
      <c r="K129" s="347">
        <f t="shared" si="23"/>
        <v>0</v>
      </c>
    </row>
    <row r="130" spans="1:11">
      <c r="A130" s="333">
        <v>18</v>
      </c>
      <c r="C130" s="359" t="str">
        <f>'FR-16(7)(v)-1 Functional'!C130</f>
        <v>STREET LIGHTING EQUIPMENT &amp; OTH</v>
      </c>
      <c r="D130" s="344" t="str">
        <f>'FR-16(7)(v)-1 Functional'!D130</f>
        <v>K597</v>
      </c>
      <c r="E130" s="196"/>
      <c r="F130" s="479">
        <f>'FR-16(7)(v)-8 TOT CLASS Alloc'!G130</f>
        <v>0</v>
      </c>
      <c r="G130" s="548">
        <f>'FR-16(7)(v)-5 DISTR Dem Alloc'!G130</f>
        <v>0</v>
      </c>
      <c r="H130" s="539">
        <f>'FR-16(7)(v)-3 PROD Comm Alloc'!G130</f>
        <v>0</v>
      </c>
      <c r="I130" s="540">
        <f>'FR-16(7)(v)-6 DISTR Cust Alloc'!G130</f>
        <v>0</v>
      </c>
      <c r="J130" s="347">
        <f t="shared" si="22"/>
        <v>0</v>
      </c>
      <c r="K130" s="347">
        <f t="shared" si="23"/>
        <v>0</v>
      </c>
    </row>
    <row r="131" spans="1:11">
      <c r="A131" s="333">
        <v>19</v>
      </c>
      <c r="C131" s="332" t="str">
        <f>'FR-16(7)(v)-1 Functional'!C131</f>
        <v xml:space="preserve">  TOTAL DIST DEPREC RESERVE</v>
      </c>
      <c r="D131" s="344"/>
      <c r="E131" s="196"/>
      <c r="F131" s="348">
        <f t="shared" ref="F131:K131" si="24">SUM(F121:F130)</f>
        <v>117200394</v>
      </c>
      <c r="G131" s="549">
        <f t="shared" si="24"/>
        <v>53319830</v>
      </c>
      <c r="H131" s="541">
        <f t="shared" si="24"/>
        <v>0</v>
      </c>
      <c r="I131" s="542">
        <f t="shared" si="24"/>
        <v>63880564</v>
      </c>
      <c r="J131" s="348">
        <f t="shared" si="24"/>
        <v>117200394</v>
      </c>
      <c r="K131" s="348">
        <f t="shared" si="24"/>
        <v>0</v>
      </c>
    </row>
    <row r="132" spans="1:11">
      <c r="A132" s="333">
        <v>20</v>
      </c>
      <c r="D132" s="344"/>
      <c r="E132" s="196"/>
      <c r="G132" s="547"/>
      <c r="H132" s="537"/>
      <c r="I132" s="538"/>
    </row>
    <row r="133" spans="1:11">
      <c r="A133" s="333">
        <v>21</v>
      </c>
      <c r="B133" s="332" t="s">
        <v>20</v>
      </c>
      <c r="D133" s="344"/>
      <c r="E133" s="196"/>
      <c r="G133" s="547"/>
      <c r="H133" s="537"/>
      <c r="I133" s="538"/>
    </row>
    <row r="134" spans="1:11">
      <c r="A134" s="333">
        <v>22</v>
      </c>
      <c r="C134" s="332" t="str">
        <f>'FR-16(7)(v)-1 Functional'!C134</f>
        <v>PRODUCTION PLANT</v>
      </c>
      <c r="D134" s="344" t="str">
        <f>'FR-16(7)(v)-1 Functional'!D134</f>
        <v>K201</v>
      </c>
      <c r="E134" s="196"/>
      <c r="F134" s="479">
        <f>'FR-16(7)(v)-8 TOT CLASS Alloc'!G134</f>
        <v>277157</v>
      </c>
      <c r="G134" s="548">
        <f>'FR-16(7)(v)-5 DISTR Dem Alloc'!G134</f>
        <v>0</v>
      </c>
      <c r="H134" s="539">
        <f>'FR-16(7)(v)-3 PROD Comm Alloc'!G134</f>
        <v>277157</v>
      </c>
      <c r="I134" s="540">
        <f>'FR-16(7)(v)-6 DISTR Cust Alloc'!G134</f>
        <v>0</v>
      </c>
      <c r="J134" s="347">
        <f t="shared" ref="J134:J139" si="25">SUM(G134:I134)</f>
        <v>277157</v>
      </c>
      <c r="K134" s="347">
        <f t="shared" ref="K134:K139" si="26">F134-J134</f>
        <v>0</v>
      </c>
    </row>
    <row r="135" spans="1:11">
      <c r="A135" s="333">
        <v>23</v>
      </c>
      <c r="C135" s="332" t="str">
        <f>'FR-16(7)(v)-1 Functional'!C135</f>
        <v>PRODUCTION PLANT COMMODITY</v>
      </c>
      <c r="D135" s="344" t="str">
        <f>'FR-16(7)(v)-1 Functional'!D135</f>
        <v>P349</v>
      </c>
      <c r="E135" s="196"/>
      <c r="F135" s="479">
        <f>'FR-16(7)(v)-8 TOT CLASS Alloc'!G135</f>
        <v>216075</v>
      </c>
      <c r="G135" s="548">
        <f>'FR-16(7)(v)-5 DISTR Dem Alloc'!G135</f>
        <v>0</v>
      </c>
      <c r="H135" s="539">
        <f>'FR-16(7)(v)-3 PROD Comm Alloc'!G135</f>
        <v>216075</v>
      </c>
      <c r="I135" s="540">
        <f>'FR-16(7)(v)-6 DISTR Cust Alloc'!G135</f>
        <v>0</v>
      </c>
      <c r="J135" s="347">
        <f t="shared" si="25"/>
        <v>216075</v>
      </c>
      <c r="K135" s="347">
        <f t="shared" si="26"/>
        <v>0</v>
      </c>
    </row>
    <row r="136" spans="1:11">
      <c r="A136" s="333">
        <v>24</v>
      </c>
      <c r="C136" s="332" t="str">
        <f>'FR-16(7)(v)-1 Functional'!C136</f>
        <v>DISTRIBUTION PLANT</v>
      </c>
      <c r="D136" s="344" t="str">
        <f>'FR-16(7)(v)-1 Functional'!D136</f>
        <v>D349</v>
      </c>
      <c r="E136" s="196"/>
      <c r="F136" s="479">
        <f>'FR-16(7)(v)-8 TOT CLASS Alloc'!G136</f>
        <v>3939202</v>
      </c>
      <c r="G136" s="548">
        <f>'FR-16(7)(v)-5 DISTR Dem Alloc'!G136</f>
        <v>2067589</v>
      </c>
      <c r="H136" s="539">
        <f>'FR-16(7)(v)-3 PROD Comm Alloc'!G136</f>
        <v>0</v>
      </c>
      <c r="I136" s="540">
        <f>'FR-16(7)(v)-6 DISTR Cust Alloc'!G136</f>
        <v>1871613</v>
      </c>
      <c r="J136" s="347">
        <f t="shared" si="25"/>
        <v>3939202</v>
      </c>
      <c r="K136" s="347">
        <f t="shared" si="26"/>
        <v>0</v>
      </c>
    </row>
    <row r="137" spans="1:11">
      <c r="A137" s="333">
        <v>25</v>
      </c>
      <c r="C137" s="332" t="str">
        <f>'FR-16(7)(v)-1 Functional'!C137</f>
        <v>CUSTOMER ACCOUNTING</v>
      </c>
      <c r="D137" s="344" t="str">
        <f>'FR-16(7)(v)-1 Functional'!D137</f>
        <v>CA19</v>
      </c>
      <c r="E137" s="196"/>
      <c r="F137" s="479">
        <f>'FR-16(7)(v)-8 TOT CLASS Alloc'!G137</f>
        <v>2272084</v>
      </c>
      <c r="G137" s="548">
        <f>'FR-16(7)(v)-5 DISTR Dem Alloc'!G137</f>
        <v>0</v>
      </c>
      <c r="H137" s="539">
        <f>'FR-16(7)(v)-3 PROD Comm Alloc'!G137</f>
        <v>0</v>
      </c>
      <c r="I137" s="540">
        <f>'FR-16(7)(v)-6 DISTR Cust Alloc'!G137</f>
        <v>2272084</v>
      </c>
      <c r="J137" s="347">
        <f t="shared" si="25"/>
        <v>2272084</v>
      </c>
      <c r="K137" s="347">
        <f t="shared" si="26"/>
        <v>0</v>
      </c>
    </row>
    <row r="138" spans="1:11">
      <c r="A138" s="333">
        <v>26</v>
      </c>
      <c r="C138" s="332" t="str">
        <f>'FR-16(7)(v)-1 Functional'!C138</f>
        <v>CUSTOMER SERVICE &amp; INFORMATION</v>
      </c>
      <c r="D138" s="344" t="str">
        <f>'FR-16(7)(v)-1 Functional'!D138</f>
        <v>CS19</v>
      </c>
      <c r="E138" s="196"/>
      <c r="F138" s="479">
        <f>'FR-16(7)(v)-8 TOT CLASS Alloc'!G138</f>
        <v>198823</v>
      </c>
      <c r="G138" s="548">
        <f>'FR-16(7)(v)-5 DISTR Dem Alloc'!G138</f>
        <v>0</v>
      </c>
      <c r="H138" s="539">
        <f>'FR-16(7)(v)-3 PROD Comm Alloc'!G138</f>
        <v>0</v>
      </c>
      <c r="I138" s="540">
        <f>'FR-16(7)(v)-6 DISTR Cust Alloc'!G138</f>
        <v>198823</v>
      </c>
      <c r="J138" s="347">
        <f t="shared" si="25"/>
        <v>198823</v>
      </c>
      <c r="K138" s="347">
        <f t="shared" si="26"/>
        <v>0</v>
      </c>
    </row>
    <row r="139" spans="1:11">
      <c r="A139" s="333">
        <v>27</v>
      </c>
      <c r="C139" s="365" t="str">
        <f>'FR-16(7)(v)-1 Functional'!C139</f>
        <v>SALES</v>
      </c>
      <c r="D139" s="344" t="str">
        <f>'FR-16(7)(v)-1 Functional'!D139</f>
        <v>SE19</v>
      </c>
      <c r="E139" s="196"/>
      <c r="F139" s="479">
        <f>'FR-16(7)(v)-8 TOT CLASS Alloc'!G139</f>
        <v>0</v>
      </c>
      <c r="G139" s="548">
        <f>'FR-16(7)(v)-5 DISTR Dem Alloc'!G139</f>
        <v>0</v>
      </c>
      <c r="H139" s="539">
        <f>'FR-16(7)(v)-3 PROD Comm Alloc'!G139</f>
        <v>0</v>
      </c>
      <c r="I139" s="540">
        <f>'FR-16(7)(v)-6 DISTR Cust Alloc'!G139</f>
        <v>0</v>
      </c>
      <c r="J139" s="347">
        <f t="shared" si="25"/>
        <v>0</v>
      </c>
      <c r="K139" s="347">
        <f t="shared" si="26"/>
        <v>0</v>
      </c>
    </row>
    <row r="140" spans="1:11">
      <c r="A140" s="333">
        <v>28</v>
      </c>
      <c r="C140" s="339" t="str">
        <f>'FR-16(7)(v)-1 Functional'!C140</f>
        <v xml:space="preserve">  TOTAL GEN DEPREC RESERVE</v>
      </c>
      <c r="D140" s="344"/>
      <c r="E140" s="196"/>
      <c r="F140" s="348">
        <f t="shared" ref="F140:K140" si="27">SUM(F133:F139)</f>
        <v>6903341</v>
      </c>
      <c r="G140" s="549">
        <f t="shared" si="27"/>
        <v>2067589</v>
      </c>
      <c r="H140" s="541">
        <f t="shared" si="27"/>
        <v>493232</v>
      </c>
      <c r="I140" s="542">
        <f t="shared" si="27"/>
        <v>4342520</v>
      </c>
      <c r="J140" s="348">
        <f t="shared" si="27"/>
        <v>6903341</v>
      </c>
      <c r="K140" s="348">
        <f t="shared" si="27"/>
        <v>0</v>
      </c>
    </row>
    <row r="141" spans="1:11">
      <c r="A141" s="333">
        <v>29</v>
      </c>
      <c r="C141" s="365"/>
      <c r="D141" s="344"/>
      <c r="E141" s="196"/>
      <c r="G141" s="547"/>
      <c r="H141" s="537"/>
      <c r="I141" s="538"/>
    </row>
    <row r="142" spans="1:11">
      <c r="A142" s="333">
        <v>30</v>
      </c>
      <c r="B142" s="332" t="s">
        <v>21</v>
      </c>
      <c r="C142" s="365"/>
      <c r="D142" s="344"/>
      <c r="E142" s="196"/>
      <c r="G142" s="547"/>
      <c r="H142" s="537"/>
      <c r="I142" s="538"/>
    </row>
    <row r="143" spans="1:11">
      <c r="A143" s="333">
        <v>31</v>
      </c>
      <c r="C143" s="365" t="str">
        <f>'FR-16(7)(v)-1 Functional'!C143</f>
        <v>PRODUCTION PLANT</v>
      </c>
      <c r="D143" s="344" t="str">
        <f>'FR-16(7)(v)-1 Functional'!D143</f>
        <v>K201</v>
      </c>
      <c r="E143" s="196"/>
      <c r="F143" s="479">
        <f>'FR-16(7)(v)-8 TOT CLASS Alloc'!G143</f>
        <v>312153</v>
      </c>
      <c r="G143" s="548">
        <f>'FR-16(7)(v)-5 DISTR Dem Alloc'!G143</f>
        <v>0</v>
      </c>
      <c r="H143" s="539">
        <f>'FR-16(7)(v)-3 PROD Comm Alloc'!G143</f>
        <v>312153</v>
      </c>
      <c r="I143" s="540">
        <f>'FR-16(7)(v)-6 DISTR Cust Alloc'!G143</f>
        <v>0</v>
      </c>
      <c r="J143" s="347">
        <f t="shared" ref="J143:J148" si="28">SUM(G143:I143)</f>
        <v>312153</v>
      </c>
      <c r="K143" s="347">
        <f t="shared" ref="K143:K148" si="29">F143-J143</f>
        <v>0</v>
      </c>
    </row>
    <row r="144" spans="1:11">
      <c r="A144" s="333">
        <v>32</v>
      </c>
      <c r="C144" s="365" t="str">
        <f>'FR-16(7)(v)-1 Functional'!C144</f>
        <v>PRODUCTION PLANT COMMODITY</v>
      </c>
      <c r="D144" s="344" t="str">
        <f>'FR-16(7)(v)-1 Functional'!D144</f>
        <v>P349</v>
      </c>
      <c r="E144" s="196"/>
      <c r="F144" s="479">
        <f>'FR-16(7)(v)-8 TOT CLASS Alloc'!G144</f>
        <v>243357</v>
      </c>
      <c r="G144" s="548">
        <f>'FR-16(7)(v)-5 DISTR Dem Alloc'!G144</f>
        <v>0</v>
      </c>
      <c r="H144" s="539">
        <f>'FR-16(7)(v)-3 PROD Comm Alloc'!G144</f>
        <v>243357</v>
      </c>
      <c r="I144" s="540">
        <f>'FR-16(7)(v)-6 DISTR Cust Alloc'!G144</f>
        <v>0</v>
      </c>
      <c r="J144" s="347">
        <f t="shared" si="28"/>
        <v>243357</v>
      </c>
      <c r="K144" s="347">
        <f t="shared" si="29"/>
        <v>0</v>
      </c>
    </row>
    <row r="145" spans="1:11">
      <c r="A145" s="333">
        <v>33</v>
      </c>
      <c r="C145" s="365" t="str">
        <f>'FR-16(7)(v)-1 Functional'!C145</f>
        <v>DISTRIBUTION PLANT</v>
      </c>
      <c r="D145" s="344" t="str">
        <f>'FR-16(7)(v)-1 Functional'!D145</f>
        <v>D349</v>
      </c>
      <c r="E145" s="196"/>
      <c r="F145" s="479">
        <f>'FR-16(7)(v)-8 TOT CLASS Alloc'!G145</f>
        <v>4436574</v>
      </c>
      <c r="G145" s="548">
        <f>'FR-16(7)(v)-5 DISTR Dem Alloc'!G145</f>
        <v>2328647</v>
      </c>
      <c r="H145" s="539">
        <f>'FR-16(7)(v)-3 PROD Comm Alloc'!G145</f>
        <v>0</v>
      </c>
      <c r="I145" s="540">
        <f>'FR-16(7)(v)-6 DISTR Cust Alloc'!G145</f>
        <v>2107927</v>
      </c>
      <c r="J145" s="347">
        <f t="shared" si="28"/>
        <v>4436574</v>
      </c>
      <c r="K145" s="347">
        <f t="shared" si="29"/>
        <v>0</v>
      </c>
    </row>
    <row r="146" spans="1:11">
      <c r="A146" s="333">
        <v>34</v>
      </c>
      <c r="C146" s="365" t="str">
        <f>'FR-16(7)(v)-1 Functional'!C146</f>
        <v>CUSTOMER ACCOUNTING</v>
      </c>
      <c r="D146" s="344" t="str">
        <f>'FR-16(7)(v)-1 Functional'!D146</f>
        <v>CA19</v>
      </c>
      <c r="E146" s="196"/>
      <c r="F146" s="479">
        <f>'FR-16(7)(v)-8 TOT CLASS Alloc'!G146</f>
        <v>2558961</v>
      </c>
      <c r="G146" s="548">
        <f>'FR-16(7)(v)-5 DISTR Dem Alloc'!G146</f>
        <v>0</v>
      </c>
      <c r="H146" s="539">
        <f>'FR-16(7)(v)-3 PROD Comm Alloc'!G146</f>
        <v>0</v>
      </c>
      <c r="I146" s="540">
        <f>'FR-16(7)(v)-6 DISTR Cust Alloc'!G146</f>
        <v>2558961</v>
      </c>
      <c r="J146" s="347">
        <f t="shared" si="28"/>
        <v>2558961</v>
      </c>
      <c r="K146" s="347">
        <f t="shared" si="29"/>
        <v>0</v>
      </c>
    </row>
    <row r="147" spans="1:11">
      <c r="A147" s="333">
        <v>35</v>
      </c>
      <c r="C147" s="365" t="str">
        <f>'FR-16(7)(v)-1 Functional'!C147</f>
        <v>CUSTOMER SERVICE &amp; INFORMATION</v>
      </c>
      <c r="D147" s="344" t="str">
        <f>'FR-16(7)(v)-1 Functional'!D147</f>
        <v>CS19</v>
      </c>
      <c r="E147" s="196"/>
      <c r="F147" s="479">
        <f>'FR-16(7)(v)-8 TOT CLASS Alloc'!G147</f>
        <v>223926</v>
      </c>
      <c r="G147" s="548">
        <f>'FR-16(7)(v)-5 DISTR Dem Alloc'!G147</f>
        <v>0</v>
      </c>
      <c r="H147" s="539">
        <f>'FR-16(7)(v)-3 PROD Comm Alloc'!G147</f>
        <v>0</v>
      </c>
      <c r="I147" s="540">
        <f>'FR-16(7)(v)-6 DISTR Cust Alloc'!G147</f>
        <v>223926</v>
      </c>
      <c r="J147" s="347">
        <f t="shared" si="28"/>
        <v>223926</v>
      </c>
      <c r="K147" s="347">
        <f t="shared" si="29"/>
        <v>0</v>
      </c>
    </row>
    <row r="148" spans="1:11">
      <c r="A148" s="333">
        <v>36</v>
      </c>
      <c r="C148" s="365" t="str">
        <f>'FR-16(7)(v)-1 Functional'!C148</f>
        <v>SALES</v>
      </c>
      <c r="D148" s="344" t="str">
        <f>'FR-16(7)(v)-1 Functional'!D148</f>
        <v>SE19</v>
      </c>
      <c r="E148" s="196"/>
      <c r="F148" s="479">
        <f>'FR-16(7)(v)-8 TOT CLASS Alloc'!G148</f>
        <v>0</v>
      </c>
      <c r="G148" s="548">
        <f>'FR-16(7)(v)-5 DISTR Dem Alloc'!G148</f>
        <v>0</v>
      </c>
      <c r="H148" s="539">
        <f>'FR-16(7)(v)-3 PROD Comm Alloc'!G148</f>
        <v>0</v>
      </c>
      <c r="I148" s="540">
        <f>'FR-16(7)(v)-6 DISTR Cust Alloc'!G148</f>
        <v>0</v>
      </c>
      <c r="J148" s="347">
        <f t="shared" si="28"/>
        <v>0</v>
      </c>
      <c r="K148" s="347">
        <f t="shared" si="29"/>
        <v>0</v>
      </c>
    </row>
    <row r="149" spans="1:11">
      <c r="A149" s="333">
        <v>37</v>
      </c>
      <c r="C149" s="339" t="str">
        <f>'FR-16(7)(v)-1 Functional'!C149</f>
        <v xml:space="preserve">  TOTAL COM &amp; OTHER PLT RESERVE</v>
      </c>
      <c r="D149" s="344"/>
      <c r="E149" s="196"/>
      <c r="F149" s="348">
        <f>SUM(F143:F148)</f>
        <v>7774971</v>
      </c>
      <c r="G149" s="549">
        <f>SUM(G142:G148)</f>
        <v>2328647</v>
      </c>
      <c r="H149" s="541">
        <f>SUM(H142:H148)</f>
        <v>555510</v>
      </c>
      <c r="I149" s="542">
        <f>SUM(I142:I148)</f>
        <v>4890814</v>
      </c>
      <c r="J149" s="348">
        <f>SUM(J142:J148)</f>
        <v>7774971</v>
      </c>
      <c r="K149" s="348">
        <f>SUM(K142:K148)</f>
        <v>0</v>
      </c>
    </row>
    <row r="150" spans="1:11">
      <c r="A150" s="333">
        <v>38</v>
      </c>
      <c r="D150" s="344"/>
      <c r="E150" s="196"/>
      <c r="G150" s="547"/>
      <c r="H150" s="537"/>
      <c r="I150" s="538"/>
    </row>
    <row r="151" spans="1:11">
      <c r="A151" s="333">
        <v>39</v>
      </c>
      <c r="B151" s="332" t="s">
        <v>23</v>
      </c>
      <c r="D151" s="344"/>
      <c r="E151" s="196"/>
      <c r="F151" s="347">
        <f t="shared" ref="F151:K151" si="30">F149+F140+F131+F119+F115</f>
        <v>132832282</v>
      </c>
      <c r="G151" s="550">
        <f t="shared" si="30"/>
        <v>57716066</v>
      </c>
      <c r="H151" s="543">
        <f t="shared" si="30"/>
        <v>2002318</v>
      </c>
      <c r="I151" s="544">
        <f t="shared" si="30"/>
        <v>73113898</v>
      </c>
      <c r="J151" s="347">
        <f t="shared" si="30"/>
        <v>132832282</v>
      </c>
      <c r="K151" s="347">
        <f t="shared" si="30"/>
        <v>0</v>
      </c>
    </row>
    <row r="152" spans="1:11">
      <c r="B152" s="343"/>
      <c r="C152" s="196"/>
      <c r="D152" s="344"/>
      <c r="E152" s="196"/>
      <c r="F152" s="196"/>
      <c r="G152" s="196"/>
      <c r="H152" s="196"/>
      <c r="I152" s="196"/>
      <c r="J152" s="196"/>
    </row>
    <row r="153" spans="1:11">
      <c r="A153" s="343" t="str">
        <f>co_name</f>
        <v>DUKE ENERGY KENTUCKY, INC.</v>
      </c>
      <c r="C153" s="196"/>
      <c r="D153" s="344"/>
      <c r="E153" s="196"/>
      <c r="F153" s="196"/>
      <c r="G153" s="196"/>
      <c r="H153" s="196"/>
      <c r="I153" s="196"/>
      <c r="J153" s="196" t="str">
        <f>$J$1</f>
        <v>FR-16(7)(v)-9</v>
      </c>
      <c r="K153" s="196"/>
    </row>
    <row r="154" spans="1:11">
      <c r="A154" s="343" t="str">
        <f>$A$2</f>
        <v>RESIDENTIAL CLASSIFIED - GAS COST OF SERVICE</v>
      </c>
      <c r="C154" s="196"/>
      <c r="D154" s="344"/>
      <c r="E154" s="196"/>
      <c r="F154" s="196"/>
      <c r="G154" s="196"/>
      <c r="H154" s="196"/>
      <c r="I154" s="196"/>
      <c r="J154" s="196" t="str">
        <f>$J$2</f>
        <v>WITNESS RESPONSIBLE:</v>
      </c>
      <c r="K154" s="196"/>
    </row>
    <row r="155" spans="1:11">
      <c r="A155" s="343" t="str">
        <f>case_name</f>
        <v>CASE NO: 2018-00261</v>
      </c>
      <c r="C155" s="196"/>
      <c r="D155" s="344"/>
      <c r="E155" s="196"/>
      <c r="F155" s="196"/>
      <c r="G155" s="196"/>
      <c r="H155" s="196"/>
      <c r="I155" s="196"/>
      <c r="J155" s="196" t="str">
        <f>Witness</f>
        <v>JAMES E. ZIOLKOWSKI</v>
      </c>
      <c r="K155" s="196"/>
    </row>
    <row r="156" spans="1:11">
      <c r="A156" s="343" t="str">
        <f>data_filing</f>
        <v>DATA: 12 MONTH FORECASTED PERIOD</v>
      </c>
      <c r="C156" s="196"/>
      <c r="D156" s="344"/>
      <c r="E156" s="196"/>
      <c r="F156" s="196"/>
      <c r="G156" s="196"/>
      <c r="H156" s="196"/>
      <c r="I156" s="196"/>
      <c r="J156" s="196" t="str">
        <f>"PAGE "&amp;Pages2-11&amp;" OF "&amp;Pages2</f>
        <v>PAGE 4 OF 15</v>
      </c>
      <c r="K156" s="196"/>
    </row>
    <row r="157" spans="1:11">
      <c r="A157" s="343" t="str">
        <f>type</f>
        <v xml:space="preserve">TYPE OF FILING: "X" ORIGINAL   UPDATED    REVISED  </v>
      </c>
      <c r="C157" s="196"/>
      <c r="D157" s="344"/>
      <c r="E157" s="196"/>
      <c r="F157" s="196"/>
      <c r="G157" s="196"/>
      <c r="H157" s="196"/>
      <c r="I157" s="196"/>
      <c r="J157" s="196"/>
      <c r="K157" s="196"/>
    </row>
    <row r="158" spans="1:11">
      <c r="A158" s="343"/>
      <c r="C158" s="196"/>
      <c r="D158" s="344"/>
      <c r="E158" s="196"/>
      <c r="F158" s="196"/>
      <c r="G158" s="196"/>
      <c r="H158" s="196"/>
      <c r="I158" s="196"/>
      <c r="J158" s="196"/>
      <c r="K158" s="196"/>
    </row>
    <row r="159" spans="1:11">
      <c r="B159" s="343"/>
      <c r="C159" s="196"/>
      <c r="D159" s="344"/>
      <c r="E159" s="196"/>
      <c r="F159" s="196"/>
      <c r="G159" s="196"/>
      <c r="H159" s="196"/>
      <c r="I159" s="196"/>
      <c r="J159" s="196"/>
    </row>
    <row r="160" spans="1:11">
      <c r="A160" s="344" t="s">
        <v>914</v>
      </c>
      <c r="B160" s="196"/>
      <c r="C160" s="196"/>
      <c r="D160" s="344"/>
      <c r="E160" s="196"/>
      <c r="F160" s="344" t="s">
        <v>229</v>
      </c>
      <c r="G160" s="545" t="s">
        <v>1005</v>
      </c>
      <c r="H160" s="533"/>
      <c r="I160" s="534"/>
      <c r="J160" s="344" t="s">
        <v>229</v>
      </c>
      <c r="K160" s="344" t="s">
        <v>342</v>
      </c>
    </row>
    <row r="161" spans="1:11">
      <c r="A161" s="346" t="s">
        <v>915</v>
      </c>
      <c r="B161" s="345" t="str">
        <f>"NET GAS PLANT"</f>
        <v>NET GAS PLANT</v>
      </c>
      <c r="C161" s="345"/>
      <c r="D161" s="346" t="s">
        <v>337</v>
      </c>
      <c r="E161" s="345"/>
      <c r="F161" s="346" t="str">
        <f>$F$9</f>
        <v>RESIDENTIAL</v>
      </c>
      <c r="G161" s="546" t="s">
        <v>847</v>
      </c>
      <c r="H161" s="535" t="s">
        <v>848</v>
      </c>
      <c r="I161" s="536" t="s">
        <v>849</v>
      </c>
      <c r="J161" s="346" t="s">
        <v>341</v>
      </c>
      <c r="K161" s="346" t="s">
        <v>340</v>
      </c>
    </row>
    <row r="162" spans="1:11">
      <c r="C162" s="578" t="s">
        <v>346</v>
      </c>
      <c r="D162" s="344"/>
      <c r="E162" s="196"/>
      <c r="G162" s="800">
        <f>$G$10</f>
        <v>3</v>
      </c>
      <c r="H162" s="801">
        <f>$H$10</f>
        <v>4</v>
      </c>
      <c r="I162" s="802">
        <f>$I$10</f>
        <v>5</v>
      </c>
    </row>
    <row r="163" spans="1:11">
      <c r="A163" s="333">
        <v>1</v>
      </c>
      <c r="B163" s="332" t="s">
        <v>14</v>
      </c>
      <c r="D163" s="344"/>
      <c r="E163" s="196"/>
      <c r="G163" s="547"/>
      <c r="H163" s="537"/>
      <c r="I163" s="538"/>
    </row>
    <row r="164" spans="1:11">
      <c r="A164" s="333">
        <v>2</v>
      </c>
      <c r="C164" s="332" t="str">
        <f>'FR-16(7)(v)-1 Functional'!C164</f>
        <v>PRODUCTION PLANT IN SERVICE</v>
      </c>
      <c r="D164" s="344"/>
      <c r="E164" s="196"/>
      <c r="F164" s="347">
        <f>F59</f>
        <v>1633207</v>
      </c>
      <c r="G164" s="548">
        <f>$G$59</f>
        <v>0</v>
      </c>
      <c r="H164" s="539">
        <f>$H$59</f>
        <v>1633207</v>
      </c>
      <c r="I164" s="540">
        <f>$I$59</f>
        <v>0</v>
      </c>
      <c r="J164" s="347">
        <f>$J$59</f>
        <v>1633207</v>
      </c>
      <c r="K164" s="347">
        <f>F164-J164</f>
        <v>0</v>
      </c>
    </row>
    <row r="165" spans="1:11">
      <c r="A165" s="333">
        <v>3</v>
      </c>
      <c r="C165" s="359" t="str">
        <f>'FR-16(7)(v)-1 Functional'!C165</f>
        <v>TOTAL PROD DEPRC RESERVE</v>
      </c>
      <c r="D165" s="344"/>
      <c r="E165" s="196"/>
      <c r="F165" s="347">
        <f>-F115</f>
        <v>-953576</v>
      </c>
      <c r="G165" s="548">
        <f>-G115</f>
        <v>0</v>
      </c>
      <c r="H165" s="539">
        <f>-H115</f>
        <v>-953576</v>
      </c>
      <c r="I165" s="540">
        <f>-I115</f>
        <v>0</v>
      </c>
      <c r="J165" s="347">
        <f>-J115</f>
        <v>-953576</v>
      </c>
      <c r="K165" s="347">
        <f>F165-J165</f>
        <v>0</v>
      </c>
    </row>
    <row r="166" spans="1:11">
      <c r="A166" s="333">
        <v>4</v>
      </c>
      <c r="C166" s="332" t="str">
        <f>'FR-16(7)(v)-1 Functional'!C166</f>
        <v xml:space="preserve">  NET PRODUCTION PLANT</v>
      </c>
      <c r="D166" s="344"/>
      <c r="E166" s="196"/>
      <c r="F166" s="348">
        <f t="shared" ref="F166:K166" si="31">SUM(F164:F165)</f>
        <v>679631</v>
      </c>
      <c r="G166" s="549">
        <f t="shared" si="31"/>
        <v>0</v>
      </c>
      <c r="H166" s="541">
        <f t="shared" si="31"/>
        <v>679631</v>
      </c>
      <c r="I166" s="542">
        <f t="shared" si="31"/>
        <v>0</v>
      </c>
      <c r="J166" s="348">
        <f t="shared" si="31"/>
        <v>679631</v>
      </c>
      <c r="K166" s="348">
        <f t="shared" si="31"/>
        <v>0</v>
      </c>
    </row>
    <row r="167" spans="1:11">
      <c r="A167" s="333">
        <v>5</v>
      </c>
      <c r="D167" s="344"/>
      <c r="E167" s="196"/>
      <c r="G167" s="547"/>
      <c r="H167" s="537"/>
      <c r="I167" s="538"/>
    </row>
    <row r="168" spans="1:11">
      <c r="A168" s="333">
        <v>6</v>
      </c>
      <c r="B168" s="359" t="s">
        <v>15</v>
      </c>
      <c r="C168" s="359"/>
      <c r="D168" s="344"/>
      <c r="E168" s="196"/>
      <c r="F168" s="347"/>
      <c r="G168" s="548"/>
      <c r="H168" s="539"/>
      <c r="I168" s="540"/>
      <c r="J168" s="347"/>
    </row>
    <row r="169" spans="1:11">
      <c r="A169" s="333">
        <v>7</v>
      </c>
      <c r="C169" s="332" t="str">
        <f>'FR-16(7)(v)-1 Functional'!C169</f>
        <v>TRANSMISSION PLANT IN SERVICE</v>
      </c>
      <c r="D169" s="344"/>
      <c r="E169" s="196"/>
      <c r="F169" s="347">
        <f>F63</f>
        <v>0</v>
      </c>
      <c r="G169" s="548">
        <f>$G$63</f>
        <v>0</v>
      </c>
      <c r="H169" s="539">
        <f>$H$63</f>
        <v>0</v>
      </c>
      <c r="I169" s="540">
        <f>$I$63</f>
        <v>0</v>
      </c>
      <c r="J169" s="347">
        <f>$J$63</f>
        <v>0</v>
      </c>
      <c r="K169" s="347">
        <f>F169-J169</f>
        <v>0</v>
      </c>
    </row>
    <row r="170" spans="1:11">
      <c r="A170" s="333">
        <v>8</v>
      </c>
      <c r="C170" s="332" t="str">
        <f>'FR-16(7)(v)-1 Functional'!C170</f>
        <v>TOTAL TRANS DEPREC RESERVE</v>
      </c>
      <c r="D170" s="344"/>
      <c r="E170" s="196"/>
      <c r="F170" s="347">
        <f>-F119</f>
        <v>0</v>
      </c>
      <c r="G170" s="548">
        <f>-G119</f>
        <v>0</v>
      </c>
      <c r="H170" s="539">
        <f>-H119</f>
        <v>0</v>
      </c>
      <c r="I170" s="540">
        <f>-I119</f>
        <v>0</v>
      </c>
      <c r="J170" s="347">
        <f>-J119</f>
        <v>0</v>
      </c>
      <c r="K170" s="347">
        <f>F170-J170</f>
        <v>0</v>
      </c>
    </row>
    <row r="171" spans="1:11">
      <c r="A171" s="333">
        <v>9</v>
      </c>
      <c r="C171" s="332" t="str">
        <f>'FR-16(7)(v)-1 Functional'!C171</f>
        <v xml:space="preserve">    NET TRANSMISSION PLANT</v>
      </c>
      <c r="D171" s="344"/>
      <c r="E171" s="196"/>
      <c r="F171" s="348">
        <f t="shared" ref="F171:K171" si="32">SUM(F168:F170)</f>
        <v>0</v>
      </c>
      <c r="G171" s="549">
        <f t="shared" si="32"/>
        <v>0</v>
      </c>
      <c r="H171" s="541">
        <f t="shared" si="32"/>
        <v>0</v>
      </c>
      <c r="I171" s="542">
        <f t="shared" si="32"/>
        <v>0</v>
      </c>
      <c r="J171" s="348">
        <f t="shared" si="32"/>
        <v>0</v>
      </c>
      <c r="K171" s="348">
        <f t="shared" si="32"/>
        <v>0</v>
      </c>
    </row>
    <row r="172" spans="1:11">
      <c r="A172" s="333">
        <v>10</v>
      </c>
      <c r="D172" s="344"/>
      <c r="E172" s="196"/>
      <c r="G172" s="547"/>
      <c r="H172" s="537"/>
      <c r="I172" s="538"/>
    </row>
    <row r="173" spans="1:11">
      <c r="A173" s="333">
        <v>11</v>
      </c>
      <c r="B173" s="332" t="s">
        <v>17</v>
      </c>
      <c r="D173" s="344"/>
      <c r="E173" s="196"/>
      <c r="G173" s="547"/>
      <c r="H173" s="537"/>
      <c r="I173" s="538"/>
    </row>
    <row r="174" spans="1:11">
      <c r="A174" s="333">
        <v>12</v>
      </c>
      <c r="C174" s="332" t="str">
        <f>'FR-16(7)(v)-1 Functional'!C174</f>
        <v>DISTRIBUTION PLANT IN SERVICE</v>
      </c>
      <c r="D174" s="344"/>
      <c r="E174" s="196"/>
      <c r="F174" s="347">
        <f>F78</f>
        <v>382627986</v>
      </c>
      <c r="G174" s="548">
        <f>G78</f>
        <v>171535402</v>
      </c>
      <c r="H174" s="539">
        <f>H78</f>
        <v>0</v>
      </c>
      <c r="I174" s="540">
        <f>I78</f>
        <v>211092584</v>
      </c>
      <c r="J174" s="347">
        <f>J78</f>
        <v>382627986</v>
      </c>
      <c r="K174" s="347">
        <f>F174-J174</f>
        <v>0</v>
      </c>
    </row>
    <row r="175" spans="1:11">
      <c r="A175" s="333">
        <v>13</v>
      </c>
      <c r="C175" s="359" t="str">
        <f>'FR-16(7)(v)-1 Functional'!C175</f>
        <v>TOTAL DIST DEPREC RESERVE</v>
      </c>
      <c r="D175" s="344"/>
      <c r="E175" s="196"/>
      <c r="F175" s="347">
        <f>-F131</f>
        <v>-117200394</v>
      </c>
      <c r="G175" s="548">
        <f>-G131</f>
        <v>-53319830</v>
      </c>
      <c r="H175" s="539">
        <f>-H131</f>
        <v>0</v>
      </c>
      <c r="I175" s="540">
        <f>-I131</f>
        <v>-63880564</v>
      </c>
      <c r="J175" s="347">
        <f>-J131</f>
        <v>-117200394</v>
      </c>
      <c r="K175" s="347">
        <f>F175-J175</f>
        <v>0</v>
      </c>
    </row>
    <row r="176" spans="1:11">
      <c r="A176" s="333">
        <v>14</v>
      </c>
      <c r="C176" s="332" t="str">
        <f>'FR-16(7)(v)-1 Functional'!C176</f>
        <v xml:space="preserve">  NET DISTRIBUTION PLANT</v>
      </c>
      <c r="D176" s="344"/>
      <c r="E176" s="196"/>
      <c r="F176" s="348">
        <f t="shared" ref="F176:K176" si="33">SUM(F173:F175)</f>
        <v>265427592</v>
      </c>
      <c r="G176" s="549">
        <f t="shared" si="33"/>
        <v>118215572</v>
      </c>
      <c r="H176" s="541">
        <f t="shared" si="33"/>
        <v>0</v>
      </c>
      <c r="I176" s="542">
        <f t="shared" si="33"/>
        <v>147212020</v>
      </c>
      <c r="J176" s="348">
        <f t="shared" si="33"/>
        <v>265427592</v>
      </c>
      <c r="K176" s="348">
        <f t="shared" si="33"/>
        <v>0</v>
      </c>
    </row>
    <row r="177" spans="1:11">
      <c r="A177" s="333">
        <v>15</v>
      </c>
      <c r="D177" s="344"/>
      <c r="E177" s="196"/>
      <c r="G177" s="547"/>
      <c r="H177" s="537"/>
      <c r="I177" s="538"/>
    </row>
    <row r="178" spans="1:11">
      <c r="A178" s="333">
        <v>16</v>
      </c>
      <c r="B178" s="332" t="s">
        <v>430</v>
      </c>
      <c r="D178" s="344"/>
      <c r="E178" s="196"/>
      <c r="F178" s="347">
        <f t="shared" ref="F178:K178" si="34">F176+F171+F166</f>
        <v>266107223</v>
      </c>
      <c r="G178" s="548">
        <f t="shared" si="34"/>
        <v>118215572</v>
      </c>
      <c r="H178" s="539">
        <f t="shared" si="34"/>
        <v>679631</v>
      </c>
      <c r="I178" s="540">
        <f t="shared" si="34"/>
        <v>147212020</v>
      </c>
      <c r="J178" s="347">
        <f t="shared" si="34"/>
        <v>266107223</v>
      </c>
      <c r="K178" s="347">
        <f t="shared" si="34"/>
        <v>0</v>
      </c>
    </row>
    <row r="179" spans="1:11">
      <c r="A179" s="333">
        <v>17</v>
      </c>
      <c r="B179" s="332" t="s">
        <v>24</v>
      </c>
      <c r="D179" s="344"/>
      <c r="E179" s="196"/>
      <c r="F179" s="347">
        <f t="shared" ref="F179:K179" si="35">F176+F171</f>
        <v>265427592</v>
      </c>
      <c r="G179" s="548">
        <f t="shared" si="35"/>
        <v>118215572</v>
      </c>
      <c r="H179" s="539">
        <f t="shared" si="35"/>
        <v>0</v>
      </c>
      <c r="I179" s="540">
        <f t="shared" si="35"/>
        <v>147212020</v>
      </c>
      <c r="J179" s="347">
        <f t="shared" si="35"/>
        <v>265427592</v>
      </c>
      <c r="K179" s="347">
        <f t="shared" si="35"/>
        <v>0</v>
      </c>
    </row>
    <row r="180" spans="1:11">
      <c r="A180" s="333">
        <v>18</v>
      </c>
      <c r="D180" s="344"/>
      <c r="E180" s="196"/>
      <c r="G180" s="547"/>
      <c r="H180" s="537"/>
      <c r="I180" s="538"/>
    </row>
    <row r="181" spans="1:11">
      <c r="A181" s="333">
        <v>19</v>
      </c>
      <c r="B181" s="332" t="s">
        <v>20</v>
      </c>
      <c r="D181" s="344"/>
      <c r="E181" s="196"/>
      <c r="G181" s="547"/>
      <c r="H181" s="537"/>
      <c r="I181" s="538"/>
    </row>
    <row r="182" spans="1:11">
      <c r="A182" s="333">
        <v>20</v>
      </c>
      <c r="C182" s="332" t="str">
        <f>'FR-16(7)(v)-1 Functional'!C182</f>
        <v>GEN &amp; INTANG PLANT IN SERVICE</v>
      </c>
      <c r="D182" s="344"/>
      <c r="E182" s="196"/>
      <c r="F182" s="347">
        <f>F90</f>
        <v>17911092</v>
      </c>
      <c r="G182" s="548">
        <f>G90</f>
        <v>5364471</v>
      </c>
      <c r="H182" s="539">
        <f>H90</f>
        <v>1279719</v>
      </c>
      <c r="I182" s="540">
        <f>I90</f>
        <v>11266902</v>
      </c>
      <c r="J182" s="347">
        <f>J90</f>
        <v>17911092</v>
      </c>
      <c r="K182" s="347">
        <f>F182-J182</f>
        <v>0</v>
      </c>
    </row>
    <row r="183" spans="1:11">
      <c r="A183" s="333">
        <v>21</v>
      </c>
      <c r="C183" s="359" t="str">
        <f>'FR-16(7)(v)-1 Functional'!C183</f>
        <v>TOTAL GEN &amp; INTG DEPREC RESERVE</v>
      </c>
      <c r="D183" s="344"/>
      <c r="E183" s="196"/>
      <c r="F183" s="347">
        <f>-F140</f>
        <v>-6903341</v>
      </c>
      <c r="G183" s="548">
        <f>-G140</f>
        <v>-2067589</v>
      </c>
      <c r="H183" s="539">
        <f>-H140</f>
        <v>-493232</v>
      </c>
      <c r="I183" s="540">
        <f>-I140</f>
        <v>-4342520</v>
      </c>
      <c r="J183" s="347">
        <f>-J140</f>
        <v>-6903341</v>
      </c>
      <c r="K183" s="347">
        <f>F183-J183</f>
        <v>0</v>
      </c>
    </row>
    <row r="184" spans="1:11">
      <c r="A184" s="333">
        <v>22</v>
      </c>
      <c r="C184" s="332" t="str">
        <f>'FR-16(7)(v)-1 Functional'!C184</f>
        <v xml:space="preserve">  NET GENERAL &amp; INTANG PLANT</v>
      </c>
      <c r="D184" s="344"/>
      <c r="E184" s="196"/>
      <c r="F184" s="348">
        <f t="shared" ref="F184:K184" si="36">SUM(F181:F183)</f>
        <v>11007751</v>
      </c>
      <c r="G184" s="549">
        <f t="shared" si="36"/>
        <v>3296882</v>
      </c>
      <c r="H184" s="541">
        <f t="shared" si="36"/>
        <v>786487</v>
      </c>
      <c r="I184" s="542">
        <f t="shared" si="36"/>
        <v>6924382</v>
      </c>
      <c r="J184" s="348">
        <f t="shared" si="36"/>
        <v>11007751</v>
      </c>
      <c r="K184" s="348">
        <f t="shared" si="36"/>
        <v>0</v>
      </c>
    </row>
    <row r="185" spans="1:11">
      <c r="A185" s="333">
        <v>23</v>
      </c>
      <c r="D185" s="344"/>
      <c r="E185" s="196"/>
      <c r="F185" s="347"/>
      <c r="G185" s="548"/>
      <c r="H185" s="539"/>
      <c r="I185" s="540"/>
      <c r="J185" s="347"/>
    </row>
    <row r="186" spans="1:11">
      <c r="A186" s="333">
        <v>24</v>
      </c>
      <c r="B186" s="332" t="s">
        <v>21</v>
      </c>
      <c r="D186" s="344"/>
      <c r="E186" s="196"/>
      <c r="F186" s="347"/>
      <c r="G186" s="548"/>
      <c r="H186" s="539"/>
      <c r="I186" s="540"/>
      <c r="J186" s="347"/>
    </row>
    <row r="187" spans="1:11">
      <c r="A187" s="333">
        <v>25</v>
      </c>
      <c r="C187" s="332" t="str">
        <f>'FR-16(7)(v)-1 Functional'!C187</f>
        <v>COMMON &amp; OTH PLT IN SERVICE</v>
      </c>
      <c r="D187" s="344"/>
      <c r="E187" s="196"/>
      <c r="F187" s="347">
        <f>F99</f>
        <v>9427699</v>
      </c>
      <c r="G187" s="548">
        <f>G99</f>
        <v>2823648</v>
      </c>
      <c r="H187" s="539">
        <f>H99</f>
        <v>673594</v>
      </c>
      <c r="I187" s="540">
        <f>I99</f>
        <v>5930457</v>
      </c>
      <c r="J187" s="347">
        <f>J99</f>
        <v>9427699</v>
      </c>
      <c r="K187" s="347">
        <f>F187-J187</f>
        <v>0</v>
      </c>
    </row>
    <row r="188" spans="1:11">
      <c r="A188" s="333">
        <v>26</v>
      </c>
      <c r="C188" s="359" t="str">
        <f>'FR-16(7)(v)-1 Functional'!C188</f>
        <v>TOTAL COM &amp; OTH DEPREC RESERVE</v>
      </c>
      <c r="D188" s="344"/>
      <c r="E188" s="196"/>
      <c r="F188" s="347">
        <f>-F149</f>
        <v>-7774971</v>
      </c>
      <c r="G188" s="548">
        <f>-G149</f>
        <v>-2328647</v>
      </c>
      <c r="H188" s="539">
        <f>-H149</f>
        <v>-555510</v>
      </c>
      <c r="I188" s="540">
        <f>-I149</f>
        <v>-4890814</v>
      </c>
      <c r="J188" s="347">
        <f>-J149</f>
        <v>-7774971</v>
      </c>
      <c r="K188" s="347">
        <f>F188-J188</f>
        <v>0</v>
      </c>
    </row>
    <row r="189" spans="1:11">
      <c r="A189" s="333">
        <v>27</v>
      </c>
      <c r="C189" s="332" t="str">
        <f>'FR-16(7)(v)-1 Functional'!C189</f>
        <v xml:space="preserve">  NET COMMON &amp; OTHER PLANT</v>
      </c>
      <c r="D189" s="344"/>
      <c r="E189" s="196"/>
      <c r="F189" s="348">
        <f t="shared" ref="F189:K189" si="37">SUM(F186:F188)</f>
        <v>1652728</v>
      </c>
      <c r="G189" s="549">
        <f t="shared" si="37"/>
        <v>495001</v>
      </c>
      <c r="H189" s="541">
        <f t="shared" si="37"/>
        <v>118084</v>
      </c>
      <c r="I189" s="542">
        <f t="shared" si="37"/>
        <v>1039643</v>
      </c>
      <c r="J189" s="348">
        <f t="shared" si="37"/>
        <v>1652728</v>
      </c>
      <c r="K189" s="348">
        <f t="shared" si="37"/>
        <v>0</v>
      </c>
    </row>
    <row r="190" spans="1:11">
      <c r="A190" s="333">
        <v>28</v>
      </c>
      <c r="D190" s="344"/>
      <c r="E190" s="196"/>
      <c r="F190" s="347"/>
      <c r="G190" s="548"/>
      <c r="H190" s="539"/>
      <c r="I190" s="540"/>
      <c r="J190" s="347"/>
      <c r="K190" s="347"/>
    </row>
    <row r="191" spans="1:11">
      <c r="A191" s="333">
        <v>29</v>
      </c>
      <c r="C191" s="332" t="str">
        <f>'FR-16(7)(v)-1 Functional'!C191</f>
        <v>NET GAS PLANT IN SERVICE</v>
      </c>
      <c r="D191" s="344"/>
      <c r="E191" s="196"/>
      <c r="F191" s="347">
        <f t="shared" ref="F191:K191" si="38">F189+F184+F176+F171+F166</f>
        <v>278767702</v>
      </c>
      <c r="G191" s="550">
        <f t="shared" si="38"/>
        <v>122007455</v>
      </c>
      <c r="H191" s="543">
        <f t="shared" si="38"/>
        <v>1584202</v>
      </c>
      <c r="I191" s="544">
        <f t="shared" si="38"/>
        <v>155176045</v>
      </c>
      <c r="J191" s="347">
        <f t="shared" si="38"/>
        <v>278767702</v>
      </c>
      <c r="K191" s="347">
        <f t="shared" si="38"/>
        <v>0</v>
      </c>
    </row>
    <row r="192" spans="1:11">
      <c r="B192" s="343"/>
      <c r="C192" s="196"/>
      <c r="D192" s="344"/>
      <c r="E192" s="196"/>
      <c r="F192" s="196"/>
      <c r="G192" s="196"/>
      <c r="H192" s="196"/>
      <c r="I192" s="196"/>
      <c r="J192" s="196"/>
      <c r="K192" s="196"/>
    </row>
    <row r="193" spans="1:11">
      <c r="A193" s="343" t="str">
        <f>co_name</f>
        <v>DUKE ENERGY KENTUCKY, INC.</v>
      </c>
      <c r="C193" s="196"/>
      <c r="D193" s="344"/>
      <c r="E193" s="196"/>
      <c r="F193" s="196"/>
      <c r="G193" s="196"/>
      <c r="H193" s="196"/>
      <c r="I193" s="196"/>
      <c r="J193" s="196" t="str">
        <f>$J$1</f>
        <v>FR-16(7)(v)-9</v>
      </c>
      <c r="K193" s="196"/>
    </row>
    <row r="194" spans="1:11">
      <c r="A194" s="343" t="str">
        <f>$A$2</f>
        <v>RESIDENTIAL CLASSIFIED - GAS COST OF SERVICE</v>
      </c>
      <c r="C194" s="196"/>
      <c r="D194" s="344"/>
      <c r="E194" s="196"/>
      <c r="F194" s="196"/>
      <c r="G194" s="196"/>
      <c r="H194" s="196"/>
      <c r="I194" s="196"/>
      <c r="J194" s="196" t="str">
        <f>$J$2</f>
        <v>WITNESS RESPONSIBLE:</v>
      </c>
      <c r="K194" s="196"/>
    </row>
    <row r="195" spans="1:11">
      <c r="A195" s="343" t="str">
        <f>case_name</f>
        <v>CASE NO: 2018-00261</v>
      </c>
      <c r="C195" s="196"/>
      <c r="D195" s="344"/>
      <c r="E195" s="196"/>
      <c r="F195" s="196"/>
      <c r="G195" s="196"/>
      <c r="H195" s="196"/>
      <c r="I195" s="196"/>
      <c r="J195" s="196" t="str">
        <f>Witness</f>
        <v>JAMES E. ZIOLKOWSKI</v>
      </c>
      <c r="K195" s="196"/>
    </row>
    <row r="196" spans="1:11">
      <c r="A196" s="343" t="str">
        <f>data_filing</f>
        <v>DATA: 12 MONTH FORECASTED PERIOD</v>
      </c>
      <c r="C196" s="196"/>
      <c r="D196" s="344"/>
      <c r="E196" s="196"/>
      <c r="F196" s="196"/>
      <c r="G196" s="196"/>
      <c r="H196" s="196"/>
      <c r="I196" s="196"/>
      <c r="J196" s="196" t="str">
        <f>"PAGE "&amp;Pages2-10&amp;" OF "&amp;Pages2</f>
        <v>PAGE 5 OF 15</v>
      </c>
      <c r="K196" s="196"/>
    </row>
    <row r="197" spans="1:11">
      <c r="A197" s="343" t="str">
        <f>type</f>
        <v xml:space="preserve">TYPE OF FILING: "X" ORIGINAL   UPDATED    REVISED  </v>
      </c>
      <c r="C197" s="196"/>
      <c r="D197" s="344"/>
      <c r="E197" s="196"/>
      <c r="F197" s="196"/>
      <c r="G197" s="196"/>
      <c r="H197" s="196"/>
      <c r="I197" s="196"/>
      <c r="J197" s="196"/>
      <c r="K197" s="196"/>
    </row>
    <row r="198" spans="1:11">
      <c r="B198" s="343"/>
      <c r="C198" s="196"/>
      <c r="D198" s="344"/>
      <c r="E198" s="196"/>
      <c r="F198" s="196"/>
      <c r="G198" s="196"/>
      <c r="H198" s="196"/>
      <c r="I198" s="196"/>
      <c r="J198" s="196"/>
      <c r="K198" s="196"/>
    </row>
    <row r="199" spans="1:11">
      <c r="B199" s="343"/>
      <c r="C199" s="196"/>
      <c r="D199" s="344"/>
      <c r="E199" s="196"/>
      <c r="F199" s="196"/>
      <c r="G199" s="196"/>
      <c r="H199" s="196"/>
      <c r="I199" s="196"/>
      <c r="J199" s="196"/>
      <c r="K199" s="196"/>
    </row>
    <row r="200" spans="1:11">
      <c r="A200" s="344" t="s">
        <v>914</v>
      </c>
      <c r="B200" s="196"/>
      <c r="C200" s="196"/>
      <c r="D200" s="344"/>
      <c r="E200" s="196"/>
      <c r="F200" s="344" t="s">
        <v>229</v>
      </c>
      <c r="G200" s="545" t="s">
        <v>1005</v>
      </c>
      <c r="H200" s="533"/>
      <c r="I200" s="534"/>
      <c r="J200" s="344" t="s">
        <v>229</v>
      </c>
      <c r="K200" s="344" t="s">
        <v>342</v>
      </c>
    </row>
    <row r="201" spans="1:11">
      <c r="A201" s="346" t="s">
        <v>915</v>
      </c>
      <c r="B201" s="345" t="s">
        <v>953</v>
      </c>
      <c r="C201" s="345"/>
      <c r="D201" s="346" t="s">
        <v>337</v>
      </c>
      <c r="E201" s="345"/>
      <c r="F201" s="346" t="str">
        <f>$F$9</f>
        <v>RESIDENTIAL</v>
      </c>
      <c r="G201" s="546" t="s">
        <v>847</v>
      </c>
      <c r="H201" s="535" t="s">
        <v>848</v>
      </c>
      <c r="I201" s="536" t="s">
        <v>849</v>
      </c>
      <c r="J201" s="346" t="s">
        <v>341</v>
      </c>
      <c r="K201" s="346" t="s">
        <v>340</v>
      </c>
    </row>
    <row r="202" spans="1:11">
      <c r="C202" s="578" t="s">
        <v>347</v>
      </c>
      <c r="D202" s="344"/>
      <c r="E202" s="196"/>
      <c r="G202" s="800">
        <f>$G$10</f>
        <v>3</v>
      </c>
      <c r="H202" s="801">
        <f>$H$10</f>
        <v>4</v>
      </c>
      <c r="I202" s="802">
        <f>$I$10</f>
        <v>5</v>
      </c>
    </row>
    <row r="203" spans="1:11">
      <c r="A203" s="333">
        <v>1</v>
      </c>
      <c r="B203" s="332" t="s">
        <v>26</v>
      </c>
      <c r="D203" s="344"/>
      <c r="E203" s="196"/>
      <c r="G203" s="547"/>
      <c r="H203" s="537"/>
      <c r="I203" s="538"/>
    </row>
    <row r="204" spans="1:11">
      <c r="A204" s="333">
        <v>2</v>
      </c>
      <c r="B204" s="332" t="s">
        <v>823</v>
      </c>
      <c r="D204" s="344"/>
      <c r="E204" s="196"/>
      <c r="G204" s="547"/>
      <c r="H204" s="537"/>
      <c r="I204" s="538"/>
    </row>
    <row r="205" spans="1:11">
      <c r="A205" s="333">
        <v>3</v>
      </c>
      <c r="B205" s="332" t="s">
        <v>27</v>
      </c>
      <c r="D205" s="344"/>
      <c r="E205" s="196"/>
      <c r="G205" s="547"/>
      <c r="H205" s="537"/>
      <c r="I205" s="538"/>
    </row>
    <row r="206" spans="1:11">
      <c r="A206" s="333">
        <v>4</v>
      </c>
      <c r="C206" s="332" t="str">
        <f>'FR-16(7)(v)-1 Functional'!C206</f>
        <v>LIBERALIZED DEPRECIATION</v>
      </c>
      <c r="D206" s="344" t="str">
        <f>'FR-16(7)(v)-1 Functional'!D206</f>
        <v>NP29</v>
      </c>
      <c r="E206" s="332" t="s">
        <v>343</v>
      </c>
      <c r="F206" s="479">
        <f>'FR-16(7)(v)-8 TOT CLASS Alloc'!G206</f>
        <v>36708785</v>
      </c>
      <c r="G206" s="548">
        <f>'FR-16(7)(v)-5 DISTR Dem Alloc'!G206</f>
        <v>16066106</v>
      </c>
      <c r="H206" s="539">
        <f>'FR-16(7)(v)-3 PROD Comm Alloc'!G206</f>
        <v>208591</v>
      </c>
      <c r="I206" s="540">
        <f>'FR-16(7)(v)-6 DISTR Cust Alloc'!G206</f>
        <v>20434088</v>
      </c>
      <c r="J206" s="347">
        <f t="shared" ref="J206:J214" si="39">SUM(G206:I206)</f>
        <v>36708785</v>
      </c>
      <c r="K206" s="347">
        <f t="shared" ref="K206:K214" si="40">F206-J206</f>
        <v>0</v>
      </c>
    </row>
    <row r="207" spans="1:11">
      <c r="A207" s="333">
        <v>5</v>
      </c>
      <c r="C207" s="332" t="str">
        <f>'FR-16(7)(v)-1 Functional'!C207</f>
        <v>LEASED METERS</v>
      </c>
      <c r="D207" s="344" t="str">
        <f>'FR-16(7)(v)-1 Functional'!D207</f>
        <v>K413</v>
      </c>
      <c r="E207" s="332" t="s">
        <v>343</v>
      </c>
      <c r="F207" s="479">
        <f>'FR-16(7)(v)-8 TOT CLASS Alloc'!G207</f>
        <v>1337799</v>
      </c>
      <c r="G207" s="548">
        <f>'FR-16(7)(v)-5 DISTR Dem Alloc'!G207</f>
        <v>0</v>
      </c>
      <c r="H207" s="539">
        <f>'FR-16(7)(v)-3 PROD Comm Alloc'!G207</f>
        <v>0</v>
      </c>
      <c r="I207" s="540">
        <f>'FR-16(7)(v)-6 DISTR Cust Alloc'!G207</f>
        <v>1337799</v>
      </c>
      <c r="J207" s="347">
        <f t="shared" si="39"/>
        <v>1337799</v>
      </c>
      <c r="K207" s="347">
        <f t="shared" si="40"/>
        <v>0</v>
      </c>
    </row>
    <row r="208" spans="1:11">
      <c r="A208" s="333">
        <v>6</v>
      </c>
      <c r="C208" s="332" t="str">
        <f>'FR-16(7)(v)-1 Functional'!C208</f>
        <v>CONTRIB AID CONSTR</v>
      </c>
      <c r="D208" s="344" t="str">
        <f>'FR-16(7)(v)-1 Functional'!D208</f>
        <v>D249</v>
      </c>
      <c r="E208" s="332" t="s">
        <v>343</v>
      </c>
      <c r="F208" s="479">
        <f>'FR-16(7)(v)-8 TOT CLASS Alloc'!G208</f>
        <v>-128400</v>
      </c>
      <c r="G208" s="548">
        <f>'FR-16(7)(v)-5 DISTR Dem Alloc'!G208</f>
        <v>-57187</v>
      </c>
      <c r="H208" s="539">
        <f>'FR-16(7)(v)-3 PROD Comm Alloc'!G208</f>
        <v>0</v>
      </c>
      <c r="I208" s="540">
        <f>'FR-16(7)(v)-6 DISTR Cust Alloc'!G208</f>
        <v>-71213</v>
      </c>
      <c r="J208" s="347">
        <f t="shared" si="39"/>
        <v>-128400</v>
      </c>
      <c r="K208" s="347">
        <f t="shared" si="40"/>
        <v>0</v>
      </c>
    </row>
    <row r="209" spans="1:11">
      <c r="A209" s="333">
        <v>7</v>
      </c>
      <c r="C209" s="332" t="str">
        <f>'FR-16(7)(v)-1 Functional'!C209</f>
        <v>CAPITALIZED INTEREST</v>
      </c>
      <c r="D209" s="344" t="str">
        <f>'FR-16(7)(v)-1 Functional'!D209</f>
        <v>NP29</v>
      </c>
      <c r="E209" s="332" t="s">
        <v>343</v>
      </c>
      <c r="F209" s="479">
        <f>'FR-16(7)(v)-8 TOT CLASS Alloc'!G209</f>
        <v>-652712</v>
      </c>
      <c r="G209" s="548">
        <f>'FR-16(7)(v)-5 DISTR Dem Alloc'!G209</f>
        <v>-285669</v>
      </c>
      <c r="H209" s="539">
        <f>'FR-16(7)(v)-3 PROD Comm Alloc'!G209</f>
        <v>-3709</v>
      </c>
      <c r="I209" s="540">
        <f>'FR-16(7)(v)-6 DISTR Cust Alloc'!G209</f>
        <v>-363334</v>
      </c>
      <c r="J209" s="347">
        <f t="shared" si="39"/>
        <v>-652712</v>
      </c>
      <c r="K209" s="347">
        <f t="shared" si="40"/>
        <v>0</v>
      </c>
    </row>
    <row r="210" spans="1:11">
      <c r="A210" s="333">
        <v>8</v>
      </c>
      <c r="C210" s="332" t="str">
        <f>'FR-16(7)(v)-1 Functional'!C210</f>
        <v>AFUDC IN DEBT</v>
      </c>
      <c r="D210" s="344" t="str">
        <f>'FR-16(7)(v)-1 Functional'!D210</f>
        <v>NP29</v>
      </c>
      <c r="E210" s="332" t="s">
        <v>343</v>
      </c>
      <c r="F210" s="479">
        <f>'FR-16(7)(v)-8 TOT CLASS Alloc'!G210</f>
        <v>175983</v>
      </c>
      <c r="G210" s="548">
        <f>'FR-16(7)(v)-5 DISTR Dem Alloc'!G210</f>
        <v>77022</v>
      </c>
      <c r="H210" s="539">
        <f>'FR-16(7)(v)-3 PROD Comm Alloc'!G210</f>
        <v>999</v>
      </c>
      <c r="I210" s="540">
        <f>'FR-16(7)(v)-6 DISTR Cust Alloc'!G210</f>
        <v>97962</v>
      </c>
      <c r="J210" s="347">
        <f t="shared" si="39"/>
        <v>175983</v>
      </c>
      <c r="K210" s="347">
        <f t="shared" si="40"/>
        <v>0</v>
      </c>
    </row>
    <row r="211" spans="1:11">
      <c r="A211" s="333">
        <v>9</v>
      </c>
      <c r="C211" s="332" t="str">
        <f>'FR-16(7)(v)-1 Functional'!C211</f>
        <v>CWIP DIFFERENCES</v>
      </c>
      <c r="D211" s="344" t="str">
        <f>'FR-16(7)(v)-1 Functional'!D211</f>
        <v>NP29</v>
      </c>
      <c r="E211" s="332" t="s">
        <v>343</v>
      </c>
      <c r="F211" s="479">
        <f>'FR-16(7)(v)-8 TOT CLASS Alloc'!G211</f>
        <v>0</v>
      </c>
      <c r="G211" s="548">
        <f>'FR-16(7)(v)-5 DISTR Dem Alloc'!G211</f>
        <v>0</v>
      </c>
      <c r="H211" s="539">
        <f>'FR-16(7)(v)-3 PROD Comm Alloc'!G211</f>
        <v>0</v>
      </c>
      <c r="I211" s="540">
        <f>'FR-16(7)(v)-6 DISTR Cust Alloc'!G211</f>
        <v>0</v>
      </c>
      <c r="J211" s="347">
        <f t="shared" si="39"/>
        <v>0</v>
      </c>
      <c r="K211" s="347">
        <f t="shared" si="40"/>
        <v>0</v>
      </c>
    </row>
    <row r="212" spans="1:11">
      <c r="A212" s="333">
        <v>10</v>
      </c>
      <c r="C212" s="332" t="str">
        <f>'FR-16(7)(v)-1 Functional'!C212</f>
        <v>NON-CASH OVERHEADS</v>
      </c>
      <c r="D212" s="344" t="str">
        <f>'FR-16(7)(v)-1 Functional'!D212</f>
        <v>AG39</v>
      </c>
      <c r="E212" s="332" t="s">
        <v>343</v>
      </c>
      <c r="F212" s="479">
        <f>'FR-16(7)(v)-8 TOT CLASS Alloc'!G212</f>
        <v>-393104</v>
      </c>
      <c r="G212" s="548">
        <f>'FR-16(7)(v)-5 DISTR Dem Alloc'!G212</f>
        <v>-117740</v>
      </c>
      <c r="H212" s="539">
        <f>'FR-16(7)(v)-3 PROD Comm Alloc'!G212</f>
        <v>-28077</v>
      </c>
      <c r="I212" s="540">
        <f>'FR-16(7)(v)-6 DISTR Cust Alloc'!G212</f>
        <v>-247287</v>
      </c>
      <c r="J212" s="347">
        <f t="shared" si="39"/>
        <v>-393104</v>
      </c>
      <c r="K212" s="347">
        <f t="shared" si="40"/>
        <v>0</v>
      </c>
    </row>
    <row r="213" spans="1:11">
      <c r="A213" s="333">
        <v>11</v>
      </c>
      <c r="C213" s="332" t="str">
        <f>'FR-16(7)(v)-1 Functional'!C213</f>
        <v>PLANT FAS 109</v>
      </c>
      <c r="D213" s="344" t="str">
        <f>'FR-16(7)(v)-1 Functional'!D213</f>
        <v>NP29</v>
      </c>
      <c r="E213" s="332" t="s">
        <v>343</v>
      </c>
      <c r="F213" s="479">
        <f>'FR-16(7)(v)-8 TOT CLASS Alloc'!G213</f>
        <v>0</v>
      </c>
      <c r="G213" s="548">
        <f>'FR-16(7)(v)-5 DISTR Dem Alloc'!G213</f>
        <v>0</v>
      </c>
      <c r="H213" s="539">
        <f>'FR-16(7)(v)-3 PROD Comm Alloc'!G213</f>
        <v>0</v>
      </c>
      <c r="I213" s="540">
        <f>'FR-16(7)(v)-6 DISTR Cust Alloc'!G213</f>
        <v>0</v>
      </c>
      <c r="J213" s="347">
        <f t="shared" si="39"/>
        <v>0</v>
      </c>
      <c r="K213" s="347">
        <f t="shared" si="40"/>
        <v>0</v>
      </c>
    </row>
    <row r="214" spans="1:11">
      <c r="A214" s="333">
        <v>12</v>
      </c>
      <c r="C214" s="365" t="str">
        <f>'FR-16(7)(v)-1 Functional'!C214</f>
        <v>MISCELLANEOUS</v>
      </c>
      <c r="D214" s="344" t="str">
        <f>'FR-16(7)(v)-1 Functional'!D214</f>
        <v>AG39</v>
      </c>
      <c r="F214" s="479">
        <f>'FR-16(7)(v)-8 TOT CLASS Alloc'!G214</f>
        <v>6921708</v>
      </c>
      <c r="G214" s="548">
        <f>'FR-16(7)(v)-5 DISTR Dem Alloc'!G214</f>
        <v>2073148</v>
      </c>
      <c r="H214" s="539">
        <f>'FR-16(7)(v)-3 PROD Comm Alloc'!G214</f>
        <v>494369</v>
      </c>
      <c r="I214" s="540">
        <f>'FR-16(7)(v)-6 DISTR Cust Alloc'!G214</f>
        <v>4354191</v>
      </c>
      <c r="J214" s="347">
        <f t="shared" si="39"/>
        <v>6921708</v>
      </c>
      <c r="K214" s="347">
        <f t="shared" si="40"/>
        <v>0</v>
      </c>
    </row>
    <row r="215" spans="1:11">
      <c r="A215" s="333">
        <v>13</v>
      </c>
      <c r="C215" s="339" t="str">
        <f>'FR-16(7)(v)-1 Functional'!C215</f>
        <v xml:space="preserve">  TOTAL ACCOUNT 282</v>
      </c>
      <c r="D215" s="344"/>
      <c r="F215" s="348">
        <f t="shared" ref="F215:K215" si="41">SUM(F206:F214)</f>
        <v>43970059</v>
      </c>
      <c r="G215" s="549">
        <f t="shared" si="41"/>
        <v>17755680</v>
      </c>
      <c r="H215" s="541">
        <f t="shared" si="41"/>
        <v>672173</v>
      </c>
      <c r="I215" s="542">
        <f t="shared" si="41"/>
        <v>25542206</v>
      </c>
      <c r="J215" s="348">
        <f t="shared" si="41"/>
        <v>43970059</v>
      </c>
      <c r="K215" s="348">
        <f t="shared" si="41"/>
        <v>0</v>
      </c>
    </row>
    <row r="216" spans="1:11">
      <c r="A216" s="333">
        <v>14</v>
      </c>
      <c r="D216" s="344"/>
      <c r="E216" s="196"/>
      <c r="G216" s="547"/>
      <c r="H216" s="537"/>
      <c r="I216" s="538"/>
    </row>
    <row r="217" spans="1:11">
      <c r="A217" s="333">
        <v>15</v>
      </c>
      <c r="B217" s="332" t="s">
        <v>28</v>
      </c>
      <c r="D217" s="344"/>
      <c r="E217" s="196"/>
      <c r="G217" s="547"/>
      <c r="H217" s="537"/>
      <c r="I217" s="538"/>
    </row>
    <row r="218" spans="1:11">
      <c r="A218" s="333">
        <v>16</v>
      </c>
      <c r="C218" s="332" t="str">
        <f>'FR-16(7)(v)-1 Functional'!C218</f>
        <v>BLANK</v>
      </c>
      <c r="D218" s="344" t="str">
        <f>'FR-16(7)(v)-1 Functional'!D218</f>
        <v>K413</v>
      </c>
      <c r="F218" s="479">
        <f>'FR-16(7)(v)-8 TOT CLASS Alloc'!G218</f>
        <v>0</v>
      </c>
      <c r="G218" s="548">
        <f>'FR-16(7)(v)-5 DISTR Dem Alloc'!G218</f>
        <v>0</v>
      </c>
      <c r="H218" s="539">
        <f>'FR-16(7)(v)-3 PROD Comm Alloc'!G218</f>
        <v>0</v>
      </c>
      <c r="I218" s="540">
        <f>'FR-16(7)(v)-6 DISTR Cust Alloc'!G218</f>
        <v>0</v>
      </c>
      <c r="J218" s="347">
        <f t="shared" ref="J218:J228" si="42">SUM(G218:I218)</f>
        <v>0</v>
      </c>
      <c r="K218" s="347">
        <f t="shared" ref="K218:K228" si="43">F218-J218</f>
        <v>0</v>
      </c>
    </row>
    <row r="219" spans="1:11">
      <c r="A219" s="333">
        <v>17</v>
      </c>
      <c r="C219" s="332" t="str">
        <f>'FR-16(7)(v)-1 Functional'!C219</f>
        <v>BLANK</v>
      </c>
      <c r="D219" s="344" t="str">
        <f>'FR-16(7)(v)-1 Functional'!D219</f>
        <v>K413</v>
      </c>
      <c r="F219" s="479">
        <f>'FR-16(7)(v)-8 TOT CLASS Alloc'!G219</f>
        <v>0</v>
      </c>
      <c r="G219" s="548">
        <f>'FR-16(7)(v)-5 DISTR Dem Alloc'!G219</f>
        <v>0</v>
      </c>
      <c r="H219" s="539">
        <f>'FR-16(7)(v)-3 PROD Comm Alloc'!G219</f>
        <v>0</v>
      </c>
      <c r="I219" s="540">
        <f>'FR-16(7)(v)-6 DISTR Cust Alloc'!G219</f>
        <v>0</v>
      </c>
      <c r="J219" s="347">
        <f t="shared" si="42"/>
        <v>0</v>
      </c>
      <c r="K219" s="347">
        <f t="shared" si="43"/>
        <v>0</v>
      </c>
    </row>
    <row r="220" spans="1:11">
      <c r="A220" s="333">
        <v>18</v>
      </c>
      <c r="C220" s="332" t="str">
        <f>'FR-16(7)(v)-1 Functional'!C220</f>
        <v>UNRECOVERED PURCHASED GAS COST</v>
      </c>
      <c r="D220" s="344" t="str">
        <f>'FR-16(7)(v)-1 Functional'!D220</f>
        <v>AG39</v>
      </c>
      <c r="F220" s="479">
        <f>'FR-16(7)(v)-8 TOT CLASS Alloc'!G220</f>
        <v>14661</v>
      </c>
      <c r="G220" s="548">
        <f>'FR-16(7)(v)-5 DISTR Dem Alloc'!G220</f>
        <v>4391</v>
      </c>
      <c r="H220" s="539">
        <f>'FR-16(7)(v)-3 PROD Comm Alloc'!G220</f>
        <v>1047</v>
      </c>
      <c r="I220" s="540">
        <f>'FR-16(7)(v)-6 DISTR Cust Alloc'!G220</f>
        <v>9223</v>
      </c>
      <c r="J220" s="347">
        <f t="shared" si="42"/>
        <v>14661</v>
      </c>
      <c r="K220" s="347">
        <f t="shared" si="43"/>
        <v>0</v>
      </c>
    </row>
    <row r="221" spans="1:11">
      <c r="A221" s="333">
        <v>19</v>
      </c>
      <c r="C221" s="332" t="str">
        <f>'FR-16(7)(v)-1 Functional'!C221</f>
        <v>ENVIRONMENTAL RESERVE</v>
      </c>
      <c r="D221" s="344" t="str">
        <f>'FR-16(7)(v)-1 Functional'!D221</f>
        <v>NP29</v>
      </c>
      <c r="F221" s="479">
        <f>'FR-16(7)(v)-8 TOT CLASS Alloc'!G221</f>
        <v>0</v>
      </c>
      <c r="G221" s="548">
        <f>'FR-16(7)(v)-5 DISTR Dem Alloc'!G221</f>
        <v>0</v>
      </c>
      <c r="H221" s="539">
        <f>'FR-16(7)(v)-3 PROD Comm Alloc'!G221</f>
        <v>0</v>
      </c>
      <c r="I221" s="540">
        <f>'FR-16(7)(v)-6 DISTR Cust Alloc'!G221</f>
        <v>0</v>
      </c>
      <c r="J221" s="347">
        <f t="shared" si="42"/>
        <v>0</v>
      </c>
      <c r="K221" s="347">
        <f t="shared" si="43"/>
        <v>0</v>
      </c>
    </row>
    <row r="222" spans="1:11">
      <c r="A222" s="333">
        <v>20</v>
      </c>
      <c r="C222" s="332" t="str">
        <f>'FR-16(7)(v)-1 Functional'!C222</f>
        <v>POST IN-SERVICE CARRYING COSTS</v>
      </c>
      <c r="D222" s="344" t="str">
        <f>'FR-16(7)(v)-1 Functional'!D222</f>
        <v>K667</v>
      </c>
      <c r="F222" s="479">
        <f>'FR-16(7)(v)-8 TOT CLASS Alloc'!G222</f>
        <v>0</v>
      </c>
      <c r="G222" s="548">
        <f>'FR-16(7)(v)-5 DISTR Dem Alloc'!G222</f>
        <v>0</v>
      </c>
      <c r="H222" s="539">
        <f>'FR-16(7)(v)-3 PROD Comm Alloc'!G222</f>
        <v>0</v>
      </c>
      <c r="I222" s="540">
        <f>'FR-16(7)(v)-6 DISTR Cust Alloc'!G222</f>
        <v>0</v>
      </c>
      <c r="J222" s="347">
        <f t="shared" si="42"/>
        <v>0</v>
      </c>
      <c r="K222" s="347">
        <f t="shared" si="43"/>
        <v>0</v>
      </c>
    </row>
    <row r="223" spans="1:11">
      <c r="A223" s="333">
        <v>21</v>
      </c>
      <c r="C223" s="332" t="str">
        <f>'FR-16(7)(v)-1 Functional'!C223</f>
        <v>ARO CUMULATIVE EFFECT</v>
      </c>
      <c r="D223" s="344" t="str">
        <f>'FR-16(7)(v)-1 Functional'!D223</f>
        <v>NP29</v>
      </c>
      <c r="F223" s="479">
        <f>'FR-16(7)(v)-8 TOT CLASS Alloc'!G223</f>
        <v>0</v>
      </c>
      <c r="G223" s="548">
        <f>'FR-16(7)(v)-5 DISTR Dem Alloc'!G223</f>
        <v>0</v>
      </c>
      <c r="H223" s="539">
        <f>'FR-16(7)(v)-3 PROD Comm Alloc'!G223</f>
        <v>0</v>
      </c>
      <c r="I223" s="540">
        <f>'FR-16(7)(v)-6 DISTR Cust Alloc'!G223</f>
        <v>0</v>
      </c>
      <c r="J223" s="347">
        <f t="shared" si="42"/>
        <v>0</v>
      </c>
      <c r="K223" s="347">
        <f t="shared" si="43"/>
        <v>0</v>
      </c>
    </row>
    <row r="224" spans="1:11">
      <c r="A224" s="333">
        <v>22</v>
      </c>
      <c r="C224" s="332" t="str">
        <f>'FR-16(7)(v)-1 Functional'!C224</f>
        <v>LOSS ON REACQUIRED DEBT</v>
      </c>
      <c r="D224" s="344" t="str">
        <f>'FR-16(7)(v)-1 Functional'!D224</f>
        <v>NP29</v>
      </c>
      <c r="F224" s="479">
        <f>'FR-16(7)(v)-8 TOT CLASS Alloc'!G224</f>
        <v>11881</v>
      </c>
      <c r="G224" s="548">
        <f>'FR-16(7)(v)-5 DISTR Dem Alloc'!G224</f>
        <v>5199</v>
      </c>
      <c r="H224" s="539">
        <f>'FR-16(7)(v)-3 PROD Comm Alloc'!G224</f>
        <v>68</v>
      </c>
      <c r="I224" s="540">
        <f>'FR-16(7)(v)-6 DISTR Cust Alloc'!G224</f>
        <v>6614</v>
      </c>
      <c r="J224" s="347">
        <f t="shared" si="42"/>
        <v>11881</v>
      </c>
      <c r="K224" s="347">
        <f t="shared" si="43"/>
        <v>0</v>
      </c>
    </row>
    <row r="225" spans="1:11">
      <c r="A225" s="333">
        <v>23</v>
      </c>
      <c r="C225" s="332" t="str">
        <f>'FR-16(7)(v)-1 Functional'!C225</f>
        <v>VACATION PAY ACCRUAL</v>
      </c>
      <c r="D225" s="344" t="str">
        <f>'FR-16(7)(v)-1 Functional'!D225</f>
        <v>AG39</v>
      </c>
      <c r="F225" s="479">
        <f>'FR-16(7)(v)-8 TOT CLASS Alloc'!G225</f>
        <v>67183</v>
      </c>
      <c r="G225" s="548">
        <f>'FR-16(7)(v)-5 DISTR Dem Alloc'!G225</f>
        <v>20122</v>
      </c>
      <c r="H225" s="539">
        <f>'FR-16(7)(v)-3 PROD Comm Alloc'!G225</f>
        <v>4799</v>
      </c>
      <c r="I225" s="540">
        <f>'FR-16(7)(v)-6 DISTR Cust Alloc'!G225</f>
        <v>42262</v>
      </c>
      <c r="J225" s="347">
        <f t="shared" si="42"/>
        <v>67183</v>
      </c>
      <c r="K225" s="347">
        <f t="shared" si="43"/>
        <v>0</v>
      </c>
    </row>
    <row r="226" spans="1:11">
      <c r="A226" s="333">
        <v>24</v>
      </c>
      <c r="C226" s="618" t="str">
        <f>'FR-16(7)(v)-1 Functional'!C226</f>
        <v>RATE CASE EXPENSE AMORT</v>
      </c>
      <c r="D226" s="344" t="str">
        <f>'FR-16(7)(v)-1 Functional'!D226</f>
        <v>AG39</v>
      </c>
      <c r="F226" s="479">
        <f>'FR-16(7)(v)-8 TOT CLASS Alloc'!G226</f>
        <v>-18366</v>
      </c>
      <c r="G226" s="548">
        <f>'FR-16(7)(v)-5 DISTR Dem Alloc'!G226</f>
        <v>-5501</v>
      </c>
      <c r="H226" s="539">
        <f>'FR-16(7)(v)-3 PROD Comm Alloc'!G226</f>
        <v>-1312</v>
      </c>
      <c r="I226" s="540">
        <f>'FR-16(7)(v)-6 DISTR Cust Alloc'!G226</f>
        <v>-11553</v>
      </c>
      <c r="J226" s="347">
        <f>SUM(G226:I226)</f>
        <v>-18366</v>
      </c>
      <c r="K226" s="347">
        <f>F226-J226</f>
        <v>0</v>
      </c>
    </row>
    <row r="227" spans="1:11">
      <c r="A227" s="333">
        <v>25</v>
      </c>
      <c r="C227" s="332" t="str">
        <f>'FR-16(7)(v)-1 Functional'!C227</f>
        <v>PENSION</v>
      </c>
      <c r="D227" s="344" t="str">
        <f>'FR-16(7)(v)-1 Functional'!D227</f>
        <v>AG39</v>
      </c>
      <c r="F227" s="479">
        <f>'FR-16(7)(v)-8 TOT CLASS Alloc'!G227</f>
        <v>1173738</v>
      </c>
      <c r="G227" s="548">
        <f>'FR-16(7)(v)-5 DISTR Dem Alloc'!G227</f>
        <v>351551</v>
      </c>
      <c r="H227" s="539">
        <f>'FR-16(7)(v)-3 PROD Comm Alloc'!G227</f>
        <v>83831</v>
      </c>
      <c r="I227" s="540">
        <f>'FR-16(7)(v)-6 DISTR Cust Alloc'!G227</f>
        <v>738356</v>
      </c>
      <c r="J227" s="347">
        <f>SUM(G227:I227)</f>
        <v>1173738</v>
      </c>
      <c r="K227" s="347">
        <f>F227-J227</f>
        <v>0</v>
      </c>
    </row>
    <row r="228" spans="1:11">
      <c r="A228" s="333">
        <v>26</v>
      </c>
      <c r="C228" s="365" t="str">
        <f>'FR-16(7)(v)-1 Functional'!C228</f>
        <v>MISCELLANEOUS</v>
      </c>
      <c r="D228" s="344" t="str">
        <f>'FR-16(7)(v)-1 Functional'!D228</f>
        <v>K406</v>
      </c>
      <c r="F228" s="479">
        <f>'FR-16(7)(v)-8 TOT CLASS Alloc'!G228</f>
        <v>670703</v>
      </c>
      <c r="G228" s="548">
        <f>'FR-16(7)(v)-5 DISTR Dem Alloc'!G228</f>
        <v>0</v>
      </c>
      <c r="H228" s="539">
        <f>'FR-16(7)(v)-3 PROD Comm Alloc'!G228</f>
        <v>0</v>
      </c>
      <c r="I228" s="540">
        <f>'FR-16(7)(v)-6 DISTR Cust Alloc'!G228</f>
        <v>670703</v>
      </c>
      <c r="J228" s="347">
        <f t="shared" si="42"/>
        <v>670703</v>
      </c>
      <c r="K228" s="347">
        <f t="shared" si="43"/>
        <v>0</v>
      </c>
    </row>
    <row r="229" spans="1:11">
      <c r="A229" s="333">
        <v>27</v>
      </c>
      <c r="C229" s="339" t="str">
        <f>'FR-16(7)(v)-1 Functional'!C229</f>
        <v xml:space="preserve">  TOTAL ACCOUNT 283</v>
      </c>
      <c r="D229" s="344"/>
      <c r="F229" s="348">
        <f t="shared" ref="F229:K229" si="44">SUM(F217:F228)</f>
        <v>1919800</v>
      </c>
      <c r="G229" s="549">
        <f t="shared" si="44"/>
        <v>375762</v>
      </c>
      <c r="H229" s="541">
        <f t="shared" si="44"/>
        <v>88433</v>
      </c>
      <c r="I229" s="542">
        <f t="shared" si="44"/>
        <v>1455605</v>
      </c>
      <c r="J229" s="348">
        <f t="shared" si="44"/>
        <v>1919800</v>
      </c>
      <c r="K229" s="348">
        <f t="shared" si="44"/>
        <v>0</v>
      </c>
    </row>
    <row r="230" spans="1:11">
      <c r="A230" s="333">
        <v>28</v>
      </c>
      <c r="D230" s="344"/>
      <c r="E230" s="196"/>
      <c r="G230" s="547"/>
      <c r="H230" s="537"/>
      <c r="I230" s="538"/>
    </row>
    <row r="231" spans="1:11">
      <c r="A231" s="333">
        <v>29</v>
      </c>
      <c r="B231" s="353" t="s">
        <v>824</v>
      </c>
      <c r="C231" s="353"/>
      <c r="D231" s="344"/>
      <c r="E231" s="196"/>
      <c r="G231" s="547"/>
      <c r="H231" s="537"/>
      <c r="I231" s="538"/>
    </row>
    <row r="232" spans="1:11">
      <c r="A232" s="333">
        <v>30</v>
      </c>
      <c r="C232" s="332" t="str">
        <f>'FR-16(7)(v)-1 Functional'!C232</f>
        <v>CUSTOMER ADVANCES FOR CONSTRUCTION</v>
      </c>
      <c r="D232" s="344" t="s">
        <v>312</v>
      </c>
      <c r="E232" s="196"/>
      <c r="F232" s="479">
        <f>'FR-16(7)(v)-8 TOT CLASS Alloc'!G232</f>
        <v>1095579</v>
      </c>
      <c r="G232" s="548">
        <f>'FR-16(7)(v)-5 DISTR Dem Alloc'!G232</f>
        <v>487950</v>
      </c>
      <c r="H232" s="539">
        <f>'FR-16(7)(v)-3 PROD Comm Alloc'!G232</f>
        <v>0</v>
      </c>
      <c r="I232" s="540">
        <f>'FR-16(7)(v)-6 DISTR Cust Alloc'!G232</f>
        <v>607629</v>
      </c>
      <c r="J232" s="347">
        <f>SUM(G232:I232)</f>
        <v>1095579</v>
      </c>
      <c r="K232" s="347">
        <f>F232-J232</f>
        <v>0</v>
      </c>
    </row>
    <row r="233" spans="1:11">
      <c r="A233" s="333">
        <v>31</v>
      </c>
      <c r="C233" s="332" t="str">
        <f>'FR-16(7)(v)-1 Functional'!C233</f>
        <v>CUSTOMER SERVICE DEPOSITS</v>
      </c>
      <c r="D233" s="344" t="str">
        <f>'FR-16(7)(v)-1 Functional'!D233</f>
        <v>D249</v>
      </c>
      <c r="E233" s="196"/>
      <c r="F233" s="479">
        <f>'FR-16(7)(v)-8 TOT CLASS Alloc'!G233</f>
        <v>0</v>
      </c>
      <c r="G233" s="548">
        <f>'FR-16(7)(v)-5 DISTR Dem Alloc'!G233</f>
        <v>0</v>
      </c>
      <c r="H233" s="539">
        <f>'FR-16(7)(v)-3 PROD Comm Alloc'!G233</f>
        <v>0</v>
      </c>
      <c r="I233" s="540">
        <f>'FR-16(7)(v)-6 DISTR Cust Alloc'!G233</f>
        <v>0</v>
      </c>
      <c r="J233" s="347">
        <f>SUM(G233:I233)</f>
        <v>0</v>
      </c>
      <c r="K233" s="347">
        <f>F233-J233</f>
        <v>0</v>
      </c>
    </row>
    <row r="234" spans="1:11">
      <c r="A234" s="333">
        <v>32</v>
      </c>
      <c r="C234" s="332" t="str">
        <f>'FR-16(7)(v)-1 Functional'!C234</f>
        <v>POST RETIREMENT BENEFITS</v>
      </c>
      <c r="D234" s="344" t="str">
        <f>'FR-16(7)(v)-1 Functional'!D234</f>
        <v>AG39</v>
      </c>
      <c r="E234" s="196"/>
      <c r="F234" s="479">
        <f>'FR-16(7)(v)-8 TOT CLASS Alloc'!G234</f>
        <v>0</v>
      </c>
      <c r="G234" s="548">
        <f>'FR-16(7)(v)-5 DISTR Dem Alloc'!G234</f>
        <v>0</v>
      </c>
      <c r="H234" s="539">
        <f>'FR-16(7)(v)-3 PROD Comm Alloc'!G234</f>
        <v>0</v>
      </c>
      <c r="I234" s="540">
        <f>'FR-16(7)(v)-6 DISTR Cust Alloc'!G234</f>
        <v>0</v>
      </c>
      <c r="J234" s="347">
        <f>SUM(G234:I234)</f>
        <v>0</v>
      </c>
      <c r="K234" s="347">
        <f>F234-J234</f>
        <v>0</v>
      </c>
    </row>
    <row r="235" spans="1:11">
      <c r="A235" s="333">
        <v>33</v>
      </c>
      <c r="C235" s="365" t="str">
        <f>'FR-16(7)(v)-1 Functional'!C235</f>
        <v>EDIT</v>
      </c>
      <c r="D235" s="344" t="str">
        <f>'FR-16(7)(v)-1 Functional'!D235</f>
        <v>NP29</v>
      </c>
      <c r="E235" s="196"/>
      <c r="F235" s="479">
        <f>'FR-16(7)(v)-8 TOT CLASS Alloc'!G235</f>
        <v>21768542</v>
      </c>
      <c r="G235" s="548">
        <f>'FR-16(7)(v)-5 DISTR Dem Alloc'!G235</f>
        <v>9527304</v>
      </c>
      <c r="H235" s="539">
        <f>'FR-16(7)(v)-3 PROD Comm Alloc'!G235</f>
        <v>123695</v>
      </c>
      <c r="I235" s="540">
        <f>'FR-16(7)(v)-6 DISTR Cust Alloc'!G235</f>
        <v>12117543</v>
      </c>
      <c r="J235" s="347">
        <f>SUM(G235:I235)</f>
        <v>21768542</v>
      </c>
      <c r="K235" s="347">
        <f>F235-J235</f>
        <v>0</v>
      </c>
    </row>
    <row r="236" spans="1:11">
      <c r="A236" s="333">
        <v>34</v>
      </c>
      <c r="C236" s="339" t="str">
        <f>'FR-16(7)(v)-1 Functional'!C236</f>
        <v xml:space="preserve">  TOTAL OTHER SUBTRACTIVE ADJS</v>
      </c>
      <c r="D236" s="344"/>
      <c r="E236" s="196"/>
      <c r="F236" s="348">
        <f t="shared" ref="F236:K236" si="45">SUM(F231:F235)</f>
        <v>22864121</v>
      </c>
      <c r="G236" s="549">
        <f t="shared" si="45"/>
        <v>10015254</v>
      </c>
      <c r="H236" s="541">
        <f t="shared" si="45"/>
        <v>123695</v>
      </c>
      <c r="I236" s="542">
        <f t="shared" si="45"/>
        <v>12725172</v>
      </c>
      <c r="J236" s="348">
        <f t="shared" si="45"/>
        <v>22864121</v>
      </c>
      <c r="K236" s="348">
        <f t="shared" si="45"/>
        <v>0</v>
      </c>
    </row>
    <row r="237" spans="1:11">
      <c r="A237" s="333">
        <v>35</v>
      </c>
      <c r="D237" s="344"/>
      <c r="E237" s="196"/>
      <c r="G237" s="547"/>
      <c r="H237" s="537"/>
      <c r="I237" s="538"/>
    </row>
    <row r="238" spans="1:11">
      <c r="A238" s="333">
        <v>36</v>
      </c>
      <c r="B238" s="332" t="s">
        <v>828</v>
      </c>
      <c r="D238" s="344"/>
      <c r="E238" s="196"/>
      <c r="F238" s="347">
        <f t="shared" ref="F238:K238" si="46">F236+F229+F215</f>
        <v>68753980</v>
      </c>
      <c r="G238" s="550">
        <f t="shared" si="46"/>
        <v>28146696</v>
      </c>
      <c r="H238" s="543">
        <f t="shared" si="46"/>
        <v>884301</v>
      </c>
      <c r="I238" s="544">
        <f t="shared" si="46"/>
        <v>39722983</v>
      </c>
      <c r="J238" s="347">
        <f t="shared" si="46"/>
        <v>68753980</v>
      </c>
      <c r="K238" s="347">
        <f t="shared" si="46"/>
        <v>0</v>
      </c>
    </row>
    <row r="239" spans="1:11">
      <c r="B239" s="343"/>
      <c r="C239" s="196"/>
      <c r="D239" s="344"/>
      <c r="E239" s="196"/>
      <c r="F239" s="196"/>
      <c r="G239" s="196"/>
      <c r="H239" s="196"/>
      <c r="I239" s="196"/>
      <c r="J239" s="196"/>
      <c r="K239" s="196"/>
    </row>
    <row r="240" spans="1:11">
      <c r="A240" s="343" t="str">
        <f>co_name</f>
        <v>DUKE ENERGY KENTUCKY, INC.</v>
      </c>
      <c r="C240" s="196"/>
      <c r="D240" s="344"/>
      <c r="E240" s="196"/>
      <c r="F240" s="196"/>
      <c r="G240" s="196"/>
      <c r="H240" s="196"/>
      <c r="I240" s="196"/>
      <c r="J240" s="196" t="str">
        <f>$J$1</f>
        <v>FR-16(7)(v)-9</v>
      </c>
      <c r="K240" s="196"/>
    </row>
    <row r="241" spans="1:11">
      <c r="A241" s="343" t="str">
        <f>$A$2</f>
        <v>RESIDENTIAL CLASSIFIED - GAS COST OF SERVICE</v>
      </c>
      <c r="C241" s="196"/>
      <c r="D241" s="344"/>
      <c r="E241" s="196"/>
      <c r="F241" s="196"/>
      <c r="G241" s="196"/>
      <c r="H241" s="196"/>
      <c r="I241" s="196"/>
      <c r="J241" s="196" t="str">
        <f>$J$2</f>
        <v>WITNESS RESPONSIBLE:</v>
      </c>
      <c r="K241" s="196"/>
    </row>
    <row r="242" spans="1:11">
      <c r="A242" s="343" t="str">
        <f>case_name</f>
        <v>CASE NO: 2018-00261</v>
      </c>
      <c r="C242" s="196"/>
      <c r="D242" s="344"/>
      <c r="E242" s="196"/>
      <c r="F242" s="196"/>
      <c r="G242" s="196"/>
      <c r="H242" s="196"/>
      <c r="I242" s="196"/>
      <c r="J242" s="196" t="str">
        <f>Witness</f>
        <v>JAMES E. ZIOLKOWSKI</v>
      </c>
      <c r="K242" s="196"/>
    </row>
    <row r="243" spans="1:11">
      <c r="A243" s="343" t="str">
        <f>data_filing</f>
        <v>DATA: 12 MONTH FORECASTED PERIOD</v>
      </c>
      <c r="C243" s="196"/>
      <c r="D243" s="344"/>
      <c r="E243" s="196"/>
      <c r="F243" s="196"/>
      <c r="G243" s="196"/>
      <c r="H243" s="196"/>
      <c r="I243" s="196"/>
      <c r="J243" s="196" t="str">
        <f>"PAGE "&amp;Pages2-9&amp;" OF "&amp;Pages2</f>
        <v>PAGE 6 OF 15</v>
      </c>
      <c r="K243" s="196"/>
    </row>
    <row r="244" spans="1:11">
      <c r="A244" s="343" t="str">
        <f>type</f>
        <v xml:space="preserve">TYPE OF FILING: "X" ORIGINAL   UPDATED    REVISED  </v>
      </c>
      <c r="C244" s="196"/>
      <c r="D244" s="344"/>
      <c r="E244" s="196"/>
      <c r="F244" s="196"/>
      <c r="G244" s="196"/>
      <c r="H244" s="196"/>
      <c r="I244" s="196"/>
      <c r="J244" s="196"/>
      <c r="K244" s="196"/>
    </row>
    <row r="245" spans="1:11">
      <c r="B245" s="343"/>
      <c r="C245" s="196"/>
      <c r="D245" s="344"/>
      <c r="E245" s="196"/>
      <c r="F245" s="196"/>
      <c r="G245" s="196"/>
      <c r="H245" s="196"/>
      <c r="I245" s="196"/>
      <c r="J245" s="196"/>
      <c r="K245" s="196"/>
    </row>
    <row r="246" spans="1:11">
      <c r="B246" s="343"/>
      <c r="C246" s="196"/>
      <c r="D246" s="344"/>
      <c r="E246" s="196"/>
      <c r="F246" s="196"/>
      <c r="G246" s="196"/>
      <c r="H246" s="196"/>
      <c r="I246" s="196"/>
      <c r="J246" s="196"/>
      <c r="K246" s="196"/>
    </row>
    <row r="247" spans="1:11">
      <c r="A247" s="344" t="s">
        <v>914</v>
      </c>
      <c r="B247" s="196"/>
      <c r="C247" s="196"/>
      <c r="D247" s="344"/>
      <c r="E247" s="196"/>
      <c r="F247" s="344" t="s">
        <v>229</v>
      </c>
      <c r="G247" s="545" t="s">
        <v>1005</v>
      </c>
      <c r="H247" s="533"/>
      <c r="I247" s="534"/>
      <c r="J247" s="344" t="s">
        <v>229</v>
      </c>
      <c r="K247" s="344" t="s">
        <v>342</v>
      </c>
    </row>
    <row r="248" spans="1:11">
      <c r="A248" s="346" t="s">
        <v>915</v>
      </c>
      <c r="B248" s="345" t="s">
        <v>954</v>
      </c>
      <c r="C248" s="345"/>
      <c r="D248" s="346" t="s">
        <v>337</v>
      </c>
      <c r="E248" s="345"/>
      <c r="F248" s="346" t="str">
        <f>$F$9</f>
        <v>RESIDENTIAL</v>
      </c>
      <c r="G248" s="546" t="s">
        <v>847</v>
      </c>
      <c r="H248" s="535" t="s">
        <v>848</v>
      </c>
      <c r="I248" s="536" t="s">
        <v>849</v>
      </c>
      <c r="J248" s="346" t="s">
        <v>341</v>
      </c>
      <c r="K248" s="346" t="s">
        <v>340</v>
      </c>
    </row>
    <row r="249" spans="1:11">
      <c r="C249" s="578" t="s">
        <v>558</v>
      </c>
      <c r="D249" s="344"/>
      <c r="E249" s="196"/>
      <c r="G249" s="800">
        <f>$G$10</f>
        <v>3</v>
      </c>
      <c r="H249" s="801">
        <f>$H$10</f>
        <v>4</v>
      </c>
      <c r="I249" s="802">
        <f>$I$10</f>
        <v>5</v>
      </c>
    </row>
    <row r="250" spans="1:11">
      <c r="A250" s="333">
        <v>1</v>
      </c>
      <c r="B250" s="332" t="s">
        <v>826</v>
      </c>
      <c r="D250" s="344"/>
      <c r="E250" s="196"/>
      <c r="G250" s="551"/>
      <c r="H250" s="552"/>
      <c r="I250" s="553"/>
    </row>
    <row r="251" spans="1:11">
      <c r="A251" s="333">
        <v>2</v>
      </c>
      <c r="B251" s="332" t="s">
        <v>29</v>
      </c>
      <c r="D251" s="344"/>
      <c r="E251" s="196"/>
      <c r="G251" s="547"/>
      <c r="H251" s="537"/>
      <c r="I251" s="538"/>
    </row>
    <row r="252" spans="1:11">
      <c r="A252" s="333">
        <v>3</v>
      </c>
      <c r="C252" s="332" t="str">
        <f>'FR-16(7)(v)-1 Functional'!C252</f>
        <v>UNCOLLECTIBLE ACCTS</v>
      </c>
      <c r="D252" s="344" t="str">
        <f>'FR-16(7)(v)-1 Functional'!D252</f>
        <v>K406</v>
      </c>
      <c r="F252" s="479">
        <f>'FR-16(7)(v)-8 TOT CLASS Alloc'!G252</f>
        <v>3553</v>
      </c>
      <c r="G252" s="548">
        <f>'FR-16(7)(v)-5 DISTR Dem Alloc'!G252</f>
        <v>0</v>
      </c>
      <c r="H252" s="539">
        <f>'FR-16(7)(v)-3 PROD Comm Alloc'!G252</f>
        <v>0</v>
      </c>
      <c r="I252" s="540">
        <f>'FR-16(7)(v)-6 DISTR Cust Alloc'!G252</f>
        <v>3553</v>
      </c>
      <c r="J252" s="347">
        <f t="shared" ref="J252:J274" si="47">SUM(G252:I252)</f>
        <v>3553</v>
      </c>
      <c r="K252" s="347">
        <f t="shared" ref="K252:K274" si="48">F252-J252</f>
        <v>0</v>
      </c>
    </row>
    <row r="253" spans="1:11">
      <c r="A253" s="333">
        <v>4</v>
      </c>
      <c r="C253" s="332" t="str">
        <f>'FR-16(7)(v)-1 Functional'!C253</f>
        <v>GAS SUPPLIER REFUND</v>
      </c>
      <c r="D253" s="344" t="str">
        <f>'FR-16(7)(v)-1 Functional'!D253</f>
        <v>K300</v>
      </c>
      <c r="F253" s="479">
        <f>'FR-16(7)(v)-8 TOT CLASS Alloc'!G253</f>
        <v>17727</v>
      </c>
      <c r="G253" s="548">
        <f>'FR-16(7)(v)-5 DISTR Dem Alloc'!G253</f>
        <v>0</v>
      </c>
      <c r="H253" s="539">
        <f>'FR-16(7)(v)-3 PROD Comm Alloc'!G253</f>
        <v>17727</v>
      </c>
      <c r="I253" s="540">
        <f>'FR-16(7)(v)-6 DISTR Cust Alloc'!G253</f>
        <v>0</v>
      </c>
      <c r="J253" s="347">
        <f t="shared" si="47"/>
        <v>17727</v>
      </c>
      <c r="K253" s="347">
        <f t="shared" si="48"/>
        <v>0</v>
      </c>
    </row>
    <row r="254" spans="1:11">
      <c r="A254" s="333">
        <v>5</v>
      </c>
      <c r="C254" s="332" t="str">
        <f>'FR-16(7)(v)-1 Functional'!C254</f>
        <v>UNBILLED REVENUE - FUEL &amp; RATE REFUNDS</v>
      </c>
      <c r="D254" s="344" t="str">
        <f>'FR-16(7)(v)-1 Functional'!D254</f>
        <v>K300</v>
      </c>
      <c r="F254" s="479">
        <f>'FR-16(7)(v)-8 TOT CLASS Alloc'!G254</f>
        <v>321224</v>
      </c>
      <c r="G254" s="548">
        <f>'FR-16(7)(v)-5 DISTR Dem Alloc'!G254</f>
        <v>0</v>
      </c>
      <c r="H254" s="539">
        <f>'FR-16(7)(v)-3 PROD Comm Alloc'!G254</f>
        <v>321224</v>
      </c>
      <c r="I254" s="540">
        <f>'FR-16(7)(v)-6 DISTR Cust Alloc'!G254</f>
        <v>0</v>
      </c>
      <c r="J254" s="347">
        <f t="shared" si="47"/>
        <v>321224</v>
      </c>
      <c r="K254" s="347">
        <f t="shared" si="48"/>
        <v>0</v>
      </c>
    </row>
    <row r="255" spans="1:11">
      <c r="A255" s="333">
        <v>6</v>
      </c>
      <c r="C255" s="353" t="str">
        <f>'FR-16(7)(v)-1 Functional'!C255</f>
        <v>OFFSITE GAS STORAGE</v>
      </c>
      <c r="D255" s="344" t="str">
        <f>'FR-16(7)(v)-1 Functional'!D255</f>
        <v>K300</v>
      </c>
      <c r="F255" s="479">
        <f>'FR-16(7)(v)-8 TOT CLASS Alloc'!G255</f>
        <v>39161</v>
      </c>
      <c r="G255" s="548">
        <f>'FR-16(7)(v)-5 DISTR Dem Alloc'!G255</f>
        <v>0</v>
      </c>
      <c r="H255" s="539">
        <f>'FR-16(7)(v)-3 PROD Comm Alloc'!G255</f>
        <v>39161</v>
      </c>
      <c r="I255" s="540">
        <f>'FR-16(7)(v)-6 DISTR Cust Alloc'!G255</f>
        <v>0</v>
      </c>
      <c r="J255" s="347">
        <f t="shared" si="47"/>
        <v>39161</v>
      </c>
      <c r="K255" s="347">
        <f t="shared" si="48"/>
        <v>0</v>
      </c>
    </row>
    <row r="256" spans="1:11">
      <c r="A256" s="333">
        <v>7</v>
      </c>
      <c r="C256" s="332" t="str">
        <f>'FR-16(7)(v)-1 Functional'!C256</f>
        <v>GAS METERS</v>
      </c>
      <c r="D256" s="344" t="str">
        <f>'FR-16(7)(v)-1 Functional'!D256</f>
        <v>K413</v>
      </c>
      <c r="F256" s="479">
        <f>'FR-16(7)(v)-8 TOT CLASS Alloc'!G256</f>
        <v>29754</v>
      </c>
      <c r="G256" s="548">
        <f>'FR-16(7)(v)-5 DISTR Dem Alloc'!G256</f>
        <v>0</v>
      </c>
      <c r="H256" s="539">
        <f>'FR-16(7)(v)-3 PROD Comm Alloc'!G256</f>
        <v>0</v>
      </c>
      <c r="I256" s="540">
        <f>'FR-16(7)(v)-6 DISTR Cust Alloc'!G256</f>
        <v>29754</v>
      </c>
      <c r="J256" s="347">
        <f t="shared" si="47"/>
        <v>29754</v>
      </c>
      <c r="K256" s="347">
        <f t="shared" si="48"/>
        <v>0</v>
      </c>
    </row>
    <row r="257" spans="1:11">
      <c r="A257" s="333">
        <v>8</v>
      </c>
      <c r="C257" s="332" t="str">
        <f>'FR-16(7)(v)-1 Functional'!C257</f>
        <v>UNAMORTIZED DEBT PREMIUM</v>
      </c>
      <c r="D257" s="344" t="str">
        <f>'FR-16(7)(v)-1 Functional'!D257</f>
        <v>NP29</v>
      </c>
      <c r="F257" s="479">
        <f>'FR-16(7)(v)-8 TOT CLASS Alloc'!G257</f>
        <v>-1274</v>
      </c>
      <c r="G257" s="548">
        <f>'FR-16(7)(v)-5 DISTR Dem Alloc'!G257</f>
        <v>-558</v>
      </c>
      <c r="H257" s="539">
        <f>'FR-16(7)(v)-3 PROD Comm Alloc'!G257</f>
        <v>-7</v>
      </c>
      <c r="I257" s="540">
        <f>'FR-16(7)(v)-6 DISTR Cust Alloc'!G257</f>
        <v>-709</v>
      </c>
      <c r="J257" s="347">
        <f t="shared" si="47"/>
        <v>-1274</v>
      </c>
      <c r="K257" s="347">
        <f t="shared" si="48"/>
        <v>0</v>
      </c>
    </row>
    <row r="258" spans="1:11">
      <c r="A258" s="333">
        <v>9</v>
      </c>
      <c r="C258" s="332" t="str">
        <f>'FR-16(7)(v)-1 Functional'!C258</f>
        <v>ARO CUMULATIVE EFFECT</v>
      </c>
      <c r="D258" s="344" t="str">
        <f>'FR-16(7)(v)-1 Functional'!D258</f>
        <v>NP29</v>
      </c>
      <c r="F258" s="479">
        <f>'FR-16(7)(v)-8 TOT CLASS Alloc'!G258</f>
        <v>0</v>
      </c>
      <c r="G258" s="548">
        <f>'FR-16(7)(v)-5 DISTR Dem Alloc'!G258</f>
        <v>0</v>
      </c>
      <c r="H258" s="539">
        <f>'FR-16(7)(v)-3 PROD Comm Alloc'!G258</f>
        <v>0</v>
      </c>
      <c r="I258" s="540">
        <f>'FR-16(7)(v)-6 DISTR Cust Alloc'!G258</f>
        <v>0</v>
      </c>
      <c r="J258" s="347">
        <f t="shared" si="47"/>
        <v>0</v>
      </c>
      <c r="K258" s="347">
        <f t="shared" si="48"/>
        <v>0</v>
      </c>
    </row>
    <row r="259" spans="1:11">
      <c r="A259" s="333">
        <v>10</v>
      </c>
      <c r="C259" s="332" t="str">
        <f>'FR-16(7)(v)-1 Functional'!C259</f>
        <v>PENSION EXPENSE</v>
      </c>
      <c r="D259" s="344" t="str">
        <f>'FR-16(7)(v)-1 Functional'!D259</f>
        <v>AG39</v>
      </c>
      <c r="F259" s="479">
        <f>'FR-16(7)(v)-8 TOT CLASS Alloc'!G259</f>
        <v>135002</v>
      </c>
      <c r="G259" s="548">
        <f>'FR-16(7)(v)-5 DISTR Dem Alloc'!G259</f>
        <v>40436</v>
      </c>
      <c r="H259" s="539">
        <f>'FR-16(7)(v)-3 PROD Comm Alloc'!G259</f>
        <v>9642</v>
      </c>
      <c r="I259" s="540">
        <f>'FR-16(7)(v)-6 DISTR Cust Alloc'!G259</f>
        <v>84924</v>
      </c>
      <c r="J259" s="347">
        <f t="shared" si="47"/>
        <v>135002</v>
      </c>
      <c r="K259" s="347">
        <f t="shared" si="48"/>
        <v>0</v>
      </c>
    </row>
    <row r="260" spans="1:11">
      <c r="A260" s="333">
        <v>11</v>
      </c>
      <c r="C260" s="332" t="str">
        <f>'FR-16(7)(v)-1 Functional'!C260</f>
        <v>POST RETIREMENT BENEFITS - LIFE INS</v>
      </c>
      <c r="D260" s="344" t="str">
        <f>'FR-16(7)(v)-1 Functional'!D260</f>
        <v>AG39</v>
      </c>
      <c r="F260" s="479">
        <f>'FR-16(7)(v)-8 TOT CLASS Alloc'!G260</f>
        <v>0</v>
      </c>
      <c r="G260" s="548">
        <f>'FR-16(7)(v)-5 DISTR Dem Alloc'!G260</f>
        <v>0</v>
      </c>
      <c r="H260" s="539">
        <f>'FR-16(7)(v)-3 PROD Comm Alloc'!G260</f>
        <v>0</v>
      </c>
      <c r="I260" s="540">
        <f>'FR-16(7)(v)-6 DISTR Cust Alloc'!G260</f>
        <v>0</v>
      </c>
      <c r="J260" s="347">
        <f t="shared" si="47"/>
        <v>0</v>
      </c>
      <c r="K260" s="347">
        <f t="shared" si="48"/>
        <v>0</v>
      </c>
    </row>
    <row r="261" spans="1:11">
      <c r="A261" s="333">
        <v>12</v>
      </c>
      <c r="C261" s="332" t="str">
        <f>'FR-16(7)(v)-1 Functional'!C261</f>
        <v>POST RETIREMENT BENEFITS - HEALTH CARE</v>
      </c>
      <c r="D261" s="344" t="str">
        <f>'FR-16(7)(v)-1 Functional'!D261</f>
        <v>AG39</v>
      </c>
      <c r="F261" s="479">
        <f>'FR-16(7)(v)-8 TOT CLASS Alloc'!G261</f>
        <v>0</v>
      </c>
      <c r="G261" s="548">
        <f>'FR-16(7)(v)-5 DISTR Dem Alloc'!G261</f>
        <v>0</v>
      </c>
      <c r="H261" s="539">
        <f>'FR-16(7)(v)-3 PROD Comm Alloc'!G261</f>
        <v>0</v>
      </c>
      <c r="I261" s="540">
        <f>'FR-16(7)(v)-6 DISTR Cust Alloc'!G261</f>
        <v>0</v>
      </c>
      <c r="J261" s="347">
        <f t="shared" si="47"/>
        <v>0</v>
      </c>
      <c r="K261" s="347">
        <f t="shared" si="48"/>
        <v>0</v>
      </c>
    </row>
    <row r="262" spans="1:11">
      <c r="A262" s="333">
        <v>13</v>
      </c>
      <c r="C262" s="332" t="str">
        <f>'FR-16(7)(v)-1 Functional'!C262</f>
        <v>POST EMPLOYMENT BENEFITS - SFAS 112</v>
      </c>
      <c r="D262" s="344" t="str">
        <f>'FR-16(7)(v)-1 Functional'!D262</f>
        <v>AG39</v>
      </c>
      <c r="F262" s="479">
        <f>'FR-16(7)(v)-8 TOT CLASS Alloc'!G262</f>
        <v>32198</v>
      </c>
      <c r="G262" s="548">
        <f>'FR-16(7)(v)-5 DISTR Dem Alloc'!G262</f>
        <v>9644</v>
      </c>
      <c r="H262" s="539">
        <f>'FR-16(7)(v)-3 PROD Comm Alloc'!G262</f>
        <v>2299</v>
      </c>
      <c r="I262" s="540">
        <f>'FR-16(7)(v)-6 DISTR Cust Alloc'!G262</f>
        <v>20255</v>
      </c>
      <c r="J262" s="347">
        <f t="shared" si="47"/>
        <v>32198</v>
      </c>
      <c r="K262" s="347">
        <f t="shared" si="48"/>
        <v>0</v>
      </c>
    </row>
    <row r="263" spans="1:11">
      <c r="A263" s="333">
        <v>14</v>
      </c>
      <c r="C263" s="332" t="str">
        <f>'FR-16(7)(v)-1 Functional'!C263</f>
        <v>OPEB EXPENSE ACCRUAL</v>
      </c>
      <c r="D263" s="344" t="str">
        <f>'FR-16(7)(v)-1 Functional'!D263</f>
        <v>AG39</v>
      </c>
      <c r="F263" s="479">
        <f>'FR-16(7)(v)-8 TOT CLASS Alloc'!G263</f>
        <v>221569</v>
      </c>
      <c r="G263" s="548">
        <f>'FR-16(7)(v)-5 DISTR Dem Alloc'!G263</f>
        <v>66363</v>
      </c>
      <c r="H263" s="539">
        <f>'FR-16(7)(v)-3 PROD Comm Alloc'!G263</f>
        <v>15825</v>
      </c>
      <c r="I263" s="540">
        <f>'FR-16(7)(v)-6 DISTR Cust Alloc'!G263</f>
        <v>139381</v>
      </c>
      <c r="J263" s="347">
        <f t="shared" si="47"/>
        <v>221569</v>
      </c>
      <c r="K263" s="347">
        <f t="shared" si="48"/>
        <v>0</v>
      </c>
    </row>
    <row r="264" spans="1:11">
      <c r="A264" s="333">
        <v>15</v>
      </c>
      <c r="C264" s="332" t="str">
        <f>'FR-16(7)(v)-1 Functional'!C264</f>
        <v>INCENTIVE PLAN</v>
      </c>
      <c r="D264" s="344" t="str">
        <f>'FR-16(7)(v)-1 Functional'!D264</f>
        <v>AG39</v>
      </c>
      <c r="F264" s="479">
        <f>'FR-16(7)(v)-8 TOT CLASS Alloc'!G264</f>
        <v>0</v>
      </c>
      <c r="G264" s="548">
        <f>'FR-16(7)(v)-5 DISTR Dem Alloc'!G264</f>
        <v>0</v>
      </c>
      <c r="H264" s="539">
        <f>'FR-16(7)(v)-3 PROD Comm Alloc'!G264</f>
        <v>0</v>
      </c>
      <c r="I264" s="540">
        <f>'FR-16(7)(v)-6 DISTR Cust Alloc'!G264</f>
        <v>0</v>
      </c>
      <c r="J264" s="347">
        <f t="shared" si="47"/>
        <v>0</v>
      </c>
      <c r="K264" s="347">
        <f t="shared" si="48"/>
        <v>0</v>
      </c>
    </row>
    <row r="265" spans="1:11">
      <c r="A265" s="333">
        <v>16</v>
      </c>
      <c r="C265" s="332" t="str">
        <f>'FR-16(7)(v)-1 Functional'!C265</f>
        <v>FEDERAL DEFERRED TAX RECEIVEABLE</v>
      </c>
      <c r="D265" s="344" t="str">
        <f>'FR-16(7)(v)-1 Functional'!D265</f>
        <v>AG39</v>
      </c>
      <c r="F265" s="479">
        <f>'FR-16(7)(v)-8 TOT CLASS Alloc'!G265</f>
        <v>0</v>
      </c>
      <c r="G265" s="548">
        <f>'FR-16(7)(v)-5 DISTR Dem Alloc'!G265</f>
        <v>0</v>
      </c>
      <c r="H265" s="539">
        <f>'FR-16(7)(v)-3 PROD Comm Alloc'!G265</f>
        <v>0</v>
      </c>
      <c r="I265" s="540">
        <f>'FR-16(7)(v)-6 DISTR Cust Alloc'!G265</f>
        <v>0</v>
      </c>
      <c r="J265" s="347">
        <f t="shared" si="47"/>
        <v>0</v>
      </c>
      <c r="K265" s="347">
        <f t="shared" si="48"/>
        <v>0</v>
      </c>
    </row>
    <row r="266" spans="1:11">
      <c r="A266" s="333">
        <v>17</v>
      </c>
      <c r="C266" s="332" t="str">
        <f>'FR-16(7)(v)-1 Functional'!C266</f>
        <v>DSM DEFERRAL</v>
      </c>
      <c r="D266" s="344" t="str">
        <f>'FR-16(7)(v)-1 Functional'!D266</f>
        <v>AG39</v>
      </c>
      <c r="F266" s="479">
        <f>'FR-16(7)(v)-8 TOT CLASS Alloc'!G266</f>
        <v>137213</v>
      </c>
      <c r="G266" s="548">
        <f>'FR-16(7)(v)-5 DISTR Dem Alloc'!G266</f>
        <v>41097</v>
      </c>
      <c r="H266" s="539">
        <f>'FR-16(7)(v)-3 PROD Comm Alloc'!G266</f>
        <v>9801</v>
      </c>
      <c r="I266" s="540">
        <f>'FR-16(7)(v)-6 DISTR Cust Alloc'!G266</f>
        <v>86315</v>
      </c>
      <c r="J266" s="347">
        <f t="shared" si="47"/>
        <v>137213</v>
      </c>
      <c r="K266" s="347">
        <f t="shared" si="48"/>
        <v>0</v>
      </c>
    </row>
    <row r="267" spans="1:11">
      <c r="A267" s="333">
        <v>18</v>
      </c>
      <c r="C267" s="332" t="str">
        <f>'FR-16(7)(v)-1 Functional'!C267</f>
        <v>PROPERTY TAX</v>
      </c>
      <c r="D267" s="344" t="str">
        <f>'FR-16(7)(v)-1 Functional'!D267</f>
        <v>P229</v>
      </c>
      <c r="F267" s="479">
        <f>'FR-16(7)(v)-8 TOT CLASS Alloc'!G267</f>
        <v>0</v>
      </c>
      <c r="G267" s="548">
        <f>'FR-16(7)(v)-5 DISTR Dem Alloc'!G267</f>
        <v>0</v>
      </c>
      <c r="H267" s="539">
        <f>'FR-16(7)(v)-3 PROD Comm Alloc'!G267</f>
        <v>0</v>
      </c>
      <c r="I267" s="540">
        <f>'FR-16(7)(v)-6 DISTR Cust Alloc'!G267</f>
        <v>0</v>
      </c>
      <c r="J267" s="347">
        <f t="shared" si="47"/>
        <v>0</v>
      </c>
      <c r="K267" s="347">
        <f t="shared" si="48"/>
        <v>0</v>
      </c>
    </row>
    <row r="268" spans="1:11">
      <c r="A268" s="333">
        <v>19</v>
      </c>
      <c r="C268" s="353" t="str">
        <f>'FR-16(7)(v)-1 Functional'!C268</f>
        <v>PROPERTY TAX ON PROPANE</v>
      </c>
      <c r="D268" s="344" t="str">
        <f>'FR-16(7)(v)-1 Functional'!D268</f>
        <v>P229</v>
      </c>
      <c r="F268" s="479">
        <f>'FR-16(7)(v)-8 TOT CLASS Alloc'!G268</f>
        <v>0</v>
      </c>
      <c r="G268" s="548">
        <f>'FR-16(7)(v)-5 DISTR Dem Alloc'!G268</f>
        <v>0</v>
      </c>
      <c r="H268" s="539">
        <f>'FR-16(7)(v)-3 PROD Comm Alloc'!G268</f>
        <v>0</v>
      </c>
      <c r="I268" s="540">
        <f>'FR-16(7)(v)-6 DISTR Cust Alloc'!G268</f>
        <v>0</v>
      </c>
      <c r="J268" s="347">
        <f t="shared" si="47"/>
        <v>0</v>
      </c>
      <c r="K268" s="347">
        <f t="shared" si="48"/>
        <v>0</v>
      </c>
    </row>
    <row r="269" spans="1:11">
      <c r="A269" s="333">
        <v>20</v>
      </c>
      <c r="C269" s="489" t="str">
        <f>'FR-16(7)(v)-1 Functional'!C269</f>
        <v>401K INCENTIVE PLAN</v>
      </c>
      <c r="D269" s="344" t="str">
        <f>'FR-16(7)(v)-1 Functional'!D269</f>
        <v>AG39</v>
      </c>
      <c r="F269" s="479">
        <f>'FR-16(7)(v)-8 TOT CLASS Alloc'!G269</f>
        <v>0</v>
      </c>
      <c r="G269" s="548">
        <f>'FR-16(7)(v)-5 DISTR Dem Alloc'!G269</f>
        <v>0</v>
      </c>
      <c r="H269" s="539">
        <f>'FR-16(7)(v)-3 PROD Comm Alloc'!G269</f>
        <v>0</v>
      </c>
      <c r="I269" s="540">
        <f>'FR-16(7)(v)-6 DISTR Cust Alloc'!G269</f>
        <v>0</v>
      </c>
      <c r="J269" s="347">
        <f t="shared" si="47"/>
        <v>0</v>
      </c>
      <c r="K269" s="347">
        <f t="shared" si="48"/>
        <v>0</v>
      </c>
    </row>
    <row r="270" spans="1:11">
      <c r="A270" s="333">
        <v>21</v>
      </c>
      <c r="C270" s="332" t="str">
        <f>'FR-16(7)(v)-1 Functional'!C270</f>
        <v>ENVIRONMENTAL RESERVE</v>
      </c>
      <c r="D270" s="344" t="str">
        <f>'FR-16(7)(v)-1 Functional'!D270</f>
        <v>NP29</v>
      </c>
      <c r="F270" s="479">
        <f>'FR-16(7)(v)-8 TOT CLASS Alloc'!G270</f>
        <v>110669</v>
      </c>
      <c r="G270" s="548">
        <f>'FR-16(7)(v)-5 DISTR Dem Alloc'!G270</f>
        <v>48436</v>
      </c>
      <c r="H270" s="539">
        <f>'FR-16(7)(v)-3 PROD Comm Alloc'!G270</f>
        <v>628</v>
      </c>
      <c r="I270" s="540">
        <f>'FR-16(7)(v)-6 DISTR Cust Alloc'!G270</f>
        <v>61605</v>
      </c>
      <c r="J270" s="347">
        <f t="shared" si="47"/>
        <v>110669</v>
      </c>
      <c r="K270" s="347">
        <f t="shared" si="48"/>
        <v>0</v>
      </c>
    </row>
    <row r="271" spans="1:11">
      <c r="A271" s="333">
        <v>22</v>
      </c>
      <c r="C271" s="332" t="str">
        <f>'FR-16(7)(v)-1 Functional'!C271</f>
        <v>VACATION PAY ACCRUALS</v>
      </c>
      <c r="D271" s="344" t="str">
        <f>'FR-16(7)(v)-1 Functional'!D271</f>
        <v>G129</v>
      </c>
      <c r="F271" s="479">
        <f>'FR-16(7)(v)-8 TOT CLASS Alloc'!G271</f>
        <v>119992</v>
      </c>
      <c r="G271" s="548">
        <f>'FR-16(7)(v)-5 DISTR Dem Alloc'!G271</f>
        <v>35938</v>
      </c>
      <c r="H271" s="539">
        <f>'FR-16(7)(v)-3 PROD Comm Alloc'!G271</f>
        <v>8574</v>
      </c>
      <c r="I271" s="540">
        <f>'FR-16(7)(v)-6 DISTR Cust Alloc'!G271</f>
        <v>75480</v>
      </c>
      <c r="J271" s="347">
        <f t="shared" si="47"/>
        <v>119992</v>
      </c>
      <c r="K271" s="347">
        <f t="shared" si="48"/>
        <v>0</v>
      </c>
    </row>
    <row r="272" spans="1:11">
      <c r="A272" s="333">
        <v>23</v>
      </c>
      <c r="C272" s="332" t="str">
        <f>'FR-16(7)(v)-1 Functional'!C272</f>
        <v>SMART GRID</v>
      </c>
      <c r="D272" s="344" t="str">
        <f>'FR-16(7)(v)-1 Functional'!D272</f>
        <v>K413</v>
      </c>
      <c r="F272" s="479">
        <f>'FR-16(7)(v)-8 TOT CLASS Alloc'!G272</f>
        <v>0</v>
      </c>
      <c r="G272" s="548">
        <f>'FR-16(7)(v)-5 DISTR Dem Alloc'!G272</f>
        <v>0</v>
      </c>
      <c r="H272" s="539">
        <f>'FR-16(7)(v)-3 PROD Comm Alloc'!G272</f>
        <v>0</v>
      </c>
      <c r="I272" s="540">
        <f>'FR-16(7)(v)-6 DISTR Cust Alloc'!G272</f>
        <v>0</v>
      </c>
      <c r="J272" s="347">
        <f t="shared" si="47"/>
        <v>0</v>
      </c>
      <c r="K272" s="347">
        <f t="shared" si="48"/>
        <v>0</v>
      </c>
    </row>
    <row r="273" spans="1:11">
      <c r="A273" s="333">
        <v>24</v>
      </c>
      <c r="C273" s="332" t="str">
        <f>'FR-16(7)(v)-1 Functional'!C273</f>
        <v>METERS &amp; TRANSFORMERS</v>
      </c>
      <c r="D273" s="344" t="str">
        <f>'FR-16(7)(v)-1 Functional'!D273</f>
        <v>D249</v>
      </c>
      <c r="F273" s="479">
        <f>'FR-16(7)(v)-8 TOT CLASS Alloc'!G273</f>
        <v>0</v>
      </c>
      <c r="G273" s="548">
        <f>'FR-16(7)(v)-5 DISTR Dem Alloc'!G273</f>
        <v>0</v>
      </c>
      <c r="H273" s="539">
        <f>'FR-16(7)(v)-3 PROD Comm Alloc'!G273</f>
        <v>0</v>
      </c>
      <c r="I273" s="540">
        <f>'FR-16(7)(v)-6 DISTR Cust Alloc'!G273</f>
        <v>0</v>
      </c>
      <c r="J273" s="347">
        <f t="shared" si="47"/>
        <v>0</v>
      </c>
      <c r="K273" s="347">
        <f t="shared" si="48"/>
        <v>0</v>
      </c>
    </row>
    <row r="274" spans="1:11">
      <c r="A274" s="333">
        <v>25</v>
      </c>
      <c r="C274" s="359" t="str">
        <f>'FR-16(7)(v)-1 Functional'!C274</f>
        <v>OTHER</v>
      </c>
      <c r="D274" s="344" t="str">
        <f>'FR-16(7)(v)-1 Functional'!D274</f>
        <v>AG39</v>
      </c>
      <c r="F274" s="479">
        <f>'FR-16(7)(v)-8 TOT CLASS Alloc'!G274</f>
        <v>277754</v>
      </c>
      <c r="G274" s="548">
        <f>'FR-16(7)(v)-5 DISTR Dem Alloc'!G274</f>
        <v>83192</v>
      </c>
      <c r="H274" s="539">
        <f>'FR-16(7)(v)-3 PROD Comm Alloc'!G274</f>
        <v>19838</v>
      </c>
      <c r="I274" s="540">
        <f>'FR-16(7)(v)-6 DISTR Cust Alloc'!G274</f>
        <v>174724</v>
      </c>
      <c r="J274" s="347">
        <f t="shared" si="47"/>
        <v>277754</v>
      </c>
      <c r="K274" s="347">
        <f t="shared" si="48"/>
        <v>0</v>
      </c>
    </row>
    <row r="275" spans="1:11">
      <c r="A275" s="333">
        <v>26</v>
      </c>
      <c r="C275" s="332" t="str">
        <f>'FR-16(7)(v)-1 Functional'!C275</f>
        <v xml:space="preserve">  TOTAL ACCOUNT 190</v>
      </c>
      <c r="D275" s="344"/>
      <c r="F275" s="348">
        <f t="shared" ref="F275:K275" si="49">SUM(F251:F274)</f>
        <v>1444542</v>
      </c>
      <c r="G275" s="549">
        <f t="shared" si="49"/>
        <v>324548</v>
      </c>
      <c r="H275" s="541">
        <f t="shared" si="49"/>
        <v>444712</v>
      </c>
      <c r="I275" s="542">
        <f t="shared" si="49"/>
        <v>675282</v>
      </c>
      <c r="J275" s="348">
        <f t="shared" si="49"/>
        <v>1444542</v>
      </c>
      <c r="K275" s="348">
        <f t="shared" si="49"/>
        <v>0</v>
      </c>
    </row>
    <row r="276" spans="1:11">
      <c r="A276" s="333">
        <v>27</v>
      </c>
      <c r="D276" s="344"/>
      <c r="E276" s="196"/>
      <c r="G276" s="547"/>
      <c r="H276" s="537"/>
      <c r="I276" s="538"/>
    </row>
    <row r="277" spans="1:11">
      <c r="A277" s="333">
        <v>28</v>
      </c>
      <c r="B277" s="332" t="s">
        <v>30</v>
      </c>
      <c r="D277" s="344"/>
      <c r="E277" s="196"/>
      <c r="G277" s="547"/>
      <c r="H277" s="537"/>
      <c r="I277" s="538"/>
    </row>
    <row r="278" spans="1:11">
      <c r="A278" s="333">
        <v>29</v>
      </c>
      <c r="C278" s="365" t="str">
        <f>'FR-16(7)(v)-1 Functional'!C278</f>
        <v>RESERVED FOR FUTURE USE</v>
      </c>
      <c r="D278" s="344" t="str">
        <f>'FR-16(7)(v)-1 Functional'!D278</f>
        <v>D249</v>
      </c>
      <c r="F278" s="479">
        <f>'FR-16(7)(v)-8 TOT CLASS Alloc'!G278</f>
        <v>0</v>
      </c>
      <c r="G278" s="548">
        <f>'FR-16(7)(v)-5 DISTR Dem Alloc'!G278</f>
        <v>0</v>
      </c>
      <c r="H278" s="539">
        <f>'FR-16(7)(v)-3 PROD Comm Alloc'!G278</f>
        <v>0</v>
      </c>
      <c r="I278" s="540">
        <f>'FR-16(7)(v)-6 DISTR Cust Alloc'!G278</f>
        <v>0</v>
      </c>
      <c r="J278" s="347">
        <f>SUM(G278:I278)</f>
        <v>0</v>
      </c>
      <c r="K278" s="347">
        <f>F278-J278</f>
        <v>0</v>
      </c>
    </row>
    <row r="279" spans="1:11">
      <c r="A279" s="333">
        <v>30</v>
      </c>
      <c r="C279" s="332" t="str">
        <f>'FR-16(7)(v)-1 Functional'!C279</f>
        <v>ANNUALIZE DEPRECIATION</v>
      </c>
      <c r="D279" s="344" t="str">
        <f>'FR-16(7)(v)-1 Functional'!D279</f>
        <v>NP29</v>
      </c>
      <c r="F279" s="479">
        <f>'FR-16(7)(v)-8 TOT CLASS Alloc'!G279</f>
        <v>-187866</v>
      </c>
      <c r="G279" s="548">
        <f>'FR-16(7)(v)-5 DISTR Dem Alloc'!G279</f>
        <v>-82222</v>
      </c>
      <c r="H279" s="539">
        <f>'FR-16(7)(v)-3 PROD Comm Alloc'!G279</f>
        <v>-1067</v>
      </c>
      <c r="I279" s="540">
        <f>'FR-16(7)(v)-6 DISTR Cust Alloc'!G279</f>
        <v>-104577</v>
      </c>
      <c r="J279" s="347">
        <f>SUM(G279:I279)</f>
        <v>-187866</v>
      </c>
      <c r="K279" s="347">
        <f>F279-J279</f>
        <v>0</v>
      </c>
    </row>
    <row r="280" spans="1:11">
      <c r="A280" s="333">
        <v>31</v>
      </c>
      <c r="C280" s="332" t="str">
        <f>'FR-16(7)(v)-1 Functional'!C280</f>
        <v>ELIMINATE UNBILLED REVENUE AND GAS COSTS</v>
      </c>
      <c r="D280" s="344" t="str">
        <f>'FR-16(7)(v)-1 Functional'!D280</f>
        <v>K300</v>
      </c>
      <c r="F280" s="479">
        <f>'FR-16(7)(v)-8 TOT CLASS Alloc'!G280</f>
        <v>-8869</v>
      </c>
      <c r="G280" s="548">
        <f>'FR-16(7)(v)-5 DISTR Dem Alloc'!G280</f>
        <v>0</v>
      </c>
      <c r="H280" s="539">
        <f>'FR-16(7)(v)-3 PROD Comm Alloc'!G280</f>
        <v>-8869</v>
      </c>
      <c r="I280" s="540">
        <f>'FR-16(7)(v)-6 DISTR Cust Alloc'!G280</f>
        <v>0</v>
      </c>
      <c r="J280" s="347">
        <f>SUM(G280:I280)</f>
        <v>-8869</v>
      </c>
      <c r="K280" s="347">
        <f>F280-J280</f>
        <v>0</v>
      </c>
    </row>
    <row r="281" spans="1:11">
      <c r="A281" s="333">
        <v>32</v>
      </c>
      <c r="C281" s="339" t="str">
        <f>'FR-16(7)(v)-1 Functional'!C281</f>
        <v xml:space="preserve">  OTHER</v>
      </c>
      <c r="D281" s="344"/>
      <c r="F281" s="348">
        <f>SUM(F278:F280)</f>
        <v>-196735</v>
      </c>
      <c r="G281" s="549">
        <f>SUM(G277:G280)</f>
        <v>-82222</v>
      </c>
      <c r="H281" s="541">
        <f>SUM(H277:H280)</f>
        <v>-9936</v>
      </c>
      <c r="I281" s="542">
        <f>SUM(I277:I280)</f>
        <v>-104577</v>
      </c>
      <c r="J281" s="348">
        <f>SUM(J277:J280)</f>
        <v>-196735</v>
      </c>
      <c r="K281" s="348">
        <f>SUM(K277:K280)</f>
        <v>0</v>
      </c>
    </row>
    <row r="282" spans="1:11">
      <c r="A282" s="333">
        <v>33</v>
      </c>
      <c r="D282" s="344"/>
      <c r="F282" s="335" t="s">
        <v>343</v>
      </c>
      <c r="G282" s="547"/>
      <c r="H282" s="537"/>
      <c r="I282" s="538"/>
    </row>
    <row r="283" spans="1:11">
      <c r="A283" s="333">
        <v>34</v>
      </c>
      <c r="B283" s="332" t="s">
        <v>825</v>
      </c>
      <c r="D283" s="344"/>
      <c r="F283" s="347">
        <f t="shared" ref="F283:K283" si="50">F275+F281</f>
        <v>1247807</v>
      </c>
      <c r="G283" s="550">
        <f t="shared" si="50"/>
        <v>242326</v>
      </c>
      <c r="H283" s="543">
        <f t="shared" si="50"/>
        <v>434776</v>
      </c>
      <c r="I283" s="544">
        <f t="shared" si="50"/>
        <v>570705</v>
      </c>
      <c r="J283" s="347">
        <f t="shared" si="50"/>
        <v>1247807</v>
      </c>
      <c r="K283" s="347">
        <f t="shared" si="50"/>
        <v>0</v>
      </c>
    </row>
    <row r="284" spans="1:11">
      <c r="B284" s="343"/>
      <c r="C284" s="196"/>
      <c r="D284" s="344"/>
      <c r="E284" s="196"/>
      <c r="F284" s="196"/>
      <c r="G284" s="196"/>
      <c r="H284" s="196"/>
      <c r="I284" s="196"/>
      <c r="J284" s="196"/>
      <c r="K284" s="196"/>
    </row>
    <row r="285" spans="1:11">
      <c r="A285" s="343" t="str">
        <f>co_name</f>
        <v>DUKE ENERGY KENTUCKY, INC.</v>
      </c>
      <c r="C285" s="196"/>
      <c r="D285" s="344"/>
      <c r="E285" s="196"/>
      <c r="F285" s="196"/>
      <c r="G285" s="196"/>
      <c r="H285" s="196"/>
      <c r="I285" s="196"/>
      <c r="J285" s="196" t="str">
        <f>$J$1</f>
        <v>FR-16(7)(v)-9</v>
      </c>
      <c r="K285" s="196"/>
    </row>
    <row r="286" spans="1:11">
      <c r="A286" s="343" t="str">
        <f>$A$2</f>
        <v>RESIDENTIAL CLASSIFIED - GAS COST OF SERVICE</v>
      </c>
      <c r="C286" s="196"/>
      <c r="D286" s="344"/>
      <c r="E286" s="196"/>
      <c r="F286" s="196"/>
      <c r="G286" s="196"/>
      <c r="H286" s="196"/>
      <c r="I286" s="196"/>
      <c r="J286" s="196" t="str">
        <f>$J$2</f>
        <v>WITNESS RESPONSIBLE:</v>
      </c>
      <c r="K286" s="196"/>
    </row>
    <row r="287" spans="1:11">
      <c r="A287" s="343" t="str">
        <f>case_name</f>
        <v>CASE NO: 2018-00261</v>
      </c>
      <c r="C287" s="196"/>
      <c r="D287" s="344"/>
      <c r="E287" s="196"/>
      <c r="F287" s="196"/>
      <c r="G287" s="196"/>
      <c r="H287" s="196"/>
      <c r="I287" s="196"/>
      <c r="J287" s="196" t="str">
        <f>Witness</f>
        <v>JAMES E. ZIOLKOWSKI</v>
      </c>
      <c r="K287" s="196"/>
    </row>
    <row r="288" spans="1:11">
      <c r="A288" s="343" t="str">
        <f>data_filing</f>
        <v>DATA: 12 MONTH FORECASTED PERIOD</v>
      </c>
      <c r="C288" s="196"/>
      <c r="D288" s="344"/>
      <c r="E288" s="196"/>
      <c r="F288" s="196"/>
      <c r="G288" s="196"/>
      <c r="H288" s="196"/>
      <c r="I288" s="196"/>
      <c r="J288" s="196" t="str">
        <f>"PAGE "&amp;Pages2-8&amp;" OF "&amp;Pages2</f>
        <v>PAGE 7 OF 15</v>
      </c>
      <c r="K288" s="196"/>
    </row>
    <row r="289" spans="1:13">
      <c r="A289" s="343" t="str">
        <f>type</f>
        <v xml:space="preserve">TYPE OF FILING: "X" ORIGINAL   UPDATED    REVISED  </v>
      </c>
      <c r="C289" s="196"/>
      <c r="D289" s="344"/>
      <c r="E289" s="196"/>
      <c r="F289" s="196"/>
      <c r="G289" s="196"/>
      <c r="H289" s="196"/>
      <c r="I289" s="196"/>
      <c r="J289" s="196"/>
      <c r="K289" s="196"/>
    </row>
    <row r="290" spans="1:13">
      <c r="B290" s="343"/>
      <c r="C290" s="196"/>
      <c r="D290" s="344"/>
      <c r="E290" s="196"/>
      <c r="F290" s="196"/>
      <c r="G290" s="196"/>
      <c r="H290" s="196"/>
      <c r="I290" s="196"/>
      <c r="J290" s="196"/>
      <c r="K290" s="196"/>
    </row>
    <row r="291" spans="1:13">
      <c r="B291" s="343"/>
      <c r="C291" s="196"/>
      <c r="D291" s="344"/>
      <c r="E291" s="196"/>
      <c r="F291" s="196"/>
      <c r="G291" s="196"/>
      <c r="H291" s="196"/>
      <c r="I291" s="196"/>
      <c r="J291" s="196"/>
      <c r="K291" s="196"/>
    </row>
    <row r="292" spans="1:13">
      <c r="A292" s="344" t="s">
        <v>914</v>
      </c>
      <c r="B292" s="196"/>
      <c r="C292" s="196"/>
      <c r="D292" s="344"/>
      <c r="E292" s="196"/>
      <c r="F292" s="344" t="s">
        <v>229</v>
      </c>
      <c r="G292" s="545" t="s">
        <v>1005</v>
      </c>
      <c r="H292" s="533"/>
      <c r="I292" s="534"/>
      <c r="J292" s="344" t="s">
        <v>229</v>
      </c>
      <c r="K292" s="344" t="s">
        <v>342</v>
      </c>
    </row>
    <row r="293" spans="1:13">
      <c r="A293" s="346" t="s">
        <v>915</v>
      </c>
      <c r="B293" s="345" t="s">
        <v>32</v>
      </c>
      <c r="C293" s="345"/>
      <c r="D293" s="346" t="s">
        <v>337</v>
      </c>
      <c r="E293" s="345"/>
      <c r="F293" s="346" t="str">
        <f>$F$9</f>
        <v>RESIDENTIAL</v>
      </c>
      <c r="G293" s="546" t="s">
        <v>847</v>
      </c>
      <c r="H293" s="535" t="s">
        <v>848</v>
      </c>
      <c r="I293" s="536" t="s">
        <v>849</v>
      </c>
      <c r="J293" s="346" t="s">
        <v>341</v>
      </c>
      <c r="K293" s="346" t="s">
        <v>340</v>
      </c>
    </row>
    <row r="294" spans="1:13">
      <c r="C294" s="578" t="s">
        <v>559</v>
      </c>
      <c r="D294" s="344"/>
      <c r="E294" s="490"/>
      <c r="F294" s="491"/>
      <c r="G294" s="800">
        <f>$G$10</f>
        <v>3</v>
      </c>
      <c r="H294" s="801">
        <f>$H$10</f>
        <v>4</v>
      </c>
      <c r="I294" s="802">
        <f>$I$10</f>
        <v>5</v>
      </c>
      <c r="J294" s="490"/>
      <c r="K294" s="490"/>
    </row>
    <row r="295" spans="1:13">
      <c r="C295" s="578"/>
      <c r="D295" s="344"/>
      <c r="E295" s="490"/>
      <c r="F295" s="491"/>
      <c r="G295" s="800"/>
      <c r="H295" s="801"/>
      <c r="I295" s="802"/>
      <c r="J295" s="490"/>
      <c r="K295" s="490"/>
    </row>
    <row r="296" spans="1:13">
      <c r="A296" s="333">
        <v>1</v>
      </c>
      <c r="B296" s="332" t="s">
        <v>31</v>
      </c>
      <c r="D296" s="344"/>
      <c r="E296" s="196"/>
      <c r="F296" s="347">
        <f t="shared" ref="F296:K296" si="51">F191-F238+F283</f>
        <v>211261529</v>
      </c>
      <c r="G296" s="548">
        <f t="shared" si="51"/>
        <v>94103085</v>
      </c>
      <c r="H296" s="539">
        <f t="shared" si="51"/>
        <v>1134677</v>
      </c>
      <c r="I296" s="540">
        <f t="shared" si="51"/>
        <v>116023767</v>
      </c>
      <c r="J296" s="347">
        <f t="shared" si="51"/>
        <v>211261529</v>
      </c>
      <c r="K296" s="347">
        <f t="shared" si="51"/>
        <v>0</v>
      </c>
    </row>
    <row r="297" spans="1:13">
      <c r="A297" s="333">
        <v>2</v>
      </c>
      <c r="D297" s="344"/>
      <c r="E297" s="196"/>
      <c r="G297" s="547"/>
      <c r="H297" s="537"/>
      <c r="I297" s="538"/>
    </row>
    <row r="298" spans="1:13">
      <c r="A298" s="333">
        <v>3</v>
      </c>
      <c r="B298" s="332" t="s">
        <v>32</v>
      </c>
      <c r="D298" s="344"/>
      <c r="E298" s="196"/>
      <c r="G298" s="547"/>
      <c r="H298" s="537"/>
      <c r="I298" s="538"/>
    </row>
    <row r="299" spans="1:13">
      <c r="A299" s="333">
        <v>4</v>
      </c>
      <c r="D299" s="344"/>
      <c r="E299" s="196"/>
      <c r="G299" s="547"/>
      <c r="H299" s="537"/>
      <c r="I299" s="538"/>
    </row>
    <row r="300" spans="1:13">
      <c r="A300" s="333">
        <v>5</v>
      </c>
      <c r="B300" s="332" t="s">
        <v>33</v>
      </c>
      <c r="D300" s="344"/>
      <c r="E300" s="196"/>
      <c r="G300" s="547"/>
      <c r="H300" s="537"/>
      <c r="I300" s="538"/>
    </row>
    <row r="301" spans="1:13">
      <c r="A301" s="333">
        <v>6</v>
      </c>
      <c r="C301" s="332" t="str">
        <f>'FR-16(7)(v)-1 Functional'!C301</f>
        <v>GAS ENRICHER LIQUID</v>
      </c>
      <c r="D301" s="344" t="str">
        <f>'FR-16(7)(v)-1 Functional'!D301</f>
        <v>K301</v>
      </c>
      <c r="E301" s="196"/>
      <c r="F301" s="479">
        <f>'FR-16(7)(v)-8 TOT CLASS Alloc'!G301</f>
        <v>650879</v>
      </c>
      <c r="G301" s="548">
        <f>'FR-16(7)(v)-5 DISTR Dem Alloc'!G301</f>
        <v>0</v>
      </c>
      <c r="H301" s="539">
        <f>'FR-16(7)(v)-3 PROD Comm Alloc'!G301</f>
        <v>650879</v>
      </c>
      <c r="I301" s="540">
        <f>'FR-16(7)(v)-6 DISTR Cust Alloc'!G301</f>
        <v>0</v>
      </c>
      <c r="J301" s="347">
        <f>SUM(G301:I301)</f>
        <v>650879</v>
      </c>
      <c r="K301" s="347">
        <f>F301-J301</f>
        <v>0</v>
      </c>
      <c r="M301" s="335"/>
    </row>
    <row r="302" spans="1:13">
      <c r="A302" s="333">
        <v>7</v>
      </c>
      <c r="C302" s="359" t="str">
        <f>'FR-16(7)(v)-1 Functional'!C302</f>
        <v>OTHER SUPPLIES</v>
      </c>
      <c r="D302" s="344" t="str">
        <f>'FR-16(7)(v)-1 Functional'!D302</f>
        <v>NP29</v>
      </c>
      <c r="E302" s="196"/>
      <c r="F302" s="479">
        <f>'FR-16(7)(v)-8 TOT CLASS Alloc'!G302</f>
        <v>794471</v>
      </c>
      <c r="G302" s="548">
        <f>'FR-16(7)(v)-5 DISTR Dem Alloc'!G302</f>
        <v>347711</v>
      </c>
      <c r="H302" s="539">
        <f>'FR-16(7)(v)-3 PROD Comm Alloc'!G302</f>
        <v>4515</v>
      </c>
      <c r="I302" s="540">
        <f>'FR-16(7)(v)-6 DISTR Cust Alloc'!G302</f>
        <v>442245</v>
      </c>
      <c r="J302" s="347">
        <f>SUM(G302:I302)</f>
        <v>794471</v>
      </c>
      <c r="K302" s="347">
        <f>F302-J302</f>
        <v>0</v>
      </c>
      <c r="M302" s="335"/>
    </row>
    <row r="303" spans="1:13">
      <c r="A303" s="333">
        <v>8</v>
      </c>
      <c r="C303" s="332" t="str">
        <f>'FR-16(7)(v)-1 Functional'!C303</f>
        <v xml:space="preserve">  TOTAL PLANT MATS. &amp; SUPPLIES</v>
      </c>
      <c r="D303" s="344"/>
      <c r="E303" s="196"/>
      <c r="F303" s="348">
        <f t="shared" ref="F303:K303" si="52">SUM(F300:F302)</f>
        <v>1445350</v>
      </c>
      <c r="G303" s="549">
        <f t="shared" si="52"/>
        <v>347711</v>
      </c>
      <c r="H303" s="541">
        <f t="shared" si="52"/>
        <v>655394</v>
      </c>
      <c r="I303" s="542">
        <f t="shared" si="52"/>
        <v>442245</v>
      </c>
      <c r="J303" s="348">
        <f t="shared" si="52"/>
        <v>1445350</v>
      </c>
      <c r="K303" s="348">
        <f t="shared" si="52"/>
        <v>0</v>
      </c>
    </row>
    <row r="304" spans="1:13">
      <c r="A304" s="333">
        <v>9</v>
      </c>
      <c r="B304" s="332" t="s">
        <v>34</v>
      </c>
      <c r="D304" s="344"/>
      <c r="E304" s="196"/>
      <c r="F304" s="347">
        <f t="shared" ref="F304:K304" si="53">F303</f>
        <v>1445350</v>
      </c>
      <c r="G304" s="548">
        <f t="shared" si="53"/>
        <v>347711</v>
      </c>
      <c r="H304" s="539">
        <f t="shared" si="53"/>
        <v>655394</v>
      </c>
      <c r="I304" s="540">
        <f t="shared" si="53"/>
        <v>442245</v>
      </c>
      <c r="J304" s="347">
        <f t="shared" si="53"/>
        <v>1445350</v>
      </c>
      <c r="K304" s="347">
        <f t="shared" si="53"/>
        <v>0</v>
      </c>
    </row>
    <row r="305" spans="1:13">
      <c r="A305" s="333">
        <v>10</v>
      </c>
      <c r="D305" s="344"/>
      <c r="E305" s="196"/>
      <c r="G305" s="547"/>
      <c r="H305" s="537"/>
      <c r="I305" s="538"/>
    </row>
    <row r="306" spans="1:13">
      <c r="A306" s="333">
        <v>11</v>
      </c>
      <c r="B306" s="332" t="s">
        <v>35</v>
      </c>
      <c r="D306" s="344"/>
      <c r="E306" s="196"/>
      <c r="G306" s="547"/>
      <c r="H306" s="537"/>
      <c r="I306" s="538"/>
    </row>
    <row r="307" spans="1:13">
      <c r="A307" s="333">
        <v>12</v>
      </c>
      <c r="C307" s="332" t="str">
        <f>'FR-16(7)(v)-1 Functional'!C307</f>
        <v>INSURANCE GENERAL</v>
      </c>
      <c r="D307" s="344" t="str">
        <f>'FR-16(7)(v)-1 Functional'!D307</f>
        <v>OM39</v>
      </c>
      <c r="E307" s="196"/>
      <c r="F307" s="479">
        <f>'FR-16(7)(v)-8 TOT CLASS Alloc'!G307</f>
        <v>22330</v>
      </c>
      <c r="G307" s="548">
        <f>'FR-16(7)(v)-5 DISTR Dem Alloc'!G307</f>
        <v>3833</v>
      </c>
      <c r="H307" s="539">
        <f>'FR-16(7)(v)-3 PROD Comm Alloc'!G307</f>
        <v>11984</v>
      </c>
      <c r="I307" s="540">
        <f>'FR-16(7)(v)-6 DISTR Cust Alloc'!G307</f>
        <v>6513</v>
      </c>
      <c r="J307" s="347">
        <f>SUM(G307:I307)</f>
        <v>22330</v>
      </c>
      <c r="K307" s="347">
        <f>F307-J307</f>
        <v>0</v>
      </c>
      <c r="M307" s="335"/>
    </row>
    <row r="308" spans="1:13">
      <c r="A308" s="333">
        <v>13</v>
      </c>
      <c r="C308" s="332" t="str">
        <f>'FR-16(7)(v)-1 Functional'!C308</f>
        <v>EXCISE TAX</v>
      </c>
      <c r="D308" s="344" t="str">
        <f>'FR-16(7)(v)-1 Functional'!D308</f>
        <v>OM39</v>
      </c>
      <c r="E308" s="196"/>
      <c r="F308" s="479">
        <f>'FR-16(7)(v)-8 TOT CLASS Alloc'!G308</f>
        <v>0</v>
      </c>
      <c r="G308" s="548">
        <f>'FR-16(7)(v)-5 DISTR Dem Alloc'!G308</f>
        <v>0</v>
      </c>
      <c r="H308" s="539">
        <f>'FR-16(7)(v)-3 PROD Comm Alloc'!G308</f>
        <v>0</v>
      </c>
      <c r="I308" s="540">
        <f>'FR-16(7)(v)-6 DISTR Cust Alloc'!G308</f>
        <v>0</v>
      </c>
      <c r="J308" s="347">
        <f>SUM(G308:I308)</f>
        <v>0</v>
      </c>
      <c r="K308" s="347">
        <f>F308-J308</f>
        <v>0</v>
      </c>
      <c r="M308" s="335"/>
    </row>
    <row r="309" spans="1:13">
      <c r="A309" s="333">
        <v>14</v>
      </c>
      <c r="C309" s="332" t="str">
        <f>'FR-16(7)(v)-1 Functional'!C309</f>
        <v>GAS PURCHASE</v>
      </c>
      <c r="D309" s="344" t="str">
        <f>'FR-16(7)(v)-1 Functional'!D309</f>
        <v>K301</v>
      </c>
      <c r="E309" s="196"/>
      <c r="F309" s="479">
        <f>'FR-16(7)(v)-8 TOT CLASS Alloc'!G309</f>
        <v>0</v>
      </c>
      <c r="G309" s="548">
        <f>'FR-16(7)(v)-5 DISTR Dem Alloc'!G309</f>
        <v>0</v>
      </c>
      <c r="H309" s="539">
        <f>'FR-16(7)(v)-3 PROD Comm Alloc'!G309</f>
        <v>0</v>
      </c>
      <c r="I309" s="540">
        <f>'FR-16(7)(v)-6 DISTR Cust Alloc'!G309</f>
        <v>0</v>
      </c>
      <c r="J309" s="347">
        <f>SUM(G309:I309)</f>
        <v>0</v>
      </c>
      <c r="K309" s="347">
        <f>F309-J309</f>
        <v>0</v>
      </c>
      <c r="M309" s="335"/>
    </row>
    <row r="310" spans="1:13">
      <c r="A310" s="333">
        <v>15</v>
      </c>
      <c r="C310" s="339" t="str">
        <f>'FR-16(7)(v)-1 Functional'!C310</f>
        <v xml:space="preserve">  TOTAL PREPAYMENTS</v>
      </c>
      <c r="D310" s="344"/>
      <c r="E310" s="196"/>
      <c r="F310" s="579">
        <f t="shared" ref="F310:K310" si="54">SUM(F306:F309)</f>
        <v>22330</v>
      </c>
      <c r="G310" s="580">
        <f t="shared" si="54"/>
        <v>3833</v>
      </c>
      <c r="H310" s="581">
        <f t="shared" si="54"/>
        <v>11984</v>
      </c>
      <c r="I310" s="582">
        <f t="shared" si="54"/>
        <v>6513</v>
      </c>
      <c r="J310" s="579">
        <f t="shared" si="54"/>
        <v>22330</v>
      </c>
      <c r="K310" s="579">
        <f t="shared" si="54"/>
        <v>0</v>
      </c>
    </row>
    <row r="311" spans="1:13">
      <c r="A311" s="333">
        <v>16</v>
      </c>
      <c r="D311" s="344"/>
      <c r="E311" s="196"/>
      <c r="G311" s="547"/>
      <c r="H311" s="537"/>
      <c r="I311" s="538"/>
    </row>
    <row r="312" spans="1:13">
      <c r="A312" s="333">
        <v>17</v>
      </c>
      <c r="B312" s="332" t="s">
        <v>36</v>
      </c>
      <c r="D312" s="344"/>
      <c r="E312" s="196"/>
      <c r="F312" s="347">
        <f>IF(WorkingCap="No",0,ROUND((F433-F348-F353)/8,0))</f>
        <v>2173007</v>
      </c>
      <c r="G312" s="548">
        <f>IF(WorkingCap="No",0,ROUND((G433-G348-G353)/8,0))</f>
        <v>768185</v>
      </c>
      <c r="H312" s="539">
        <f>IF(WorkingCap="No",0,ROUND((H433-H348-H353)/8,0))</f>
        <v>99616</v>
      </c>
      <c r="I312" s="540">
        <f>IF(WorkingCap="No",0,ROUND((I433-I348-I353)/8,0))</f>
        <v>1305206</v>
      </c>
      <c r="J312" s="347">
        <f>SUM(G312:I312)</f>
        <v>2173007</v>
      </c>
      <c r="K312" s="347">
        <f>F312-J312</f>
        <v>0</v>
      </c>
    </row>
    <row r="313" spans="1:13">
      <c r="A313" s="333">
        <v>18</v>
      </c>
      <c r="B313" s="332" t="s">
        <v>37</v>
      </c>
      <c r="D313" s="344"/>
      <c r="E313" s="196"/>
      <c r="F313" s="347">
        <f t="shared" ref="F313:K313" si="55">F312</f>
        <v>2173007</v>
      </c>
      <c r="G313" s="548">
        <f t="shared" si="55"/>
        <v>768185</v>
      </c>
      <c r="H313" s="539">
        <f t="shared" si="55"/>
        <v>99616</v>
      </c>
      <c r="I313" s="540">
        <f t="shared" si="55"/>
        <v>1305206</v>
      </c>
      <c r="J313" s="347">
        <f t="shared" si="55"/>
        <v>2173007</v>
      </c>
      <c r="K313" s="347">
        <f t="shared" si="55"/>
        <v>0</v>
      </c>
    </row>
    <row r="314" spans="1:13">
      <c r="A314" s="333">
        <v>19</v>
      </c>
      <c r="D314" s="344"/>
      <c r="E314" s="196"/>
      <c r="G314" s="547"/>
      <c r="H314" s="537"/>
      <c r="I314" s="538"/>
    </row>
    <row r="315" spans="1:13">
      <c r="A315" s="333">
        <v>20</v>
      </c>
      <c r="B315" s="332" t="s">
        <v>38</v>
      </c>
      <c r="D315" s="344"/>
      <c r="E315" s="196"/>
      <c r="G315" s="547"/>
      <c r="H315" s="537"/>
      <c r="I315" s="538"/>
    </row>
    <row r="316" spans="1:13">
      <c r="A316" s="333">
        <v>21</v>
      </c>
      <c r="C316" s="618" t="str">
        <f>'FR-16(7)(v)-1 Functional'!C316</f>
        <v>GAS STORED UNDERGROUND</v>
      </c>
      <c r="D316" s="344" t="str">
        <f>'FR-16(7)(v)-1 Functional'!D316</f>
        <v>K301</v>
      </c>
      <c r="E316" s="196"/>
      <c r="F316" s="479">
        <f>'FR-16(7)(v)-8 TOT CLASS Alloc'!G316</f>
        <v>1499767</v>
      </c>
      <c r="G316" s="548">
        <f>'FR-16(7)(v)-5 DISTR Dem Alloc'!G316</f>
        <v>0</v>
      </c>
      <c r="H316" s="539">
        <f>'FR-16(7)(v)-3 PROD Comm Alloc'!G316</f>
        <v>1499767</v>
      </c>
      <c r="I316" s="540">
        <f>'FR-16(7)(v)-6 DISTR Cust Alloc'!G316</f>
        <v>0</v>
      </c>
      <c r="J316" s="347">
        <f>SUM(G316:I316)</f>
        <v>1499767</v>
      </c>
      <c r="K316" s="347">
        <f>F316-J316</f>
        <v>0</v>
      </c>
      <c r="M316" s="335"/>
    </row>
    <row r="317" spans="1:13">
      <c r="A317" s="333">
        <v>22</v>
      </c>
      <c r="C317" s="353" t="str">
        <f>'FR-16(7)(v)-1 Functional'!C317</f>
        <v>PIPP UNCOLLECTIBLES</v>
      </c>
      <c r="D317" s="344" t="str">
        <f>'FR-16(7)(v)-1 Functional'!D317</f>
        <v>K406</v>
      </c>
      <c r="E317" s="196"/>
      <c r="F317" s="479">
        <f>'FR-16(7)(v)-8 TOT CLASS Alloc'!G317</f>
        <v>0</v>
      </c>
      <c r="G317" s="548">
        <f>'FR-16(7)(v)-5 DISTR Dem Alloc'!G317</f>
        <v>0</v>
      </c>
      <c r="H317" s="539">
        <f>'FR-16(7)(v)-3 PROD Comm Alloc'!G317</f>
        <v>0</v>
      </c>
      <c r="I317" s="540">
        <f>'FR-16(7)(v)-6 DISTR Cust Alloc'!G317</f>
        <v>0</v>
      </c>
      <c r="J317" s="347">
        <f>SUM(G317:I317)</f>
        <v>0</v>
      </c>
      <c r="K317" s="347">
        <f>F317-J317</f>
        <v>0</v>
      </c>
      <c r="M317" s="335"/>
    </row>
    <row r="318" spans="1:13">
      <c r="A318" s="333">
        <v>23</v>
      </c>
      <c r="C318" s="511" t="str">
        <f>'FR-16(7)(v)-1 Functional'!C318</f>
        <v>RESERVED FOR FUTURE USE</v>
      </c>
      <c r="D318" s="344" t="str">
        <f>'FR-16(7)(v)-1 Functional'!D318</f>
        <v>D249</v>
      </c>
      <c r="E318" s="196"/>
      <c r="F318" s="479">
        <f>'FR-16(7)(v)-8 TOT CLASS Alloc'!G318</f>
        <v>0</v>
      </c>
      <c r="G318" s="548">
        <f>'FR-16(7)(v)-5 DISTR Dem Alloc'!G318</f>
        <v>0</v>
      </c>
      <c r="H318" s="539">
        <f>'FR-16(7)(v)-3 PROD Comm Alloc'!G318</f>
        <v>0</v>
      </c>
      <c r="I318" s="540">
        <f>'FR-16(7)(v)-6 DISTR Cust Alloc'!G318</f>
        <v>0</v>
      </c>
      <c r="J318" s="347">
        <f>SUM(G318:I318)</f>
        <v>0</v>
      </c>
      <c r="K318" s="347">
        <f>F318-J318</f>
        <v>0</v>
      </c>
      <c r="M318" s="335"/>
    </row>
    <row r="319" spans="1:13">
      <c r="A319" s="333">
        <v>24</v>
      </c>
      <c r="C319" s="332" t="str">
        <f>'FR-16(7)(v)-1 Functional'!C319</f>
        <v xml:space="preserve">  TOTAL MISC WORK CAPITAL</v>
      </c>
      <c r="D319" s="344"/>
      <c r="E319" s="196"/>
      <c r="F319" s="348">
        <f t="shared" ref="F319:K319" si="56">SUM(F315:F318)</f>
        <v>1499767</v>
      </c>
      <c r="G319" s="549">
        <f t="shared" si="56"/>
        <v>0</v>
      </c>
      <c r="H319" s="541">
        <f t="shared" si="56"/>
        <v>1499767</v>
      </c>
      <c r="I319" s="542">
        <f t="shared" si="56"/>
        <v>0</v>
      </c>
      <c r="J319" s="348">
        <f t="shared" si="56"/>
        <v>1499767</v>
      </c>
      <c r="K319" s="348">
        <f t="shared" si="56"/>
        <v>0</v>
      </c>
    </row>
    <row r="320" spans="1:13">
      <c r="A320" s="333">
        <v>25</v>
      </c>
      <c r="D320" s="344"/>
      <c r="E320" s="196"/>
      <c r="G320" s="547"/>
      <c r="H320" s="537"/>
      <c r="I320" s="538"/>
    </row>
    <row r="321" spans="1:13">
      <c r="A321" s="333">
        <v>26</v>
      </c>
      <c r="B321" s="332" t="s">
        <v>39</v>
      </c>
      <c r="D321" s="344"/>
      <c r="E321" s="196"/>
      <c r="F321" s="347">
        <f t="shared" ref="F321:K321" si="57">F304+F310+F313+F319</f>
        <v>5140454</v>
      </c>
      <c r="G321" s="548">
        <f t="shared" si="57"/>
        <v>1119729</v>
      </c>
      <c r="H321" s="539">
        <f t="shared" si="57"/>
        <v>2266761</v>
      </c>
      <c r="I321" s="540">
        <f t="shared" si="57"/>
        <v>1753964</v>
      </c>
      <c r="J321" s="347">
        <f t="shared" si="57"/>
        <v>5140454</v>
      </c>
      <c r="K321" s="347">
        <f t="shared" si="57"/>
        <v>0</v>
      </c>
    </row>
    <row r="322" spans="1:13">
      <c r="A322" s="333">
        <v>27</v>
      </c>
      <c r="B322" s="332" t="s">
        <v>40</v>
      </c>
      <c r="D322" s="344"/>
      <c r="E322" s="196"/>
      <c r="G322" s="547"/>
      <c r="H322" s="537"/>
      <c r="I322" s="538"/>
    </row>
    <row r="323" spans="1:13">
      <c r="A323" s="333">
        <v>28</v>
      </c>
      <c r="C323" s="332" t="str">
        <f>'FR-16(7)(v)-1 Functional'!C323</f>
        <v>TOTAL ACCUMULATED DEFERRED INCOME TAXES</v>
      </c>
      <c r="D323" s="344"/>
      <c r="E323" s="196"/>
      <c r="F323" s="347">
        <f t="shared" ref="F323:K323" si="58">-F238</f>
        <v>-68753980</v>
      </c>
      <c r="G323" s="548">
        <f t="shared" si="58"/>
        <v>-28146696</v>
      </c>
      <c r="H323" s="539">
        <f t="shared" si="58"/>
        <v>-884301</v>
      </c>
      <c r="I323" s="540">
        <f t="shared" si="58"/>
        <v>-39722983</v>
      </c>
      <c r="J323" s="347">
        <f t="shared" si="58"/>
        <v>-68753980</v>
      </c>
      <c r="K323" s="347">
        <f t="shared" si="58"/>
        <v>0</v>
      </c>
      <c r="M323" s="335"/>
    </row>
    <row r="324" spans="1:13">
      <c r="A324" s="333">
        <v>29</v>
      </c>
      <c r="C324" s="332" t="str">
        <f>'FR-16(7)(v)-1 Functional'!C324</f>
        <v>TOTAL OTHER ACCUMULATED DEFERRED INCOME TAXES</v>
      </c>
      <c r="D324" s="344"/>
      <c r="E324" s="196"/>
      <c r="F324" s="347">
        <f t="shared" ref="F324:K324" si="59">F283</f>
        <v>1247807</v>
      </c>
      <c r="G324" s="548">
        <f t="shared" si="59"/>
        <v>242326</v>
      </c>
      <c r="H324" s="539">
        <f t="shared" si="59"/>
        <v>434776</v>
      </c>
      <c r="I324" s="540">
        <f t="shared" si="59"/>
        <v>570705</v>
      </c>
      <c r="J324" s="347">
        <f t="shared" si="59"/>
        <v>1247807</v>
      </c>
      <c r="K324" s="347">
        <f t="shared" si="59"/>
        <v>0</v>
      </c>
      <c r="M324" s="335"/>
    </row>
    <row r="325" spans="1:13">
      <c r="A325" s="333">
        <v>30</v>
      </c>
      <c r="C325" s="359" t="str">
        <f>'FR-16(7)(v)-1 Functional'!C325</f>
        <v>TOTAL WORKING CAPITAL</v>
      </c>
      <c r="D325" s="344"/>
      <c r="E325" s="196"/>
      <c r="F325" s="347">
        <f t="shared" ref="F325:K325" si="60">F321</f>
        <v>5140454</v>
      </c>
      <c r="G325" s="548">
        <f t="shared" si="60"/>
        <v>1119729</v>
      </c>
      <c r="H325" s="539">
        <f t="shared" si="60"/>
        <v>2266761</v>
      </c>
      <c r="I325" s="540">
        <f t="shared" si="60"/>
        <v>1753964</v>
      </c>
      <c r="J325" s="347">
        <f t="shared" si="60"/>
        <v>5140454</v>
      </c>
      <c r="K325" s="347">
        <f t="shared" si="60"/>
        <v>0</v>
      </c>
      <c r="M325" s="335"/>
    </row>
    <row r="326" spans="1:13">
      <c r="A326" s="333">
        <v>31</v>
      </c>
      <c r="C326" s="332" t="str">
        <f>'FR-16(7)(v)-1 Functional'!C326</f>
        <v xml:space="preserve">  TOTAL RATE BASE ADJUSTMENTS</v>
      </c>
      <c r="D326" s="344"/>
      <c r="E326" s="196"/>
      <c r="F326" s="348">
        <f t="shared" ref="F326:K326" si="61">SUM(F322:F325)</f>
        <v>-62365719</v>
      </c>
      <c r="G326" s="549">
        <f t="shared" si="61"/>
        <v>-26784641</v>
      </c>
      <c r="H326" s="541">
        <f t="shared" si="61"/>
        <v>1817236</v>
      </c>
      <c r="I326" s="542">
        <f t="shared" si="61"/>
        <v>-37398314</v>
      </c>
      <c r="J326" s="348">
        <f>SUM(J322:J325)</f>
        <v>-62365719</v>
      </c>
      <c r="K326" s="348">
        <f t="shared" si="61"/>
        <v>0</v>
      </c>
    </row>
    <row r="327" spans="1:13">
      <c r="A327" s="333">
        <v>32</v>
      </c>
      <c r="D327" s="344"/>
      <c r="E327" s="196"/>
      <c r="G327" s="547"/>
      <c r="H327" s="537"/>
      <c r="I327" s="538"/>
    </row>
    <row r="328" spans="1:13">
      <c r="A328" s="333">
        <v>33</v>
      </c>
      <c r="B328" s="332" t="s">
        <v>41</v>
      </c>
      <c r="D328" s="344"/>
      <c r="E328" s="196"/>
      <c r="G328" s="547"/>
      <c r="H328" s="537"/>
      <c r="I328" s="538"/>
    </row>
    <row r="329" spans="1:13">
      <c r="A329" s="333">
        <v>34</v>
      </c>
      <c r="C329" s="332" t="str">
        <f>'FR-16(7)(v)-1 Functional'!C329</f>
        <v>NET GAS PLANT IN SERVICE</v>
      </c>
      <c r="D329" s="344"/>
      <c r="E329" s="196"/>
      <c r="F329" s="347">
        <f t="shared" ref="F329:K329" si="62">F191</f>
        <v>278767702</v>
      </c>
      <c r="G329" s="548">
        <f t="shared" si="62"/>
        <v>122007455</v>
      </c>
      <c r="H329" s="539">
        <f t="shared" si="62"/>
        <v>1584202</v>
      </c>
      <c r="I329" s="540">
        <f t="shared" si="62"/>
        <v>155176045</v>
      </c>
      <c r="J329" s="347">
        <f t="shared" si="62"/>
        <v>278767702</v>
      </c>
      <c r="K329" s="347">
        <f t="shared" si="62"/>
        <v>0</v>
      </c>
    </row>
    <row r="330" spans="1:13">
      <c r="A330" s="333">
        <v>35</v>
      </c>
      <c r="C330" s="359" t="str">
        <f>'FR-16(7)(v)-1 Functional'!C330</f>
        <v>TOTAL RATE BASE ADJUSTMENTS</v>
      </c>
      <c r="D330" s="344"/>
      <c r="E330" s="196"/>
      <c r="F330" s="347">
        <f t="shared" ref="F330:K330" si="63">F326</f>
        <v>-62365719</v>
      </c>
      <c r="G330" s="548">
        <f t="shared" si="63"/>
        <v>-26784641</v>
      </c>
      <c r="H330" s="539">
        <f t="shared" si="63"/>
        <v>1817236</v>
      </c>
      <c r="I330" s="540">
        <f t="shared" si="63"/>
        <v>-37398314</v>
      </c>
      <c r="J330" s="347">
        <f t="shared" si="63"/>
        <v>-62365719</v>
      </c>
      <c r="K330" s="347">
        <f t="shared" si="63"/>
        <v>0</v>
      </c>
    </row>
    <row r="331" spans="1:13">
      <c r="A331" s="333">
        <v>36</v>
      </c>
      <c r="C331" s="332" t="str">
        <f>'FR-16(7)(v)-1 Functional'!C331</f>
        <v xml:space="preserve">  TOTAL RATE BASE</v>
      </c>
      <c r="D331" s="344"/>
      <c r="E331" s="196"/>
      <c r="F331" s="348">
        <f t="shared" ref="F331:K331" si="64">SUM(F328:F330)</f>
        <v>216401983</v>
      </c>
      <c r="G331" s="549">
        <f t="shared" si="64"/>
        <v>95222814</v>
      </c>
      <c r="H331" s="541">
        <f t="shared" si="64"/>
        <v>3401438</v>
      </c>
      <c r="I331" s="542">
        <f t="shared" si="64"/>
        <v>117777731</v>
      </c>
      <c r="J331" s="348">
        <f t="shared" si="64"/>
        <v>216401983</v>
      </c>
      <c r="K331" s="348">
        <f t="shared" si="64"/>
        <v>0</v>
      </c>
    </row>
    <row r="332" spans="1:13">
      <c r="A332" s="333">
        <v>37</v>
      </c>
      <c r="D332" s="344"/>
      <c r="E332" s="196"/>
      <c r="G332" s="547"/>
      <c r="H332" s="537"/>
      <c r="I332" s="538"/>
    </row>
    <row r="333" spans="1:13">
      <c r="A333" s="333">
        <v>38</v>
      </c>
      <c r="B333" s="332" t="s">
        <v>42</v>
      </c>
      <c r="D333" s="344"/>
      <c r="E333" s="196"/>
      <c r="F333" s="350">
        <f>$F$688</f>
        <v>7.1809999999999999E-2</v>
      </c>
      <c r="G333" s="1278">
        <f>F688</f>
        <v>7.1809999999999999E-2</v>
      </c>
      <c r="H333" s="1279">
        <f>F688</f>
        <v>7.1809999999999999E-2</v>
      </c>
      <c r="I333" s="1280">
        <f>F688</f>
        <v>7.1809999999999999E-2</v>
      </c>
      <c r="J333" s="350">
        <f>F688</f>
        <v>7.1809999999999999E-2</v>
      </c>
      <c r="K333" s="350">
        <f>'FR-16(7)(v)-1 Functional'!F688</f>
        <v>7.1809999999999999E-2</v>
      </c>
    </row>
    <row r="334" spans="1:13">
      <c r="A334" s="333">
        <v>39</v>
      </c>
      <c r="B334" s="332" t="s">
        <v>43</v>
      </c>
      <c r="D334" s="344"/>
      <c r="E334" s="196"/>
      <c r="F334" s="347">
        <f>ROUND(F333*F331,0)</f>
        <v>15539826</v>
      </c>
      <c r="G334" s="554">
        <f>ROUND(G331*G333,0)</f>
        <v>6837950</v>
      </c>
      <c r="H334" s="555">
        <f>ROUND(H331*H333,0)</f>
        <v>244257</v>
      </c>
      <c r="I334" s="556">
        <f>ROUND(I331*I333,0)</f>
        <v>8457619</v>
      </c>
      <c r="J334" s="347">
        <f>SUM(G334:I334)</f>
        <v>15539826</v>
      </c>
      <c r="K334" s="347">
        <f>ROUND(K331*K333,0)</f>
        <v>0</v>
      </c>
    </row>
    <row r="335" spans="1:13">
      <c r="B335" s="343"/>
      <c r="C335" s="196"/>
      <c r="D335" s="344"/>
      <c r="E335" s="196"/>
      <c r="F335" s="196"/>
      <c r="G335" s="196"/>
      <c r="H335" s="196"/>
      <c r="I335" s="196"/>
      <c r="J335" s="196"/>
      <c r="K335" s="196"/>
    </row>
    <row r="336" spans="1:13">
      <c r="A336" s="343" t="str">
        <f>co_name</f>
        <v>DUKE ENERGY KENTUCKY, INC.</v>
      </c>
      <c r="C336" s="196"/>
      <c r="D336" s="344"/>
      <c r="E336" s="196"/>
      <c r="F336" s="196"/>
      <c r="G336" s="196"/>
      <c r="H336" s="196"/>
      <c r="I336" s="196"/>
      <c r="J336" s="196" t="str">
        <f>$J$1</f>
        <v>FR-16(7)(v)-9</v>
      </c>
      <c r="K336" s="196"/>
    </row>
    <row r="337" spans="1:11">
      <c r="A337" s="343" t="str">
        <f>$A$2</f>
        <v>RESIDENTIAL CLASSIFIED - GAS COST OF SERVICE</v>
      </c>
      <c r="C337" s="196"/>
      <c r="D337" s="344"/>
      <c r="E337" s="196"/>
      <c r="F337" s="196"/>
      <c r="G337" s="196"/>
      <c r="H337" s="196"/>
      <c r="I337" s="196"/>
      <c r="J337" s="196" t="str">
        <f>$J$2</f>
        <v>WITNESS RESPONSIBLE:</v>
      </c>
      <c r="K337" s="196"/>
    </row>
    <row r="338" spans="1:11">
      <c r="A338" s="343" t="str">
        <f>case_name</f>
        <v>CASE NO: 2018-00261</v>
      </c>
      <c r="C338" s="196"/>
      <c r="D338" s="344"/>
      <c r="E338" s="196"/>
      <c r="F338" s="196"/>
      <c r="G338" s="196"/>
      <c r="H338" s="196"/>
      <c r="I338" s="196"/>
      <c r="J338" s="196" t="str">
        <f>Witness</f>
        <v>JAMES E. ZIOLKOWSKI</v>
      </c>
      <c r="K338" s="196"/>
    </row>
    <row r="339" spans="1:11">
      <c r="A339" s="343" t="str">
        <f>data_filing</f>
        <v>DATA: 12 MONTH FORECASTED PERIOD</v>
      </c>
      <c r="C339" s="196"/>
      <c r="D339" s="344"/>
      <c r="E339" s="196"/>
      <c r="F339" s="196"/>
      <c r="G339" s="196"/>
      <c r="H339" s="196"/>
      <c r="I339" s="196"/>
      <c r="J339" s="196" t="str">
        <f>"PAGE "&amp;Pages2-7&amp;" OF "&amp;Pages2</f>
        <v>PAGE 8 OF 15</v>
      </c>
      <c r="K339" s="196"/>
    </row>
    <row r="340" spans="1:11">
      <c r="A340" s="343" t="str">
        <f>type</f>
        <v xml:space="preserve">TYPE OF FILING: "X" ORIGINAL   UPDATED    REVISED  </v>
      </c>
      <c r="C340" s="196"/>
      <c r="D340" s="344"/>
      <c r="E340" s="196"/>
      <c r="F340" s="196"/>
      <c r="G340" s="196"/>
      <c r="H340" s="196"/>
      <c r="I340" s="196"/>
      <c r="J340" s="196"/>
      <c r="K340" s="196"/>
    </row>
    <row r="341" spans="1:11">
      <c r="B341" s="343"/>
      <c r="C341" s="196"/>
      <c r="D341" s="344"/>
      <c r="E341" s="196"/>
      <c r="F341" s="196"/>
      <c r="G341" s="196"/>
      <c r="H341" s="196"/>
      <c r="I341" s="196"/>
      <c r="J341" s="196"/>
      <c r="K341" s="196"/>
    </row>
    <row r="342" spans="1:11">
      <c r="B342" s="343"/>
      <c r="C342" s="196"/>
      <c r="D342" s="344"/>
      <c r="E342" s="196"/>
      <c r="F342" s="196"/>
      <c r="G342" s="196"/>
      <c r="H342" s="196"/>
      <c r="I342" s="196"/>
      <c r="J342" s="196"/>
      <c r="K342" s="196"/>
    </row>
    <row r="343" spans="1:11">
      <c r="A343" s="344" t="s">
        <v>914</v>
      </c>
      <c r="B343" s="196"/>
      <c r="C343" s="196"/>
      <c r="D343" s="344"/>
      <c r="E343" s="196"/>
      <c r="F343" s="344" t="s">
        <v>229</v>
      </c>
      <c r="G343" s="545" t="s">
        <v>1005</v>
      </c>
      <c r="H343" s="533"/>
      <c r="I343" s="534"/>
      <c r="J343" s="344" t="s">
        <v>229</v>
      </c>
      <c r="K343" s="344" t="s">
        <v>342</v>
      </c>
    </row>
    <row r="344" spans="1:11">
      <c r="A344" s="346" t="s">
        <v>915</v>
      </c>
      <c r="B344" s="345" t="s">
        <v>44</v>
      </c>
      <c r="C344" s="345"/>
      <c r="D344" s="346" t="s">
        <v>337</v>
      </c>
      <c r="E344" s="345"/>
      <c r="F344" s="346" t="str">
        <f>$F$9</f>
        <v>RESIDENTIAL</v>
      </c>
      <c r="G344" s="546" t="s">
        <v>847</v>
      </c>
      <c r="H344" s="535" t="s">
        <v>848</v>
      </c>
      <c r="I344" s="536" t="s">
        <v>849</v>
      </c>
      <c r="J344" s="346" t="s">
        <v>341</v>
      </c>
      <c r="K344" s="346" t="s">
        <v>340</v>
      </c>
    </row>
    <row r="345" spans="1:11">
      <c r="C345" s="578" t="s">
        <v>348</v>
      </c>
      <c r="D345" s="344"/>
      <c r="E345" s="196"/>
      <c r="G345" s="800">
        <f>$G$10</f>
        <v>3</v>
      </c>
      <c r="H345" s="801">
        <f>$H$10</f>
        <v>4</v>
      </c>
      <c r="I345" s="802">
        <f>$I$10</f>
        <v>5</v>
      </c>
    </row>
    <row r="346" spans="1:11">
      <c r="A346" s="333">
        <v>1</v>
      </c>
      <c r="B346" s="332" t="s">
        <v>45</v>
      </c>
      <c r="D346" s="344"/>
      <c r="E346" s="196"/>
      <c r="G346" s="547"/>
      <c r="H346" s="537"/>
      <c r="I346" s="538"/>
    </row>
    <row r="347" spans="1:11">
      <c r="A347" s="333">
        <v>2</v>
      </c>
      <c r="B347" s="332" t="s">
        <v>46</v>
      </c>
      <c r="D347" s="344"/>
      <c r="E347" s="196"/>
      <c r="G347" s="547"/>
      <c r="H347" s="537"/>
      <c r="I347" s="538"/>
    </row>
    <row r="348" spans="1:11">
      <c r="A348" s="333">
        <v>3</v>
      </c>
      <c r="C348" s="332" t="str">
        <f>'FR-16(7)(v)-1 Functional'!C348</f>
        <v>ANNUALIZED GAS COST</v>
      </c>
      <c r="D348" s="344" t="str">
        <f>'FR-16(7)(v)-1 Functional'!D348</f>
        <v>K301</v>
      </c>
      <c r="E348" s="196"/>
      <c r="F348" s="479">
        <f>'FR-16(7)(v)-8 TOT CLASS Alloc'!G348</f>
        <v>18416661</v>
      </c>
      <c r="G348" s="548">
        <f>'FR-16(7)(v)-5 DISTR Dem Alloc'!G348</f>
        <v>0</v>
      </c>
      <c r="H348" s="539">
        <f>'FR-16(7)(v)-3 PROD Comm Alloc'!G348</f>
        <v>18416661</v>
      </c>
      <c r="I348" s="540">
        <f>'FR-16(7)(v)-6 DISTR Cust Alloc'!G348</f>
        <v>0</v>
      </c>
      <c r="J348" s="347">
        <f>SUM(G348:I348)</f>
        <v>18416661</v>
      </c>
      <c r="K348" s="347">
        <f>F348-J348</f>
        <v>0</v>
      </c>
    </row>
    <row r="349" spans="1:11">
      <c r="A349" s="333">
        <v>4</v>
      </c>
      <c r="C349" s="359" t="str">
        <f>'FR-16(7)(v)-1 Functional'!C349</f>
        <v>OTHER ASSOCIATED COST</v>
      </c>
      <c r="D349" s="344" t="str">
        <f>'FR-16(7)(v)-1 Functional'!D349</f>
        <v>K300</v>
      </c>
      <c r="E349" s="196"/>
      <c r="F349" s="479">
        <f>'FR-16(7)(v)-8 TOT CLASS Alloc'!G349</f>
        <v>429747</v>
      </c>
      <c r="G349" s="548">
        <f>'FR-16(7)(v)-5 DISTR Dem Alloc'!G349</f>
        <v>0</v>
      </c>
      <c r="H349" s="539">
        <f>'FR-16(7)(v)-3 PROD Comm Alloc'!G349</f>
        <v>429747</v>
      </c>
      <c r="I349" s="540">
        <f>'FR-16(7)(v)-6 DISTR Cust Alloc'!G349</f>
        <v>0</v>
      </c>
      <c r="J349" s="347">
        <f>SUM(G349:I349)</f>
        <v>429747</v>
      </c>
      <c r="K349" s="347">
        <f>F349-J349</f>
        <v>0</v>
      </c>
    </row>
    <row r="350" spans="1:11">
      <c r="A350" s="333">
        <v>5</v>
      </c>
      <c r="C350" s="332" t="str">
        <f>'FR-16(7)(v)-1 Functional'!C350</f>
        <v xml:space="preserve">  TOTAL COMMODITY RELATED</v>
      </c>
      <c r="D350" s="344"/>
      <c r="E350" s="196"/>
      <c r="F350" s="348">
        <f t="shared" ref="F350:K350" si="65">SUM(F348:F349)</f>
        <v>18846408</v>
      </c>
      <c r="G350" s="549">
        <f t="shared" si="65"/>
        <v>0</v>
      </c>
      <c r="H350" s="541">
        <f t="shared" si="65"/>
        <v>18846408</v>
      </c>
      <c r="I350" s="542">
        <f t="shared" si="65"/>
        <v>0</v>
      </c>
      <c r="J350" s="348">
        <f t="shared" si="65"/>
        <v>18846408</v>
      </c>
      <c r="K350" s="348">
        <f t="shared" si="65"/>
        <v>0</v>
      </c>
    </row>
    <row r="351" spans="1:11">
      <c r="A351" s="333">
        <v>6</v>
      </c>
      <c r="D351" s="344"/>
      <c r="E351" s="196"/>
      <c r="G351" s="547"/>
      <c r="H351" s="537"/>
      <c r="I351" s="538"/>
    </row>
    <row r="352" spans="1:11">
      <c r="A352" s="333">
        <v>7</v>
      </c>
      <c r="B352" s="359" t="s">
        <v>47</v>
      </c>
      <c r="C352" s="359"/>
      <c r="D352" s="344"/>
      <c r="E352" s="196"/>
      <c r="F352" s="347"/>
      <c r="G352" s="548"/>
      <c r="H352" s="539"/>
      <c r="I352" s="540"/>
      <c r="J352" s="347"/>
      <c r="K352" s="347"/>
    </row>
    <row r="353" spans="1:11">
      <c r="A353" s="333">
        <v>8</v>
      </c>
      <c r="C353" s="332" t="str">
        <f>'FR-16(7)(v)-1 Functional'!C353</f>
        <v>ANNUALIZED GAS COST - DEMAND</v>
      </c>
      <c r="D353" s="344" t="s">
        <v>290</v>
      </c>
      <c r="E353" s="196"/>
      <c r="F353" s="479">
        <f>'FR-16(7)(v)-8 TOT CLASS Alloc'!G353</f>
        <v>0</v>
      </c>
      <c r="G353" s="548">
        <f>'FR-16(7)(v)-5 DISTR Dem Alloc'!G353</f>
        <v>0</v>
      </c>
      <c r="H353" s="539">
        <f>'FR-16(7)(v)-3 PROD Comm Alloc'!G353</f>
        <v>0</v>
      </c>
      <c r="I353" s="540">
        <f>'FR-16(7)(v)-6 DISTR Cust Alloc'!G353</f>
        <v>0</v>
      </c>
      <c r="J353" s="347">
        <f>SUM(G353:I353)</f>
        <v>0</v>
      </c>
      <c r="K353" s="347">
        <f>F353-J353</f>
        <v>0</v>
      </c>
    </row>
    <row r="354" spans="1:11">
      <c r="A354" s="333">
        <v>9</v>
      </c>
      <c r="C354" s="332" t="str">
        <f>'FR-16(7)(v)-1 Functional'!C354</f>
        <v xml:space="preserve">  TOTAL DEMAND RELATED</v>
      </c>
      <c r="D354" s="344"/>
      <c r="E354" s="196"/>
      <c r="F354" s="348">
        <f t="shared" ref="F354:K354" si="66">SUM(F352:F353)</f>
        <v>0</v>
      </c>
      <c r="G354" s="549">
        <f t="shared" si="66"/>
        <v>0</v>
      </c>
      <c r="H354" s="541">
        <f t="shared" si="66"/>
        <v>0</v>
      </c>
      <c r="I354" s="542">
        <f t="shared" si="66"/>
        <v>0</v>
      </c>
      <c r="J354" s="348">
        <f t="shared" si="66"/>
        <v>0</v>
      </c>
      <c r="K354" s="348">
        <f t="shared" si="66"/>
        <v>0</v>
      </c>
    </row>
    <row r="355" spans="1:11">
      <c r="A355" s="333">
        <v>10</v>
      </c>
      <c r="D355" s="344"/>
      <c r="E355" s="196"/>
      <c r="G355" s="547"/>
      <c r="H355" s="537"/>
      <c r="I355" s="538"/>
    </row>
    <row r="356" spans="1:11">
      <c r="A356" s="333">
        <v>11</v>
      </c>
      <c r="B356" s="332" t="s">
        <v>1010</v>
      </c>
      <c r="D356" s="344"/>
      <c r="E356" s="196"/>
      <c r="G356" s="547"/>
      <c r="H356" s="537"/>
      <c r="I356" s="538"/>
    </row>
    <row r="357" spans="1:11">
      <c r="A357" s="333">
        <v>12</v>
      </c>
      <c r="C357" s="359" t="str">
        <f>'FR-16(7)(v)-1 Functional'!C357</f>
        <v>PRODUCTION EXPENSES</v>
      </c>
      <c r="D357" s="344" t="str">
        <f>'FR-16(7)(v)-1 Functional'!D357</f>
        <v>K201</v>
      </c>
      <c r="E357" s="196"/>
      <c r="F357" s="479">
        <f>'FR-16(7)(v)-8 TOT CLASS Alloc'!G357</f>
        <v>0</v>
      </c>
      <c r="G357" s="548">
        <f>'FR-16(7)(v)-5 DISTR Dem Alloc'!G357</f>
        <v>0</v>
      </c>
      <c r="H357" s="539">
        <f>'FR-16(7)(v)-3 PROD Comm Alloc'!G357</f>
        <v>0</v>
      </c>
      <c r="I357" s="540">
        <f>'FR-16(7)(v)-6 DISTR Cust Alloc'!G357</f>
        <v>0</v>
      </c>
      <c r="J357" s="347">
        <f>SUM(G357:I357)</f>
        <v>0</v>
      </c>
      <c r="K357" s="347">
        <f>F357-J357</f>
        <v>0</v>
      </c>
    </row>
    <row r="358" spans="1:11">
      <c r="A358" s="333">
        <v>13</v>
      </c>
      <c r="C358" s="332" t="str">
        <f>'FR-16(7)(v)-1 Functional'!C358</f>
        <v xml:space="preserve">  TOTAL DEM REL &amp; OTH PROD O&amp;M </v>
      </c>
      <c r="D358" s="344"/>
      <c r="E358" s="196"/>
      <c r="F358" s="348">
        <f t="shared" ref="F358:K358" si="67">SUM(F356:F357)</f>
        <v>0</v>
      </c>
      <c r="G358" s="549">
        <f t="shared" si="67"/>
        <v>0</v>
      </c>
      <c r="H358" s="541">
        <f t="shared" si="67"/>
        <v>0</v>
      </c>
      <c r="I358" s="542">
        <f t="shared" si="67"/>
        <v>0</v>
      </c>
      <c r="J358" s="348">
        <f t="shared" si="67"/>
        <v>0</v>
      </c>
      <c r="K358" s="348">
        <f t="shared" si="67"/>
        <v>0</v>
      </c>
    </row>
    <row r="359" spans="1:11">
      <c r="A359" s="333">
        <v>14</v>
      </c>
      <c r="D359" s="344"/>
      <c r="E359" s="196"/>
      <c r="F359" s="347"/>
      <c r="G359" s="548"/>
      <c r="H359" s="539"/>
      <c r="I359" s="540"/>
      <c r="J359" s="347"/>
      <c r="K359" s="347"/>
    </row>
    <row r="360" spans="1:11">
      <c r="A360" s="333">
        <v>15</v>
      </c>
      <c r="B360" s="332" t="s">
        <v>48</v>
      </c>
      <c r="D360" s="344"/>
      <c r="E360" s="196" t="s">
        <v>343</v>
      </c>
      <c r="F360" s="347">
        <f t="shared" ref="F360:K360" si="68">F358+F354+F350</f>
        <v>18846408</v>
      </c>
      <c r="G360" s="548">
        <f t="shared" si="68"/>
        <v>0</v>
      </c>
      <c r="H360" s="539">
        <f t="shared" si="68"/>
        <v>18846408</v>
      </c>
      <c r="I360" s="540">
        <f t="shared" si="68"/>
        <v>0</v>
      </c>
      <c r="J360" s="347">
        <f t="shared" si="68"/>
        <v>18846408</v>
      </c>
      <c r="K360" s="347">
        <f t="shared" si="68"/>
        <v>0</v>
      </c>
    </row>
    <row r="361" spans="1:11">
      <c r="A361" s="333">
        <v>16</v>
      </c>
      <c r="D361" s="344"/>
      <c r="E361" s="196"/>
      <c r="G361" s="547"/>
      <c r="H361" s="537"/>
      <c r="I361" s="538"/>
    </row>
    <row r="362" spans="1:11">
      <c r="A362" s="333">
        <v>17</v>
      </c>
      <c r="B362" s="332" t="s">
        <v>49</v>
      </c>
      <c r="D362" s="344"/>
      <c r="E362" s="196"/>
      <c r="G362" s="547"/>
      <c r="H362" s="537"/>
      <c r="I362" s="538"/>
    </row>
    <row r="363" spans="1:11">
      <c r="A363" s="333">
        <v>18</v>
      </c>
      <c r="C363" s="359" t="str">
        <f>'FR-16(7)(v)-1 Functional'!C363</f>
        <v>TRANSMISSION O &amp; M</v>
      </c>
      <c r="D363" s="344" t="s">
        <v>343</v>
      </c>
      <c r="E363" s="196"/>
      <c r="F363" s="477"/>
      <c r="G363" s="548"/>
      <c r="H363" s="539"/>
      <c r="I363" s="540"/>
      <c r="J363" s="347"/>
      <c r="K363" s="347"/>
    </row>
    <row r="364" spans="1:11">
      <c r="A364" s="333">
        <v>19</v>
      </c>
      <c r="C364" s="332" t="str">
        <f>'FR-16(7)(v)-1 Functional'!C364</f>
        <v xml:space="preserve">  TOTAL TRANSMISSION O &amp; M</v>
      </c>
      <c r="D364" s="344"/>
      <c r="E364" s="196"/>
      <c r="F364" s="348">
        <f t="shared" ref="F364:K364" si="69">SUM(F363)</f>
        <v>0</v>
      </c>
      <c r="G364" s="549">
        <f t="shared" si="69"/>
        <v>0</v>
      </c>
      <c r="H364" s="541">
        <f t="shared" si="69"/>
        <v>0</v>
      </c>
      <c r="I364" s="542">
        <f t="shared" si="69"/>
        <v>0</v>
      </c>
      <c r="J364" s="348">
        <f t="shared" si="69"/>
        <v>0</v>
      </c>
      <c r="K364" s="348">
        <f t="shared" si="69"/>
        <v>0</v>
      </c>
    </row>
    <row r="365" spans="1:11">
      <c r="A365" s="333">
        <v>20</v>
      </c>
      <c r="D365" s="344"/>
      <c r="E365" s="196"/>
      <c r="G365" s="547"/>
      <c r="H365" s="537"/>
      <c r="I365" s="538"/>
    </row>
    <row r="366" spans="1:11">
      <c r="A366" s="333">
        <v>21</v>
      </c>
      <c r="B366" s="332" t="s">
        <v>50</v>
      </c>
      <c r="D366" s="344"/>
      <c r="E366" s="196"/>
      <c r="G366" s="547"/>
      <c r="H366" s="537"/>
      <c r="I366" s="538"/>
    </row>
    <row r="367" spans="1:11">
      <c r="A367" s="333">
        <v>22</v>
      </c>
      <c r="C367" s="332" t="str">
        <f>'FR-16(7)(v)-1 Functional'!C367</f>
        <v>LOAD DISPATCHING</v>
      </c>
      <c r="D367" s="344" t="str">
        <f>'FR-16(7)(v)-1 Functional'!D367</f>
        <v>K203</v>
      </c>
      <c r="E367" s="196"/>
      <c r="F367" s="479">
        <f>'FR-16(7)(v)-8 TOT CLASS Alloc'!G367</f>
        <v>104651</v>
      </c>
      <c r="G367" s="548">
        <f>'FR-16(7)(v)-5 DISTR Dem Alloc'!G367</f>
        <v>104651</v>
      </c>
      <c r="H367" s="539">
        <f>'FR-16(7)(v)-3 PROD Comm Alloc'!G367</f>
        <v>0</v>
      </c>
      <c r="I367" s="540">
        <f>'FR-16(7)(v)-6 DISTR Cust Alloc'!G367</f>
        <v>0</v>
      </c>
      <c r="J367" s="347">
        <f t="shared" ref="J367:J377" si="70">SUM(G367:I367)</f>
        <v>104651</v>
      </c>
      <c r="K367" s="347">
        <f t="shared" ref="K367:K377" si="71">F367-J367</f>
        <v>0</v>
      </c>
    </row>
    <row r="368" spans="1:11">
      <c r="A368" s="333">
        <v>23</v>
      </c>
      <c r="C368" s="332" t="str">
        <f>'FR-16(7)(v)-1 Functional'!C368</f>
        <v>MAINS &amp; SERVICES OPER</v>
      </c>
      <c r="D368" s="344" t="str">
        <f>'FR-16(7)(v)-1 Functional'!D368</f>
        <v>K667</v>
      </c>
      <c r="E368" s="196"/>
      <c r="F368" s="479">
        <f>'FR-16(7)(v)-8 TOT CLASS Alloc'!G368</f>
        <v>1830677</v>
      </c>
      <c r="G368" s="548">
        <f>'FR-16(7)(v)-5 DISTR Dem Alloc'!G368</f>
        <v>746839</v>
      </c>
      <c r="H368" s="539">
        <f>'FR-16(7)(v)-3 PROD Comm Alloc'!G368</f>
        <v>0</v>
      </c>
      <c r="I368" s="540">
        <f>'FR-16(7)(v)-6 DISTR Cust Alloc'!G368</f>
        <v>1083838</v>
      </c>
      <c r="J368" s="347">
        <f t="shared" si="70"/>
        <v>1830677</v>
      </c>
      <c r="K368" s="347">
        <f t="shared" si="71"/>
        <v>0</v>
      </c>
    </row>
    <row r="369" spans="1:11">
      <c r="A369" s="333">
        <v>24</v>
      </c>
      <c r="C369" s="332" t="str">
        <f>'FR-16(7)(v)-1 Functional'!C369</f>
        <v>M &amp; R STATION GENERAL</v>
      </c>
      <c r="D369" s="344" t="str">
        <f>'FR-16(7)(v)-1 Functional'!D369</f>
        <v>K203</v>
      </c>
      <c r="E369" s="196"/>
      <c r="F369" s="479">
        <f>'FR-16(7)(v)-8 TOT CLASS Alloc'!G369</f>
        <v>37376</v>
      </c>
      <c r="G369" s="548">
        <f>'FR-16(7)(v)-5 DISTR Dem Alloc'!G369</f>
        <v>37376</v>
      </c>
      <c r="H369" s="539">
        <f>'FR-16(7)(v)-3 PROD Comm Alloc'!G369</f>
        <v>0</v>
      </c>
      <c r="I369" s="540">
        <f>'FR-16(7)(v)-6 DISTR Cust Alloc'!G369</f>
        <v>0</v>
      </c>
      <c r="J369" s="347">
        <f t="shared" si="70"/>
        <v>37376</v>
      </c>
      <c r="K369" s="347">
        <f t="shared" si="71"/>
        <v>0</v>
      </c>
    </row>
    <row r="370" spans="1:11">
      <c r="A370" s="333">
        <v>25</v>
      </c>
      <c r="C370" s="332" t="str">
        <f>'FR-16(7)(v)-1 Functional'!C370</f>
        <v>CUSTOMER INST &amp; OTHER</v>
      </c>
      <c r="D370" s="344" t="str">
        <f>'FR-16(7)(v)-1 Functional'!D370</f>
        <v>K415</v>
      </c>
      <c r="E370" s="196"/>
      <c r="F370" s="479">
        <f>'FR-16(7)(v)-8 TOT CLASS Alloc'!G370</f>
        <v>841488</v>
      </c>
      <c r="G370" s="548">
        <f>'FR-16(7)(v)-5 DISTR Dem Alloc'!G370</f>
        <v>706850</v>
      </c>
      <c r="H370" s="539">
        <f>'FR-16(7)(v)-3 PROD Comm Alloc'!G370</f>
        <v>0</v>
      </c>
      <c r="I370" s="540">
        <f>'FR-16(7)(v)-6 DISTR Cust Alloc'!G370</f>
        <v>134638</v>
      </c>
      <c r="J370" s="347">
        <f t="shared" si="70"/>
        <v>841488</v>
      </c>
      <c r="K370" s="347">
        <f t="shared" si="71"/>
        <v>0</v>
      </c>
    </row>
    <row r="371" spans="1:11">
      <c r="A371" s="333">
        <v>26</v>
      </c>
      <c r="C371" s="332" t="str">
        <f>'FR-16(7)(v)-1 Functional'!C371</f>
        <v>METERS &amp; HOUSE REG</v>
      </c>
      <c r="D371" s="344" t="str">
        <f>'FR-16(7)(v)-1 Functional'!D371</f>
        <v>K697</v>
      </c>
      <c r="E371" s="196"/>
      <c r="F371" s="479">
        <f>'FR-16(7)(v)-8 TOT CLASS Alloc'!G371</f>
        <v>1971427</v>
      </c>
      <c r="G371" s="548">
        <f>'FR-16(7)(v)-5 DISTR Dem Alloc'!G371</f>
        <v>0</v>
      </c>
      <c r="H371" s="539">
        <f>'FR-16(7)(v)-3 PROD Comm Alloc'!G371</f>
        <v>0</v>
      </c>
      <c r="I371" s="540">
        <f>'FR-16(7)(v)-6 DISTR Cust Alloc'!G371</f>
        <v>1971427</v>
      </c>
      <c r="J371" s="347">
        <f t="shared" si="70"/>
        <v>1971427</v>
      </c>
      <c r="K371" s="347">
        <f t="shared" si="71"/>
        <v>0</v>
      </c>
    </row>
    <row r="372" spans="1:11">
      <c r="A372" s="333">
        <v>27</v>
      </c>
      <c r="C372" s="332" t="str">
        <f>'FR-16(7)(v)-1 Functional'!C372</f>
        <v>MAINS</v>
      </c>
      <c r="D372" s="344" t="str">
        <f>'FR-16(7)(v)-1 Functional'!D372</f>
        <v>K415</v>
      </c>
      <c r="E372" s="196"/>
      <c r="F372" s="479">
        <f>'FR-16(7)(v)-8 TOT CLASS Alloc'!G372</f>
        <v>1342364</v>
      </c>
      <c r="G372" s="548">
        <f>'FR-16(7)(v)-5 DISTR Dem Alloc'!G372</f>
        <v>1127586</v>
      </c>
      <c r="H372" s="539">
        <f>'FR-16(7)(v)-3 PROD Comm Alloc'!G372</f>
        <v>0</v>
      </c>
      <c r="I372" s="540">
        <f>'FR-16(7)(v)-6 DISTR Cust Alloc'!G372</f>
        <v>214778</v>
      </c>
      <c r="J372" s="347">
        <f t="shared" si="70"/>
        <v>1342364</v>
      </c>
      <c r="K372" s="347">
        <f t="shared" si="71"/>
        <v>0</v>
      </c>
    </row>
    <row r="373" spans="1:11">
      <c r="A373" s="333">
        <v>28</v>
      </c>
      <c r="C373" s="332" t="str">
        <f>'FR-16(7)(v)-1 Functional'!C373</f>
        <v>SERVICES</v>
      </c>
      <c r="D373" s="344" t="str">
        <f>'FR-16(7)(v)-1 Functional'!D373</f>
        <v>K403</v>
      </c>
      <c r="E373" s="196"/>
      <c r="F373" s="479">
        <f>'FR-16(7)(v)-8 TOT CLASS Alloc'!G373</f>
        <v>520453</v>
      </c>
      <c r="G373" s="548">
        <f>'FR-16(7)(v)-5 DISTR Dem Alloc'!G373</f>
        <v>0</v>
      </c>
      <c r="H373" s="539">
        <f>'FR-16(7)(v)-3 PROD Comm Alloc'!G373</f>
        <v>0</v>
      </c>
      <c r="I373" s="540">
        <f>'FR-16(7)(v)-6 DISTR Cust Alloc'!G373</f>
        <v>520453</v>
      </c>
      <c r="J373" s="347">
        <f t="shared" si="70"/>
        <v>520453</v>
      </c>
      <c r="K373" s="347">
        <f t="shared" si="71"/>
        <v>0</v>
      </c>
    </row>
    <row r="374" spans="1:11">
      <c r="A374" s="333">
        <v>29</v>
      </c>
      <c r="C374" s="332" t="str">
        <f>'FR-16(7)(v)-1 Functional'!C374</f>
        <v>SUPV &amp; ENG</v>
      </c>
      <c r="D374" s="344" t="str">
        <f>'FR-16(7)(v)-1 Functional'!D374</f>
        <v>D249</v>
      </c>
      <c r="E374" s="196"/>
      <c r="F374" s="479">
        <f>'FR-16(7)(v)-8 TOT CLASS Alloc'!G374</f>
        <v>0</v>
      </c>
      <c r="G374" s="548">
        <f>'FR-16(7)(v)-5 DISTR Dem Alloc'!G374</f>
        <v>0</v>
      </c>
      <c r="H374" s="539">
        <f>'FR-16(7)(v)-3 PROD Comm Alloc'!G374</f>
        <v>0</v>
      </c>
      <c r="I374" s="540">
        <f>'FR-16(7)(v)-6 DISTR Cust Alloc'!G374</f>
        <v>0</v>
      </c>
      <c r="J374" s="347">
        <f t="shared" si="70"/>
        <v>0</v>
      </c>
      <c r="K374" s="347">
        <f t="shared" si="71"/>
        <v>0</v>
      </c>
    </row>
    <row r="375" spans="1:11">
      <c r="A375" s="333">
        <v>30</v>
      </c>
      <c r="C375" s="332" t="str">
        <f>'FR-16(7)(v)-1 Functional'!C375</f>
        <v>ELIMINATE NON-KY CUSTOMER</v>
      </c>
      <c r="D375" s="344" t="str">
        <f>'FR-16(7)(v)-1 Functional'!D375</f>
        <v>K595</v>
      </c>
      <c r="E375" s="196"/>
      <c r="F375" s="479">
        <f>'FR-16(7)(v)-8 TOT CLASS Alloc'!G375</f>
        <v>0</v>
      </c>
      <c r="G375" s="548">
        <f>'FR-16(7)(v)-5 DISTR Dem Alloc'!G375</f>
        <v>0</v>
      </c>
      <c r="H375" s="539">
        <f>'FR-16(7)(v)-3 PROD Comm Alloc'!G375</f>
        <v>0</v>
      </c>
      <c r="I375" s="540">
        <f>'FR-16(7)(v)-6 DISTR Cust Alloc'!G375</f>
        <v>0</v>
      </c>
      <c r="J375" s="347">
        <f t="shared" si="70"/>
        <v>0</v>
      </c>
      <c r="K375" s="347">
        <f t="shared" si="71"/>
        <v>0</v>
      </c>
    </row>
    <row r="376" spans="1:11">
      <c r="A376" s="333">
        <v>31</v>
      </c>
      <c r="C376" s="332" t="str">
        <f>'FR-16(7)(v)-1 Functional'!C376</f>
        <v>INTEGRITY MANAGEMENT EXPENSES</v>
      </c>
      <c r="D376" s="344" t="str">
        <f>'FR-16(7)(v)-1 Functional'!D376</f>
        <v>K203</v>
      </c>
      <c r="E376" s="196"/>
      <c r="F376" s="479">
        <f>'FR-16(7)(v)-8 TOT CLASS Alloc'!G376</f>
        <v>601649</v>
      </c>
      <c r="G376" s="548">
        <f>'FR-16(7)(v)-5 DISTR Dem Alloc'!G376</f>
        <v>601649</v>
      </c>
      <c r="H376" s="539">
        <f>'FR-16(7)(v)-3 PROD Comm Alloc'!G376</f>
        <v>0</v>
      </c>
      <c r="I376" s="540">
        <f>'FR-16(7)(v)-6 DISTR Cust Alloc'!G376</f>
        <v>0</v>
      </c>
      <c r="J376" s="347">
        <f t="shared" si="70"/>
        <v>601649</v>
      </c>
      <c r="K376" s="347">
        <f t="shared" si="71"/>
        <v>0</v>
      </c>
    </row>
    <row r="377" spans="1:11">
      <c r="A377" s="333">
        <v>32</v>
      </c>
      <c r="C377" s="359" t="str">
        <f>'FR-16(7)(v)-1 Functional'!C377</f>
        <v>OTHER DISTRIBUTION EXPENSES</v>
      </c>
      <c r="D377" s="344" t="str">
        <f>'FR-16(7)(v)-1 Functional'!D377</f>
        <v>K415</v>
      </c>
      <c r="E377" s="196"/>
      <c r="F377" s="479">
        <f>'FR-16(7)(v)-8 TOT CLASS Alloc'!G377</f>
        <v>1524658</v>
      </c>
      <c r="G377" s="548">
        <f>'FR-16(7)(v)-5 DISTR Dem Alloc'!G377</f>
        <v>1280713</v>
      </c>
      <c r="H377" s="539">
        <f>'FR-16(7)(v)-3 PROD Comm Alloc'!G377</f>
        <v>0</v>
      </c>
      <c r="I377" s="540">
        <f>'FR-16(7)(v)-6 DISTR Cust Alloc'!G377</f>
        <v>243945</v>
      </c>
      <c r="J377" s="347">
        <f t="shared" si="70"/>
        <v>1524658</v>
      </c>
      <c r="K377" s="347">
        <f t="shared" si="71"/>
        <v>0</v>
      </c>
    </row>
    <row r="378" spans="1:11">
      <c r="A378" s="333">
        <v>33</v>
      </c>
      <c r="C378" s="332" t="str">
        <f>'FR-16(7)(v)-1 Functional'!C378</f>
        <v xml:space="preserve">  TOTAL DISTRIBUTION O &amp; M</v>
      </c>
      <c r="D378" s="344"/>
      <c r="E378" s="196" t="s">
        <v>343</v>
      </c>
      <c r="F378" s="348">
        <f t="shared" ref="F378:K378" si="72">SUM(F366:F377)</f>
        <v>8774743</v>
      </c>
      <c r="G378" s="549">
        <f t="shared" si="72"/>
        <v>4605664</v>
      </c>
      <c r="H378" s="541">
        <f t="shared" si="72"/>
        <v>0</v>
      </c>
      <c r="I378" s="542">
        <f t="shared" si="72"/>
        <v>4169079</v>
      </c>
      <c r="J378" s="348">
        <f t="shared" si="72"/>
        <v>8774743</v>
      </c>
      <c r="K378" s="348">
        <f t="shared" si="72"/>
        <v>0</v>
      </c>
    </row>
    <row r="379" spans="1:11">
      <c r="A379" s="333">
        <v>34</v>
      </c>
      <c r="C379" s="332" t="s">
        <v>343</v>
      </c>
      <c r="D379" s="344"/>
      <c r="E379" s="196"/>
      <c r="G379" s="547"/>
      <c r="H379" s="537"/>
      <c r="I379" s="538"/>
    </row>
    <row r="380" spans="1:11">
      <c r="A380" s="333">
        <v>35</v>
      </c>
      <c r="B380" s="332" t="s">
        <v>51</v>
      </c>
      <c r="D380" s="344"/>
      <c r="E380" s="196"/>
      <c r="F380" s="332" t="s">
        <v>343</v>
      </c>
      <c r="G380" s="547"/>
      <c r="H380" s="537"/>
      <c r="I380" s="538"/>
    </row>
    <row r="381" spans="1:11">
      <c r="A381" s="333">
        <v>36</v>
      </c>
      <c r="C381" s="332" t="str">
        <f>'FR-16(7)(v)-1 Functional'!C381</f>
        <v>SUPERVISION &amp; ENGINEERING</v>
      </c>
      <c r="D381" s="344" t="str">
        <f>'FR-16(7)(v)-1 Functional'!D381</f>
        <v>K405</v>
      </c>
      <c r="E381" s="196"/>
      <c r="F381" s="479">
        <f>'FR-16(7)(v)-8 TOT CLASS Alloc'!G381</f>
        <v>172562</v>
      </c>
      <c r="G381" s="548">
        <f>'FR-16(7)(v)-5 DISTR Dem Alloc'!G381</f>
        <v>0</v>
      </c>
      <c r="H381" s="539">
        <f>'FR-16(7)(v)-3 PROD Comm Alloc'!G381</f>
        <v>0</v>
      </c>
      <c r="I381" s="540">
        <f>'FR-16(7)(v)-6 DISTR Cust Alloc'!G381</f>
        <v>172562</v>
      </c>
      <c r="J381" s="347">
        <f t="shared" ref="J381:J388" si="73">SUM(G381:I381)</f>
        <v>172562</v>
      </c>
      <c r="K381" s="347">
        <f t="shared" ref="K381:K388" si="74">F381-J381</f>
        <v>0</v>
      </c>
    </row>
    <row r="382" spans="1:11">
      <c r="A382" s="333">
        <v>37</v>
      </c>
      <c r="C382" s="332" t="str">
        <f>'FR-16(7)(v)-1 Functional'!C382</f>
        <v>METER READING</v>
      </c>
      <c r="D382" s="344" t="str">
        <f>'FR-16(7)(v)-1 Functional'!D382</f>
        <v>K405</v>
      </c>
      <c r="E382" s="196"/>
      <c r="F382" s="479">
        <f>'FR-16(7)(v)-8 TOT CLASS Alloc'!G382</f>
        <v>14781</v>
      </c>
      <c r="G382" s="548">
        <f>'FR-16(7)(v)-5 DISTR Dem Alloc'!G382</f>
        <v>0</v>
      </c>
      <c r="H382" s="539">
        <f>'FR-16(7)(v)-3 PROD Comm Alloc'!G382</f>
        <v>0</v>
      </c>
      <c r="I382" s="540">
        <f>'FR-16(7)(v)-6 DISTR Cust Alloc'!G382</f>
        <v>14781</v>
      </c>
      <c r="J382" s="347">
        <f t="shared" si="73"/>
        <v>14781</v>
      </c>
      <c r="K382" s="347">
        <f t="shared" si="74"/>
        <v>0</v>
      </c>
    </row>
    <row r="383" spans="1:11">
      <c r="A383" s="333">
        <v>38</v>
      </c>
      <c r="C383" s="332" t="str">
        <f>'FR-16(7)(v)-1 Functional'!C383</f>
        <v>CUSTOMER BILLING &amp; COLLECTIONS</v>
      </c>
      <c r="D383" s="344" t="str">
        <f>'FR-16(7)(v)-1 Functional'!D383</f>
        <v>K405</v>
      </c>
      <c r="E383" s="196"/>
      <c r="F383" s="479">
        <f>'FR-16(7)(v)-8 TOT CLASS Alloc'!G383</f>
        <v>2409442</v>
      </c>
      <c r="G383" s="548">
        <f>'FR-16(7)(v)-5 DISTR Dem Alloc'!G383</f>
        <v>0</v>
      </c>
      <c r="H383" s="539">
        <f>'FR-16(7)(v)-3 PROD Comm Alloc'!G383</f>
        <v>0</v>
      </c>
      <c r="I383" s="540">
        <f>'FR-16(7)(v)-6 DISTR Cust Alloc'!G383</f>
        <v>2409442</v>
      </c>
      <c r="J383" s="347">
        <f t="shared" si="73"/>
        <v>2409442</v>
      </c>
      <c r="K383" s="347">
        <f t="shared" si="74"/>
        <v>0</v>
      </c>
    </row>
    <row r="384" spans="1:11">
      <c r="A384" s="333">
        <v>39</v>
      </c>
      <c r="C384" s="332" t="str">
        <f>'FR-16(7)(v)-1 Functional'!C384</f>
        <v>UNCOLLECTIBLE EXP</v>
      </c>
      <c r="D384" s="344" t="str">
        <f>'FR-16(7)(v)-1 Functional'!D384</f>
        <v>K406</v>
      </c>
      <c r="E384" s="196"/>
      <c r="F384" s="479">
        <f>'FR-16(7)(v)-8 TOT CLASS Alloc'!G384</f>
        <v>-213433</v>
      </c>
      <c r="G384" s="548">
        <f>'FR-16(7)(v)-5 DISTR Dem Alloc'!G384</f>
        <v>0</v>
      </c>
      <c r="H384" s="539">
        <f>'FR-16(7)(v)-3 PROD Comm Alloc'!G384</f>
        <v>0</v>
      </c>
      <c r="I384" s="540">
        <f>'FR-16(7)(v)-6 DISTR Cust Alloc'!G384</f>
        <v>-213433</v>
      </c>
      <c r="J384" s="347">
        <f t="shared" si="73"/>
        <v>-213433</v>
      </c>
      <c r="K384" s="347">
        <f t="shared" si="74"/>
        <v>0</v>
      </c>
    </row>
    <row r="385" spans="1:11">
      <c r="A385" s="333">
        <v>40</v>
      </c>
      <c r="C385" s="332" t="str">
        <f>'FR-16(7)(v)-1 Functional'!C385</f>
        <v>ELIMINATE MISC EXPENSES</v>
      </c>
      <c r="D385" s="344" t="str">
        <f>'FR-16(7)(v)-1 Functional'!D385</f>
        <v>K406</v>
      </c>
      <c r="E385" s="196"/>
      <c r="F385" s="479">
        <f>'FR-16(7)(v)-8 TOT CLASS Alloc'!G385</f>
        <v>0</v>
      </c>
      <c r="G385" s="548">
        <f>'FR-16(7)(v)-5 DISTR Dem Alloc'!G385</f>
        <v>0</v>
      </c>
      <c r="H385" s="539">
        <f>'FR-16(7)(v)-3 PROD Comm Alloc'!G385</f>
        <v>0</v>
      </c>
      <c r="I385" s="540">
        <f>'FR-16(7)(v)-6 DISTR Cust Alloc'!G385</f>
        <v>0</v>
      </c>
      <c r="J385" s="347">
        <f t="shared" si="73"/>
        <v>0</v>
      </c>
      <c r="K385" s="347">
        <f t="shared" si="74"/>
        <v>0</v>
      </c>
    </row>
    <row r="386" spans="1:11">
      <c r="A386" s="333">
        <v>41</v>
      </c>
      <c r="C386" s="332" t="str">
        <f>'FR-16(7)(v)-1 Functional'!C386</f>
        <v>SALE OF A/R</v>
      </c>
      <c r="D386" s="344" t="str">
        <f>'FR-16(7)(v)-1 Functional'!D386</f>
        <v>K406</v>
      </c>
      <c r="E386" s="196"/>
      <c r="F386" s="479">
        <f>'FR-16(7)(v)-8 TOT CLASS Alloc'!G386</f>
        <v>97861</v>
      </c>
      <c r="G386" s="548">
        <f>'FR-16(7)(v)-5 DISTR Dem Alloc'!G386</f>
        <v>0</v>
      </c>
      <c r="H386" s="539">
        <f>'FR-16(7)(v)-3 PROD Comm Alloc'!G386</f>
        <v>0</v>
      </c>
      <c r="I386" s="540">
        <f>'FR-16(7)(v)-6 DISTR Cust Alloc'!G386</f>
        <v>97861</v>
      </c>
      <c r="J386" s="347">
        <f t="shared" si="73"/>
        <v>97861</v>
      </c>
      <c r="K386" s="347">
        <f t="shared" si="74"/>
        <v>0</v>
      </c>
    </row>
    <row r="387" spans="1:11">
      <c r="A387" s="333">
        <v>42</v>
      </c>
      <c r="C387" s="332" t="str">
        <f>'FR-16(7)(v)-1 Functional'!C387</f>
        <v>INTEREST ON CUSTOMER SERVICE DEPOSITS</v>
      </c>
      <c r="D387" s="344" t="str">
        <f>'FR-16(7)(v)-1 Functional'!D387</f>
        <v>K405</v>
      </c>
      <c r="E387" s="196"/>
      <c r="F387" s="479">
        <f>'FR-16(7)(v)-8 TOT CLASS Alloc'!G387</f>
        <v>0</v>
      </c>
      <c r="G387" s="548">
        <f>'FR-16(7)(v)-5 DISTR Dem Alloc'!G387</f>
        <v>0</v>
      </c>
      <c r="H387" s="539">
        <f>'FR-16(7)(v)-3 PROD Comm Alloc'!G387</f>
        <v>0</v>
      </c>
      <c r="I387" s="540">
        <f>'FR-16(7)(v)-6 DISTR Cust Alloc'!G387</f>
        <v>0</v>
      </c>
      <c r="J387" s="347">
        <f t="shared" si="73"/>
        <v>0</v>
      </c>
      <c r="K387" s="347">
        <f t="shared" si="74"/>
        <v>0</v>
      </c>
    </row>
    <row r="388" spans="1:11">
      <c r="A388" s="333">
        <v>43</v>
      </c>
      <c r="C388" s="359" t="str">
        <f>'FR-16(7)(v)-1 Functional'!C388</f>
        <v>ANNUALIZED UNCOLL EXP ON INCR</v>
      </c>
      <c r="D388" s="344" t="str">
        <f>'FR-16(7)(v)-1 Functional'!D388</f>
        <v>K406</v>
      </c>
      <c r="E388" s="196"/>
      <c r="F388" s="479">
        <f>'FR-16(7)(v)-8 TOT CLASS Alloc'!G388</f>
        <v>0</v>
      </c>
      <c r="G388" s="548">
        <f>'FR-16(7)(v)-5 DISTR Dem Alloc'!G388</f>
        <v>0</v>
      </c>
      <c r="H388" s="539">
        <f>'FR-16(7)(v)-3 PROD Comm Alloc'!G388</f>
        <v>0</v>
      </c>
      <c r="I388" s="540">
        <f>'FR-16(7)(v)-6 DISTR Cust Alloc'!G388</f>
        <v>0</v>
      </c>
      <c r="J388" s="347">
        <f t="shared" si="73"/>
        <v>0</v>
      </c>
      <c r="K388" s="347">
        <f t="shared" si="74"/>
        <v>0</v>
      </c>
    </row>
    <row r="389" spans="1:11">
      <c r="A389" s="333">
        <v>44</v>
      </c>
      <c r="C389" s="332" t="str">
        <f>'FR-16(7)(v)-1 Functional'!C389</f>
        <v xml:space="preserve">  TOTAL CUSTOMER ACCT EXPENSE</v>
      </c>
      <c r="D389" s="344"/>
      <c r="E389" s="196" t="s">
        <v>343</v>
      </c>
      <c r="F389" s="348">
        <f t="shared" ref="F389:K389" si="75">SUM(F380:F388)</f>
        <v>2481213</v>
      </c>
      <c r="G389" s="557">
        <f t="shared" si="75"/>
        <v>0</v>
      </c>
      <c r="H389" s="558">
        <f t="shared" si="75"/>
        <v>0</v>
      </c>
      <c r="I389" s="559">
        <f t="shared" si="75"/>
        <v>2481213</v>
      </c>
      <c r="J389" s="348">
        <f t="shared" si="75"/>
        <v>2481213</v>
      </c>
      <c r="K389" s="348">
        <f t="shared" si="75"/>
        <v>0</v>
      </c>
    </row>
    <row r="390" spans="1:11">
      <c r="B390" s="343"/>
      <c r="C390" s="196"/>
      <c r="D390" s="344"/>
      <c r="E390" s="196"/>
      <c r="F390" s="196"/>
      <c r="G390" s="196"/>
      <c r="H390" s="196"/>
      <c r="I390" s="196"/>
      <c r="J390" s="196"/>
      <c r="K390" s="196"/>
    </row>
    <row r="391" spans="1:11">
      <c r="A391" s="343" t="str">
        <f>co_name</f>
        <v>DUKE ENERGY KENTUCKY, INC.</v>
      </c>
      <c r="C391" s="196"/>
      <c r="D391" s="344"/>
      <c r="E391" s="196"/>
      <c r="F391" s="196"/>
      <c r="G391" s="196"/>
      <c r="H391" s="196"/>
      <c r="I391" s="196"/>
      <c r="J391" s="196" t="str">
        <f>$J$1</f>
        <v>FR-16(7)(v)-9</v>
      </c>
      <c r="K391" s="196"/>
    </row>
    <row r="392" spans="1:11">
      <c r="A392" s="343" t="str">
        <f>$A$2</f>
        <v>RESIDENTIAL CLASSIFIED - GAS COST OF SERVICE</v>
      </c>
      <c r="C392" s="196"/>
      <c r="D392" s="344"/>
      <c r="E392" s="196"/>
      <c r="F392" s="196"/>
      <c r="G392" s="196"/>
      <c r="H392" s="196"/>
      <c r="I392" s="196"/>
      <c r="J392" s="196" t="str">
        <f>$J$2</f>
        <v>WITNESS RESPONSIBLE:</v>
      </c>
      <c r="K392" s="196"/>
    </row>
    <row r="393" spans="1:11">
      <c r="A393" s="343" t="str">
        <f>case_name</f>
        <v>CASE NO: 2018-00261</v>
      </c>
      <c r="C393" s="196"/>
      <c r="D393" s="344"/>
      <c r="E393" s="196"/>
      <c r="F393" s="196"/>
      <c r="G393" s="196"/>
      <c r="H393" s="196"/>
      <c r="I393" s="196"/>
      <c r="J393" s="196" t="str">
        <f>Witness</f>
        <v>JAMES E. ZIOLKOWSKI</v>
      </c>
      <c r="K393" s="196"/>
    </row>
    <row r="394" spans="1:11">
      <c r="A394" s="343" t="str">
        <f>data_filing</f>
        <v>DATA: 12 MONTH FORECASTED PERIOD</v>
      </c>
      <c r="C394" s="196"/>
      <c r="D394" s="344"/>
      <c r="E394" s="196"/>
      <c r="F394" s="196"/>
      <c r="G394" s="196"/>
      <c r="H394" s="196"/>
      <c r="I394" s="196"/>
      <c r="J394" s="196" t="str">
        <f>"PAGE "&amp;Pages2-6&amp;" OF "&amp;Pages2</f>
        <v>PAGE 9 OF 15</v>
      </c>
      <c r="K394" s="196"/>
    </row>
    <row r="395" spans="1:11">
      <c r="A395" s="343" t="str">
        <f>type</f>
        <v xml:space="preserve">TYPE OF FILING: "X" ORIGINAL   UPDATED    REVISED  </v>
      </c>
      <c r="C395" s="196"/>
      <c r="D395" s="344"/>
      <c r="E395" s="196"/>
      <c r="F395" s="196"/>
      <c r="G395" s="196"/>
      <c r="H395" s="196"/>
      <c r="I395" s="196"/>
      <c r="J395" s="196"/>
      <c r="K395" s="196"/>
    </row>
    <row r="396" spans="1:11">
      <c r="B396" s="343"/>
      <c r="C396" s="196"/>
      <c r="D396" s="344"/>
      <c r="E396" s="196"/>
      <c r="F396" s="196"/>
      <c r="G396" s="196"/>
      <c r="H396" s="196"/>
      <c r="I396" s="196"/>
      <c r="J396" s="196"/>
      <c r="K396" s="196"/>
    </row>
    <row r="397" spans="1:11">
      <c r="B397" s="343"/>
      <c r="C397" s="196"/>
      <c r="D397" s="344"/>
      <c r="E397" s="196"/>
      <c r="F397" s="196"/>
      <c r="G397" s="196"/>
      <c r="H397" s="196"/>
      <c r="I397" s="196"/>
      <c r="J397" s="196"/>
      <c r="K397" s="196"/>
    </row>
    <row r="398" spans="1:11">
      <c r="A398" s="344" t="s">
        <v>914</v>
      </c>
      <c r="B398" s="196"/>
      <c r="C398" s="196"/>
      <c r="D398" s="344"/>
      <c r="E398" s="196"/>
      <c r="F398" s="344" t="s">
        <v>229</v>
      </c>
      <c r="G398" s="545" t="s">
        <v>1005</v>
      </c>
      <c r="H398" s="533"/>
      <c r="I398" s="534"/>
      <c r="J398" s="344" t="s">
        <v>229</v>
      </c>
      <c r="K398" s="344" t="s">
        <v>342</v>
      </c>
    </row>
    <row r="399" spans="1:11">
      <c r="A399" s="346" t="s">
        <v>915</v>
      </c>
      <c r="B399" s="345" t="s">
        <v>44</v>
      </c>
      <c r="C399" s="345"/>
      <c r="D399" s="346" t="s">
        <v>337</v>
      </c>
      <c r="E399" s="345"/>
      <c r="F399" s="346" t="str">
        <f>$F$9</f>
        <v>RESIDENTIAL</v>
      </c>
      <c r="G399" s="546" t="s">
        <v>847</v>
      </c>
      <c r="H399" s="535" t="s">
        <v>848</v>
      </c>
      <c r="I399" s="536" t="s">
        <v>849</v>
      </c>
      <c r="J399" s="346" t="s">
        <v>341</v>
      </c>
      <c r="K399" s="346" t="s">
        <v>340</v>
      </c>
    </row>
    <row r="400" spans="1:11">
      <c r="C400" s="578" t="s">
        <v>560</v>
      </c>
      <c r="D400" s="344"/>
      <c r="E400" s="196"/>
      <c r="G400" s="800">
        <f>$G$10</f>
        <v>3</v>
      </c>
      <c r="H400" s="801">
        <f>$H$10</f>
        <v>4</v>
      </c>
      <c r="I400" s="802">
        <f>$I$10</f>
        <v>5</v>
      </c>
    </row>
    <row r="401" spans="1:11">
      <c r="A401" s="333">
        <v>1</v>
      </c>
      <c r="B401" s="332" t="s">
        <v>52</v>
      </c>
      <c r="D401" s="344"/>
      <c r="E401" s="196"/>
      <c r="G401" s="547"/>
      <c r="H401" s="537"/>
      <c r="I401" s="538"/>
    </row>
    <row r="402" spans="1:11">
      <c r="A402" s="333">
        <v>2</v>
      </c>
      <c r="C402" s="359" t="str">
        <f>'FR-16(7)(v)-1 Functional'!C402</f>
        <v>TOTAL CUST SERVICE &amp; INFO</v>
      </c>
      <c r="D402" s="344" t="str">
        <f>'FR-16(7)(v)-1 Functional'!D402</f>
        <v>K407</v>
      </c>
      <c r="E402" s="196"/>
      <c r="F402" s="479">
        <f>'FR-16(7)(v)-8 TOT CLASS Alloc'!G402</f>
        <v>377106</v>
      </c>
      <c r="G402" s="548">
        <f>'FR-16(7)(v)-5 DISTR Dem Alloc'!G402</f>
        <v>0</v>
      </c>
      <c r="H402" s="539">
        <f>'FR-16(7)(v)-3 PROD Comm Alloc'!G402</f>
        <v>0</v>
      </c>
      <c r="I402" s="540">
        <f>'FR-16(7)(v)-6 DISTR Cust Alloc'!G402</f>
        <v>377106</v>
      </c>
      <c r="J402" s="347">
        <f>SUM(G402:I402)</f>
        <v>377106</v>
      </c>
      <c r="K402" s="347">
        <f>F402-J402</f>
        <v>0</v>
      </c>
    </row>
    <row r="403" spans="1:11">
      <c r="A403" s="333">
        <v>3</v>
      </c>
      <c r="C403" s="332" t="str">
        <f>'FR-16(7)(v)-1 Functional'!C403</f>
        <v xml:space="preserve">  TOTAL CUSTOMER SERV. &amp; INFO.</v>
      </c>
      <c r="D403" s="344"/>
      <c r="E403" s="196" t="s">
        <v>343</v>
      </c>
      <c r="F403" s="348">
        <f t="shared" ref="F403:K403" si="76">SUM(F402:F402)</f>
        <v>377106</v>
      </c>
      <c r="G403" s="549">
        <f t="shared" si="76"/>
        <v>0</v>
      </c>
      <c r="H403" s="541">
        <f t="shared" si="76"/>
        <v>0</v>
      </c>
      <c r="I403" s="542">
        <f t="shared" si="76"/>
        <v>377106</v>
      </c>
      <c r="J403" s="348">
        <f t="shared" si="76"/>
        <v>377106</v>
      </c>
      <c r="K403" s="348">
        <f t="shared" si="76"/>
        <v>0</v>
      </c>
    </row>
    <row r="404" spans="1:11">
      <c r="A404" s="333">
        <v>4</v>
      </c>
      <c r="D404" s="344"/>
      <c r="E404" s="196"/>
      <c r="F404" s="347"/>
      <c r="G404" s="548"/>
      <c r="H404" s="539"/>
      <c r="I404" s="540"/>
      <c r="J404" s="347"/>
      <c r="K404" s="347"/>
    </row>
    <row r="405" spans="1:11">
      <c r="A405" s="333">
        <v>5</v>
      </c>
      <c r="B405" s="332" t="s">
        <v>53</v>
      </c>
      <c r="D405" s="344"/>
      <c r="E405" s="196"/>
      <c r="F405" s="347"/>
      <c r="G405" s="548"/>
      <c r="H405" s="539"/>
      <c r="I405" s="540"/>
      <c r="J405" s="347"/>
      <c r="K405" s="347"/>
    </row>
    <row r="406" spans="1:11">
      <c r="A406" s="333">
        <v>6</v>
      </c>
      <c r="C406" s="359" t="str">
        <f>'FR-16(7)(v)-1 Functional'!C406</f>
        <v>SALES EXPENSE</v>
      </c>
      <c r="D406" s="344" t="str">
        <f>'FR-16(7)(v)-1 Functional'!D406</f>
        <v>K408</v>
      </c>
      <c r="E406" s="196" t="s">
        <v>343</v>
      </c>
      <c r="F406" s="479">
        <f>'FR-16(7)(v)-8 TOT CLASS Alloc'!G406</f>
        <v>180210</v>
      </c>
      <c r="G406" s="548">
        <f>'FR-16(7)(v)-5 DISTR Dem Alloc'!G406</f>
        <v>0</v>
      </c>
      <c r="H406" s="539">
        <f>'FR-16(7)(v)-3 PROD Comm Alloc'!G406</f>
        <v>0</v>
      </c>
      <c r="I406" s="540">
        <f>'FR-16(7)(v)-6 DISTR Cust Alloc'!G406</f>
        <v>180210</v>
      </c>
      <c r="J406" s="347">
        <f>SUM(G406:I406)</f>
        <v>180210</v>
      </c>
      <c r="K406" s="347">
        <f>F406-J406</f>
        <v>0</v>
      </c>
    </row>
    <row r="407" spans="1:11">
      <c r="A407" s="333">
        <v>7</v>
      </c>
      <c r="C407" s="332" t="str">
        <f>'FR-16(7)(v)-1 Functional'!C407</f>
        <v xml:space="preserve">  TOTAL SALES EXPENSE</v>
      </c>
      <c r="D407" s="344"/>
      <c r="E407" s="196" t="s">
        <v>343</v>
      </c>
      <c r="F407" s="348">
        <f t="shared" ref="F407:K407" si="77">SUM(F405:F406)</f>
        <v>180210</v>
      </c>
      <c r="G407" s="549">
        <f t="shared" si="77"/>
        <v>0</v>
      </c>
      <c r="H407" s="541">
        <f t="shared" si="77"/>
        <v>0</v>
      </c>
      <c r="I407" s="542">
        <f t="shared" si="77"/>
        <v>180210</v>
      </c>
      <c r="J407" s="348">
        <f t="shared" si="77"/>
        <v>180210</v>
      </c>
      <c r="K407" s="348">
        <f t="shared" si="77"/>
        <v>0</v>
      </c>
    </row>
    <row r="408" spans="1:11">
      <c r="A408" s="333">
        <v>8</v>
      </c>
      <c r="D408" s="344"/>
      <c r="E408" s="196"/>
      <c r="G408" s="547"/>
      <c r="H408" s="537"/>
      <c r="I408" s="538"/>
    </row>
    <row r="409" spans="1:11">
      <c r="A409" s="333">
        <v>9</v>
      </c>
      <c r="B409" s="332" t="s">
        <v>54</v>
      </c>
      <c r="D409" s="344"/>
      <c r="E409" s="196"/>
      <c r="G409" s="547"/>
      <c r="H409" s="537"/>
      <c r="I409" s="538"/>
    </row>
    <row r="410" spans="1:11">
      <c r="A410" s="333">
        <v>10</v>
      </c>
      <c r="C410" s="332" t="str">
        <f>'FR-16(7)(v)-1 Functional'!C410</f>
        <v>PRODUCTION PLANT DEMAND</v>
      </c>
      <c r="D410" s="344" t="str">
        <f>'FR-16(7)(v)-1 Functional'!D410</f>
        <v>P349</v>
      </c>
      <c r="E410" s="196"/>
      <c r="F410" s="479">
        <f>'FR-16(7)(v)-8 TOT CLASS Alloc'!G410</f>
        <v>203995</v>
      </c>
      <c r="G410" s="548">
        <f>'FR-16(7)(v)-5 DISTR Dem Alloc'!G410</f>
        <v>0</v>
      </c>
      <c r="H410" s="539">
        <f>'FR-16(7)(v)-3 PROD Comm Alloc'!G410</f>
        <v>203995</v>
      </c>
      <c r="I410" s="540">
        <f>'FR-16(7)(v)-6 DISTR Cust Alloc'!G410</f>
        <v>0</v>
      </c>
      <c r="J410" s="347">
        <f t="shared" ref="J410:J415" si="78">SUM(G410:I410)</f>
        <v>203995</v>
      </c>
      <c r="K410" s="347">
        <f t="shared" ref="K410:K415" si="79">F410-J410</f>
        <v>0</v>
      </c>
    </row>
    <row r="411" spans="1:11">
      <c r="A411" s="333">
        <v>11</v>
      </c>
      <c r="C411" s="332" t="str">
        <f>'FR-16(7)(v)-1 Functional'!C411</f>
        <v>PRODUCTION PLANT COMMODITY</v>
      </c>
      <c r="D411" s="344" t="str">
        <f>'FR-16(7)(v)-1 Functional'!D411</f>
        <v>K301</v>
      </c>
      <c r="E411" s="196"/>
      <c r="F411" s="479">
        <f>'FR-16(7)(v)-8 TOT CLASS Alloc'!G411</f>
        <v>160109</v>
      </c>
      <c r="G411" s="548">
        <f>'FR-16(7)(v)-5 DISTR Dem Alloc'!G411</f>
        <v>0</v>
      </c>
      <c r="H411" s="539">
        <f>'FR-16(7)(v)-3 PROD Comm Alloc'!G411</f>
        <v>160109</v>
      </c>
      <c r="I411" s="540">
        <f>'FR-16(7)(v)-6 DISTR Cust Alloc'!G411</f>
        <v>0</v>
      </c>
      <c r="J411" s="347">
        <f t="shared" si="78"/>
        <v>160109</v>
      </c>
      <c r="K411" s="347">
        <f t="shared" si="79"/>
        <v>0</v>
      </c>
    </row>
    <row r="412" spans="1:11">
      <c r="A412" s="333">
        <v>12</v>
      </c>
      <c r="C412" s="332" t="str">
        <f>'FR-16(7)(v)-1 Functional'!C412</f>
        <v>DISTRIBUTION PLANT</v>
      </c>
      <c r="D412" s="344" t="str">
        <f>'FR-16(7)(v)-1 Functional'!D412</f>
        <v>D349</v>
      </c>
      <c r="E412" s="196"/>
      <c r="F412" s="479">
        <f>'FR-16(7)(v)-8 TOT CLASS Alloc'!G412</f>
        <v>2909114</v>
      </c>
      <c r="G412" s="548">
        <f>'FR-16(7)(v)-5 DISTR Dem Alloc'!G412</f>
        <v>1526921</v>
      </c>
      <c r="H412" s="539">
        <f>'FR-16(7)(v)-3 PROD Comm Alloc'!G412</f>
        <v>0</v>
      </c>
      <c r="I412" s="540">
        <f>'FR-16(7)(v)-6 DISTR Cust Alloc'!G412</f>
        <v>1382193</v>
      </c>
      <c r="J412" s="347">
        <f t="shared" si="78"/>
        <v>2909114</v>
      </c>
      <c r="K412" s="347">
        <f t="shared" si="79"/>
        <v>0</v>
      </c>
    </row>
    <row r="413" spans="1:11">
      <c r="A413" s="333">
        <v>13</v>
      </c>
      <c r="C413" s="332" t="str">
        <f>'FR-16(7)(v)-1 Functional'!C413</f>
        <v>CUSTOMER ACCOUNTING</v>
      </c>
      <c r="D413" s="344" t="str">
        <f>'FR-16(7)(v)-1 Functional'!D413</f>
        <v>CA19</v>
      </c>
      <c r="E413" s="196"/>
      <c r="F413" s="479">
        <f>'FR-16(7)(v)-8 TOT CLASS Alloc'!G413</f>
        <v>1677941</v>
      </c>
      <c r="G413" s="548">
        <f>'FR-16(7)(v)-5 DISTR Dem Alloc'!G413</f>
        <v>0</v>
      </c>
      <c r="H413" s="539">
        <f>'FR-16(7)(v)-3 PROD Comm Alloc'!G413</f>
        <v>0</v>
      </c>
      <c r="I413" s="540">
        <f>'FR-16(7)(v)-6 DISTR Cust Alloc'!G413</f>
        <v>1677941</v>
      </c>
      <c r="J413" s="347">
        <f t="shared" si="78"/>
        <v>1677941</v>
      </c>
      <c r="K413" s="347">
        <f t="shared" si="79"/>
        <v>0</v>
      </c>
    </row>
    <row r="414" spans="1:11">
      <c r="A414" s="333">
        <v>14</v>
      </c>
      <c r="C414" s="332" t="str">
        <f>'FR-16(7)(v)-1 Functional'!C414</f>
        <v>CUSTOMER SERVICE &amp; INFORMATION</v>
      </c>
      <c r="D414" s="344" t="str">
        <f>'FR-16(7)(v)-1 Functional'!D414</f>
        <v>CS19</v>
      </c>
      <c r="E414" s="196"/>
      <c r="F414" s="479">
        <f>'FR-16(7)(v)-8 TOT CLASS Alloc'!G414</f>
        <v>146832</v>
      </c>
      <c r="G414" s="548">
        <f>'FR-16(7)(v)-5 DISTR Dem Alloc'!G414</f>
        <v>0</v>
      </c>
      <c r="H414" s="539">
        <f>'FR-16(7)(v)-3 PROD Comm Alloc'!G414</f>
        <v>0</v>
      </c>
      <c r="I414" s="540">
        <f>'FR-16(7)(v)-6 DISTR Cust Alloc'!G414</f>
        <v>146832</v>
      </c>
      <c r="J414" s="347">
        <f t="shared" si="78"/>
        <v>146832</v>
      </c>
      <c r="K414" s="347">
        <f t="shared" si="79"/>
        <v>0</v>
      </c>
    </row>
    <row r="415" spans="1:11">
      <c r="A415" s="333">
        <v>15</v>
      </c>
      <c r="C415" s="359" t="str">
        <f>'FR-16(7)(v)-1 Functional'!C415</f>
        <v>SALES</v>
      </c>
      <c r="D415" s="344" t="str">
        <f>'FR-16(7)(v)-1 Functional'!D415</f>
        <v>SE19</v>
      </c>
      <c r="E415" s="196"/>
      <c r="F415" s="479">
        <f>'FR-16(7)(v)-8 TOT CLASS Alloc'!G415</f>
        <v>0</v>
      </c>
      <c r="G415" s="548">
        <f>'FR-16(7)(v)-5 DISTR Dem Alloc'!G415</f>
        <v>0</v>
      </c>
      <c r="H415" s="539">
        <f>'FR-16(7)(v)-3 PROD Comm Alloc'!G415</f>
        <v>0</v>
      </c>
      <c r="I415" s="540">
        <f>'FR-16(7)(v)-6 DISTR Cust Alloc'!G415</f>
        <v>0</v>
      </c>
      <c r="J415" s="347">
        <f t="shared" si="78"/>
        <v>0</v>
      </c>
      <c r="K415" s="502">
        <f t="shared" si="79"/>
        <v>0</v>
      </c>
    </row>
    <row r="416" spans="1:11">
      <c r="A416" s="333">
        <v>16</v>
      </c>
      <c r="C416" s="332" t="str">
        <f>'FR-16(7)(v)-1 Functional'!C416</f>
        <v xml:space="preserve"> TOT ADMIN &amp; GEN LESS REG EXP</v>
      </c>
      <c r="D416" s="344" t="s">
        <v>343</v>
      </c>
      <c r="E416" s="196"/>
      <c r="F416" s="503">
        <f t="shared" ref="F416:K416" si="80">SUM(F410:F415)</f>
        <v>5097991</v>
      </c>
      <c r="G416" s="563">
        <f t="shared" si="80"/>
        <v>1526921</v>
      </c>
      <c r="H416" s="564">
        <f t="shared" si="80"/>
        <v>364104</v>
      </c>
      <c r="I416" s="565">
        <f t="shared" si="80"/>
        <v>3206966</v>
      </c>
      <c r="J416" s="1025">
        <f t="shared" si="80"/>
        <v>5097991</v>
      </c>
      <c r="K416" s="477">
        <f t="shared" si="80"/>
        <v>0</v>
      </c>
    </row>
    <row r="417" spans="1:11">
      <c r="A417" s="333">
        <v>17</v>
      </c>
      <c r="C417" s="332" t="str">
        <f>'FR-16(7)(v)-1 Functional'!C417</f>
        <v>AMORTIZATION RATE CASE EXPENSE</v>
      </c>
      <c r="D417" s="344" t="str">
        <f>'FR-16(7)(v)-1 Functional'!D417</f>
        <v>AG39</v>
      </c>
      <c r="E417" s="196"/>
      <c r="F417" s="479">
        <f>'FR-16(7)(v)-8 TOT CLASS Alloc'!G417</f>
        <v>84260</v>
      </c>
      <c r="G417" s="548">
        <f>'FR-16(7)(v)-5 DISTR Dem Alloc'!G417</f>
        <v>25237</v>
      </c>
      <c r="H417" s="539">
        <f>'FR-16(7)(v)-3 PROD Comm Alloc'!G417</f>
        <v>6019</v>
      </c>
      <c r="I417" s="540">
        <f>'FR-16(7)(v)-6 DISTR Cust Alloc'!G417</f>
        <v>53004</v>
      </c>
      <c r="J417" s="347">
        <f t="shared" ref="J417:J430" si="81">SUM(G417:I417)</f>
        <v>84260</v>
      </c>
      <c r="K417" s="347">
        <f t="shared" ref="K417:K430" si="82">F417-J417</f>
        <v>0</v>
      </c>
    </row>
    <row r="418" spans="1:11">
      <c r="A418" s="333">
        <v>18</v>
      </c>
      <c r="C418" s="332" t="str">
        <f>'FR-16(7)(v)-1 Functional'!C418</f>
        <v>INCENTIVE COMPENSATION</v>
      </c>
      <c r="D418" s="344" t="str">
        <f>'FR-16(7)(v)-1 Functional'!D418</f>
        <v>AG39</v>
      </c>
      <c r="E418" s="196"/>
      <c r="F418" s="479">
        <f>'FR-16(7)(v)-8 TOT CLASS Alloc'!G418</f>
        <v>-202978</v>
      </c>
      <c r="G418" s="548">
        <f>'FR-16(7)(v)-5 DISTR Dem Alloc'!G418</f>
        <v>-60795</v>
      </c>
      <c r="H418" s="539">
        <f>'FR-16(7)(v)-3 PROD Comm Alloc'!G418</f>
        <v>-14497</v>
      </c>
      <c r="I418" s="540">
        <f>'FR-16(7)(v)-6 DISTR Cust Alloc'!G418</f>
        <v>-127686</v>
      </c>
      <c r="J418" s="347">
        <f t="shared" si="81"/>
        <v>-202978</v>
      </c>
      <c r="K418" s="347">
        <f t="shared" si="82"/>
        <v>0</v>
      </c>
    </row>
    <row r="419" spans="1:11">
      <c r="A419" s="333">
        <v>19</v>
      </c>
      <c r="C419" s="332" t="str">
        <f>'FR-16(7)(v)-1 Functional'!C419</f>
        <v>ELIMINATE MISCELLANEOUS EXPENSES</v>
      </c>
      <c r="D419" s="344" t="str">
        <f>'FR-16(7)(v)-1 Functional'!D419</f>
        <v>AG39</v>
      </c>
      <c r="E419" s="196"/>
      <c r="F419" s="479">
        <f>'FR-16(7)(v)-8 TOT CLASS Alloc'!G419</f>
        <v>-235779</v>
      </c>
      <c r="G419" s="548">
        <f>'FR-16(7)(v)-5 DISTR Dem Alloc'!G419</f>
        <v>-70619</v>
      </c>
      <c r="H419" s="539">
        <f>'FR-16(7)(v)-3 PROD Comm Alloc'!G419</f>
        <v>-16840</v>
      </c>
      <c r="I419" s="540">
        <f>'FR-16(7)(v)-6 DISTR Cust Alloc'!G419</f>
        <v>-148320</v>
      </c>
      <c r="J419" s="347">
        <f t="shared" si="81"/>
        <v>-235779</v>
      </c>
      <c r="K419" s="347">
        <f t="shared" si="82"/>
        <v>0</v>
      </c>
    </row>
    <row r="420" spans="1:11">
      <c r="A420" s="333">
        <v>20</v>
      </c>
      <c r="C420" s="332" t="str">
        <f>'FR-16(7)(v)-1 Functional'!C420</f>
        <v>ELIMINATE NON-JURISDICTIONAL EXPENSES</v>
      </c>
      <c r="D420" s="344" t="str">
        <f>'FR-16(7)(v)-1 Functional'!D420</f>
        <v>NP29</v>
      </c>
      <c r="E420" s="196"/>
      <c r="F420" s="479">
        <f>'FR-16(7)(v)-8 TOT CLASS Alloc'!G420</f>
        <v>0</v>
      </c>
      <c r="G420" s="548">
        <f>'FR-16(7)(v)-5 DISTR Dem Alloc'!G420</f>
        <v>0</v>
      </c>
      <c r="H420" s="539">
        <f>'FR-16(7)(v)-3 PROD Comm Alloc'!G420</f>
        <v>0</v>
      </c>
      <c r="I420" s="540">
        <f>'FR-16(7)(v)-6 DISTR Cust Alloc'!G420</f>
        <v>0</v>
      </c>
      <c r="J420" s="347">
        <f t="shared" si="81"/>
        <v>0</v>
      </c>
      <c r="K420" s="347">
        <f t="shared" si="82"/>
        <v>0</v>
      </c>
    </row>
    <row r="421" spans="1:11">
      <c r="A421" s="333">
        <v>21</v>
      </c>
      <c r="C421" s="332" t="str">
        <f>'FR-16(7)(v)-1 Functional'!C421</f>
        <v xml:space="preserve">AMORTIZATION OF DEFERRED EXP </v>
      </c>
      <c r="D421" s="344" t="str">
        <f>'FR-16(7)(v)-1 Functional'!D421</f>
        <v>AG39</v>
      </c>
      <c r="E421" s="196"/>
      <c r="F421" s="479">
        <f>'FR-16(7)(v)-8 TOT CLASS Alloc'!G421</f>
        <v>397540</v>
      </c>
      <c r="G421" s="548">
        <f>'FR-16(7)(v)-5 DISTR Dem Alloc'!G421</f>
        <v>119070</v>
      </c>
      <c r="H421" s="539">
        <f>'FR-16(7)(v)-3 PROD Comm Alloc'!G421</f>
        <v>28392</v>
      </c>
      <c r="I421" s="540">
        <f>'FR-16(7)(v)-6 DISTR Cust Alloc'!G421</f>
        <v>250078</v>
      </c>
      <c r="J421" s="347">
        <f t="shared" si="81"/>
        <v>397540</v>
      </c>
      <c r="K421" s="347">
        <f t="shared" si="82"/>
        <v>0</v>
      </c>
    </row>
    <row r="422" spans="1:11">
      <c r="A422" s="333">
        <v>22</v>
      </c>
      <c r="C422" s="332" t="str">
        <f>'FR-16(7)(v)-1 Functional'!C422</f>
        <v>STATE REG COMMISSION EXPENSES</v>
      </c>
      <c r="D422" s="344" t="str">
        <f>'FR-16(7)(v)-1 Functional'!D422</f>
        <v>AG39</v>
      </c>
      <c r="E422" s="196"/>
      <c r="F422" s="479">
        <f>'FR-16(7)(v)-8 TOT CLASS Alloc'!G422</f>
        <v>0</v>
      </c>
      <c r="G422" s="548">
        <f>'FR-16(7)(v)-5 DISTR Dem Alloc'!G422</f>
        <v>0</v>
      </c>
      <c r="H422" s="539">
        <f>'FR-16(7)(v)-3 PROD Comm Alloc'!G422</f>
        <v>0</v>
      </c>
      <c r="I422" s="540">
        <f>'FR-16(7)(v)-6 DISTR Cust Alloc'!G422</f>
        <v>0</v>
      </c>
      <c r="J422" s="347">
        <f t="shared" si="81"/>
        <v>0</v>
      </c>
      <c r="K422" s="347">
        <f t="shared" si="82"/>
        <v>0</v>
      </c>
    </row>
    <row r="423" spans="1:11">
      <c r="A423" s="333">
        <v>23</v>
      </c>
      <c r="C423" s="332" t="str">
        <f>'FR-16(7)(v)-1 Functional'!C423</f>
        <v>STATE REG COM EXP ANN ADJ.</v>
      </c>
      <c r="D423" s="344" t="str">
        <f>'FR-16(7)(v)-1 Functional'!D423</f>
        <v>AG39</v>
      </c>
      <c r="E423" s="196"/>
      <c r="F423" s="479">
        <f>'FR-16(7)(v)-8 TOT CLASS Alloc'!G423</f>
        <v>0</v>
      </c>
      <c r="G423" s="548">
        <f>'FR-16(7)(v)-5 DISTR Dem Alloc'!G423</f>
        <v>0</v>
      </c>
      <c r="H423" s="539">
        <f>'FR-16(7)(v)-3 PROD Comm Alloc'!G423</f>
        <v>0</v>
      </c>
      <c r="I423" s="540">
        <f>'FR-16(7)(v)-6 DISTR Cust Alloc'!G423</f>
        <v>0</v>
      </c>
      <c r="J423" s="347">
        <f t="shared" si="81"/>
        <v>0</v>
      </c>
      <c r="K423" s="347">
        <f t="shared" si="82"/>
        <v>0</v>
      </c>
    </row>
    <row r="424" spans="1:11">
      <c r="A424" s="333">
        <v>24</v>
      </c>
      <c r="C424" s="332" t="str">
        <f>'FR-16(7)(v)-1 Functional'!C424</f>
        <v>AMORTIZE CAMERA WORK</v>
      </c>
      <c r="D424" s="344" t="str">
        <f>'FR-16(7)(v)-1 Functional'!D424</f>
        <v>AG39</v>
      </c>
      <c r="E424" s="196"/>
      <c r="F424" s="479">
        <f>'FR-16(7)(v)-8 TOT CLASS Alloc'!G424</f>
        <v>0</v>
      </c>
      <c r="G424" s="548">
        <f>'FR-16(7)(v)-5 DISTR Dem Alloc'!G424</f>
        <v>0</v>
      </c>
      <c r="H424" s="539">
        <f>'FR-16(7)(v)-3 PROD Comm Alloc'!G424</f>
        <v>0</v>
      </c>
      <c r="I424" s="540">
        <f>'FR-16(7)(v)-6 DISTR Cust Alloc'!G424</f>
        <v>0</v>
      </c>
      <c r="J424" s="347">
        <f t="shared" ref="J424:J429" si="83">SUM(G424:I424)</f>
        <v>0</v>
      </c>
      <c r="K424" s="347">
        <f t="shared" ref="K424:K429" si="84">F424-J424</f>
        <v>0</v>
      </c>
    </row>
    <row r="425" spans="1:11">
      <c r="A425" s="333">
        <v>25</v>
      </c>
      <c r="C425" s="332" t="str">
        <f>'FR-16(7)(v)-1 Functional'!C425</f>
        <v>ELIMINATE MERGER EXPENSE</v>
      </c>
      <c r="D425" s="344" t="str">
        <f>'FR-16(7)(v)-1 Functional'!D425</f>
        <v>AG39</v>
      </c>
      <c r="E425" s="196"/>
      <c r="F425" s="479">
        <f>'FR-16(7)(v)-8 TOT CLASS Alloc'!G425</f>
        <v>0</v>
      </c>
      <c r="G425" s="548">
        <f>'FR-16(7)(v)-5 DISTR Dem Alloc'!G425</f>
        <v>0</v>
      </c>
      <c r="H425" s="539">
        <f>'FR-16(7)(v)-3 PROD Comm Alloc'!G425</f>
        <v>0</v>
      </c>
      <c r="I425" s="540">
        <f>'FR-16(7)(v)-6 DISTR Cust Alloc'!G425</f>
        <v>0</v>
      </c>
      <c r="J425" s="347">
        <f t="shared" si="83"/>
        <v>0</v>
      </c>
      <c r="K425" s="347">
        <f t="shared" si="84"/>
        <v>0</v>
      </c>
    </row>
    <row r="426" spans="1:11">
      <c r="A426" s="333">
        <v>26</v>
      </c>
      <c r="C426" s="332" t="str">
        <f>'FR-16(7)(v)-1 Functional'!C426</f>
        <v>SMART GRID AMORTIZATION ADJUSTMENT</v>
      </c>
      <c r="D426" s="344" t="str">
        <f>'FR-16(7)(v)-1 Functional'!D426</f>
        <v>K413</v>
      </c>
      <c r="E426" s="196"/>
      <c r="F426" s="479">
        <f>'FR-16(7)(v)-8 TOT CLASS Alloc'!G426</f>
        <v>0</v>
      </c>
      <c r="G426" s="548">
        <f>'FR-16(7)(v)-5 DISTR Dem Alloc'!G426</f>
        <v>0</v>
      </c>
      <c r="H426" s="539">
        <f>'FR-16(7)(v)-3 PROD Comm Alloc'!G426</f>
        <v>0</v>
      </c>
      <c r="I426" s="540">
        <f>'FR-16(7)(v)-6 DISTR Cust Alloc'!G426</f>
        <v>0</v>
      </c>
      <c r="J426" s="347">
        <f t="shared" si="83"/>
        <v>0</v>
      </c>
      <c r="K426" s="347">
        <f t="shared" si="84"/>
        <v>0</v>
      </c>
    </row>
    <row r="427" spans="1:11">
      <c r="A427" s="333">
        <v>27</v>
      </c>
      <c r="C427" s="332" t="str">
        <f>'FR-16(7)(v)-1 Functional'!C427</f>
        <v>AMORTIZE 2011 SMART GRID DEFERRED O&amp;M</v>
      </c>
      <c r="D427" s="344" t="str">
        <f>'FR-16(7)(v)-1 Functional'!D427</f>
        <v>K413</v>
      </c>
      <c r="E427" s="196"/>
      <c r="F427" s="479">
        <f>'FR-16(7)(v)-8 TOT CLASS Alloc'!G427</f>
        <v>0</v>
      </c>
      <c r="G427" s="548">
        <f>'FR-16(7)(v)-5 DISTR Dem Alloc'!G427</f>
        <v>0</v>
      </c>
      <c r="H427" s="539">
        <f>'FR-16(7)(v)-3 PROD Comm Alloc'!G427</f>
        <v>0</v>
      </c>
      <c r="I427" s="540">
        <f>'FR-16(7)(v)-6 DISTR Cust Alloc'!G427</f>
        <v>0</v>
      </c>
      <c r="J427" s="347">
        <f t="shared" si="83"/>
        <v>0</v>
      </c>
      <c r="K427" s="347">
        <f t="shared" si="84"/>
        <v>0</v>
      </c>
    </row>
    <row r="428" spans="1:11">
      <c r="A428" s="333">
        <v>28</v>
      </c>
      <c r="C428" s="332" t="str">
        <f>'FR-16(7)(v)-1 Functional'!C428</f>
        <v>INCREASED MEDICAL COSTS</v>
      </c>
      <c r="D428" s="344" t="str">
        <f>'FR-16(7)(v)-1 Functional'!D428</f>
        <v>AG39</v>
      </c>
      <c r="E428" s="196"/>
      <c r="F428" s="479">
        <f>'FR-16(7)(v)-8 TOT CLASS Alloc'!G428</f>
        <v>0</v>
      </c>
      <c r="G428" s="548">
        <f>'FR-16(7)(v)-5 DISTR Dem Alloc'!G428</f>
        <v>0</v>
      </c>
      <c r="H428" s="539">
        <f>'FR-16(7)(v)-3 PROD Comm Alloc'!G428</f>
        <v>0</v>
      </c>
      <c r="I428" s="540">
        <f>'FR-16(7)(v)-6 DISTR Cust Alloc'!G428</f>
        <v>0</v>
      </c>
      <c r="J428" s="347">
        <f t="shared" si="83"/>
        <v>0</v>
      </c>
      <c r="K428" s="347">
        <f t="shared" si="84"/>
        <v>0</v>
      </c>
    </row>
    <row r="429" spans="1:11">
      <c r="A429" s="333">
        <v>29</v>
      </c>
      <c r="C429" s="332" t="str">
        <f>'FR-16(7)(v)-1 Functional'!C429</f>
        <v>AMORTIZE GAS FURNACE PROGRAM</v>
      </c>
      <c r="D429" s="344" t="str">
        <f>'FR-16(7)(v)-1 Functional'!D429</f>
        <v>NP29</v>
      </c>
      <c r="E429" s="196"/>
      <c r="F429" s="479">
        <f>'FR-16(7)(v)-8 TOT CLASS Alloc'!G429</f>
        <v>0</v>
      </c>
      <c r="G429" s="548">
        <f>'FR-16(7)(v)-5 DISTR Dem Alloc'!G429</f>
        <v>0</v>
      </c>
      <c r="H429" s="539">
        <f>'FR-16(7)(v)-3 PROD Comm Alloc'!G429</f>
        <v>0</v>
      </c>
      <c r="I429" s="540">
        <f>'FR-16(7)(v)-6 DISTR Cust Alloc'!G429</f>
        <v>0</v>
      </c>
      <c r="J429" s="347">
        <f t="shared" si="83"/>
        <v>0</v>
      </c>
      <c r="K429" s="347">
        <f t="shared" si="84"/>
        <v>0</v>
      </c>
    </row>
    <row r="430" spans="1:11">
      <c r="A430" s="333">
        <v>30</v>
      </c>
      <c r="C430" s="359" t="str">
        <f>'FR-16(7)(v)-1 Functional'!C430</f>
        <v>AMORTIZATION OF MGP DEFERRED EXP</v>
      </c>
      <c r="D430" s="344" t="str">
        <f>'FR-16(7)(v)-1 Functional'!D430</f>
        <v>NP29</v>
      </c>
      <c r="E430" s="196"/>
      <c r="F430" s="479">
        <f>'FR-16(7)(v)-8 TOT CLASS Alloc'!G430</f>
        <v>0</v>
      </c>
      <c r="G430" s="548">
        <f>'FR-16(7)(v)-5 DISTR Dem Alloc'!G430</f>
        <v>0</v>
      </c>
      <c r="H430" s="539">
        <f>'FR-16(7)(v)-3 PROD Comm Alloc'!G430</f>
        <v>0</v>
      </c>
      <c r="I430" s="540">
        <f>'FR-16(7)(v)-6 DISTR Cust Alloc'!G430</f>
        <v>0</v>
      </c>
      <c r="J430" s="347">
        <f t="shared" si="81"/>
        <v>0</v>
      </c>
      <c r="K430" s="347">
        <f t="shared" si="82"/>
        <v>0</v>
      </c>
    </row>
    <row r="431" spans="1:11">
      <c r="A431" s="333">
        <v>31</v>
      </c>
      <c r="C431" s="332" t="str">
        <f>'FR-16(7)(v)-1 Functional'!C431</f>
        <v xml:space="preserve">  TOTAL ADMIN. &amp; GENERAL</v>
      </c>
      <c r="D431" s="344"/>
      <c r="E431" s="196" t="s">
        <v>343</v>
      </c>
      <c r="F431" s="348">
        <f t="shared" ref="F431:K431" si="85">SUM(F416:F430)</f>
        <v>5141034</v>
      </c>
      <c r="G431" s="549">
        <f t="shared" si="85"/>
        <v>1539814</v>
      </c>
      <c r="H431" s="541">
        <f t="shared" si="85"/>
        <v>367178</v>
      </c>
      <c r="I431" s="542">
        <f t="shared" si="85"/>
        <v>3234042</v>
      </c>
      <c r="J431" s="348">
        <f t="shared" si="85"/>
        <v>5141034</v>
      </c>
      <c r="K431" s="348">
        <f t="shared" si="85"/>
        <v>0</v>
      </c>
    </row>
    <row r="432" spans="1:11">
      <c r="A432" s="333">
        <v>32</v>
      </c>
      <c r="D432" s="344"/>
      <c r="E432" s="196"/>
      <c r="F432" s="335"/>
      <c r="G432" s="548"/>
      <c r="H432" s="539"/>
      <c r="I432" s="540"/>
      <c r="J432" s="347"/>
      <c r="K432" s="347"/>
    </row>
    <row r="433" spans="1:11">
      <c r="A433" s="333">
        <v>33</v>
      </c>
      <c r="C433" s="332" t="str">
        <f>'FR-16(7)(v)-1 Functional'!C433</f>
        <v>TOTAL O &amp; M EXPENSE</v>
      </c>
      <c r="D433" s="344"/>
      <c r="E433" s="196"/>
      <c r="F433" s="347">
        <f t="shared" ref="F433:K433" si="86">F431+F407+F403+F389+F378+F364+F360</f>
        <v>35800714</v>
      </c>
      <c r="G433" s="550">
        <f t="shared" si="86"/>
        <v>6145478</v>
      </c>
      <c r="H433" s="543">
        <f t="shared" si="86"/>
        <v>19213586</v>
      </c>
      <c r="I433" s="544">
        <f t="shared" si="86"/>
        <v>10441650</v>
      </c>
      <c r="J433" s="347">
        <f t="shared" si="86"/>
        <v>35800714</v>
      </c>
      <c r="K433" s="347">
        <f t="shared" si="86"/>
        <v>0</v>
      </c>
    </row>
    <row r="434" spans="1:11">
      <c r="B434" s="343"/>
      <c r="C434" s="196"/>
      <c r="D434" s="344"/>
      <c r="E434" s="196"/>
      <c r="F434" s="196"/>
      <c r="G434" s="196"/>
      <c r="H434" s="196"/>
      <c r="I434" s="196"/>
      <c r="J434" s="196"/>
      <c r="K434" s="196"/>
    </row>
    <row r="435" spans="1:11">
      <c r="A435" s="343" t="str">
        <f>co_name</f>
        <v>DUKE ENERGY KENTUCKY, INC.</v>
      </c>
      <c r="C435" s="196"/>
      <c r="D435" s="344"/>
      <c r="E435" s="196"/>
      <c r="F435" s="196"/>
      <c r="G435" s="196"/>
      <c r="H435" s="196"/>
      <c r="I435" s="196"/>
      <c r="J435" s="196" t="str">
        <f>$J$1</f>
        <v>FR-16(7)(v)-9</v>
      </c>
      <c r="K435" s="196"/>
    </row>
    <row r="436" spans="1:11">
      <c r="A436" s="343" t="str">
        <f>$A$2</f>
        <v>RESIDENTIAL CLASSIFIED - GAS COST OF SERVICE</v>
      </c>
      <c r="C436" s="196"/>
      <c r="D436" s="344"/>
      <c r="E436" s="196"/>
      <c r="F436" s="196"/>
      <c r="G436" s="196"/>
      <c r="H436" s="196"/>
      <c r="I436" s="196"/>
      <c r="J436" s="196" t="str">
        <f>$J$2</f>
        <v>WITNESS RESPONSIBLE:</v>
      </c>
      <c r="K436" s="196"/>
    </row>
    <row r="437" spans="1:11">
      <c r="A437" s="343" t="str">
        <f>case_name</f>
        <v>CASE NO: 2018-00261</v>
      </c>
      <c r="C437" s="196"/>
      <c r="D437" s="344"/>
      <c r="E437" s="196"/>
      <c r="F437" s="196"/>
      <c r="G437" s="196"/>
      <c r="H437" s="196"/>
      <c r="I437" s="196"/>
      <c r="J437" s="196" t="str">
        <f>Witness</f>
        <v>JAMES E. ZIOLKOWSKI</v>
      </c>
      <c r="K437" s="196"/>
    </row>
    <row r="438" spans="1:11">
      <c r="A438" s="343" t="str">
        <f>data_filing</f>
        <v>DATA: 12 MONTH FORECASTED PERIOD</v>
      </c>
      <c r="C438" s="196"/>
      <c r="D438" s="344"/>
      <c r="E438" s="196"/>
      <c r="F438" s="196"/>
      <c r="G438" s="196"/>
      <c r="H438" s="196"/>
      <c r="I438" s="196"/>
      <c r="J438" s="196" t="str">
        <f>"PAGE "&amp;Pages2-5&amp;" OF "&amp;Pages2</f>
        <v>PAGE 10 OF 15</v>
      </c>
      <c r="K438" s="196"/>
    </row>
    <row r="439" spans="1:11">
      <c r="A439" s="343" t="str">
        <f>type</f>
        <v xml:space="preserve">TYPE OF FILING: "X" ORIGINAL   UPDATED    REVISED  </v>
      </c>
      <c r="C439" s="196"/>
      <c r="D439" s="344"/>
      <c r="E439" s="196"/>
      <c r="F439" s="196"/>
      <c r="G439" s="196"/>
      <c r="H439" s="196"/>
      <c r="I439" s="196"/>
      <c r="J439" s="196"/>
      <c r="K439" s="196"/>
    </row>
    <row r="440" spans="1:11">
      <c r="B440" s="343"/>
      <c r="C440" s="196"/>
      <c r="D440" s="344"/>
      <c r="E440" s="196"/>
      <c r="F440" s="196"/>
      <c r="G440" s="196"/>
      <c r="H440" s="196"/>
      <c r="I440" s="196"/>
      <c r="J440" s="196"/>
      <c r="K440" s="196"/>
    </row>
    <row r="441" spans="1:11">
      <c r="B441" s="343"/>
      <c r="C441" s="196"/>
      <c r="D441" s="344"/>
      <c r="E441" s="196"/>
      <c r="F441" s="196"/>
      <c r="G441" s="196"/>
      <c r="H441" s="196"/>
      <c r="I441" s="196"/>
      <c r="J441" s="196"/>
      <c r="K441" s="196"/>
    </row>
    <row r="442" spans="1:11">
      <c r="A442" s="344" t="s">
        <v>914</v>
      </c>
      <c r="B442" s="196"/>
      <c r="C442" s="196"/>
      <c r="D442" s="344"/>
      <c r="E442" s="196"/>
      <c r="F442" s="344" t="s">
        <v>229</v>
      </c>
      <c r="G442" s="545" t="s">
        <v>1005</v>
      </c>
      <c r="H442" s="533"/>
      <c r="I442" s="534"/>
      <c r="J442" s="344" t="s">
        <v>229</v>
      </c>
      <c r="K442" s="344" t="s">
        <v>342</v>
      </c>
    </row>
    <row r="443" spans="1:11">
      <c r="A443" s="346" t="s">
        <v>915</v>
      </c>
      <c r="B443" s="345" t="s">
        <v>55</v>
      </c>
      <c r="C443" s="345"/>
      <c r="D443" s="346" t="s">
        <v>337</v>
      </c>
      <c r="E443" s="345"/>
      <c r="F443" s="346" t="str">
        <f>$F$9</f>
        <v>RESIDENTIAL</v>
      </c>
      <c r="G443" s="546" t="s">
        <v>847</v>
      </c>
      <c r="H443" s="535" t="s">
        <v>848</v>
      </c>
      <c r="I443" s="536" t="s">
        <v>849</v>
      </c>
      <c r="J443" s="346" t="s">
        <v>341</v>
      </c>
      <c r="K443" s="346" t="s">
        <v>340</v>
      </c>
    </row>
    <row r="444" spans="1:11">
      <c r="C444" s="578" t="s">
        <v>349</v>
      </c>
      <c r="D444" s="344"/>
      <c r="E444" s="196"/>
      <c r="F444" s="510"/>
      <c r="G444" s="800">
        <f>$G$10</f>
        <v>3</v>
      </c>
      <c r="H444" s="801">
        <f>$H$10</f>
        <v>4</v>
      </c>
      <c r="I444" s="802">
        <f>$I$10</f>
        <v>5</v>
      </c>
      <c r="J444" s="510"/>
      <c r="K444" s="510"/>
    </row>
    <row r="445" spans="1:11">
      <c r="A445" s="333">
        <v>1</v>
      </c>
      <c r="B445" s="353" t="s">
        <v>56</v>
      </c>
      <c r="C445" s="353"/>
      <c r="D445" s="344"/>
      <c r="E445" s="196"/>
      <c r="G445" s="547"/>
      <c r="H445" s="537"/>
      <c r="I445" s="538"/>
    </row>
    <row r="446" spans="1:11">
      <c r="A446" s="333">
        <v>2</v>
      </c>
      <c r="B446" s="353"/>
      <c r="C446" s="511" t="str">
        <f>'FR-16(7)(v)-1 Functional'!C446</f>
        <v>PRODUCTION DEPRECIATION</v>
      </c>
      <c r="D446" s="344" t="str">
        <f>'FR-16(7)(v)-1 Functional'!D446</f>
        <v>P229</v>
      </c>
      <c r="E446" s="196"/>
      <c r="F446" s="479">
        <f>'FR-16(7)(v)-8 TOT CLASS Alloc'!G446</f>
        <v>127105</v>
      </c>
      <c r="G446" s="548">
        <f>'FR-16(7)(v)-5 DISTR Dem Alloc'!G446</f>
        <v>0</v>
      </c>
      <c r="H446" s="539">
        <f>'FR-16(7)(v)-3 PROD Comm Alloc'!G446</f>
        <v>127105</v>
      </c>
      <c r="I446" s="540">
        <f>'FR-16(7)(v)-6 DISTR Cust Alloc'!G446</f>
        <v>0</v>
      </c>
      <c r="J446" s="347">
        <f>SUM(G446:I446)</f>
        <v>127105</v>
      </c>
      <c r="K446" s="347">
        <f>F446-J446</f>
        <v>0</v>
      </c>
    </row>
    <row r="447" spans="1:11">
      <c r="A447" s="333">
        <v>3</v>
      </c>
      <c r="B447" s="353"/>
      <c r="C447" s="353" t="str">
        <f>'FR-16(7)(v)-1 Functional'!C447</f>
        <v xml:space="preserve">  TOTAL PRODUCTION DEPREC EXP.</v>
      </c>
      <c r="D447" s="344"/>
      <c r="E447" s="196"/>
      <c r="F447" s="348">
        <f t="shared" ref="F447:K447" si="87">SUM(F446:F446)</f>
        <v>127105</v>
      </c>
      <c r="G447" s="549">
        <f t="shared" si="87"/>
        <v>0</v>
      </c>
      <c r="H447" s="541">
        <f t="shared" si="87"/>
        <v>127105</v>
      </c>
      <c r="I447" s="542">
        <f t="shared" si="87"/>
        <v>0</v>
      </c>
      <c r="J447" s="348">
        <f t="shared" si="87"/>
        <v>127105</v>
      </c>
      <c r="K447" s="348">
        <f t="shared" si="87"/>
        <v>0</v>
      </c>
    </row>
    <row r="448" spans="1:11">
      <c r="A448" s="333">
        <v>4</v>
      </c>
      <c r="B448" s="353"/>
      <c r="C448" s="353"/>
      <c r="D448" s="344"/>
      <c r="E448" s="196"/>
      <c r="F448" s="353"/>
      <c r="G448" s="547"/>
      <c r="H448" s="537"/>
      <c r="I448" s="538"/>
    </row>
    <row r="449" spans="1:11">
      <c r="A449" s="333">
        <v>5</v>
      </c>
      <c r="B449" s="511" t="s">
        <v>57</v>
      </c>
      <c r="C449" s="511"/>
      <c r="D449" s="344"/>
      <c r="E449" s="196"/>
      <c r="F449" s="349"/>
      <c r="G449" s="548"/>
      <c r="H449" s="539"/>
      <c r="I449" s="540"/>
      <c r="J449" s="347"/>
      <c r="K449" s="347"/>
    </row>
    <row r="450" spans="1:11">
      <c r="A450" s="333">
        <v>6</v>
      </c>
      <c r="B450" s="353"/>
      <c r="C450" s="353" t="str">
        <f>'FR-16(7)(v)-1 Functional'!C450</f>
        <v xml:space="preserve">  TOTAL TRANSMISSION DEP. EXP.</v>
      </c>
      <c r="D450" s="344"/>
      <c r="E450" s="196"/>
      <c r="F450" s="348">
        <f t="shared" ref="F450:K450" si="88">SUM(F449)</f>
        <v>0</v>
      </c>
      <c r="G450" s="549">
        <f t="shared" si="88"/>
        <v>0</v>
      </c>
      <c r="H450" s="541">
        <f t="shared" si="88"/>
        <v>0</v>
      </c>
      <c r="I450" s="542">
        <f t="shared" si="88"/>
        <v>0</v>
      </c>
      <c r="J450" s="348">
        <f t="shared" si="88"/>
        <v>0</v>
      </c>
      <c r="K450" s="348">
        <f t="shared" si="88"/>
        <v>0</v>
      </c>
    </row>
    <row r="451" spans="1:11">
      <c r="A451" s="333">
        <v>7</v>
      </c>
      <c r="B451" s="353"/>
      <c r="C451" s="353"/>
      <c r="D451" s="344"/>
      <c r="E451" s="196"/>
      <c r="F451" s="353"/>
      <c r="G451" s="547"/>
      <c r="H451" s="537"/>
      <c r="I451" s="538"/>
    </row>
    <row r="452" spans="1:11">
      <c r="A452" s="333">
        <v>8</v>
      </c>
      <c r="B452" s="353" t="s">
        <v>58</v>
      </c>
      <c r="C452" s="353"/>
      <c r="D452" s="344"/>
      <c r="E452" s="196"/>
      <c r="F452" s="353"/>
      <c r="G452" s="547"/>
      <c r="H452" s="537"/>
      <c r="I452" s="538"/>
    </row>
    <row r="453" spans="1:11">
      <c r="A453" s="333">
        <v>9</v>
      </c>
      <c r="B453" s="353"/>
      <c r="C453" s="511" t="str">
        <f>'FR-16(7)(v)-1 Functional'!C453</f>
        <v>DISTRIBUTION DEPRECIATION</v>
      </c>
      <c r="D453" s="344" t="str">
        <f>'FR-16(7)(v)-1 Functional'!D453</f>
        <v>D249</v>
      </c>
      <c r="E453" s="196"/>
      <c r="F453" s="479">
        <f>'FR-16(7)(v)-8 TOT CLASS Alloc'!G453</f>
        <v>8376339</v>
      </c>
      <c r="G453" s="548">
        <f>'FR-16(7)(v)-5 DISTR Dem Alloc'!G453</f>
        <v>3730661</v>
      </c>
      <c r="H453" s="539">
        <f>'FR-16(7)(v)-3 PROD Comm Alloc'!G453</f>
        <v>0</v>
      </c>
      <c r="I453" s="540">
        <f>'FR-16(7)(v)-6 DISTR Cust Alloc'!G453</f>
        <v>4645678</v>
      </c>
      <c r="J453" s="347">
        <f>SUM(G453:I453)</f>
        <v>8376339</v>
      </c>
      <c r="K453" s="347">
        <f>F453-J453</f>
        <v>0</v>
      </c>
    </row>
    <row r="454" spans="1:11">
      <c r="A454" s="333">
        <v>10</v>
      </c>
      <c r="B454" s="353"/>
      <c r="C454" s="353" t="str">
        <f>'FR-16(7)(v)-1 Functional'!C454</f>
        <v xml:space="preserve">  TOTAL DIST. DEPREC EXP.</v>
      </c>
      <c r="D454" s="344"/>
      <c r="E454" s="196"/>
      <c r="F454" s="348">
        <f t="shared" ref="F454:K454" si="89">SUM(F453:F453)</f>
        <v>8376339</v>
      </c>
      <c r="G454" s="549">
        <f t="shared" si="89"/>
        <v>3730661</v>
      </c>
      <c r="H454" s="541">
        <f t="shared" si="89"/>
        <v>0</v>
      </c>
      <c r="I454" s="542">
        <f t="shared" si="89"/>
        <v>4645678</v>
      </c>
      <c r="J454" s="348">
        <f t="shared" si="89"/>
        <v>8376339</v>
      </c>
      <c r="K454" s="348">
        <f t="shared" si="89"/>
        <v>0</v>
      </c>
    </row>
    <row r="455" spans="1:11">
      <c r="A455" s="333">
        <v>11</v>
      </c>
      <c r="B455" s="353"/>
      <c r="C455" s="353"/>
      <c r="D455" s="344"/>
      <c r="E455" s="196"/>
      <c r="F455" s="353" t="s">
        <v>343</v>
      </c>
      <c r="G455" s="547"/>
      <c r="H455" s="537"/>
      <c r="I455" s="538"/>
    </row>
    <row r="456" spans="1:11">
      <c r="A456" s="333">
        <v>12</v>
      </c>
      <c r="B456" s="353" t="s">
        <v>59</v>
      </c>
      <c r="C456" s="353"/>
      <c r="D456" s="344"/>
      <c r="E456" s="196"/>
      <c r="F456" s="353"/>
      <c r="G456" s="547"/>
      <c r="H456" s="537"/>
      <c r="I456" s="538"/>
    </row>
    <row r="457" spans="1:11">
      <c r="A457" s="333">
        <v>13</v>
      </c>
      <c r="B457" s="353"/>
      <c r="C457" s="511" t="str">
        <f>'FR-16(7)(v)-1 Functional'!C457</f>
        <v>GENERAL DEPRECIATION</v>
      </c>
      <c r="D457" s="344" t="str">
        <f>'FR-16(7)(v)-1 Functional'!D457</f>
        <v>G229</v>
      </c>
      <c r="E457" s="196"/>
      <c r="F457" s="479">
        <f>'FR-16(7)(v)-8 TOT CLASS Alloc'!G457</f>
        <v>1606926</v>
      </c>
      <c r="G457" s="548">
        <f>'FR-16(7)(v)-5 DISTR Dem Alloc'!G457</f>
        <v>481282</v>
      </c>
      <c r="H457" s="539">
        <f>'FR-16(7)(v)-3 PROD Comm Alloc'!G457</f>
        <v>114818</v>
      </c>
      <c r="I457" s="540">
        <f>'FR-16(7)(v)-6 DISTR Cust Alloc'!G457</f>
        <v>1010826</v>
      </c>
      <c r="J457" s="347">
        <f>SUM(G457:I457)</f>
        <v>1606926</v>
      </c>
      <c r="K457" s="347">
        <f>F457-J457</f>
        <v>0</v>
      </c>
    </row>
    <row r="458" spans="1:11">
      <c r="A458" s="333">
        <v>14</v>
      </c>
      <c r="B458" s="353"/>
      <c r="C458" s="353" t="str">
        <f>'FR-16(7)(v)-1 Functional'!C458</f>
        <v xml:space="preserve">  TOTAL GENERAL DEPREC EXP.</v>
      </c>
      <c r="D458" s="344"/>
      <c r="E458" s="196"/>
      <c r="F458" s="348">
        <f t="shared" ref="F458:K458" si="90">SUM(F457:F457)</f>
        <v>1606926</v>
      </c>
      <c r="G458" s="549">
        <f t="shared" si="90"/>
        <v>481282</v>
      </c>
      <c r="H458" s="541">
        <f t="shared" si="90"/>
        <v>114818</v>
      </c>
      <c r="I458" s="542">
        <f t="shared" si="90"/>
        <v>1010826</v>
      </c>
      <c r="J458" s="348">
        <f t="shared" si="90"/>
        <v>1606926</v>
      </c>
      <c r="K458" s="348">
        <f t="shared" si="90"/>
        <v>0</v>
      </c>
    </row>
    <row r="459" spans="1:11">
      <c r="A459" s="333">
        <v>15</v>
      </c>
      <c r="B459" s="353"/>
      <c r="C459" s="353"/>
      <c r="D459" s="344"/>
      <c r="E459" s="196"/>
      <c r="F459" s="353"/>
      <c r="G459" s="547"/>
      <c r="H459" s="537"/>
      <c r="I459" s="538"/>
    </row>
    <row r="460" spans="1:11">
      <c r="A460" s="333">
        <v>16</v>
      </c>
      <c r="B460" s="353" t="s">
        <v>60</v>
      </c>
      <c r="C460" s="353"/>
      <c r="D460" s="344"/>
      <c r="E460" s="196"/>
      <c r="F460" s="476"/>
      <c r="G460" s="548"/>
      <c r="H460" s="539"/>
      <c r="I460" s="540"/>
      <c r="J460" s="347"/>
      <c r="K460" s="347"/>
    </row>
    <row r="461" spans="1:11">
      <c r="A461" s="333">
        <v>17</v>
      </c>
      <c r="B461" s="353"/>
      <c r="C461" s="511" t="str">
        <f>'FR-16(7)(v)-1 Functional'!C461</f>
        <v>COMMON DEPRECIATION</v>
      </c>
      <c r="D461" s="344" t="str">
        <f>'FR-16(7)(v)-1 Functional'!D461</f>
        <v>C229</v>
      </c>
      <c r="E461" s="196"/>
      <c r="F461" s="479">
        <f>'FR-16(7)(v)-8 TOT CLASS Alloc'!G461</f>
        <v>93287</v>
      </c>
      <c r="G461" s="548">
        <f>'FR-16(7)(v)-5 DISTR Dem Alloc'!G461</f>
        <v>27940</v>
      </c>
      <c r="H461" s="539">
        <f>'FR-16(7)(v)-3 PROD Comm Alloc'!G461</f>
        <v>6666</v>
      </c>
      <c r="I461" s="540">
        <f>'FR-16(7)(v)-6 DISTR Cust Alloc'!G461</f>
        <v>58681</v>
      </c>
      <c r="J461" s="347">
        <f>SUM(G461:I461)</f>
        <v>93287</v>
      </c>
      <c r="K461" s="347">
        <f>F461-J461</f>
        <v>0</v>
      </c>
    </row>
    <row r="462" spans="1:11">
      <c r="A462" s="333">
        <v>18</v>
      </c>
      <c r="B462" s="353"/>
      <c r="C462" s="353" t="str">
        <f>'FR-16(7)(v)-1 Functional'!C462</f>
        <v xml:space="preserve">  TOTAL COM &amp; OTHER DEPREC EXP.</v>
      </c>
      <c r="D462" s="344"/>
      <c r="E462" s="196"/>
      <c r="F462" s="348">
        <f t="shared" ref="F462:K462" si="91">SUM(F461:F461)</f>
        <v>93287</v>
      </c>
      <c r="G462" s="549">
        <f t="shared" si="91"/>
        <v>27940</v>
      </c>
      <c r="H462" s="541">
        <f t="shared" si="91"/>
        <v>6666</v>
      </c>
      <c r="I462" s="542">
        <f t="shared" si="91"/>
        <v>58681</v>
      </c>
      <c r="J462" s="348">
        <f t="shared" si="91"/>
        <v>93287</v>
      </c>
      <c r="K462" s="348">
        <f t="shared" si="91"/>
        <v>0</v>
      </c>
    </row>
    <row r="463" spans="1:11">
      <c r="A463" s="333">
        <v>19</v>
      </c>
      <c r="B463" s="353"/>
      <c r="C463" s="353"/>
      <c r="D463" s="344"/>
      <c r="E463" s="196"/>
      <c r="G463" s="547"/>
      <c r="H463" s="537"/>
      <c r="I463" s="538"/>
    </row>
    <row r="464" spans="1:11">
      <c r="A464" s="333">
        <v>20</v>
      </c>
      <c r="B464" s="353"/>
      <c r="C464" s="353"/>
      <c r="D464" s="344"/>
      <c r="E464" s="196"/>
      <c r="G464" s="547"/>
      <c r="H464" s="537"/>
      <c r="I464" s="538"/>
    </row>
    <row r="465" spans="1:12">
      <c r="A465" s="333">
        <v>21</v>
      </c>
      <c r="B465" s="353" t="s">
        <v>61</v>
      </c>
      <c r="C465" s="353"/>
      <c r="D465" s="344"/>
      <c r="E465" s="332" t="s">
        <v>343</v>
      </c>
      <c r="F465" s="347">
        <f t="shared" ref="F465:K465" si="92">F462+F458+F454+F450+F447</f>
        <v>10203657</v>
      </c>
      <c r="G465" s="550">
        <f t="shared" si="92"/>
        <v>4239883</v>
      </c>
      <c r="H465" s="543">
        <f t="shared" si="92"/>
        <v>248589</v>
      </c>
      <c r="I465" s="544">
        <f t="shared" si="92"/>
        <v>5715185</v>
      </c>
      <c r="J465" s="347">
        <f t="shared" si="92"/>
        <v>10203657</v>
      </c>
      <c r="K465" s="347">
        <f t="shared" si="92"/>
        <v>0</v>
      </c>
    </row>
    <row r="466" spans="1:12">
      <c r="B466" s="343"/>
      <c r="C466" s="196"/>
      <c r="D466" s="344"/>
      <c r="E466" s="196"/>
      <c r="F466" s="196"/>
      <c r="G466" s="196"/>
      <c r="H466" s="196"/>
      <c r="I466" s="196"/>
      <c r="J466" s="196"/>
      <c r="K466" s="196"/>
    </row>
    <row r="467" spans="1:12">
      <c r="A467" s="343" t="str">
        <f>co_name</f>
        <v>DUKE ENERGY KENTUCKY, INC.</v>
      </c>
      <c r="C467" s="196"/>
      <c r="D467" s="344"/>
      <c r="E467" s="196"/>
      <c r="F467" s="196"/>
      <c r="G467" s="196"/>
      <c r="H467" s="196"/>
      <c r="I467" s="196"/>
      <c r="J467" s="196" t="str">
        <f>$J$1</f>
        <v>FR-16(7)(v)-9</v>
      </c>
      <c r="K467" s="196"/>
    </row>
    <row r="468" spans="1:12">
      <c r="A468" s="343" t="str">
        <f>$A$2</f>
        <v>RESIDENTIAL CLASSIFIED - GAS COST OF SERVICE</v>
      </c>
      <c r="C468" s="196"/>
      <c r="D468" s="344"/>
      <c r="E468" s="196"/>
      <c r="F468" s="196"/>
      <c r="G468" s="196"/>
      <c r="H468" s="196"/>
      <c r="I468" s="196"/>
      <c r="J468" s="196" t="str">
        <f>$J$2</f>
        <v>WITNESS RESPONSIBLE:</v>
      </c>
      <c r="K468" s="196"/>
    </row>
    <row r="469" spans="1:12">
      <c r="A469" s="343" t="str">
        <f>case_name</f>
        <v>CASE NO: 2018-00261</v>
      </c>
      <c r="C469" s="196"/>
      <c r="D469" s="344"/>
      <c r="E469" s="196"/>
      <c r="F469" s="196"/>
      <c r="G469" s="196"/>
      <c r="H469" s="196"/>
      <c r="I469" s="196"/>
      <c r="J469" s="196" t="str">
        <f>Witness</f>
        <v>JAMES E. ZIOLKOWSKI</v>
      </c>
      <c r="K469" s="196"/>
    </row>
    <row r="470" spans="1:12">
      <c r="A470" s="343" t="str">
        <f>data_filing</f>
        <v>DATA: 12 MONTH FORECASTED PERIOD</v>
      </c>
      <c r="C470" s="196"/>
      <c r="D470" s="344"/>
      <c r="E470" s="196"/>
      <c r="F470" s="196"/>
      <c r="G470" s="196"/>
      <c r="H470" s="196"/>
      <c r="I470" s="196"/>
      <c r="J470" s="196" t="str">
        <f>"PAGE "&amp;Pages2-4&amp;" OF "&amp;Pages2</f>
        <v>PAGE 11 OF 15</v>
      </c>
      <c r="K470" s="196"/>
    </row>
    <row r="471" spans="1:12">
      <c r="A471" s="343" t="str">
        <f>type</f>
        <v xml:space="preserve">TYPE OF FILING: "X" ORIGINAL   UPDATED    REVISED  </v>
      </c>
      <c r="C471" s="196"/>
      <c r="D471" s="344"/>
      <c r="E471" s="196"/>
      <c r="F471" s="196"/>
      <c r="G471" s="196"/>
      <c r="H471" s="196"/>
      <c r="I471" s="196"/>
      <c r="J471" s="196"/>
      <c r="K471" s="196"/>
    </row>
    <row r="472" spans="1:12">
      <c r="B472" s="343"/>
      <c r="C472" s="196"/>
      <c r="D472" s="344"/>
      <c r="E472" s="196"/>
      <c r="F472" s="196"/>
      <c r="G472" s="196"/>
      <c r="H472" s="196"/>
      <c r="I472" s="196"/>
      <c r="J472" s="196"/>
      <c r="K472" s="196"/>
    </row>
    <row r="473" spans="1:12">
      <c r="B473" s="343"/>
      <c r="C473" s="196"/>
      <c r="D473" s="344"/>
      <c r="E473" s="196"/>
      <c r="F473" s="196"/>
      <c r="G473" s="196"/>
      <c r="H473" s="196"/>
      <c r="I473" s="196"/>
      <c r="J473" s="196"/>
      <c r="K473" s="196"/>
    </row>
    <row r="474" spans="1:12">
      <c r="A474" s="344" t="s">
        <v>914</v>
      </c>
      <c r="B474" s="196"/>
      <c r="C474" s="196"/>
      <c r="D474" s="344"/>
      <c r="E474" s="196"/>
      <c r="F474" s="344" t="s">
        <v>229</v>
      </c>
      <c r="G474" s="545" t="s">
        <v>1005</v>
      </c>
      <c r="H474" s="533"/>
      <c r="I474" s="534"/>
      <c r="J474" s="344" t="s">
        <v>229</v>
      </c>
      <c r="K474" s="344" t="s">
        <v>342</v>
      </c>
    </row>
    <row r="475" spans="1:12">
      <c r="A475" s="346" t="s">
        <v>915</v>
      </c>
      <c r="B475" s="345" t="s">
        <v>62</v>
      </c>
      <c r="C475" s="345"/>
      <c r="D475" s="346" t="s">
        <v>337</v>
      </c>
      <c r="E475" s="345"/>
      <c r="F475" s="346" t="str">
        <f>$F$9</f>
        <v>RESIDENTIAL</v>
      </c>
      <c r="G475" s="546" t="s">
        <v>847</v>
      </c>
      <c r="H475" s="535" t="s">
        <v>848</v>
      </c>
      <c r="I475" s="536" t="s">
        <v>849</v>
      </c>
      <c r="J475" s="346" t="s">
        <v>341</v>
      </c>
      <c r="K475" s="346" t="s">
        <v>340</v>
      </c>
      <c r="L475" s="365"/>
    </row>
    <row r="476" spans="1:12">
      <c r="C476" s="578" t="s">
        <v>350</v>
      </c>
      <c r="D476" s="344"/>
      <c r="E476" s="196"/>
      <c r="F476" s="510"/>
      <c r="G476" s="800">
        <f>$G$10</f>
        <v>3</v>
      </c>
      <c r="H476" s="801">
        <f>$H$10</f>
        <v>4</v>
      </c>
      <c r="I476" s="802">
        <f>$I$10</f>
        <v>5</v>
      </c>
      <c r="J476" s="510"/>
      <c r="K476" s="510"/>
    </row>
    <row r="477" spans="1:12">
      <c r="A477" s="333">
        <v>1</v>
      </c>
      <c r="B477" s="332" t="s">
        <v>63</v>
      </c>
      <c r="D477" s="344"/>
      <c r="E477" s="196"/>
      <c r="G477" s="547"/>
      <c r="H477" s="537"/>
      <c r="I477" s="538"/>
    </row>
    <row r="478" spans="1:12">
      <c r="A478" s="333">
        <v>2</v>
      </c>
      <c r="B478" s="332" t="s">
        <v>64</v>
      </c>
      <c r="D478" s="344"/>
      <c r="E478" s="196"/>
      <c r="G478" s="547"/>
      <c r="H478" s="537"/>
      <c r="I478" s="538"/>
    </row>
    <row r="479" spans="1:12">
      <c r="A479" s="333">
        <v>3</v>
      </c>
      <c r="C479" s="332" t="str">
        <f>'FR-16(7)(v)-1 Functional'!C479</f>
        <v>REAL ESTATE &amp; PROPERTY TAX</v>
      </c>
      <c r="D479" s="344" t="str">
        <f>'FR-16(7)(v)-1 Functional'!D479</f>
        <v>NP29</v>
      </c>
      <c r="E479" s="196"/>
      <c r="F479" s="479">
        <f>'FR-16(7)(v)-8 TOT CLASS Alloc'!G479</f>
        <v>2355270</v>
      </c>
      <c r="G479" s="548">
        <f>'FR-16(7)(v)-5 DISTR Dem Alloc'!$G$479</f>
        <v>1030817</v>
      </c>
      <c r="H479" s="539">
        <f>'FR-16(7)(v)-3 PROD Comm Alloc'!$G$479</f>
        <v>13383</v>
      </c>
      <c r="I479" s="540">
        <f>'FR-16(7)(v)-6 DISTR Cust Alloc'!$G$479</f>
        <v>1311070</v>
      </c>
      <c r="J479" s="347">
        <f>SUM($G$479:$I$479)</f>
        <v>2355270</v>
      </c>
      <c r="K479" s="347">
        <f>F479-$J$479</f>
        <v>0</v>
      </c>
    </row>
    <row r="480" spans="1:12">
      <c r="A480" s="333">
        <v>4</v>
      </c>
      <c r="C480" s="359" t="str">
        <f>'FR-16(7)(v)-1 Functional'!C480</f>
        <v>ANNUALIZE PROPERTY TAX</v>
      </c>
      <c r="D480" s="344" t="str">
        <f>'FR-16(7)(v)-1 Functional'!D480</f>
        <v>NP29</v>
      </c>
      <c r="E480" s="196" t="s">
        <v>343</v>
      </c>
      <c r="F480" s="479">
        <f>'FR-16(7)(v)-8 TOT CLASS Alloc'!G480</f>
        <v>0</v>
      </c>
      <c r="G480" s="548">
        <f>'FR-16(7)(v)-5 DISTR Dem Alloc'!$G$480</f>
        <v>0</v>
      </c>
      <c r="H480" s="539">
        <f>'FR-16(7)(v)-3 PROD Comm Alloc'!$G$480</f>
        <v>0</v>
      </c>
      <c r="I480" s="540">
        <f>'FR-16(7)(v)-6 DISTR Cust Alloc'!$G$480</f>
        <v>0</v>
      </c>
      <c r="J480" s="347">
        <f>SUM($G$480:$I$480)</f>
        <v>0</v>
      </c>
      <c r="K480" s="347">
        <f>F480-$J$480</f>
        <v>0</v>
      </c>
    </row>
    <row r="481" spans="1:11">
      <c r="A481" s="333">
        <v>5</v>
      </c>
      <c r="C481" s="332" t="str">
        <f>'FR-16(7)(v)-1 Functional'!C481</f>
        <v xml:space="preserve">  TOTAL REAL ESTATE &amp; PROPERTY TAX</v>
      </c>
      <c r="D481" s="344"/>
      <c r="E481" s="196"/>
      <c r="F481" s="348">
        <f>SUM(F479:F480)</f>
        <v>2355270</v>
      </c>
      <c r="G481" s="549">
        <f>SUM($G$479:$G$480)</f>
        <v>1030817</v>
      </c>
      <c r="H481" s="541">
        <f>SUM($H$479:$H$480)</f>
        <v>13383</v>
      </c>
      <c r="I481" s="542">
        <f>SUM($I$479:$I$480)</f>
        <v>1311070</v>
      </c>
      <c r="J481" s="348">
        <f>SUM($J$479:$J$480)</f>
        <v>2355270</v>
      </c>
      <c r="K481" s="348">
        <f>SUM($K$479:$K$480)</f>
        <v>0</v>
      </c>
    </row>
    <row r="482" spans="1:11">
      <c r="A482" s="333">
        <v>6</v>
      </c>
      <c r="D482" s="344"/>
      <c r="E482" s="196"/>
      <c r="F482" s="353"/>
      <c r="G482" s="547"/>
      <c r="H482" s="537"/>
      <c r="I482" s="538"/>
    </row>
    <row r="483" spans="1:11">
      <c r="A483" s="333">
        <v>7</v>
      </c>
      <c r="B483" s="332" t="s">
        <v>65</v>
      </c>
      <c r="D483" s="344"/>
      <c r="E483" s="196"/>
      <c r="F483" s="353"/>
      <c r="G483" s="547"/>
      <c r="H483" s="537"/>
      <c r="I483" s="538"/>
    </row>
    <row r="484" spans="1:11">
      <c r="A484" s="333">
        <v>8</v>
      </c>
      <c r="C484" s="332" t="str">
        <f>'FR-16(7)(v)-1 Functional'!C484</f>
        <v>PAYROLL &amp; HIGHWAY</v>
      </c>
      <c r="D484" s="344" t="str">
        <f>'FR-16(7)(v)-1 Functional'!D484</f>
        <v>AG39</v>
      </c>
      <c r="E484" s="196"/>
      <c r="F484" s="479">
        <f>'FR-16(7)(v)-8 TOT CLASS Alloc'!G484</f>
        <v>519003</v>
      </c>
      <c r="G484" s="548">
        <f>'FR-16(7)(v)-5 DISTR Dem Alloc'!$G$484</f>
        <v>155448</v>
      </c>
      <c r="H484" s="539">
        <f>'FR-16(7)(v)-3 PROD Comm Alloc'!$G$484</f>
        <v>37069</v>
      </c>
      <c r="I484" s="540">
        <f>'FR-16(7)(v)-6 DISTR Cust Alloc'!$G$484</f>
        <v>326486</v>
      </c>
      <c r="J484" s="347">
        <f>SUM($G$484:$I$484)</f>
        <v>519003</v>
      </c>
      <c r="K484" s="347">
        <f>F484-$J$484</f>
        <v>0</v>
      </c>
    </row>
    <row r="485" spans="1:11">
      <c r="A485" s="333">
        <v>9</v>
      </c>
      <c r="C485" s="332" t="str">
        <f>'FR-16(7)(v)-1 Functional'!C485</f>
        <v>UNEMPLOYMENT COMPENSATION</v>
      </c>
      <c r="D485" s="344" t="str">
        <f>'FR-16(7)(v)-1 Functional'!D485</f>
        <v>AG39</v>
      </c>
      <c r="E485" s="196"/>
      <c r="F485" s="479">
        <f>'FR-16(7)(v)-8 TOT CLASS Alloc'!G485</f>
        <v>0</v>
      </c>
      <c r="G485" s="548">
        <f>'FR-16(7)(v)-5 DISTR Dem Alloc'!$G$485</f>
        <v>0</v>
      </c>
      <c r="H485" s="539">
        <f>'FR-16(7)(v)-3 PROD Comm Alloc'!$G$485</f>
        <v>0</v>
      </c>
      <c r="I485" s="540">
        <f>'FR-16(7)(v)-6 DISTR Cust Alloc'!$G$485</f>
        <v>0</v>
      </c>
      <c r="J485" s="347">
        <f>SUM($G$485:$I$485)</f>
        <v>0</v>
      </c>
      <c r="K485" s="347">
        <f>F485-$J$485</f>
        <v>0</v>
      </c>
    </row>
    <row r="486" spans="1:11">
      <c r="A486" s="333">
        <v>10</v>
      </c>
      <c r="C486" s="332" t="str">
        <f>'FR-16(7)(v)-1 Functional'!C486</f>
        <v>OHIO EXCISE TAX</v>
      </c>
      <c r="D486" s="354" t="str">
        <f>'FR-16(7)(v)-1 Functional'!D486</f>
        <v>OM39</v>
      </c>
      <c r="E486" s="196"/>
      <c r="F486" s="479">
        <f>'FR-16(7)(v)-8 TOT CLASS Alloc'!G486</f>
        <v>0</v>
      </c>
      <c r="G486" s="548">
        <f>'FR-16(7)(v)-5 DISTR Dem Alloc'!$G$486</f>
        <v>0</v>
      </c>
      <c r="H486" s="539">
        <f>'FR-16(7)(v)-3 PROD Comm Alloc'!$G$486</f>
        <v>0</v>
      </c>
      <c r="I486" s="540">
        <f>'FR-16(7)(v)-6 DISTR Cust Alloc'!$G$486</f>
        <v>0</v>
      </c>
      <c r="J486" s="347">
        <f>SUM($G$486:$I$486)</f>
        <v>0</v>
      </c>
      <c r="K486" s="347">
        <f>F486-$J$486</f>
        <v>0</v>
      </c>
    </row>
    <row r="487" spans="1:11">
      <c r="A487" s="333">
        <v>11</v>
      </c>
      <c r="C487" s="359" t="str">
        <f>'FR-16(7)(v)-1 Functional'!C487</f>
        <v>STATE TAX RIDER</v>
      </c>
      <c r="D487" s="354" t="str">
        <f>'FR-16(7)(v)-1 Functional'!D487</f>
        <v>OM39</v>
      </c>
      <c r="E487" s="196"/>
      <c r="F487" s="479">
        <f>'FR-16(7)(v)-8 TOT CLASS Alloc'!G487</f>
        <v>0</v>
      </c>
      <c r="G487" s="548">
        <f>'FR-16(7)(v)-5 DISTR Dem Alloc'!$G$487</f>
        <v>0</v>
      </c>
      <c r="H487" s="539">
        <f>'FR-16(7)(v)-3 PROD Comm Alloc'!$G$487</f>
        <v>0</v>
      </c>
      <c r="I487" s="540">
        <f>'FR-16(7)(v)-6 DISTR Cust Alloc'!$G$487</f>
        <v>0</v>
      </c>
      <c r="J487" s="347">
        <f>SUM($G$487:$I$487)</f>
        <v>0</v>
      </c>
      <c r="K487" s="347">
        <f>F487-$J$487</f>
        <v>0</v>
      </c>
    </row>
    <row r="488" spans="1:11">
      <c r="A488" s="333">
        <v>12</v>
      </c>
      <c r="C488" s="332" t="str">
        <f>'FR-16(7)(v)-1 Functional'!C488</f>
        <v xml:space="preserve">  TOTAL MISCELLANEOUS TAXES</v>
      </c>
      <c r="D488" s="344"/>
      <c r="E488" s="196"/>
      <c r="F488" s="348">
        <f>SUM(F484:F487)</f>
        <v>519003</v>
      </c>
      <c r="G488" s="549">
        <f>SUM($G$484:$G$487)</f>
        <v>155448</v>
      </c>
      <c r="H488" s="541">
        <f>SUM($H$484:$H$487)</f>
        <v>37069</v>
      </c>
      <c r="I488" s="542">
        <f>SUM($I$484:$I$487)</f>
        <v>326486</v>
      </c>
      <c r="J488" s="348">
        <f>SUM($J$484:$J$487)</f>
        <v>519003</v>
      </c>
      <c r="K488" s="348">
        <f>SUM($K$484:$K$487)</f>
        <v>0</v>
      </c>
    </row>
    <row r="489" spans="1:11">
      <c r="A489" s="333">
        <v>13</v>
      </c>
      <c r="D489" s="344"/>
      <c r="E489" s="196"/>
      <c r="F489" s="353"/>
      <c r="G489" s="547"/>
      <c r="H489" s="537"/>
      <c r="I489" s="538"/>
    </row>
    <row r="490" spans="1:11">
      <c r="A490" s="333">
        <v>14</v>
      </c>
      <c r="B490" s="332" t="s">
        <v>66</v>
      </c>
      <c r="D490" s="344"/>
      <c r="E490" s="196"/>
      <c r="F490" s="353"/>
      <c r="G490" s="547"/>
      <c r="H490" s="537"/>
      <c r="I490" s="538"/>
    </row>
    <row r="491" spans="1:11">
      <c r="A491" s="333">
        <v>15</v>
      </c>
      <c r="C491" s="332" t="str">
        <f>'FR-16(7)(v)-1 Functional'!C491</f>
        <v>PSC MAINT. EXP ON INCREASE</v>
      </c>
      <c r="D491" s="344" t="str">
        <f>'FR-16(7)(v)-1 Functional'!D491</f>
        <v>AG39</v>
      </c>
      <c r="E491" s="196"/>
      <c r="F491" s="479">
        <f>'FR-16(7)(v)-8 TOT CLASS Alloc'!G491</f>
        <v>15434</v>
      </c>
      <c r="G491" s="548">
        <f>'FR-16(7)(v)-5 DISTR Dem Alloc'!$G$491</f>
        <v>4623</v>
      </c>
      <c r="H491" s="539">
        <f>'FR-16(7)(v)-3 PROD Comm Alloc'!$G$491</f>
        <v>1102</v>
      </c>
      <c r="I491" s="540">
        <f>'FR-16(7)(v)-6 DISTR Cust Alloc'!$G$491</f>
        <v>9709</v>
      </c>
      <c r="J491" s="347">
        <f>SUM($G$491:$I$491)</f>
        <v>15434</v>
      </c>
      <c r="K491" s="347">
        <f>F491-$J$491</f>
        <v>0</v>
      </c>
    </row>
    <row r="492" spans="1:11">
      <c r="A492" s="333">
        <v>16</v>
      </c>
      <c r="C492" s="359" t="str">
        <f>'FR-16(7)(v)-1 Functional'!C492</f>
        <v>RESERVED FOR FUTURE USE</v>
      </c>
      <c r="D492" s="344" t="str">
        <f>'FR-16(7)(v)-1 Functional'!D492</f>
        <v>AG39</v>
      </c>
      <c r="E492" s="196"/>
      <c r="F492" s="479">
        <f>'FR-16(7)(v)-8 TOT CLASS Alloc'!G492</f>
        <v>0</v>
      </c>
      <c r="G492" s="548">
        <f>'FR-16(7)(v)-5 DISTR Dem Alloc'!$G$492</f>
        <v>0</v>
      </c>
      <c r="H492" s="539">
        <f>'FR-16(7)(v)-3 PROD Comm Alloc'!$G$492</f>
        <v>0</v>
      </c>
      <c r="I492" s="540">
        <f>'FR-16(7)(v)-6 DISTR Cust Alloc'!$G$492</f>
        <v>0</v>
      </c>
      <c r="J492" s="347">
        <f>SUM($G$492:$I$492)</f>
        <v>0</v>
      </c>
      <c r="K492" s="347">
        <f>F492-$J$492</f>
        <v>0</v>
      </c>
    </row>
    <row r="493" spans="1:11">
      <c r="A493" s="333">
        <v>17</v>
      </c>
      <c r="C493" s="332" t="str">
        <f>'FR-16(7)(v)-1 Functional'!C493</f>
        <v xml:space="preserve">  TOTAL MISCELLANEOUS EXPENSES</v>
      </c>
      <c r="D493" s="344"/>
      <c r="E493" s="196"/>
      <c r="F493" s="480">
        <f>SUM(F491:F492)</f>
        <v>15434</v>
      </c>
      <c r="G493" s="549">
        <f>SUM($G$491:$G$492)</f>
        <v>4623</v>
      </c>
      <c r="H493" s="541">
        <f>SUM($H$491:$H$492)</f>
        <v>1102</v>
      </c>
      <c r="I493" s="542">
        <f>SUM($I$491:$I$492)</f>
        <v>9709</v>
      </c>
      <c r="J493" s="348">
        <f>SUM($J$491:$J$492)</f>
        <v>15434</v>
      </c>
      <c r="K493" s="348">
        <f>SUM($K$491:$K$492)</f>
        <v>0</v>
      </c>
    </row>
    <row r="494" spans="1:11">
      <c r="A494" s="333">
        <v>18</v>
      </c>
      <c r="D494" s="344"/>
      <c r="E494" s="196"/>
      <c r="G494" s="547"/>
      <c r="H494" s="537"/>
      <c r="I494" s="538"/>
    </row>
    <row r="495" spans="1:11">
      <c r="A495" s="333">
        <v>19</v>
      </c>
      <c r="B495" s="332" t="s">
        <v>67</v>
      </c>
      <c r="D495" s="344"/>
      <c r="E495" s="196" t="s">
        <v>343</v>
      </c>
      <c r="F495" s="347">
        <f>F488+F481+F493</f>
        <v>2889707</v>
      </c>
      <c r="G495" s="548">
        <f>$G$488+$G$481+$G$493</f>
        <v>1190888</v>
      </c>
      <c r="H495" s="539">
        <f>$H$488+$H$481+$H$493</f>
        <v>51554</v>
      </c>
      <c r="I495" s="540">
        <f>$I$488+$I$481+$I$493</f>
        <v>1647265</v>
      </c>
      <c r="J495" s="347">
        <f>$J$488+$J$481+$J$493</f>
        <v>2889707</v>
      </c>
      <c r="K495" s="347">
        <f>$K$488+$K$481+$K$493</f>
        <v>0</v>
      </c>
    </row>
    <row r="496" spans="1:11">
      <c r="A496" s="333">
        <v>20</v>
      </c>
      <c r="D496" s="344"/>
      <c r="E496" s="196"/>
      <c r="G496" s="547"/>
      <c r="H496" s="537"/>
      <c r="I496" s="538"/>
    </row>
    <row r="497" spans="1:11">
      <c r="A497" s="333">
        <v>21</v>
      </c>
      <c r="B497" s="332" t="s">
        <v>40</v>
      </c>
      <c r="D497" s="344"/>
      <c r="E497" s="196"/>
      <c r="G497" s="547"/>
      <c r="H497" s="537"/>
      <c r="I497" s="538"/>
    </row>
    <row r="498" spans="1:11">
      <c r="A498" s="333">
        <v>22</v>
      </c>
      <c r="C498" s="332" t="str">
        <f>'FR-16(7)(v)-1 Functional'!C498</f>
        <v>TOTAL O&amp;M EXPENSE</v>
      </c>
      <c r="D498" s="344"/>
      <c r="E498" s="196"/>
      <c r="F498" s="347">
        <f t="shared" ref="F498:K498" si="93">F433</f>
        <v>35800714</v>
      </c>
      <c r="G498" s="548">
        <f t="shared" si="93"/>
        <v>6145478</v>
      </c>
      <c r="H498" s="539">
        <f t="shared" si="93"/>
        <v>19213586</v>
      </c>
      <c r="I498" s="540">
        <f t="shared" si="93"/>
        <v>10441650</v>
      </c>
      <c r="J498" s="347">
        <f t="shared" si="93"/>
        <v>35800714</v>
      </c>
      <c r="K498" s="347">
        <f t="shared" si="93"/>
        <v>0</v>
      </c>
    </row>
    <row r="499" spans="1:11">
      <c r="A499" s="333">
        <v>23</v>
      </c>
      <c r="C499" s="332" t="str">
        <f>'FR-16(7)(v)-1 Functional'!C499</f>
        <v>TOTAL DEPRECIATION EXPENSE</v>
      </c>
      <c r="D499" s="344"/>
      <c r="E499" s="196"/>
      <c r="F499" s="347">
        <f t="shared" ref="F499:K499" si="94">F465</f>
        <v>10203657</v>
      </c>
      <c r="G499" s="548">
        <f t="shared" si="94"/>
        <v>4239883</v>
      </c>
      <c r="H499" s="539">
        <f t="shared" si="94"/>
        <v>248589</v>
      </c>
      <c r="I499" s="540">
        <f t="shared" si="94"/>
        <v>5715185</v>
      </c>
      <c r="J499" s="347">
        <f t="shared" si="94"/>
        <v>10203657</v>
      </c>
      <c r="K499" s="347">
        <f t="shared" si="94"/>
        <v>0</v>
      </c>
    </row>
    <row r="500" spans="1:11">
      <c r="A500" s="333">
        <v>24</v>
      </c>
      <c r="C500" s="359" t="str">
        <f>'FR-16(7)(v)-1 Functional'!C500</f>
        <v>TOTAL OTHER TAX &amp; MISC EXPENSE</v>
      </c>
      <c r="D500" s="344"/>
      <c r="E500" s="196"/>
      <c r="F500" s="347">
        <f>F495</f>
        <v>2889707</v>
      </c>
      <c r="G500" s="548">
        <f>$G$495</f>
        <v>1190888</v>
      </c>
      <c r="H500" s="539">
        <f>$H$495</f>
        <v>51554</v>
      </c>
      <c r="I500" s="540">
        <f>$I$495</f>
        <v>1647265</v>
      </c>
      <c r="J500" s="347">
        <f>$J$495</f>
        <v>2889707</v>
      </c>
      <c r="K500" s="347">
        <f>$K$495</f>
        <v>0</v>
      </c>
    </row>
    <row r="501" spans="1:11">
      <c r="A501" s="333">
        <v>25</v>
      </c>
      <c r="C501" s="332" t="str">
        <f>'FR-16(7)(v)-1 Functional'!C501</f>
        <v xml:space="preserve">  TOTAL OPER EXP EXCL INCOME &amp; REV TAX</v>
      </c>
      <c r="D501" s="344"/>
      <c r="E501" s="196"/>
      <c r="F501" s="348">
        <f>SUM(F498:F500)</f>
        <v>48894078</v>
      </c>
      <c r="G501" s="557">
        <f>SUM($G$498:$G$500)</f>
        <v>11576249</v>
      </c>
      <c r="H501" s="558">
        <f>SUM($H$498:$H$500)</f>
        <v>19513729</v>
      </c>
      <c r="I501" s="559">
        <f>SUM($I$498:$I$500)</f>
        <v>17804100</v>
      </c>
      <c r="J501" s="348">
        <f>SUM($J$498:$J$500)</f>
        <v>48894078</v>
      </c>
      <c r="K501" s="348">
        <f>SUM($K$498:$K$500)</f>
        <v>0</v>
      </c>
    </row>
    <row r="502" spans="1:11">
      <c r="B502" s="343"/>
      <c r="C502" s="196"/>
      <c r="D502" s="344"/>
      <c r="E502" s="196"/>
      <c r="F502" s="196"/>
      <c r="G502" s="196"/>
      <c r="H502" s="196"/>
      <c r="I502" s="196"/>
      <c r="J502" s="196"/>
      <c r="K502" s="196"/>
    </row>
    <row r="503" spans="1:11">
      <c r="A503" s="343" t="str">
        <f>co_name</f>
        <v>DUKE ENERGY KENTUCKY, INC.</v>
      </c>
      <c r="C503" s="196"/>
      <c r="D503" s="344"/>
      <c r="E503" s="196"/>
      <c r="F503" s="196"/>
      <c r="G503" s="196"/>
      <c r="H503" s="196"/>
      <c r="I503" s="196"/>
      <c r="J503" s="196" t="str">
        <f>$J$1</f>
        <v>FR-16(7)(v)-9</v>
      </c>
      <c r="K503" s="196"/>
    </row>
    <row r="504" spans="1:11">
      <c r="A504" s="343" t="str">
        <f>$A$2</f>
        <v>RESIDENTIAL CLASSIFIED - GAS COST OF SERVICE</v>
      </c>
      <c r="C504" s="196"/>
      <c r="D504" s="344"/>
      <c r="E504" s="196"/>
      <c r="F504" s="196"/>
      <c r="G504" s="196"/>
      <c r="H504" s="196"/>
      <c r="I504" s="196"/>
      <c r="J504" s="196" t="str">
        <f>$J$2</f>
        <v>WITNESS RESPONSIBLE:</v>
      </c>
      <c r="K504" s="196"/>
    </row>
    <row r="505" spans="1:11">
      <c r="A505" s="343" t="str">
        <f>case_name</f>
        <v>CASE NO: 2018-00261</v>
      </c>
      <c r="C505" s="196"/>
      <c r="D505" s="344"/>
      <c r="E505" s="196"/>
      <c r="F505" s="196"/>
      <c r="G505" s="196"/>
      <c r="H505" s="196"/>
      <c r="I505" s="196"/>
      <c r="J505" s="196" t="str">
        <f>Witness</f>
        <v>JAMES E. ZIOLKOWSKI</v>
      </c>
      <c r="K505" s="196"/>
    </row>
    <row r="506" spans="1:11">
      <c r="A506" s="343" t="str">
        <f>data_filing</f>
        <v>DATA: 12 MONTH FORECASTED PERIOD</v>
      </c>
      <c r="C506" s="196"/>
      <c r="D506" s="344"/>
      <c r="E506" s="196"/>
      <c r="F506" s="196"/>
      <c r="G506" s="196"/>
      <c r="H506" s="196"/>
      <c r="I506" s="196"/>
      <c r="J506" s="196" t="str">
        <f>"PAGE "&amp;Pages2-3&amp;" OF "&amp;Pages2</f>
        <v>PAGE 12 OF 15</v>
      </c>
      <c r="K506" s="196"/>
    </row>
    <row r="507" spans="1:11">
      <c r="A507" s="343" t="str">
        <f>type</f>
        <v xml:space="preserve">TYPE OF FILING: "X" ORIGINAL   UPDATED    REVISED  </v>
      </c>
      <c r="C507" s="196"/>
      <c r="D507" s="344"/>
      <c r="E507" s="196"/>
      <c r="F507" s="196"/>
      <c r="G507" s="196"/>
      <c r="H507" s="196"/>
      <c r="I507" s="196"/>
      <c r="J507" s="196"/>
      <c r="K507" s="196"/>
    </row>
    <row r="508" spans="1:11">
      <c r="B508" s="343"/>
      <c r="C508" s="196"/>
      <c r="D508" s="344"/>
      <c r="E508" s="196"/>
      <c r="F508" s="196"/>
      <c r="G508" s="196"/>
      <c r="H508" s="196"/>
      <c r="I508" s="196"/>
      <c r="J508" s="196"/>
      <c r="K508" s="196"/>
    </row>
    <row r="509" spans="1:11">
      <c r="B509" s="343"/>
      <c r="C509" s="196"/>
      <c r="D509" s="344"/>
      <c r="E509" s="196"/>
      <c r="F509" s="196"/>
      <c r="G509" s="196"/>
      <c r="H509" s="196"/>
      <c r="I509" s="196"/>
      <c r="J509" s="196"/>
      <c r="K509" s="196"/>
    </row>
    <row r="510" spans="1:11">
      <c r="A510" s="344" t="s">
        <v>914</v>
      </c>
      <c r="B510" s="196"/>
      <c r="C510" s="196"/>
      <c r="D510" s="344"/>
      <c r="E510" s="196"/>
      <c r="F510" s="344" t="s">
        <v>229</v>
      </c>
      <c r="G510" s="545" t="s">
        <v>1005</v>
      </c>
      <c r="H510" s="533"/>
      <c r="I510" s="534"/>
      <c r="J510" s="344" t="s">
        <v>229</v>
      </c>
      <c r="K510" s="344" t="s">
        <v>342</v>
      </c>
    </row>
    <row r="511" spans="1:11">
      <c r="A511" s="346" t="s">
        <v>915</v>
      </c>
      <c r="B511" s="345" t="str">
        <f>'FR-16(7)(v)-1 Functional'!B511</f>
        <v>FEDERAL INCOME TAX BASED ON RETURN</v>
      </c>
      <c r="C511" s="345"/>
      <c r="D511" s="346" t="s">
        <v>337</v>
      </c>
      <c r="E511" s="345"/>
      <c r="F511" s="346" t="str">
        <f>$F$9</f>
        <v>RESIDENTIAL</v>
      </c>
      <c r="G511" s="546" t="s">
        <v>847</v>
      </c>
      <c r="H511" s="535" t="s">
        <v>848</v>
      </c>
      <c r="I511" s="536" t="s">
        <v>849</v>
      </c>
      <c r="J511" s="346" t="s">
        <v>341</v>
      </c>
      <c r="K511" s="346" t="s">
        <v>340</v>
      </c>
    </row>
    <row r="512" spans="1:11">
      <c r="C512" s="578" t="s">
        <v>351</v>
      </c>
      <c r="D512" s="344"/>
      <c r="E512" s="196"/>
      <c r="G512" s="800">
        <f>$G$10</f>
        <v>3</v>
      </c>
      <c r="H512" s="801">
        <f>$H$10</f>
        <v>4</v>
      </c>
      <c r="I512" s="802">
        <f>$I$10</f>
        <v>5</v>
      </c>
    </row>
    <row r="513" spans="1:11">
      <c r="A513" s="333">
        <v>1</v>
      </c>
      <c r="B513" s="332" t="s">
        <v>69</v>
      </c>
      <c r="D513" s="344"/>
      <c r="E513" s="196"/>
      <c r="G513" s="547"/>
      <c r="H513" s="537"/>
      <c r="I513" s="538"/>
    </row>
    <row r="514" spans="1:11">
      <c r="A514" s="333">
        <v>2</v>
      </c>
      <c r="B514" s="332" t="s">
        <v>70</v>
      </c>
      <c r="D514" s="344"/>
      <c r="E514" s="196"/>
      <c r="F514" s="332" t="s">
        <v>343</v>
      </c>
      <c r="G514" s="547"/>
      <c r="H514" s="537"/>
      <c r="I514" s="538"/>
    </row>
    <row r="515" spans="1:11">
      <c r="A515" s="333">
        <v>3</v>
      </c>
      <c r="C515" s="359" t="str">
        <f>'FR-16(7)(v)-1 Functional'!C515</f>
        <v>AUTO PROC INTEREST DED</v>
      </c>
      <c r="D515" s="344" t="str">
        <f>'FR-16(7)(v)-1 Functional'!D515</f>
        <v>RB99</v>
      </c>
      <c r="E515" s="196"/>
      <c r="F515" s="479">
        <f>'FR-16(7)(v)-8 TOT CLASS Alloc'!G515</f>
        <v>4664691</v>
      </c>
      <c r="G515" s="548">
        <f>'FR-16(7)(v)-5 DISTR Dem Alloc'!$G$515</f>
        <v>2052604</v>
      </c>
      <c r="H515" s="539">
        <f>'FR-16(7)(v)-3 PROD Comm Alloc'!$G$515</f>
        <v>73313</v>
      </c>
      <c r="I515" s="540">
        <f>'FR-16(7)(v)-6 DISTR Cust Alloc'!$G$515</f>
        <v>2538774</v>
      </c>
      <c r="J515" s="347">
        <f>SUM($G$515:$I$515)</f>
        <v>4664691</v>
      </c>
      <c r="K515" s="347">
        <f>F515-$J$515</f>
        <v>0</v>
      </c>
    </row>
    <row r="516" spans="1:11">
      <c r="A516" s="333">
        <v>4</v>
      </c>
      <c r="C516" s="332" t="str">
        <f>'FR-16(7)(v)-1 Functional'!C516</f>
        <v xml:space="preserve">  TOTAL INTEREST EXPENSE</v>
      </c>
      <c r="D516" s="344"/>
      <c r="E516" s="196"/>
      <c r="F516" s="348">
        <f>F515</f>
        <v>4664691</v>
      </c>
      <c r="G516" s="549">
        <f>$G$515</f>
        <v>2052604</v>
      </c>
      <c r="H516" s="541">
        <f>$H$515</f>
        <v>73313</v>
      </c>
      <c r="I516" s="542">
        <f>$I$515</f>
        <v>2538774</v>
      </c>
      <c r="J516" s="348">
        <f>$J$515</f>
        <v>4664691</v>
      </c>
      <c r="K516" s="348">
        <f>$K$515</f>
        <v>0</v>
      </c>
    </row>
    <row r="517" spans="1:11">
      <c r="A517" s="333">
        <v>5</v>
      </c>
      <c r="D517" s="344"/>
      <c r="E517" s="196"/>
      <c r="F517" s="353"/>
      <c r="G517" s="547"/>
      <c r="H517" s="537"/>
      <c r="I517" s="538"/>
    </row>
    <row r="518" spans="1:11">
      <c r="A518" s="333">
        <v>6</v>
      </c>
      <c r="B518" s="332" t="s">
        <v>71</v>
      </c>
      <c r="D518" s="344"/>
      <c r="E518" s="196"/>
      <c r="F518" s="353"/>
      <c r="G518" s="547"/>
      <c r="H518" s="537"/>
      <c r="I518" s="538"/>
    </row>
    <row r="519" spans="1:11">
      <c r="A519" s="333">
        <v>7</v>
      </c>
      <c r="C519" s="332" t="str">
        <f>'FR-16(7)(v)-1 Functional'!C519</f>
        <v>DEPREC EXCESS TAX-BOOK</v>
      </c>
      <c r="D519" s="344" t="str">
        <f>'FR-16(7)(v)-1 Functional'!D519</f>
        <v>DE49</v>
      </c>
      <c r="E519" s="196"/>
      <c r="F519" s="479">
        <f>'FR-16(7)(v)-8 TOT CLASS Alloc'!G519</f>
        <v>4514322</v>
      </c>
      <c r="G519" s="548">
        <f>'FR-16(7)(v)-5 DISTR Dem Alloc'!$G$519</f>
        <v>1875830</v>
      </c>
      <c r="H519" s="539">
        <f>'FR-16(7)(v)-3 PROD Comm Alloc'!$G$519</f>
        <v>109979</v>
      </c>
      <c r="I519" s="540">
        <f>'FR-16(7)(v)-6 DISTR Cust Alloc'!$G$519</f>
        <v>2528513</v>
      </c>
      <c r="J519" s="347">
        <f>SUM($G$519:$I$519)</f>
        <v>4514322</v>
      </c>
      <c r="K519" s="347">
        <f>F519-$J$519</f>
        <v>0</v>
      </c>
    </row>
    <row r="520" spans="1:11">
      <c r="A520" s="333">
        <v>8</v>
      </c>
      <c r="C520" s="332" t="str">
        <f>'FR-16(7)(v)-1 Functional'!C520</f>
        <v>PERMANENT DIFFERENCES</v>
      </c>
      <c r="D520" s="344" t="str">
        <f>'FR-16(7)(v)-1 Functional'!D520</f>
        <v>AG39</v>
      </c>
      <c r="E520" s="196"/>
      <c r="F520" s="479">
        <f>'FR-16(7)(v)-8 TOT CLASS Alloc'!G520</f>
        <v>-72952</v>
      </c>
      <c r="G520" s="548">
        <f>'FR-16(7)(v)-5 DISTR Dem Alloc'!$G$520</f>
        <v>-21850</v>
      </c>
      <c r="H520" s="539">
        <f>'FR-16(7)(v)-3 PROD Comm Alloc'!$G$520</f>
        <v>-5211</v>
      </c>
      <c r="I520" s="540">
        <f>'FR-16(7)(v)-6 DISTR Cust Alloc'!$G$520</f>
        <v>-45891</v>
      </c>
      <c r="J520" s="347">
        <f>SUM($G$520:$I$520)</f>
        <v>-72952</v>
      </c>
      <c r="K520" s="347">
        <f>F520-$J$520</f>
        <v>0</v>
      </c>
    </row>
    <row r="521" spans="1:11">
      <c r="A521" s="333">
        <v>9</v>
      </c>
      <c r="C521" s="359" t="str">
        <f>'FR-16(7)(v)-1 Functional'!C521</f>
        <v>TEMPORARY DIFFERENCES</v>
      </c>
      <c r="D521" s="344" t="str">
        <f>'FR-16(7)(v)-1 Functional'!D521</f>
        <v>DE49</v>
      </c>
      <c r="E521" s="196"/>
      <c r="F521" s="479">
        <f>'FR-16(7)(v)-8 TOT CLASS Alloc'!G521</f>
        <v>163750</v>
      </c>
      <c r="G521" s="548">
        <f>'FR-16(7)(v)-5 DISTR Dem Alloc'!$G$521</f>
        <v>68043</v>
      </c>
      <c r="H521" s="539">
        <f>'FR-16(7)(v)-3 PROD Comm Alloc'!$G$521</f>
        <v>3989</v>
      </c>
      <c r="I521" s="540">
        <f>'FR-16(7)(v)-6 DISTR Cust Alloc'!$G$521</f>
        <v>91718</v>
      </c>
      <c r="J521" s="347">
        <f>SUM($G$521:$I$521)</f>
        <v>163750</v>
      </c>
      <c r="K521" s="347">
        <f>F521-$J$521</f>
        <v>0</v>
      </c>
    </row>
    <row r="522" spans="1:11">
      <c r="A522" s="333">
        <v>10</v>
      </c>
      <c r="C522" s="332" t="str">
        <f>'FR-16(7)(v)-1 Functional'!C522</f>
        <v xml:space="preserve">  TOTAL OTHER DEDUCTIONS</v>
      </c>
      <c r="D522" s="344"/>
      <c r="E522" s="196"/>
      <c r="F522" s="348">
        <f>SUM(F519:F521)</f>
        <v>4605120</v>
      </c>
      <c r="G522" s="549">
        <f>SUM($G$519:$G$521)</f>
        <v>1922023</v>
      </c>
      <c r="H522" s="541">
        <f>SUM($H$519:$H$521)</f>
        <v>108757</v>
      </c>
      <c r="I522" s="542">
        <f>SUM($I$519:$I$521)</f>
        <v>2574340</v>
      </c>
      <c r="J522" s="348">
        <f>SUM($J$519:$J$521)</f>
        <v>4605120</v>
      </c>
      <c r="K522" s="348">
        <f>SUM($K$519:$K$521)</f>
        <v>0</v>
      </c>
    </row>
    <row r="523" spans="1:11">
      <c r="A523" s="333">
        <v>11</v>
      </c>
      <c r="D523" s="344"/>
      <c r="E523" s="196"/>
      <c r="F523" s="353"/>
      <c r="G523" s="547"/>
      <c r="H523" s="537"/>
      <c r="I523" s="538"/>
    </row>
    <row r="524" spans="1:11">
      <c r="A524" s="333">
        <v>12</v>
      </c>
      <c r="B524" s="332" t="s">
        <v>72</v>
      </c>
      <c r="D524" s="344"/>
      <c r="E524" s="196"/>
      <c r="F524" s="349">
        <f>F522+F516</f>
        <v>9269811</v>
      </c>
      <c r="G524" s="548">
        <f>$G$522+$G$516</f>
        <v>3974627</v>
      </c>
      <c r="H524" s="539">
        <f>$H$522+$H$516</f>
        <v>182070</v>
      </c>
      <c r="I524" s="540">
        <f>$I$522+$I$516</f>
        <v>5113114</v>
      </c>
      <c r="J524" s="347">
        <f>$J$522+$J$516</f>
        <v>9269811</v>
      </c>
      <c r="K524" s="347">
        <f>$K$522+$K$516</f>
        <v>0</v>
      </c>
    </row>
    <row r="525" spans="1:11">
      <c r="A525" s="333">
        <v>13</v>
      </c>
      <c r="D525" s="344"/>
      <c r="E525" s="196"/>
      <c r="F525" s="353"/>
      <c r="G525" s="547"/>
      <c r="H525" s="537"/>
      <c r="I525" s="538"/>
    </row>
    <row r="526" spans="1:11">
      <c r="A526" s="333">
        <v>14</v>
      </c>
      <c r="B526" s="340" t="s">
        <v>544</v>
      </c>
      <c r="D526" s="344"/>
      <c r="E526" s="196"/>
      <c r="F526" s="353"/>
      <c r="G526" s="547"/>
      <c r="H526" s="537"/>
      <c r="I526" s="538"/>
    </row>
    <row r="527" spans="1:11">
      <c r="A527" s="333">
        <v>15</v>
      </c>
      <c r="C527" s="332" t="str">
        <f>'FR-16(7)(v)-1 Functional'!C527</f>
        <v>DEFERRED INCOME TAXES - NET</v>
      </c>
      <c r="D527" s="344" t="str">
        <f>'FR-16(7)(v)-1 Functional'!D527</f>
        <v>OM39</v>
      </c>
      <c r="E527" s="196"/>
      <c r="F527" s="479">
        <f>'FR-16(7)(v)-8 TOT CLASS Alloc'!G527</f>
        <v>756136</v>
      </c>
      <c r="G527" s="548">
        <f>'FR-16(7)(v)-5 DISTR Dem Alloc'!$G$527</f>
        <v>129797</v>
      </c>
      <c r="H527" s="539">
        <f>'FR-16(7)(v)-3 PROD Comm Alloc'!$G$527</f>
        <v>405809</v>
      </c>
      <c r="I527" s="540">
        <f>'FR-16(7)(v)-6 DISTR Cust Alloc'!$G$527</f>
        <v>220530</v>
      </c>
      <c r="J527" s="347">
        <f>SUM($G$527:$I$527)</f>
        <v>756136</v>
      </c>
      <c r="K527" s="347">
        <f>F527-$J$527</f>
        <v>0</v>
      </c>
    </row>
    <row r="528" spans="1:11">
      <c r="A528" s="333">
        <v>16</v>
      </c>
      <c r="C528" s="332" t="str">
        <f>'FR-16(7)(v)-1 Functional'!C528</f>
        <v>AMORT OF DEFERRED MERGER COST</v>
      </c>
      <c r="D528" s="344" t="str">
        <f>'FR-16(7)(v)-1 Functional'!D528</f>
        <v>AG39</v>
      </c>
      <c r="E528" s="196"/>
      <c r="F528" s="479">
        <f>'FR-16(7)(v)-8 TOT CLASS Alloc'!G528</f>
        <v>0</v>
      </c>
      <c r="G528" s="548">
        <f>'FR-16(7)(v)-5 DISTR Dem Alloc'!$G$528</f>
        <v>0</v>
      </c>
      <c r="H528" s="539">
        <f>'FR-16(7)(v)-3 PROD Comm Alloc'!$G$528</f>
        <v>0</v>
      </c>
      <c r="I528" s="540">
        <f>'FR-16(7)(v)-6 DISTR Cust Alloc'!$G$528</f>
        <v>0</v>
      </c>
      <c r="J528" s="347">
        <f>SUM($G$528:$I$528)</f>
        <v>0</v>
      </c>
      <c r="K528" s="347">
        <f>F528-$J$528</f>
        <v>0</v>
      </c>
    </row>
    <row r="529" spans="1:11">
      <c r="A529" s="333">
        <v>17</v>
      </c>
      <c r="C529" s="618" t="str">
        <f>'FR-16(7)(v)-1 Functional'!C529</f>
        <v>DIT ADJUSTMENT - S/L DEPRECIATION</v>
      </c>
      <c r="D529" s="344" t="str">
        <f>'FR-16(7)(v)-1 Functional'!D529</f>
        <v>DE49</v>
      </c>
      <c r="E529" s="196"/>
      <c r="F529" s="479">
        <f>'FR-16(7)(v)-8 TOT CLASS Alloc'!G529</f>
        <v>0</v>
      </c>
      <c r="G529" s="548">
        <f>'FR-16(7)(v)-5 DISTR Dem Alloc'!$G$529</f>
        <v>0</v>
      </c>
      <c r="H529" s="539">
        <f>'FR-16(7)(v)-3 PROD Comm Alloc'!$G$529</f>
        <v>0</v>
      </c>
      <c r="I529" s="540">
        <f>'FR-16(7)(v)-6 DISTR Cust Alloc'!$G$529</f>
        <v>0</v>
      </c>
      <c r="J529" s="347">
        <f>SUM($G$529:$I$529)</f>
        <v>0</v>
      </c>
      <c r="K529" s="347">
        <f>F529-$J$529</f>
        <v>0</v>
      </c>
    </row>
    <row r="530" spans="1:11">
      <c r="A530" s="333">
        <v>18</v>
      </c>
      <c r="C530" s="332" t="str">
        <f>'FR-16(7)(v)-1 Functional'!C530</f>
        <v>DIT ADJUSTMENT - ARAM</v>
      </c>
      <c r="D530" s="344" t="str">
        <f>'FR-16(7)(v)-1 Functional'!D530</f>
        <v>K201</v>
      </c>
      <c r="E530" s="196"/>
      <c r="F530" s="479">
        <f>'FR-16(7)(v)-8 TOT CLASS Alloc'!G530</f>
        <v>-8380</v>
      </c>
      <c r="G530" s="548">
        <f>'FR-16(7)(v)-5 DISTR Dem Alloc'!$G$530</f>
        <v>0</v>
      </c>
      <c r="H530" s="539">
        <f>'FR-16(7)(v)-3 PROD Comm Alloc'!$G$530</f>
        <v>-8380</v>
      </c>
      <c r="I530" s="540">
        <f>'FR-16(7)(v)-6 DISTR Cust Alloc'!$G$530</f>
        <v>0</v>
      </c>
      <c r="J530" s="347">
        <f>SUM($G$530:$I$530)</f>
        <v>-8380</v>
      </c>
      <c r="K530" s="347">
        <f>F530-$J$530</f>
        <v>0</v>
      </c>
    </row>
    <row r="531" spans="1:11">
      <c r="A531" s="333">
        <v>19</v>
      </c>
      <c r="C531" s="359" t="s">
        <v>1495</v>
      </c>
      <c r="D531" s="344" t="str">
        <f>'FR-16(7)(v)-1 Functional'!D531</f>
        <v>AG39</v>
      </c>
      <c r="E531" s="196"/>
      <c r="F531" s="479">
        <f>'FR-16(7)(v)-8 TOT CLASS Alloc'!G531</f>
        <v>-428951</v>
      </c>
      <c r="G531" s="548">
        <f>'FR-16(7)(v)-5 DISTR Dem Alloc'!$G$531</f>
        <v>-128477</v>
      </c>
      <c r="H531" s="539">
        <f>'FR-16(7)(v)-3 PROD Comm Alloc'!$G$531</f>
        <v>-30636</v>
      </c>
      <c r="I531" s="540">
        <f>'FR-16(7)(v)-6 DISTR Cust Alloc'!$G$531</f>
        <v>-269838</v>
      </c>
      <c r="J531" s="347">
        <f>SUM($G$531:$I$531)</f>
        <v>-428951</v>
      </c>
      <c r="K531" s="347">
        <f>F531-$J$531</f>
        <v>0</v>
      </c>
    </row>
    <row r="532" spans="1:11">
      <c r="A532" s="333">
        <v>20</v>
      </c>
      <c r="C532" s="332" t="str">
        <f>'FR-16(7)(v)-1 Functional'!C532</f>
        <v xml:space="preserve">  TOTAL FED DEF IT (410 &amp; 411)</v>
      </c>
      <c r="D532" s="344"/>
      <c r="E532" s="196"/>
      <c r="F532" s="348">
        <f>SUM(F527:F531)</f>
        <v>318805</v>
      </c>
      <c r="G532" s="549">
        <f>SUM($G$527:$G$531)</f>
        <v>1320</v>
      </c>
      <c r="H532" s="541">
        <f>SUM($H$527:$H$531)</f>
        <v>366793</v>
      </c>
      <c r="I532" s="542">
        <f>SUM($I$527:$I$531)</f>
        <v>-49308</v>
      </c>
      <c r="J532" s="348">
        <f>SUM($J$527:$J$531)</f>
        <v>318805</v>
      </c>
      <c r="K532" s="348">
        <f>SUM($K$527:$K$531)</f>
        <v>0</v>
      </c>
    </row>
    <row r="533" spans="1:11">
      <c r="A533" s="333">
        <v>21</v>
      </c>
      <c r="D533" s="344"/>
      <c r="E533" s="196"/>
      <c r="F533" s="353"/>
      <c r="G533" s="547"/>
      <c r="H533" s="537"/>
      <c r="I533" s="538"/>
    </row>
    <row r="534" spans="1:11">
      <c r="A534" s="333">
        <v>22</v>
      </c>
      <c r="B534" s="332" t="s">
        <v>419</v>
      </c>
      <c r="D534" s="344"/>
      <c r="E534" s="196"/>
      <c r="F534" s="353"/>
      <c r="G534" s="547"/>
      <c r="H534" s="537"/>
      <c r="I534" s="538"/>
    </row>
    <row r="535" spans="1:11">
      <c r="A535" s="333">
        <v>23</v>
      </c>
      <c r="C535" s="359" t="str">
        <f>'FR-16(7)(v)-1 Functional'!C535</f>
        <v>AMORTIZE ITC</v>
      </c>
      <c r="D535" s="344" t="str">
        <f>'FR-16(7)(v)-1 Functional'!D535</f>
        <v>NP29</v>
      </c>
      <c r="E535" s="196"/>
      <c r="F535" s="479">
        <f>'FR-16(7)(v)-8 TOT CLASS Alloc'!G535</f>
        <v>45912</v>
      </c>
      <c r="G535" s="548">
        <f>'FR-16(7)(v)-5 DISTR Dem Alloc'!$G$535</f>
        <v>20094</v>
      </c>
      <c r="H535" s="539">
        <f>'FR-16(7)(v)-3 PROD Comm Alloc'!$G$535</f>
        <v>261</v>
      </c>
      <c r="I535" s="540">
        <f>'FR-16(7)(v)-6 DISTR Cust Alloc'!$G$535</f>
        <v>25557</v>
      </c>
      <c r="J535" s="347">
        <f>SUM($G$535:$I$535)</f>
        <v>45912</v>
      </c>
      <c r="K535" s="512">
        <f>F535-$J$535</f>
        <v>0</v>
      </c>
    </row>
    <row r="536" spans="1:11">
      <c r="A536" s="333">
        <v>24</v>
      </c>
      <c r="C536" s="332" t="str">
        <f>'FR-16(7)(v)-1 Functional'!C536</f>
        <v xml:space="preserve">  TOTAL AMORTIZED ITC</v>
      </c>
      <c r="D536" s="344"/>
      <c r="E536" s="196"/>
      <c r="F536" s="348">
        <f>SUM(F535:F535)</f>
        <v>45912</v>
      </c>
      <c r="G536" s="549">
        <f>SUM($G$535:$G$535)</f>
        <v>20094</v>
      </c>
      <c r="H536" s="541">
        <f>SUM($H$535:$H$535)</f>
        <v>261</v>
      </c>
      <c r="I536" s="542">
        <f>SUM($I$535:$I$535)</f>
        <v>25557</v>
      </c>
      <c r="J536" s="348">
        <f>SUM($J$535:$J$535)</f>
        <v>45912</v>
      </c>
      <c r="K536" s="348">
        <f>SUM($K$535:$K$535)</f>
        <v>0</v>
      </c>
    </row>
    <row r="537" spans="1:11">
      <c r="A537" s="333">
        <v>25</v>
      </c>
      <c r="D537" s="344"/>
      <c r="E537" s="196"/>
      <c r="F537" s="510"/>
      <c r="G537" s="572"/>
      <c r="H537" s="573"/>
      <c r="I537" s="574"/>
      <c r="J537" s="510"/>
      <c r="K537" s="510"/>
    </row>
    <row r="538" spans="1:11" ht="15.75">
      <c r="A538" s="333">
        <v>26</v>
      </c>
      <c r="B538" s="332" t="s">
        <v>73</v>
      </c>
      <c r="D538" s="735"/>
      <c r="E538" s="1"/>
      <c r="F538" s="510"/>
      <c r="G538" s="572"/>
      <c r="H538" s="573"/>
      <c r="I538" s="574"/>
      <c r="J538" s="510"/>
      <c r="K538" s="510"/>
    </row>
    <row r="539" spans="1:11">
      <c r="A539" s="333">
        <v>27</v>
      </c>
      <c r="C539" s="332" t="str">
        <f>'FR-16(7)(v)-1 Functional'!C539</f>
        <v>PROV INVEST TAX CREDIT</v>
      </c>
      <c r="D539" s="344" t="s">
        <v>315</v>
      </c>
      <c r="F539" s="479">
        <f>'FR-16(7)(v)-8 TOT CLASS Alloc'!G539</f>
        <v>0</v>
      </c>
      <c r="G539" s="548">
        <f>'FR-16(7)(v)-5 DISTR Dem Alloc'!$G$539</f>
        <v>0</v>
      </c>
      <c r="H539" s="539">
        <f>'FR-16(7)(v)-3 PROD Comm Alloc'!$G$539</f>
        <v>0</v>
      </c>
      <c r="I539" s="540">
        <f>'FR-16(7)(v)-6 DISTR Cust Alloc'!$G$539</f>
        <v>0</v>
      </c>
      <c r="J539" s="347">
        <f>SUM($G$539:$I$539)</f>
        <v>0</v>
      </c>
      <c r="K539" s="347">
        <f>F539-$J$539</f>
        <v>0</v>
      </c>
    </row>
    <row r="540" spans="1:11" ht="15.75">
      <c r="A540" s="333">
        <v>28</v>
      </c>
      <c r="C540" s="339" t="str">
        <f>'FR-16(7)(v)-1 Functional'!C540</f>
        <v xml:space="preserve">  TEST YEAR INV TAX CREDIT</v>
      </c>
      <c r="D540" s="735"/>
      <c r="E540" s="1"/>
      <c r="F540" s="348">
        <f>SUM(F539:F539)</f>
        <v>0</v>
      </c>
      <c r="G540" s="549">
        <f>SUM($G$539:$G$539)</f>
        <v>0</v>
      </c>
      <c r="H540" s="541">
        <f>SUM($H$539:$H$539)</f>
        <v>0</v>
      </c>
      <c r="I540" s="542">
        <f>SUM($I$539:$I$539)</f>
        <v>0</v>
      </c>
      <c r="J540" s="348">
        <f>SUM($J$539:$J$539)</f>
        <v>0</v>
      </c>
      <c r="K540" s="348">
        <f>SUM($K$539:$K$539)</f>
        <v>0</v>
      </c>
    </row>
    <row r="541" spans="1:11" ht="15.75">
      <c r="A541" s="333">
        <v>29</v>
      </c>
      <c r="B541" s="193"/>
      <c r="C541" s="193"/>
      <c r="D541" s="735"/>
      <c r="E541" s="1"/>
      <c r="F541" s="510"/>
      <c r="G541" s="572"/>
      <c r="H541" s="573"/>
      <c r="I541" s="574"/>
      <c r="J541" s="510"/>
      <c r="K541" s="510"/>
    </row>
    <row r="542" spans="1:11" ht="15.75">
      <c r="A542" s="333">
        <v>30</v>
      </c>
      <c r="B542" s="332" t="s">
        <v>40</v>
      </c>
      <c r="C542" s="193"/>
      <c r="D542" s="735"/>
      <c r="E542" s="1"/>
      <c r="F542" s="510"/>
      <c r="G542" s="572"/>
      <c r="H542" s="573"/>
      <c r="I542" s="574"/>
      <c r="J542" s="510"/>
      <c r="K542" s="510"/>
    </row>
    <row r="543" spans="1:11">
      <c r="A543" s="333">
        <v>31</v>
      </c>
      <c r="C543" s="332" t="str">
        <f>'FR-16(7)(v)-1 Functional'!C543</f>
        <v>TOTAL FED DEF IT (410 &amp; 411)</v>
      </c>
      <c r="D543" s="344"/>
      <c r="E543" s="196"/>
      <c r="F543" s="349">
        <f>F532</f>
        <v>318805</v>
      </c>
      <c r="G543" s="548">
        <f>$G$532</f>
        <v>1320</v>
      </c>
      <c r="H543" s="539">
        <f>$H$532</f>
        <v>366793</v>
      </c>
      <c r="I543" s="540">
        <f>$I$532</f>
        <v>-49308</v>
      </c>
      <c r="J543" s="347">
        <f>$J$532</f>
        <v>318805</v>
      </c>
      <c r="K543" s="347">
        <f>$K$532</f>
        <v>0</v>
      </c>
    </row>
    <row r="544" spans="1:11">
      <c r="A544" s="333">
        <v>32</v>
      </c>
      <c r="C544" s="359" t="str">
        <f>'FR-16(7)(v)-1 Functional'!C544</f>
        <v>TOTAL AMORTIZED ITC</v>
      </c>
      <c r="D544" s="344"/>
      <c r="E544" s="196"/>
      <c r="F544" s="349">
        <f>-F536</f>
        <v>-45912</v>
      </c>
      <c r="G544" s="548">
        <f>-$G$536</f>
        <v>-20094</v>
      </c>
      <c r="H544" s="539">
        <f>-$H$536</f>
        <v>-261</v>
      </c>
      <c r="I544" s="540">
        <f>-$I$536</f>
        <v>-25557</v>
      </c>
      <c r="J544" s="347">
        <f>-$J$536</f>
        <v>-45912</v>
      </c>
      <c r="K544" s="347">
        <f>-$K$536</f>
        <v>0</v>
      </c>
    </row>
    <row r="545" spans="1:11">
      <c r="A545" s="333">
        <v>33</v>
      </c>
      <c r="C545" s="332" t="str">
        <f>'FR-16(7)(v)-1 Functional'!C545</f>
        <v xml:space="preserve">  TOTAL FEDERAL TAX ADJUSTMENTS</v>
      </c>
      <c r="D545" s="344"/>
      <c r="E545" s="196"/>
      <c r="F545" s="348">
        <f>SUM(F543:F544)</f>
        <v>272893</v>
      </c>
      <c r="G545" s="549">
        <f>SUM($G$543:$G$544)</f>
        <v>-18774</v>
      </c>
      <c r="H545" s="541">
        <f>SUM($H$543:$H$544)</f>
        <v>366532</v>
      </c>
      <c r="I545" s="542">
        <f>SUM($I$543:$I$544)</f>
        <v>-74865</v>
      </c>
      <c r="J545" s="348">
        <f>SUM($J$543:$J$544)</f>
        <v>272893</v>
      </c>
      <c r="K545" s="348">
        <f>SUM($K$543:$K$544)</f>
        <v>0</v>
      </c>
    </row>
    <row r="546" spans="1:11">
      <c r="A546" s="333">
        <v>34</v>
      </c>
      <c r="D546" s="344"/>
      <c r="E546" s="196"/>
      <c r="F546" s="353"/>
      <c r="G546" s="547"/>
      <c r="H546" s="537"/>
      <c r="I546" s="538"/>
    </row>
    <row r="547" spans="1:11">
      <c r="A547" s="333">
        <v>35</v>
      </c>
      <c r="B547" s="332" t="s">
        <v>74</v>
      </c>
      <c r="D547" s="344"/>
      <c r="E547" s="196"/>
      <c r="F547" s="353"/>
      <c r="G547" s="547"/>
      <c r="H547" s="537"/>
      <c r="I547" s="538"/>
    </row>
    <row r="548" spans="1:11">
      <c r="A548" s="333">
        <v>36</v>
      </c>
      <c r="C548" s="332" t="str">
        <f>'FR-16(7)(v)-1 Functional'!C548</f>
        <v>RETURN ON RATE BASE</v>
      </c>
      <c r="D548" s="344"/>
      <c r="E548" s="196"/>
      <c r="F548" s="349">
        <f t="shared" ref="F548:K548" si="95">F334</f>
        <v>15539826</v>
      </c>
      <c r="G548" s="548">
        <f t="shared" si="95"/>
        <v>6837950</v>
      </c>
      <c r="H548" s="539">
        <f t="shared" si="95"/>
        <v>244257</v>
      </c>
      <c r="I548" s="540">
        <f t="shared" si="95"/>
        <v>8457619</v>
      </c>
      <c r="J548" s="347">
        <f t="shared" si="95"/>
        <v>15539826</v>
      </c>
      <c r="K548" s="347">
        <f t="shared" si="95"/>
        <v>0</v>
      </c>
    </row>
    <row r="549" spans="1:11">
      <c r="A549" s="333">
        <v>37</v>
      </c>
      <c r="C549" s="332" t="str">
        <f>'FR-16(7)(v)-1 Functional'!C549</f>
        <v>NET DEDUCTIONS AND ADDITIONS</v>
      </c>
      <c r="D549" s="344"/>
      <c r="E549" s="196"/>
      <c r="F549" s="349">
        <f>-F524</f>
        <v>-9269811</v>
      </c>
      <c r="G549" s="548">
        <f>-$G$524</f>
        <v>-3974627</v>
      </c>
      <c r="H549" s="539">
        <f>-$H$524</f>
        <v>-182070</v>
      </c>
      <c r="I549" s="540">
        <f>-$I$524</f>
        <v>-5113114</v>
      </c>
      <c r="J549" s="347">
        <f>-$J$524</f>
        <v>-9269811</v>
      </c>
      <c r="K549" s="347">
        <f>-$K$524</f>
        <v>0</v>
      </c>
    </row>
    <row r="550" spans="1:11">
      <c r="A550" s="333">
        <v>38</v>
      </c>
      <c r="C550" s="332" t="s">
        <v>1496</v>
      </c>
      <c r="D550" s="344"/>
      <c r="E550" s="196"/>
      <c r="F550" s="349">
        <f t="shared" ref="F550:K550" ca="1" si="96">F591</f>
        <v>313237</v>
      </c>
      <c r="G550" s="548">
        <f t="shared" ca="1" si="96"/>
        <v>2306</v>
      </c>
      <c r="H550" s="539">
        <f t="shared" ca="1" si="96"/>
        <v>0</v>
      </c>
      <c r="I550" s="540">
        <f t="shared" ca="1" si="96"/>
        <v>310932</v>
      </c>
      <c r="J550" s="347">
        <f t="shared" ca="1" si="96"/>
        <v>313238</v>
      </c>
      <c r="K550" s="347">
        <f t="shared" ca="1" si="96"/>
        <v>-1</v>
      </c>
    </row>
    <row r="551" spans="1:11">
      <c r="A551" s="333">
        <v>39</v>
      </c>
      <c r="C551" s="359" t="str">
        <f>'FR-16(7)(v)-1 Functional'!C551</f>
        <v>TOTAL FEDERAL TAX ADJUSTMENTS</v>
      </c>
      <c r="D551" s="344"/>
      <c r="E551" s="196"/>
      <c r="F551" s="349">
        <f>F545</f>
        <v>272893</v>
      </c>
      <c r="G551" s="548">
        <f>$G$545</f>
        <v>-18774</v>
      </c>
      <c r="H551" s="539">
        <f>$H$545</f>
        <v>366532</v>
      </c>
      <c r="I551" s="540">
        <f>$I$545</f>
        <v>-74865</v>
      </c>
      <c r="J551" s="347">
        <f>$J$545</f>
        <v>272893</v>
      </c>
      <c r="K551" s="347">
        <f>$K$545</f>
        <v>0</v>
      </c>
    </row>
    <row r="552" spans="1:11">
      <c r="A552" s="333">
        <v>40</v>
      </c>
      <c r="C552" s="332" t="str">
        <f>'FR-16(7)(v)-1 Functional'!C552</f>
        <v xml:space="preserve">  BASE FOR FIT COMPUATION</v>
      </c>
      <c r="D552" s="344"/>
      <c r="E552" s="196"/>
      <c r="F552" s="348">
        <f ca="1">SUM(F548:F551)</f>
        <v>6856145</v>
      </c>
      <c r="G552" s="549">
        <f ca="1">SUM($G$548:$G$551)</f>
        <v>2846855</v>
      </c>
      <c r="H552" s="541">
        <f ca="1">SUM($H$548:$H$551)</f>
        <v>428719</v>
      </c>
      <c r="I552" s="542">
        <f ca="1">SUM($I$548:$I$551)</f>
        <v>3580572</v>
      </c>
      <c r="J552" s="348">
        <f ca="1">SUM($J$548:$J$551)</f>
        <v>6856146</v>
      </c>
      <c r="K552" s="348">
        <f ca="1">SUM($K$548:$K$551)</f>
        <v>-1</v>
      </c>
    </row>
    <row r="553" spans="1:11">
      <c r="A553" s="333">
        <v>41</v>
      </c>
      <c r="D553" s="344"/>
      <c r="E553" s="196"/>
      <c r="F553" s="353"/>
      <c r="G553" s="547"/>
      <c r="H553" s="537"/>
      <c r="I553" s="538"/>
    </row>
    <row r="554" spans="1:11">
      <c r="A554" s="333">
        <v>42</v>
      </c>
      <c r="C554" s="332" t="str">
        <f>'FR-16(7)(v)-1 Functional'!C554</f>
        <v>FIT FACTOR K190/(1-K190)</v>
      </c>
      <c r="D554" s="344"/>
      <c r="E554" s="196"/>
      <c r="F554" s="356">
        <f>ROUND(F692/(1-F692),9)</f>
        <v>0.26582278500000001</v>
      </c>
      <c r="G554" s="566">
        <f>ROUND(G692/(1-G692),9)</f>
        <v>0.26582278500000001</v>
      </c>
      <c r="H554" s="567">
        <f>ROUND(H692/(1-H692),9)</f>
        <v>0.26582278500000001</v>
      </c>
      <c r="I554" s="568">
        <f>ROUND(I692/(1-I692),9)</f>
        <v>0.26582278500000001</v>
      </c>
      <c r="J554" s="350"/>
      <c r="K554" s="350">
        <f>ROUND(K692/(1-K692),9)</f>
        <v>0.26582278500000001</v>
      </c>
    </row>
    <row r="555" spans="1:11">
      <c r="A555" s="333">
        <v>43</v>
      </c>
      <c r="C555" s="332" t="str">
        <f>'FR-16(7)(v)-1 Functional'!C555</f>
        <v>PRELIM FED INCOME TAX</v>
      </c>
      <c r="D555" s="344"/>
      <c r="E555" s="196"/>
      <c r="F555" s="349">
        <f ca="1">ROUND(F554*F552,0)</f>
        <v>1822520</v>
      </c>
      <c r="G555" s="560">
        <f ca="1">F555-SUM(H555:I555)</f>
        <v>756760</v>
      </c>
      <c r="H555" s="561">
        <f ca="1">ROUND($H$552*$H$554,0)</f>
        <v>113963</v>
      </c>
      <c r="I555" s="562">
        <f ca="1">ROUND($I$552*$I$554,0)</f>
        <v>951798</v>
      </c>
      <c r="J555" s="347">
        <f ca="1">SUM($G$555:$I$555)</f>
        <v>1822521</v>
      </c>
      <c r="K555" s="347">
        <f ca="1">ROUND($K$552*$K$554,0)</f>
        <v>0</v>
      </c>
    </row>
    <row r="556" spans="1:11">
      <c r="A556" s="333">
        <v>44</v>
      </c>
      <c r="C556" s="359" t="str">
        <f>'FR-16(7)(v)-1 Functional'!C556</f>
        <v>TOTAL FEDERAL TAX ADJUSTMENTS</v>
      </c>
      <c r="D556" s="344"/>
      <c r="E556" s="196"/>
      <c r="F556" s="349">
        <f>F545</f>
        <v>272893</v>
      </c>
      <c r="G556" s="548">
        <f>$G$545</f>
        <v>-18774</v>
      </c>
      <c r="H556" s="539">
        <f>$H$545</f>
        <v>366532</v>
      </c>
      <c r="I556" s="540">
        <f>$I$545</f>
        <v>-74865</v>
      </c>
      <c r="J556" s="347">
        <f>$J$545</f>
        <v>272893</v>
      </c>
      <c r="K556" s="347">
        <f>$K$545</f>
        <v>0</v>
      </c>
    </row>
    <row r="557" spans="1:11">
      <c r="A557" s="333">
        <v>45</v>
      </c>
      <c r="C557" s="353" t="str">
        <f>'FR-16(7)(v)-1 Functional'!C557</f>
        <v xml:space="preserve">  NET FED INCOME TAX ALLOWABLE</v>
      </c>
      <c r="D557" s="344"/>
      <c r="E557" s="196"/>
      <c r="F557" s="348">
        <f ca="1">SUM(F555:F556)</f>
        <v>2095413</v>
      </c>
      <c r="G557" s="549">
        <f ca="1">SUM($G$555:$G$556)</f>
        <v>737986</v>
      </c>
      <c r="H557" s="541">
        <f ca="1">SUM($H$555:$H$556)</f>
        <v>480495</v>
      </c>
      <c r="I557" s="542">
        <f ca="1">SUM($I$555:$I$556)</f>
        <v>876933</v>
      </c>
      <c r="J557" s="348">
        <f ca="1">SUM($J$555:$J$556)</f>
        <v>2095414</v>
      </c>
      <c r="K557" s="348">
        <f ca="1">SUM($K$555:$K$556)</f>
        <v>0</v>
      </c>
    </row>
    <row r="558" spans="1:11">
      <c r="A558" s="333">
        <v>46</v>
      </c>
      <c r="D558" s="344"/>
      <c r="E558" s="196"/>
      <c r="F558" s="353"/>
      <c r="G558" s="547"/>
      <c r="H558" s="537"/>
      <c r="I558" s="538"/>
    </row>
    <row r="559" spans="1:11">
      <c r="A559" s="333">
        <v>47</v>
      </c>
      <c r="B559" s="332" t="s">
        <v>68</v>
      </c>
      <c r="D559" s="344"/>
      <c r="E559" s="196"/>
      <c r="F559" s="353"/>
      <c r="G559" s="547"/>
      <c r="H559" s="537"/>
      <c r="I559" s="538"/>
    </row>
    <row r="560" spans="1:11">
      <c r="A560" s="333">
        <v>48</v>
      </c>
      <c r="B560" s="332" t="s">
        <v>75</v>
      </c>
      <c r="D560" s="344"/>
      <c r="E560" s="196"/>
      <c r="F560" s="353"/>
      <c r="G560" s="547"/>
      <c r="H560" s="537"/>
      <c r="I560" s="538"/>
    </row>
    <row r="561" spans="1:11">
      <c r="A561" s="333">
        <v>49</v>
      </c>
      <c r="C561" s="332" t="str">
        <f>'FR-16(7)(v)-1 Functional'!C561</f>
        <v>PRELIM FEDERAL INCOME TAX</v>
      </c>
      <c r="D561" s="344"/>
      <c r="E561" s="196"/>
      <c r="F561" s="349">
        <f ca="1">F555</f>
        <v>1822520</v>
      </c>
      <c r="G561" s="548">
        <f ca="1">$G$555</f>
        <v>756760</v>
      </c>
      <c r="H561" s="539">
        <f ca="1">$H$555</f>
        <v>113963</v>
      </c>
      <c r="I561" s="540">
        <f ca="1">$I$555</f>
        <v>951798</v>
      </c>
      <c r="J561" s="347">
        <f ca="1">$J$555</f>
        <v>1822521</v>
      </c>
      <c r="K561" s="347">
        <f ca="1">$K$555</f>
        <v>0</v>
      </c>
    </row>
    <row r="562" spans="1:11">
      <c r="A562" s="333">
        <v>50</v>
      </c>
      <c r="C562" s="359" t="str">
        <f>'FR-16(7)(v)-1 Functional'!C562</f>
        <v>TEST YEAR INV TAX CREDIT</v>
      </c>
      <c r="D562" s="344"/>
      <c r="E562" s="196"/>
      <c r="F562" s="347">
        <f>-F540</f>
        <v>0</v>
      </c>
      <c r="G562" s="550">
        <f>-$G$540</f>
        <v>0</v>
      </c>
      <c r="H562" s="543">
        <f>-$H$540</f>
        <v>0</v>
      </c>
      <c r="I562" s="544">
        <f>-$I$540</f>
        <v>0</v>
      </c>
      <c r="J562" s="347">
        <f>-$J$540</f>
        <v>0</v>
      </c>
      <c r="K562" s="347">
        <f>-$K$540</f>
        <v>0</v>
      </c>
    </row>
    <row r="563" spans="1:11">
      <c r="A563" s="333">
        <v>51</v>
      </c>
      <c r="C563" s="332" t="str">
        <f>'FR-16(7)(v)-1 Functional'!C563</f>
        <v xml:space="preserve">  NET FED INCOME TAX PAYABLE</v>
      </c>
      <c r="D563" s="344"/>
      <c r="E563" s="196"/>
      <c r="F563" s="348">
        <f ca="1">SUM(F560:F562)</f>
        <v>1822520</v>
      </c>
      <c r="G563" s="549">
        <f ca="1">SUM($G$560:$G$562)</f>
        <v>756760</v>
      </c>
      <c r="H563" s="541">
        <f ca="1">SUM($H$560:$H$562)</f>
        <v>113963</v>
      </c>
      <c r="I563" s="542">
        <f ca="1">SUM($I$560:$I$562)</f>
        <v>951798</v>
      </c>
      <c r="J563" s="348">
        <f ca="1">SUM($J$560:$J$562)</f>
        <v>1822521</v>
      </c>
      <c r="K563" s="348">
        <f ca="1">SUM($K$560:$K$562)</f>
        <v>0</v>
      </c>
    </row>
    <row r="564" spans="1:11">
      <c r="A564" s="333">
        <v>52</v>
      </c>
      <c r="D564" s="344"/>
      <c r="E564" s="196"/>
      <c r="G564" s="547"/>
      <c r="H564" s="537"/>
      <c r="I564" s="538"/>
    </row>
    <row r="565" spans="1:11">
      <c r="A565" s="333">
        <v>53</v>
      </c>
      <c r="B565" s="332" t="s">
        <v>76</v>
      </c>
      <c r="D565" s="344"/>
      <c r="E565" s="196"/>
      <c r="F565" s="332">
        <f>ROUND((F693*(1-F692))+((1-F693)*(1-F692)*F694)+F692,5)</f>
        <v>0.24925</v>
      </c>
      <c r="G565" s="569">
        <f>ROUND((G693*(1-G692))+((1-G693)*(1-G692)*G694)+G692,5)</f>
        <v>0.24925</v>
      </c>
      <c r="H565" s="570">
        <f>ROUND((H693*(1-H692))+((1-H693)*(1-H692)*H694)+H692,5)</f>
        <v>0.24925</v>
      </c>
      <c r="I565" s="571">
        <f>ROUND((I693*(1-I692))+((1-I693)*(1-I692)*I694)+I692,5)</f>
        <v>0.24925</v>
      </c>
      <c r="K565" s="332">
        <f>ROUND((K693*(1-K692))+((1-K693)*(1-K692)*K694)+K692,5)</f>
        <v>0.24925</v>
      </c>
    </row>
    <row r="566" spans="1:11">
      <c r="B566" s="343"/>
      <c r="C566" s="196"/>
      <c r="D566" s="344"/>
      <c r="E566" s="196"/>
      <c r="F566" s="196"/>
      <c r="G566" s="196"/>
      <c r="H566" s="196"/>
      <c r="I566" s="196"/>
      <c r="J566" s="196"/>
      <c r="K566" s="196"/>
    </row>
    <row r="567" spans="1:11">
      <c r="A567" s="343" t="str">
        <f>co_name</f>
        <v>DUKE ENERGY KENTUCKY, INC.</v>
      </c>
      <c r="C567" s="196"/>
      <c r="D567" s="344"/>
      <c r="E567" s="196"/>
      <c r="F567" s="196"/>
      <c r="G567" s="196"/>
      <c r="H567" s="196"/>
      <c r="I567" s="196"/>
      <c r="J567" s="196" t="str">
        <f>$J$1</f>
        <v>FR-16(7)(v)-9</v>
      </c>
      <c r="K567" s="196"/>
    </row>
    <row r="568" spans="1:11">
      <c r="A568" s="343" t="str">
        <f>$A$2</f>
        <v>RESIDENTIAL CLASSIFIED - GAS COST OF SERVICE</v>
      </c>
      <c r="C568" s="196"/>
      <c r="D568" s="344"/>
      <c r="E568" s="196"/>
      <c r="F568" s="196"/>
      <c r="G568" s="196"/>
      <c r="H568" s="196"/>
      <c r="I568" s="196"/>
      <c r="J568" s="196" t="str">
        <f>$J$2</f>
        <v>WITNESS RESPONSIBLE:</v>
      </c>
      <c r="K568" s="196"/>
    </row>
    <row r="569" spans="1:11">
      <c r="A569" s="343" t="str">
        <f>case_name</f>
        <v>CASE NO: 2018-00261</v>
      </c>
      <c r="C569" s="196"/>
      <c r="D569" s="344"/>
      <c r="E569" s="196"/>
      <c r="F569" s="196"/>
      <c r="G569" s="196"/>
      <c r="H569" s="196"/>
      <c r="I569" s="196"/>
      <c r="J569" s="196" t="str">
        <f>Witness</f>
        <v>JAMES E. ZIOLKOWSKI</v>
      </c>
      <c r="K569" s="196"/>
    </row>
    <row r="570" spans="1:11">
      <c r="A570" s="343" t="str">
        <f>data_filing</f>
        <v>DATA: 12 MONTH FORECASTED PERIOD</v>
      </c>
      <c r="C570" s="196"/>
      <c r="D570" s="344"/>
      <c r="E570" s="196"/>
      <c r="F570" s="196"/>
      <c r="G570" s="196"/>
      <c r="H570" s="196"/>
      <c r="I570" s="196"/>
      <c r="J570" s="196" t="str">
        <f>"PAGE "&amp;Pages2-2&amp;" OF "&amp;Pages2</f>
        <v>PAGE 13 OF 15</v>
      </c>
      <c r="K570" s="196"/>
    </row>
    <row r="571" spans="1:11">
      <c r="A571" s="343" t="str">
        <f>type</f>
        <v xml:space="preserve">TYPE OF FILING: "X" ORIGINAL   UPDATED    REVISED  </v>
      </c>
      <c r="C571" s="196"/>
      <c r="D571" s="344"/>
      <c r="E571" s="196"/>
      <c r="F571" s="196"/>
      <c r="G571" s="196"/>
      <c r="H571" s="196"/>
      <c r="I571" s="196"/>
      <c r="J571" s="196"/>
      <c r="K571" s="196"/>
    </row>
    <row r="574" spans="1:11">
      <c r="A574" s="344" t="s">
        <v>914</v>
      </c>
      <c r="B574" s="1392"/>
      <c r="C574" s="1091"/>
      <c r="D574" s="1091"/>
      <c r="E574" s="342"/>
      <c r="F574" s="354" t="s">
        <v>229</v>
      </c>
      <c r="G574" s="545" t="s">
        <v>1005</v>
      </c>
      <c r="H574" s="533"/>
      <c r="I574" s="534"/>
      <c r="J574" s="344" t="s">
        <v>229</v>
      </c>
      <c r="K574" s="344" t="s">
        <v>342</v>
      </c>
    </row>
    <row r="575" spans="1:11">
      <c r="A575" s="346" t="s">
        <v>915</v>
      </c>
      <c r="B575" s="1394" t="s">
        <v>1453</v>
      </c>
      <c r="C575" s="1395"/>
      <c r="D575" s="1396" t="s">
        <v>1454</v>
      </c>
      <c r="E575" s="1397"/>
      <c r="F575" s="355" t="str">
        <f>$F$9</f>
        <v>RESIDENTIAL</v>
      </c>
      <c r="G575" s="546" t="s">
        <v>847</v>
      </c>
      <c r="H575" s="535" t="s">
        <v>848</v>
      </c>
      <c r="I575" s="536" t="s">
        <v>849</v>
      </c>
      <c r="J575" s="346" t="s">
        <v>341</v>
      </c>
      <c r="K575" s="346" t="s">
        <v>340</v>
      </c>
    </row>
    <row r="576" spans="1:11" ht="15">
      <c r="A576" s="1398"/>
      <c r="B576" s="1399"/>
      <c r="C576" s="1400" t="s">
        <v>1455</v>
      </c>
      <c r="D576" s="1401"/>
      <c r="E576" s="342"/>
      <c r="F576" s="353"/>
      <c r="G576" s="1447">
        <f>$G$10</f>
        <v>3</v>
      </c>
      <c r="H576" s="1448">
        <f>$H$10</f>
        <v>4</v>
      </c>
      <c r="I576" s="1449">
        <f>$I$10</f>
        <v>5</v>
      </c>
    </row>
    <row r="577" spans="1:11">
      <c r="A577" s="968">
        <v>1</v>
      </c>
      <c r="B577" s="1405" t="s">
        <v>1456</v>
      </c>
      <c r="C577" s="1392"/>
      <c r="D577" s="1392"/>
      <c r="E577" s="342"/>
      <c r="F577" s="342"/>
      <c r="G577" s="1450"/>
      <c r="H577" s="1451"/>
      <c r="I577" s="1452"/>
      <c r="J577" s="196"/>
      <c r="K577" s="196"/>
    </row>
    <row r="578" spans="1:11">
      <c r="A578" s="968">
        <v>2</v>
      </c>
      <c r="B578" s="1409" t="s">
        <v>1457</v>
      </c>
      <c r="C578" s="1392"/>
      <c r="D578" s="1410" t="s">
        <v>315</v>
      </c>
      <c r="E578" s="342"/>
      <c r="F578" s="479">
        <f ca="1">'FR-16(7)(v)-8 TOT CLASS Alloc'!G578</f>
        <v>3946066</v>
      </c>
      <c r="G578" s="548">
        <f ca="1">ROUND(F578*VLOOKUP(D578,AllocTable_Functional,$G$10,FALSE),0)</f>
        <v>29043</v>
      </c>
      <c r="H578" s="539">
        <f ca="1">ROUND(F578*VLOOKUP(D578,AllocTable_Functional,$H$10,FALSE),0)</f>
        <v>0</v>
      </c>
      <c r="I578" s="540">
        <f ca="1">ROUND(F578*VLOOKUP(D578,AllocTable_Functional,$I$10,FALSE),0)</f>
        <v>3917023</v>
      </c>
      <c r="J578" s="347">
        <f ca="1">SUM(G578:I578)</f>
        <v>3946066</v>
      </c>
      <c r="K578" s="347">
        <f ca="1">F578-J578</f>
        <v>0</v>
      </c>
    </row>
    <row r="579" spans="1:11">
      <c r="A579" s="968">
        <v>3</v>
      </c>
      <c r="B579" s="1409" t="s">
        <v>1171</v>
      </c>
      <c r="C579" s="1411"/>
      <c r="D579" s="1410" t="s">
        <v>315</v>
      </c>
      <c r="E579" s="342"/>
      <c r="F579" s="1412">
        <f>'FR-16(7)(v)-8 TOT CLASS Alloc'!G579</f>
        <v>0</v>
      </c>
      <c r="G579" s="550">
        <f>ROUND(F579*VLOOKUP(D579,AllocTable_Functional,$G$10,FALSE),0)</f>
        <v>0</v>
      </c>
      <c r="H579" s="543">
        <f>ROUND(F579*VLOOKUP(D579,AllocTable_Functional,$H$10,FALSE),0)</f>
        <v>0</v>
      </c>
      <c r="I579" s="544">
        <f>ROUND(F579*VLOOKUP(D579,AllocTable_Functional,$I$10,FALSE),0)</f>
        <v>0</v>
      </c>
      <c r="J579" s="502">
        <f>SUM(G579:I579)</f>
        <v>0</v>
      </c>
      <c r="K579" s="502">
        <f>F579-J579</f>
        <v>0</v>
      </c>
    </row>
    <row r="580" spans="1:11">
      <c r="A580" s="968">
        <v>4</v>
      </c>
      <c r="B580" s="1413" t="s">
        <v>1458</v>
      </c>
      <c r="C580" s="1392"/>
      <c r="D580" s="1414"/>
      <c r="E580" s="342"/>
      <c r="F580" s="1291">
        <f t="shared" ref="F580:K580" ca="1" si="97">SUM(F578:F579)</f>
        <v>3946066</v>
      </c>
      <c r="G580" s="1453">
        <f t="shared" ca="1" si="97"/>
        <v>29043</v>
      </c>
      <c r="H580" s="1454">
        <f t="shared" ca="1" si="97"/>
        <v>0</v>
      </c>
      <c r="I580" s="1455">
        <f t="shared" ca="1" si="97"/>
        <v>3917023</v>
      </c>
      <c r="J580" s="335">
        <f t="shared" ca="1" si="97"/>
        <v>3946066</v>
      </c>
      <c r="K580" s="335">
        <f t="shared" ca="1" si="97"/>
        <v>0</v>
      </c>
    </row>
    <row r="581" spans="1:11" ht="15">
      <c r="A581" s="968">
        <v>5</v>
      </c>
      <c r="B581" s="1398"/>
      <c r="C581" s="1401"/>
      <c r="D581" s="1415"/>
      <c r="E581" s="342"/>
      <c r="F581" s="353"/>
      <c r="G581" s="547"/>
      <c r="H581" s="537"/>
      <c r="I581" s="538"/>
    </row>
    <row r="582" spans="1:11">
      <c r="A582" s="968">
        <v>6</v>
      </c>
      <c r="B582" s="1416" t="s">
        <v>1459</v>
      </c>
      <c r="C582" s="1392"/>
      <c r="D582" s="1414"/>
      <c r="E582" s="342"/>
      <c r="F582" s="353"/>
      <c r="G582" s="547"/>
      <c r="H582" s="537"/>
      <c r="I582" s="538"/>
    </row>
    <row r="583" spans="1:11">
      <c r="A583" s="968">
        <v>7</v>
      </c>
      <c r="B583" s="1417" t="s">
        <v>1460</v>
      </c>
      <c r="C583" s="1392"/>
      <c r="D583" s="1414"/>
      <c r="E583" s="342"/>
      <c r="F583" s="353"/>
      <c r="G583" s="547"/>
      <c r="H583" s="537"/>
      <c r="I583" s="538"/>
    </row>
    <row r="584" spans="1:11">
      <c r="A584" s="968">
        <v>8</v>
      </c>
      <c r="B584" s="1418" t="s">
        <v>1461</v>
      </c>
      <c r="C584" s="1411"/>
      <c r="D584" s="1410" t="s">
        <v>315</v>
      </c>
      <c r="E584" s="342"/>
      <c r="F584" s="1471">
        <f ca="1">'FR-16(7)(v)-8 TOT CLASS Alloc'!G584</f>
        <v>313236</v>
      </c>
      <c r="G584" s="550">
        <f ca="1">F584-SUM(H584:I584)</f>
        <v>2304</v>
      </c>
      <c r="H584" s="543">
        <f ca="1">ROUND(F584*VLOOKUP(D584,AllocTable_Functional,$H$10,FALSE),0)</f>
        <v>0</v>
      </c>
      <c r="I584" s="544">
        <f ca="1">ROUND(F584*VLOOKUP(D584,AllocTable_Functional,$I$10,FALSE),0)</f>
        <v>310931</v>
      </c>
      <c r="J584" s="502">
        <f ca="1">SUM(G584:I584)</f>
        <v>313235</v>
      </c>
      <c r="K584" s="502">
        <f ca="1">F584-J584</f>
        <v>1</v>
      </c>
    </row>
    <row r="585" spans="1:11">
      <c r="A585" s="968">
        <v>9</v>
      </c>
      <c r="B585" s="1413" t="s">
        <v>1463</v>
      </c>
      <c r="C585" s="1392"/>
      <c r="D585" s="1414"/>
      <c r="E585" s="342"/>
      <c r="F585" s="1291">
        <f t="shared" ref="F585:K585" ca="1" si="98">SUM(F584)</f>
        <v>313236</v>
      </c>
      <c r="G585" s="1453">
        <f t="shared" ca="1" si="98"/>
        <v>2304</v>
      </c>
      <c r="H585" s="1454">
        <f t="shared" ca="1" si="98"/>
        <v>0</v>
      </c>
      <c r="I585" s="1455">
        <f t="shared" ca="1" si="98"/>
        <v>310931</v>
      </c>
      <c r="J585" s="335">
        <f t="shared" ca="1" si="98"/>
        <v>313235</v>
      </c>
      <c r="K585" s="335">
        <f t="shared" ca="1" si="98"/>
        <v>1</v>
      </c>
    </row>
    <row r="586" spans="1:11">
      <c r="A586" s="968">
        <v>10</v>
      </c>
      <c r="B586" s="1090"/>
      <c r="C586" s="1392"/>
      <c r="D586" s="1414"/>
      <c r="E586" s="342"/>
      <c r="F586" s="353"/>
      <c r="G586" s="547"/>
      <c r="H586" s="537"/>
      <c r="I586" s="538"/>
    </row>
    <row r="587" spans="1:11">
      <c r="A587" s="968">
        <v>11</v>
      </c>
      <c r="B587" s="1419" t="s">
        <v>1464</v>
      </c>
      <c r="C587" s="1420"/>
      <c r="D587" s="1421"/>
      <c r="E587" s="342"/>
      <c r="F587" s="353"/>
      <c r="G587" s="547"/>
      <c r="H587" s="537"/>
      <c r="I587" s="538"/>
    </row>
    <row r="588" spans="1:11">
      <c r="A588" s="968">
        <v>12</v>
      </c>
      <c r="B588" s="1409" t="s">
        <v>1465</v>
      </c>
      <c r="C588" s="1411"/>
      <c r="D588" s="1410" t="s">
        <v>315</v>
      </c>
      <c r="E588" s="342"/>
      <c r="F588" s="1471">
        <f ca="1">'FR-16(7)(v)-8 TOT CLASS Alloc'!G588</f>
        <v>0</v>
      </c>
      <c r="G588" s="550">
        <f ca="1">ROUND(F588*VLOOKUP(D588,AllocTable_Functional,$G$10,FALSE),0)</f>
        <v>0</v>
      </c>
      <c r="H588" s="543">
        <f ca="1">ROUND(F588*VLOOKUP(D588,AllocTable_Functional,$H$10,FALSE),0)</f>
        <v>0</v>
      </c>
      <c r="I588" s="544">
        <f ca="1">ROUND(F588*VLOOKUP(D588,AllocTable_Functional,$I$10,FALSE),0)</f>
        <v>0</v>
      </c>
      <c r="J588" s="502">
        <f ca="1">SUM(G588:I588)</f>
        <v>0</v>
      </c>
      <c r="K588" s="502">
        <f ca="1">F588-J588</f>
        <v>0</v>
      </c>
    </row>
    <row r="589" spans="1:11">
      <c r="A589" s="968">
        <v>13</v>
      </c>
      <c r="B589" s="1413" t="s">
        <v>1466</v>
      </c>
      <c r="C589" s="1392"/>
      <c r="D589" s="1414"/>
      <c r="E589" s="342"/>
      <c r="F589" s="1291">
        <f t="shared" ref="F589:K589" ca="1" si="99">SUM(F588)</f>
        <v>0</v>
      </c>
      <c r="G589" s="1453">
        <f t="shared" ca="1" si="99"/>
        <v>0</v>
      </c>
      <c r="H589" s="1454">
        <f t="shared" ca="1" si="99"/>
        <v>0</v>
      </c>
      <c r="I589" s="1455">
        <f t="shared" ca="1" si="99"/>
        <v>0</v>
      </c>
      <c r="J589" s="335">
        <f t="shared" ca="1" si="99"/>
        <v>0</v>
      </c>
      <c r="K589" s="335">
        <f t="shared" ca="1" si="99"/>
        <v>0</v>
      </c>
    </row>
    <row r="590" spans="1:11">
      <c r="A590" s="968">
        <v>14</v>
      </c>
      <c r="B590" s="1392"/>
      <c r="C590" s="1392"/>
      <c r="D590" s="1414"/>
      <c r="E590" s="342"/>
      <c r="F590" s="353"/>
      <c r="G590" s="547"/>
      <c r="H590" s="537"/>
      <c r="I590" s="538"/>
    </row>
    <row r="591" spans="1:11">
      <c r="A591" s="968">
        <v>15</v>
      </c>
      <c r="B591" s="1392" t="s">
        <v>1467</v>
      </c>
      <c r="C591" s="1392"/>
      <c r="D591" s="1414"/>
      <c r="E591" s="342"/>
      <c r="F591" s="1291">
        <f ca="1">F589+F585</f>
        <v>313236</v>
      </c>
      <c r="G591" s="1453">
        <f t="shared" ref="G591:K591" ca="1" si="100">G589+G585</f>
        <v>2304</v>
      </c>
      <c r="H591" s="1454">
        <f t="shared" ca="1" si="100"/>
        <v>0</v>
      </c>
      <c r="I591" s="1455">
        <f t="shared" ca="1" si="100"/>
        <v>310931</v>
      </c>
      <c r="J591" s="335">
        <f t="shared" ca="1" si="100"/>
        <v>313235</v>
      </c>
      <c r="K591" s="335">
        <f t="shared" ca="1" si="100"/>
        <v>1</v>
      </c>
    </row>
    <row r="592" spans="1:11">
      <c r="A592" s="968">
        <v>16</v>
      </c>
      <c r="B592" s="1392"/>
      <c r="C592" s="1392"/>
      <c r="D592" s="1414"/>
      <c r="E592" s="342"/>
      <c r="F592" s="353"/>
      <c r="G592" s="547"/>
      <c r="H592" s="537"/>
      <c r="I592" s="538"/>
    </row>
    <row r="593" spans="1:11">
      <c r="A593" s="968">
        <v>17</v>
      </c>
      <c r="B593" s="1422" t="s">
        <v>68</v>
      </c>
      <c r="C593" s="1423"/>
      <c r="D593" s="968"/>
      <c r="E593" s="342"/>
      <c r="F593" s="353"/>
      <c r="G593" s="547"/>
      <c r="H593" s="537"/>
      <c r="I593" s="538"/>
    </row>
    <row r="594" spans="1:11">
      <c r="A594" s="968">
        <v>18</v>
      </c>
      <c r="B594" s="1417" t="s">
        <v>1468</v>
      </c>
      <c r="C594" s="1392"/>
      <c r="D594" s="1414"/>
      <c r="E594" s="342"/>
      <c r="F594" s="353"/>
      <c r="G594" s="547"/>
      <c r="H594" s="537"/>
      <c r="I594" s="538"/>
    </row>
    <row r="595" spans="1:11">
      <c r="A595" s="968">
        <v>19</v>
      </c>
      <c r="B595" s="1392" t="s">
        <v>43</v>
      </c>
      <c r="C595" s="1392"/>
      <c r="D595" s="1414"/>
      <c r="E595" s="342"/>
      <c r="F595" s="1291">
        <f>F334</f>
        <v>15539826</v>
      </c>
      <c r="G595" s="1453">
        <f>G334</f>
        <v>6837950</v>
      </c>
      <c r="H595" s="1454">
        <f>H334</f>
        <v>244257</v>
      </c>
      <c r="I595" s="1455">
        <f>I334</f>
        <v>8457619</v>
      </c>
      <c r="J595" s="1291">
        <f>J334</f>
        <v>15539826</v>
      </c>
      <c r="K595" s="1291">
        <f t="shared" ref="K595" si="101">K316</f>
        <v>0</v>
      </c>
    </row>
    <row r="596" spans="1:11">
      <c r="A596" s="968">
        <v>20</v>
      </c>
      <c r="B596" s="1392" t="s">
        <v>199</v>
      </c>
      <c r="C596" s="1392"/>
      <c r="D596" s="1414"/>
      <c r="E596" s="342"/>
      <c r="F596" s="1291">
        <f t="shared" ref="F596:K596" ca="1" si="102">F557</f>
        <v>2095413</v>
      </c>
      <c r="G596" s="1453">
        <f t="shared" ca="1" si="102"/>
        <v>737986</v>
      </c>
      <c r="H596" s="1454">
        <f t="shared" ca="1" si="102"/>
        <v>480495</v>
      </c>
      <c r="I596" s="1455">
        <f t="shared" ca="1" si="102"/>
        <v>876933</v>
      </c>
      <c r="J596" s="335">
        <f t="shared" ca="1" si="102"/>
        <v>2095414</v>
      </c>
      <c r="K596" s="335">
        <f t="shared" ca="1" si="102"/>
        <v>0</v>
      </c>
    </row>
    <row r="597" spans="1:11">
      <c r="A597" s="968">
        <v>21</v>
      </c>
      <c r="B597" s="1392" t="s">
        <v>1469</v>
      </c>
      <c r="C597" s="1392"/>
      <c r="D597" s="1414"/>
      <c r="E597" s="342"/>
      <c r="F597" s="1291">
        <f>-F524</f>
        <v>-9269811</v>
      </c>
      <c r="G597" s="1453">
        <f t="shared" ref="G597:K597" si="103">-G524</f>
        <v>-3974627</v>
      </c>
      <c r="H597" s="1454">
        <f t="shared" si="103"/>
        <v>-182070</v>
      </c>
      <c r="I597" s="1455">
        <f t="shared" si="103"/>
        <v>-5113114</v>
      </c>
      <c r="J597" s="335">
        <f t="shared" si="103"/>
        <v>-9269811</v>
      </c>
      <c r="K597" s="335">
        <f t="shared" si="103"/>
        <v>0</v>
      </c>
    </row>
    <row r="598" spans="1:11">
      <c r="A598" s="968">
        <v>22</v>
      </c>
      <c r="B598" s="1392" t="s">
        <v>1470</v>
      </c>
      <c r="C598" s="1392"/>
      <c r="D598" s="1414"/>
      <c r="E598" s="342"/>
      <c r="F598" s="1291">
        <f t="shared" ref="F598:K598" ca="1" si="104">-F580</f>
        <v>-3946066</v>
      </c>
      <c r="G598" s="1453">
        <f t="shared" ca="1" si="104"/>
        <v>-29043</v>
      </c>
      <c r="H598" s="1454">
        <f t="shared" ca="1" si="104"/>
        <v>0</v>
      </c>
      <c r="I598" s="1455">
        <f t="shared" ca="1" si="104"/>
        <v>-3917023</v>
      </c>
      <c r="J598" s="335">
        <f t="shared" ca="1" si="104"/>
        <v>-3946066</v>
      </c>
      <c r="K598" s="335">
        <f t="shared" ca="1" si="104"/>
        <v>0</v>
      </c>
    </row>
    <row r="599" spans="1:11">
      <c r="A599" s="968">
        <v>23</v>
      </c>
      <c r="B599" s="1411" t="s">
        <v>1471</v>
      </c>
      <c r="C599" s="1411"/>
      <c r="D599" s="1414"/>
      <c r="E599" s="342"/>
      <c r="F599" s="1424">
        <f t="shared" ref="F599:K599" ca="1" si="105">F591</f>
        <v>313236</v>
      </c>
      <c r="G599" s="1456">
        <f t="shared" ca="1" si="105"/>
        <v>2304</v>
      </c>
      <c r="H599" s="1457">
        <f t="shared" ca="1" si="105"/>
        <v>0</v>
      </c>
      <c r="I599" s="1458">
        <f t="shared" ca="1" si="105"/>
        <v>310931</v>
      </c>
      <c r="J599" s="1428">
        <f t="shared" ca="1" si="105"/>
        <v>313235</v>
      </c>
      <c r="K599" s="1428">
        <f t="shared" ca="1" si="105"/>
        <v>1</v>
      </c>
    </row>
    <row r="600" spans="1:11">
      <c r="A600" s="968">
        <v>24</v>
      </c>
      <c r="B600" s="1090" t="s">
        <v>1472</v>
      </c>
      <c r="C600" s="1392"/>
      <c r="D600" s="1414"/>
      <c r="E600" s="342"/>
      <c r="F600" s="1291">
        <f t="shared" ref="F600:K600" ca="1" si="106">SUM(F595:F599)</f>
        <v>4732598</v>
      </c>
      <c r="G600" s="1453">
        <f t="shared" ca="1" si="106"/>
        <v>3574570</v>
      </c>
      <c r="H600" s="1454">
        <f t="shared" ca="1" si="106"/>
        <v>542682</v>
      </c>
      <c r="I600" s="1455">
        <f t="shared" ca="1" si="106"/>
        <v>615346</v>
      </c>
      <c r="J600" s="335">
        <f t="shared" ca="1" si="106"/>
        <v>4732598</v>
      </c>
      <c r="K600" s="335">
        <f t="shared" ca="1" si="106"/>
        <v>1</v>
      </c>
    </row>
    <row r="601" spans="1:11">
      <c r="A601" s="968">
        <v>25</v>
      </c>
      <c r="B601" s="1392"/>
      <c r="C601" s="1392"/>
      <c r="D601" s="1414"/>
      <c r="E601" s="342"/>
      <c r="F601" s="353"/>
      <c r="G601" s="547"/>
      <c r="H601" s="537"/>
      <c r="I601" s="538"/>
    </row>
    <row r="602" spans="1:11">
      <c r="A602" s="968">
        <v>26</v>
      </c>
      <c r="B602" s="1392" t="s">
        <v>1473</v>
      </c>
      <c r="C602" s="1392"/>
      <c r="D602" s="1414"/>
      <c r="E602" s="342"/>
      <c r="F602" s="1429">
        <f>ROUND(SIT/(1-SIT),8)</f>
        <v>5.2282660000000002E-2</v>
      </c>
      <c r="G602" s="1459">
        <f t="shared" ref="G602:K602" si="107">ROUND(SIT/(1-SIT),8)</f>
        <v>5.2282660000000002E-2</v>
      </c>
      <c r="H602" s="1460">
        <f t="shared" si="107"/>
        <v>5.2282660000000002E-2</v>
      </c>
      <c r="I602" s="1461">
        <f t="shared" si="107"/>
        <v>5.2282660000000002E-2</v>
      </c>
      <c r="J602" s="1429">
        <f t="shared" si="107"/>
        <v>5.2282660000000002E-2</v>
      </c>
      <c r="K602" s="1429">
        <f t="shared" si="107"/>
        <v>5.2282660000000002E-2</v>
      </c>
    </row>
    <row r="603" spans="1:11">
      <c r="A603" s="968">
        <v>27</v>
      </c>
      <c r="B603" s="1392" t="s">
        <v>1474</v>
      </c>
      <c r="C603" s="1392"/>
      <c r="D603" s="1433" t="s">
        <v>1475</v>
      </c>
      <c r="E603" s="342"/>
      <c r="F603" s="1434">
        <f ca="1">ROUND(F600*F602,0)</f>
        <v>247433</v>
      </c>
      <c r="G603" s="1454">
        <f ca="1">ROUND(G600*G602,0)</f>
        <v>186888</v>
      </c>
      <c r="H603" s="1454">
        <f ca="1">ROUND(H600*H602,0)</f>
        <v>28373</v>
      </c>
      <c r="I603" s="1455">
        <f ca="1">ROUND(I600*I602,0)</f>
        <v>32172</v>
      </c>
      <c r="J603" s="347">
        <f ca="1">SUM(G603:I603)</f>
        <v>247433</v>
      </c>
      <c r="K603" s="347">
        <f ca="1">F603-J603</f>
        <v>0</v>
      </c>
    </row>
    <row r="604" spans="1:11">
      <c r="A604" s="968">
        <v>28</v>
      </c>
      <c r="B604" s="1411" t="s">
        <v>1476</v>
      </c>
      <c r="C604" s="1411"/>
      <c r="D604" s="1414"/>
      <c r="E604" s="1435"/>
      <c r="F604" s="1434">
        <f ca="1">F591</f>
        <v>313236</v>
      </c>
      <c r="G604" s="1462">
        <f ca="1">G591</f>
        <v>2304</v>
      </c>
      <c r="H604" s="1463">
        <f ca="1">H591</f>
        <v>0</v>
      </c>
      <c r="I604" s="1464">
        <f ca="1">I591</f>
        <v>310931</v>
      </c>
      <c r="J604" s="347">
        <f ca="1">SUM(G604:I604)</f>
        <v>313235</v>
      </c>
      <c r="K604" s="347">
        <f ca="1">F604-J604</f>
        <v>1</v>
      </c>
    </row>
    <row r="605" spans="1:11">
      <c r="A605" s="968">
        <v>29</v>
      </c>
      <c r="B605" s="1090" t="s">
        <v>1477</v>
      </c>
      <c r="C605" s="1392"/>
      <c r="D605" s="1414"/>
      <c r="E605" s="342"/>
      <c r="F605" s="1439">
        <f t="shared" ref="F605:K605" ca="1" si="108">F604+F603</f>
        <v>560669</v>
      </c>
      <c r="G605" s="1465">
        <f t="shared" ca="1" si="108"/>
        <v>189192</v>
      </c>
      <c r="H605" s="1466">
        <f t="shared" ca="1" si="108"/>
        <v>28373</v>
      </c>
      <c r="I605" s="1467">
        <f t="shared" ca="1" si="108"/>
        <v>343103</v>
      </c>
      <c r="J605" s="1439">
        <f t="shared" ca="1" si="108"/>
        <v>560668</v>
      </c>
      <c r="K605" s="1439">
        <f t="shared" ca="1" si="108"/>
        <v>1</v>
      </c>
    </row>
    <row r="606" spans="1:11">
      <c r="A606" s="968">
        <v>30</v>
      </c>
      <c r="B606" s="1392"/>
      <c r="C606" s="1392"/>
      <c r="D606" s="1414"/>
      <c r="E606" s="342"/>
      <c r="F606" s="353"/>
      <c r="G606" s="547"/>
      <c r="H606" s="537"/>
      <c r="I606" s="538"/>
    </row>
    <row r="607" spans="1:11">
      <c r="A607" s="968">
        <v>31</v>
      </c>
      <c r="B607" s="1392" t="s">
        <v>1478</v>
      </c>
      <c r="C607" s="1392"/>
      <c r="D607" s="1414"/>
      <c r="E607" s="342"/>
      <c r="F607" s="353"/>
      <c r="G607" s="547"/>
      <c r="H607" s="537"/>
      <c r="I607" s="538"/>
    </row>
    <row r="608" spans="1:11">
      <c r="A608" s="968">
        <v>32</v>
      </c>
      <c r="B608" s="1392" t="s">
        <v>1474</v>
      </c>
      <c r="C608" s="1392"/>
      <c r="D608" s="1414"/>
      <c r="E608" s="342"/>
      <c r="F608" s="1434">
        <f t="shared" ref="F608:K608" ca="1" si="109">F603</f>
        <v>247433</v>
      </c>
      <c r="G608" s="1462">
        <f t="shared" ca="1" si="109"/>
        <v>186888</v>
      </c>
      <c r="H608" s="1463">
        <f t="shared" ca="1" si="109"/>
        <v>28373</v>
      </c>
      <c r="I608" s="1464">
        <f t="shared" ca="1" si="109"/>
        <v>32172</v>
      </c>
      <c r="J608" s="1434">
        <f t="shared" ca="1" si="109"/>
        <v>247433</v>
      </c>
      <c r="K608" s="1434">
        <f t="shared" ca="1" si="109"/>
        <v>0</v>
      </c>
    </row>
    <row r="609" spans="1:11">
      <c r="A609" s="968">
        <v>33</v>
      </c>
      <c r="B609" s="1411" t="s">
        <v>1464</v>
      </c>
      <c r="C609" s="1411"/>
      <c r="D609" s="1414"/>
      <c r="E609" s="342"/>
      <c r="F609" s="1434">
        <f t="shared" ref="F609:K609" ca="1" si="110">F589</f>
        <v>0</v>
      </c>
      <c r="G609" s="1462">
        <f t="shared" ca="1" si="110"/>
        <v>0</v>
      </c>
      <c r="H609" s="1463">
        <f t="shared" ca="1" si="110"/>
        <v>0</v>
      </c>
      <c r="I609" s="1464">
        <f t="shared" ca="1" si="110"/>
        <v>0</v>
      </c>
      <c r="J609" s="1434">
        <f t="shared" ca="1" si="110"/>
        <v>0</v>
      </c>
      <c r="K609" s="1434">
        <f t="shared" ca="1" si="110"/>
        <v>0</v>
      </c>
    </row>
    <row r="610" spans="1:11">
      <c r="A610" s="968">
        <v>34</v>
      </c>
      <c r="B610" s="1090" t="s">
        <v>1479</v>
      </c>
      <c r="C610" s="1392"/>
      <c r="D610" s="1414"/>
      <c r="E610" s="342"/>
      <c r="F610" s="1439">
        <f t="shared" ref="F610:K610" ca="1" si="111">F608+F609</f>
        <v>247433</v>
      </c>
      <c r="G610" s="1465">
        <f t="shared" ca="1" si="111"/>
        <v>186888</v>
      </c>
      <c r="H610" s="1466">
        <f t="shared" ca="1" si="111"/>
        <v>28373</v>
      </c>
      <c r="I610" s="1467">
        <f t="shared" ca="1" si="111"/>
        <v>32172</v>
      </c>
      <c r="J610" s="1439">
        <f t="shared" ca="1" si="111"/>
        <v>247433</v>
      </c>
      <c r="K610" s="1439">
        <f t="shared" ca="1" si="111"/>
        <v>0</v>
      </c>
    </row>
    <row r="611" spans="1:11">
      <c r="A611" s="968">
        <v>35</v>
      </c>
      <c r="B611" s="1392"/>
      <c r="C611" s="1392"/>
      <c r="D611" s="1392"/>
      <c r="E611" s="342"/>
      <c r="F611" s="1434"/>
      <c r="G611" s="1462"/>
      <c r="H611" s="1463"/>
      <c r="I611" s="1464"/>
      <c r="J611" s="1434"/>
      <c r="K611" s="1434"/>
    </row>
    <row r="612" spans="1:11">
      <c r="A612" s="968">
        <v>36</v>
      </c>
      <c r="B612" s="1392" t="s">
        <v>76</v>
      </c>
      <c r="C612" s="1392"/>
      <c r="D612" s="1392"/>
      <c r="E612" s="342"/>
      <c r="F612" s="1443">
        <f t="shared" ref="F612:K612" si="112">(SIT*(1-FIT))+((1-SIT)*(1-FIT)*RevTax)+FIT</f>
        <v>0.24925115</v>
      </c>
      <c r="G612" s="1468">
        <f t="shared" si="112"/>
        <v>0.24925115</v>
      </c>
      <c r="H612" s="1469">
        <f t="shared" si="112"/>
        <v>0.24925115</v>
      </c>
      <c r="I612" s="1470">
        <f t="shared" si="112"/>
        <v>0.24925115</v>
      </c>
      <c r="J612" s="1443">
        <f t="shared" si="112"/>
        <v>0.24925115</v>
      </c>
      <c r="K612" s="1443">
        <f t="shared" si="112"/>
        <v>0.24925115</v>
      </c>
    </row>
    <row r="614" spans="1:11">
      <c r="A614" s="343" t="str">
        <f>co_name</f>
        <v>DUKE ENERGY KENTUCKY, INC.</v>
      </c>
      <c r="C614" s="196"/>
      <c r="D614" s="344"/>
      <c r="E614" s="196"/>
      <c r="F614" s="196"/>
      <c r="G614" s="196"/>
      <c r="H614" s="196"/>
      <c r="I614" s="196"/>
      <c r="J614" s="196" t="str">
        <f>$J$1</f>
        <v>FR-16(7)(v)-9</v>
      </c>
      <c r="K614" s="196"/>
    </row>
    <row r="615" spans="1:11">
      <c r="A615" s="343" t="str">
        <f>$A$2</f>
        <v>RESIDENTIAL CLASSIFIED - GAS COST OF SERVICE</v>
      </c>
      <c r="C615" s="196"/>
      <c r="D615" s="344"/>
      <c r="E615" s="196"/>
      <c r="F615" s="196"/>
      <c r="G615" s="196"/>
      <c r="H615" s="196"/>
      <c r="I615" s="196"/>
      <c r="J615" s="196" t="str">
        <f>$J$2</f>
        <v>WITNESS RESPONSIBLE:</v>
      </c>
      <c r="K615" s="196"/>
    </row>
    <row r="616" spans="1:11">
      <c r="A616" s="343" t="str">
        <f>case_name</f>
        <v>CASE NO: 2018-00261</v>
      </c>
      <c r="C616" s="196"/>
      <c r="D616" s="344"/>
      <c r="E616" s="196"/>
      <c r="F616" s="196"/>
      <c r="G616" s="196"/>
      <c r="H616" s="196"/>
      <c r="I616" s="196"/>
      <c r="J616" s="196" t="str">
        <f>Witness</f>
        <v>JAMES E. ZIOLKOWSKI</v>
      </c>
      <c r="K616" s="196"/>
    </row>
    <row r="617" spans="1:11">
      <c r="A617" s="343" t="str">
        <f>data_filing</f>
        <v>DATA: 12 MONTH FORECASTED PERIOD</v>
      </c>
      <c r="C617" s="196"/>
      <c r="D617" s="344"/>
      <c r="E617" s="196"/>
      <c r="F617" s="196"/>
      <c r="G617" s="196"/>
      <c r="H617" s="196"/>
      <c r="I617" s="196"/>
      <c r="J617" s="196" t="str">
        <f>"PAGE "&amp;Pages2-1&amp;" OF "&amp;Pages2</f>
        <v>PAGE 14 OF 15</v>
      </c>
      <c r="K617" s="196"/>
    </row>
    <row r="618" spans="1:11">
      <c r="A618" s="343" t="str">
        <f>type</f>
        <v xml:space="preserve">TYPE OF FILING: "X" ORIGINAL   UPDATED    REVISED  </v>
      </c>
      <c r="C618" s="196"/>
      <c r="D618" s="344"/>
      <c r="E618" s="196"/>
      <c r="F618" s="196"/>
      <c r="G618" s="196"/>
      <c r="H618" s="196"/>
      <c r="I618" s="196"/>
      <c r="J618" s="196"/>
      <c r="K618" s="196"/>
    </row>
    <row r="619" spans="1:11">
      <c r="B619" s="343"/>
      <c r="C619" s="196"/>
      <c r="D619" s="344"/>
      <c r="E619" s="196"/>
      <c r="F619" s="196"/>
      <c r="G619" s="196"/>
      <c r="H619" s="196"/>
      <c r="I619" s="196"/>
      <c r="J619" s="196"/>
      <c r="K619" s="196"/>
    </row>
    <row r="620" spans="1:11">
      <c r="B620" s="343"/>
      <c r="C620" s="196"/>
      <c r="D620" s="344"/>
      <c r="E620" s="196"/>
      <c r="F620" s="196"/>
      <c r="G620" s="196"/>
      <c r="H620" s="196"/>
      <c r="I620" s="196"/>
      <c r="J620" s="196"/>
      <c r="K620" s="196"/>
    </row>
    <row r="621" spans="1:11">
      <c r="A621" s="344" t="s">
        <v>914</v>
      </c>
      <c r="B621" s="196"/>
      <c r="C621" s="196"/>
      <c r="D621" s="344"/>
      <c r="E621" s="196"/>
      <c r="F621" s="344" t="s">
        <v>229</v>
      </c>
      <c r="G621" s="545" t="s">
        <v>1005</v>
      </c>
      <c r="H621" s="533"/>
      <c r="I621" s="534"/>
      <c r="J621" s="344" t="s">
        <v>229</v>
      </c>
      <c r="K621" s="344" t="s">
        <v>342</v>
      </c>
    </row>
    <row r="622" spans="1:11">
      <c r="A622" s="346" t="s">
        <v>915</v>
      </c>
      <c r="B622" s="345" t="s">
        <v>77</v>
      </c>
      <c r="C622" s="345"/>
      <c r="D622" s="346" t="s">
        <v>337</v>
      </c>
      <c r="E622" s="345"/>
      <c r="F622" s="346" t="str">
        <f>$F$9</f>
        <v>RESIDENTIAL</v>
      </c>
      <c r="G622" s="546" t="s">
        <v>847</v>
      </c>
      <c r="H622" s="535" t="s">
        <v>848</v>
      </c>
      <c r="I622" s="536" t="s">
        <v>849</v>
      </c>
      <c r="J622" s="346" t="s">
        <v>341</v>
      </c>
      <c r="K622" s="346" t="s">
        <v>340</v>
      </c>
    </row>
    <row r="623" spans="1:11">
      <c r="C623" s="578" t="s">
        <v>352</v>
      </c>
      <c r="D623" s="344"/>
      <c r="E623" s="196"/>
      <c r="G623" s="800">
        <f>$G$10</f>
        <v>3</v>
      </c>
      <c r="H623" s="801">
        <f>$H$10</f>
        <v>4</v>
      </c>
      <c r="I623" s="802">
        <f>$I$10</f>
        <v>5</v>
      </c>
    </row>
    <row r="624" spans="1:11">
      <c r="A624" s="333">
        <v>1</v>
      </c>
      <c r="B624" s="332" t="s">
        <v>78</v>
      </c>
      <c r="D624" s="344"/>
      <c r="E624" s="196"/>
      <c r="G624" s="547"/>
      <c r="H624" s="537"/>
      <c r="I624" s="538"/>
    </row>
    <row r="625" spans="1:11">
      <c r="A625" s="333">
        <v>2</v>
      </c>
      <c r="C625" s="332" t="str">
        <f>'FR-16(7)(v)-1 Functional'!C625</f>
        <v>MISC SERVICE REVENUE</v>
      </c>
      <c r="D625" s="344" t="str">
        <f>'FR-16(7)(v)-1 Functional'!D625</f>
        <v>K401</v>
      </c>
      <c r="E625" s="196"/>
      <c r="F625" s="479">
        <f>'FR-16(7)(v)-8 TOT CLASS Alloc'!G625</f>
        <v>46506</v>
      </c>
      <c r="G625" s="548">
        <f>'FR-16(7)(v)-5 DISTR Dem Alloc'!$G$625</f>
        <v>0</v>
      </c>
      <c r="H625" s="539">
        <f>'FR-16(7)(v)-3 PROD Comm Alloc'!$G$625</f>
        <v>0</v>
      </c>
      <c r="I625" s="540">
        <f>'FR-16(7)(v)-6 DISTR Cust Alloc'!$G$625</f>
        <v>46506</v>
      </c>
      <c r="J625" s="347">
        <f>SUM($G$625:$I$625)</f>
        <v>46506</v>
      </c>
      <c r="K625" s="347">
        <f>F625-$J$625</f>
        <v>0</v>
      </c>
    </row>
    <row r="626" spans="1:11">
      <c r="A626" s="333">
        <v>3</v>
      </c>
      <c r="C626" s="332" t="str">
        <f>'FR-16(7)(v)-1 Functional'!C626</f>
        <v>INTERDEPARTMENTAL</v>
      </c>
      <c r="D626" s="344" t="str">
        <f>'FR-16(7)(v)-1 Functional'!D626</f>
        <v>AG39</v>
      </c>
      <c r="E626" s="196"/>
      <c r="F626" s="479">
        <f>'FR-16(7)(v)-8 TOT CLASS Alloc'!G626</f>
        <v>20326</v>
      </c>
      <c r="G626" s="548">
        <f>'FR-16(7)(v)-5 DISTR Dem Alloc'!$G$626</f>
        <v>6088</v>
      </c>
      <c r="H626" s="539">
        <f>'FR-16(7)(v)-3 PROD Comm Alloc'!$G$626</f>
        <v>1452</v>
      </c>
      <c r="I626" s="540">
        <f>'FR-16(7)(v)-6 DISTR Cust Alloc'!$G$626</f>
        <v>12786</v>
      </c>
      <c r="J626" s="347">
        <f>SUM($G$626:$I$626)</f>
        <v>20326</v>
      </c>
      <c r="K626" s="347">
        <f>F626-$J$626</f>
        <v>0</v>
      </c>
    </row>
    <row r="627" spans="1:11">
      <c r="A627" s="333">
        <v>4</v>
      </c>
      <c r="C627" s="332" t="str">
        <f>'FR-16(7)(v)-1 Functional'!C627</f>
        <v>OTH MISC REVENUE</v>
      </c>
      <c r="D627" s="344" t="str">
        <f>'FR-16(7)(v)-1 Functional'!D627</f>
        <v>K401</v>
      </c>
      <c r="E627" s="196"/>
      <c r="F627" s="479">
        <f>'FR-16(7)(v)-8 TOT CLASS Alloc'!G627</f>
        <v>1760</v>
      </c>
      <c r="G627" s="548">
        <f>'FR-16(7)(v)-5 DISTR Dem Alloc'!$G$627</f>
        <v>0</v>
      </c>
      <c r="H627" s="539">
        <f>'FR-16(7)(v)-3 PROD Comm Alloc'!$G$627</f>
        <v>0</v>
      </c>
      <c r="I627" s="540">
        <f>'FR-16(7)(v)-6 DISTR Cust Alloc'!$G$627</f>
        <v>1760</v>
      </c>
      <c r="J627" s="347">
        <f>SUM($G$627:$I$627)</f>
        <v>1760</v>
      </c>
      <c r="K627" s="347">
        <f>F627-$J$627</f>
        <v>0</v>
      </c>
    </row>
    <row r="628" spans="1:11">
      <c r="A628" s="333">
        <v>5</v>
      </c>
      <c r="C628" s="332" t="str">
        <f>'FR-16(7)(v)-1 Functional'!C628</f>
        <v>RENTS</v>
      </c>
      <c r="D628" s="344" t="str">
        <f>'FR-16(7)(v)-1 Functional'!D628</f>
        <v>D249</v>
      </c>
      <c r="E628" s="196"/>
      <c r="F628" s="479">
        <f>'FR-16(7)(v)-8 TOT CLASS Alloc'!G628</f>
        <v>10057</v>
      </c>
      <c r="G628" s="548">
        <f>'FR-16(7)(v)-5 DISTR Dem Alloc'!$G$628</f>
        <v>4479</v>
      </c>
      <c r="H628" s="539">
        <f>'FR-16(7)(v)-3 PROD Comm Alloc'!$G$628</f>
        <v>0</v>
      </c>
      <c r="I628" s="540">
        <f>'FR-16(7)(v)-6 DISTR Cust Alloc'!$G$628</f>
        <v>5578</v>
      </c>
      <c r="J628" s="347">
        <f>SUM($G$628:$I$628)</f>
        <v>10057</v>
      </c>
      <c r="K628" s="347">
        <f>F628-$J$628</f>
        <v>0</v>
      </c>
    </row>
    <row r="629" spans="1:11">
      <c r="A629" s="333">
        <v>6</v>
      </c>
      <c r="C629" s="359" t="str">
        <f>'FR-16(7)(v)-1 Functional'!C629</f>
        <v>IT TRANSPORT SPECIAL CONTRACTS</v>
      </c>
      <c r="D629" s="344" t="str">
        <f>'FR-16(7)(v)-1 Functional'!D629</f>
        <v>AG39</v>
      </c>
      <c r="E629" s="196"/>
      <c r="F629" s="479">
        <f>'FR-16(7)(v)-8 TOT CLASS Alloc'!G629</f>
        <v>0</v>
      </c>
      <c r="G629" s="548">
        <f>'FR-16(7)(v)-5 DISTR Dem Alloc'!$G$629</f>
        <v>0</v>
      </c>
      <c r="H629" s="539">
        <f>'FR-16(7)(v)-3 PROD Comm Alloc'!$G$629</f>
        <v>0</v>
      </c>
      <c r="I629" s="540">
        <f>'FR-16(7)(v)-6 DISTR Cust Alloc'!$G$629</f>
        <v>0</v>
      </c>
      <c r="J629" s="347">
        <f>SUM($G$629:$I$629)</f>
        <v>0</v>
      </c>
      <c r="K629" s="347">
        <f>F629-$J$629</f>
        <v>0</v>
      </c>
    </row>
    <row r="630" spans="1:11">
      <c r="A630" s="333">
        <v>7</v>
      </c>
      <c r="C630" s="332" t="str">
        <f>'FR-16(7)(v)-1 Functional'!C630</f>
        <v xml:space="preserve">  TOTAL OTHER OPERATING REVS</v>
      </c>
      <c r="D630" s="344"/>
      <c r="E630" s="196"/>
      <c r="F630" s="348">
        <f>SUM(F625:F629)</f>
        <v>78649</v>
      </c>
      <c r="G630" s="549">
        <f>SUM($G$625:$G$629)</f>
        <v>10567</v>
      </c>
      <c r="H630" s="541">
        <f>SUM($H$625:$H$629)</f>
        <v>1452</v>
      </c>
      <c r="I630" s="542">
        <f>SUM($I$625:$I$629)</f>
        <v>66630</v>
      </c>
      <c r="J630" s="348">
        <f>SUM($J$625:$J$629)</f>
        <v>78649</v>
      </c>
      <c r="K630" s="348">
        <f>SUM($K$625:$K$629)</f>
        <v>0</v>
      </c>
    </row>
    <row r="631" spans="1:11">
      <c r="A631" s="333">
        <v>8</v>
      </c>
      <c r="D631" s="344"/>
      <c r="E631" s="196"/>
      <c r="G631" s="547"/>
      <c r="H631" s="537"/>
      <c r="I631" s="538"/>
    </row>
    <row r="632" spans="1:11">
      <c r="A632" s="333">
        <v>9</v>
      </c>
      <c r="B632" s="332" t="s">
        <v>77</v>
      </c>
      <c r="D632" s="344"/>
      <c r="E632" s="196"/>
      <c r="G632" s="547"/>
      <c r="H632" s="537"/>
      <c r="I632" s="538"/>
    </row>
    <row r="633" spans="1:11">
      <c r="A633" s="333">
        <v>10</v>
      </c>
      <c r="C633" s="332" t="str">
        <f>'FR-16(7)(v)-1 Functional'!C633</f>
        <v>TOTAL OP EXP EXC INC &amp; REV TAX</v>
      </c>
      <c r="D633" s="344"/>
      <c r="E633" s="196"/>
      <c r="F633" s="347">
        <f>F501</f>
        <v>48894078</v>
      </c>
      <c r="G633" s="548">
        <f>$G$501</f>
        <v>11576249</v>
      </c>
      <c r="H633" s="539">
        <f>$H$501</f>
        <v>19513729</v>
      </c>
      <c r="I633" s="540">
        <f>$I$501</f>
        <v>17804100</v>
      </c>
      <c r="J633" s="347">
        <f>$J$501</f>
        <v>48894078</v>
      </c>
      <c r="K633" s="347">
        <f>$K$501</f>
        <v>0</v>
      </c>
    </row>
    <row r="634" spans="1:11">
      <c r="A634" s="333">
        <v>11</v>
      </c>
      <c r="C634" s="332" t="str">
        <f>'FR-16(7)(v)-1 Functional'!C634</f>
        <v>RETURN ON RATE BASE</v>
      </c>
      <c r="D634" s="344"/>
      <c r="E634" s="196"/>
      <c r="F634" s="347">
        <f t="shared" ref="F634:K634" si="113">F334</f>
        <v>15539826</v>
      </c>
      <c r="G634" s="548">
        <f t="shared" si="113"/>
        <v>6837950</v>
      </c>
      <c r="H634" s="539">
        <f t="shared" si="113"/>
        <v>244257</v>
      </c>
      <c r="I634" s="540">
        <f t="shared" si="113"/>
        <v>8457619</v>
      </c>
      <c r="J634" s="347">
        <f t="shared" si="113"/>
        <v>15539826</v>
      </c>
      <c r="K634" s="347">
        <f t="shared" si="113"/>
        <v>0</v>
      </c>
    </row>
    <row r="635" spans="1:11">
      <c r="A635" s="333">
        <v>12</v>
      </c>
      <c r="C635" s="332" t="str">
        <f>'FR-16(7)(v)-1 Functional'!C635</f>
        <v>NET FED INCOME TAX ALLOWABLE</v>
      </c>
      <c r="D635" s="344"/>
      <c r="E635" s="196"/>
      <c r="F635" s="347">
        <f ca="1">F557</f>
        <v>2095413</v>
      </c>
      <c r="G635" s="548">
        <f ca="1">$G$557</f>
        <v>737986</v>
      </c>
      <c r="H635" s="539">
        <f ca="1">$H$557</f>
        <v>480495</v>
      </c>
      <c r="I635" s="540">
        <f ca="1">$I$557</f>
        <v>876933</v>
      </c>
      <c r="J635" s="347">
        <f ca="1">$J$557</f>
        <v>2095414</v>
      </c>
      <c r="K635" s="347">
        <f ca="1">$K$557</f>
        <v>0</v>
      </c>
    </row>
    <row r="636" spans="1:11">
      <c r="A636" s="333">
        <v>13</v>
      </c>
      <c r="C636" s="359" t="str">
        <f>'FR-16(7)(v)-1 Functional'!C636</f>
        <v>TOTAL OTHER OPERATING REVENUES</v>
      </c>
      <c r="D636" s="344"/>
      <c r="E636" s="196"/>
      <c r="F636" s="347">
        <f>-F630</f>
        <v>-78649</v>
      </c>
      <c r="G636" s="548">
        <f>-$G$630</f>
        <v>-10567</v>
      </c>
      <c r="H636" s="539">
        <f>-$H$630</f>
        <v>-1452</v>
      </c>
      <c r="I636" s="540">
        <f>-$I$630</f>
        <v>-66630</v>
      </c>
      <c r="J636" s="347">
        <f>-$J$630</f>
        <v>-78649</v>
      </c>
      <c r="K636" s="347">
        <f>-$K$630</f>
        <v>0</v>
      </c>
    </row>
    <row r="637" spans="1:11">
      <c r="A637" s="333">
        <v>14</v>
      </c>
      <c r="C637" s="332" t="str">
        <f>'FR-16(7)(v)-1 Functional'!C637</f>
        <v xml:space="preserve">  SUBTOTAL B</v>
      </c>
      <c r="D637" s="344"/>
      <c r="E637" s="196"/>
      <c r="F637" s="348">
        <f ca="1">SUM(F632:F636)</f>
        <v>66450668</v>
      </c>
      <c r="G637" s="549">
        <f ca="1">SUM($G$632:$G$636)</f>
        <v>19141618</v>
      </c>
      <c r="H637" s="541">
        <f ca="1">SUM($H$632:$H$636)</f>
        <v>20237029</v>
      </c>
      <c r="I637" s="542">
        <f ca="1">SUM($I$632:$I$636)</f>
        <v>27072022</v>
      </c>
      <c r="J637" s="348">
        <f ca="1">SUM($J$632:$J$636)</f>
        <v>66450669</v>
      </c>
      <c r="K637" s="348">
        <f ca="1">$J$637-F637</f>
        <v>1</v>
      </c>
    </row>
    <row r="638" spans="1:11">
      <c r="A638" s="333">
        <v>15</v>
      </c>
      <c r="D638" s="344"/>
      <c r="E638" s="196"/>
      <c r="G638" s="547"/>
      <c r="H638" s="537"/>
      <c r="I638" s="538"/>
    </row>
    <row r="639" spans="1:11">
      <c r="A639" s="333">
        <v>16</v>
      </c>
      <c r="C639" s="332" t="str">
        <f>'FR-16(7)(v)-1 Functional'!C639</f>
        <v>TOTAL OTHER OPERATING REVENUES</v>
      </c>
      <c r="D639" s="344"/>
      <c r="E639" s="196"/>
      <c r="F639" s="347">
        <f>-F636</f>
        <v>78649</v>
      </c>
      <c r="G639" s="548">
        <f>-$G$636</f>
        <v>10567</v>
      </c>
      <c r="H639" s="539">
        <f>-$H$636</f>
        <v>1452</v>
      </c>
      <c r="I639" s="540">
        <f>-$I$636</f>
        <v>66630</v>
      </c>
      <c r="J639" s="347">
        <f>-$J$636</f>
        <v>78649</v>
      </c>
      <c r="K639" s="347">
        <f>-$K$636</f>
        <v>0</v>
      </c>
    </row>
    <row r="640" spans="1:11">
      <c r="A640" s="333">
        <v>17</v>
      </c>
      <c r="C640" s="359" t="str">
        <f>'FR-16(7)(v)-1 Functional'!C640</f>
        <v>LESS: REVS EXCL FROM REV TAX CALC</v>
      </c>
      <c r="D640" s="344"/>
      <c r="E640" s="196"/>
      <c r="F640" s="479">
        <f>'FR-16(7)(v)-8 TOT CLASS Alloc'!G640</f>
        <v>0</v>
      </c>
      <c r="G640" s="548">
        <f>'FR-16(7)(v)-5 DISTR Dem Alloc'!G640</f>
        <v>0</v>
      </c>
      <c r="H640" s="539">
        <f>'FR-16(7)(v)-3 PROD Comm Alloc'!G640</f>
        <v>0</v>
      </c>
      <c r="I640" s="540">
        <f>'FR-16(7)(v)-6 DISTR Cust Alloc'!G640</f>
        <v>0</v>
      </c>
      <c r="J640" s="347">
        <f>SUM(G640:I640)</f>
        <v>0</v>
      </c>
      <c r="K640" s="347">
        <f>'FR-16(7)(v)-3 PROD Comm Alloc'!L855</f>
        <v>0</v>
      </c>
    </row>
    <row r="641" spans="1:11">
      <c r="A641" s="333">
        <v>18</v>
      </c>
      <c r="C641" s="332" t="str">
        <f>'FR-16(7)(v)-1 Functional'!C641</f>
        <v>OTHER OPERATING REVS TO BE TAXED</v>
      </c>
      <c r="D641" s="344"/>
      <c r="E641" s="196"/>
      <c r="F641" s="348">
        <f>F639-F640</f>
        <v>78649</v>
      </c>
      <c r="G641" s="549">
        <f>$G$639-G640</f>
        <v>10567</v>
      </c>
      <c r="H641" s="541">
        <f>$H$639-H640</f>
        <v>1452</v>
      </c>
      <c r="I641" s="542">
        <f>$I$639-I640</f>
        <v>66630</v>
      </c>
      <c r="J641" s="348">
        <f>$J$639-J640</f>
        <v>78649</v>
      </c>
      <c r="K641" s="348">
        <f>$K$639-K640</f>
        <v>0</v>
      </c>
    </row>
    <row r="642" spans="1:11">
      <c r="A642" s="333">
        <v>19</v>
      </c>
      <c r="D642" s="344"/>
      <c r="E642" s="196"/>
      <c r="G642" s="547"/>
      <c r="H642" s="537"/>
      <c r="I642" s="538"/>
    </row>
    <row r="643" spans="1:11">
      <c r="A643" s="333">
        <v>20</v>
      </c>
      <c r="C643" s="332" t="str">
        <f>'FR-16(7)(v)-1 Functional'!C643</f>
        <v>REVENUE TAX FACTOR</v>
      </c>
      <c r="D643" s="344"/>
      <c r="E643" s="196"/>
      <c r="F643" s="350">
        <f t="shared" ref="F643:K643" si="114">ROUND(F694/(1-F694),8)</f>
        <v>0</v>
      </c>
      <c r="G643" s="566">
        <f t="shared" si="114"/>
        <v>0</v>
      </c>
      <c r="H643" s="567">
        <f t="shared" si="114"/>
        <v>0</v>
      </c>
      <c r="I643" s="568">
        <f t="shared" si="114"/>
        <v>0</v>
      </c>
      <c r="J643" s="350">
        <f t="shared" si="114"/>
        <v>0</v>
      </c>
      <c r="K643" s="350">
        <f t="shared" si="114"/>
        <v>0</v>
      </c>
    </row>
    <row r="644" spans="1:11">
      <c r="A644" s="333">
        <v>21</v>
      </c>
      <c r="C644" s="332" t="str">
        <f>'FR-16(7)(v)-1 Functional'!C644</f>
        <v>REVENUE TAX ON OTHER OPER. REVS</v>
      </c>
      <c r="D644" s="344"/>
      <c r="E644" s="196"/>
      <c r="F644" s="347">
        <f>ROUND(F643*F641,0)</f>
        <v>0</v>
      </c>
      <c r="G644" s="548">
        <f>ROUND(G643*G641,0)</f>
        <v>0</v>
      </c>
      <c r="H644" s="539">
        <f>ROUND(H643*H641,0)</f>
        <v>0</v>
      </c>
      <c r="I644" s="540">
        <f>ROUND(I643*I641,0)</f>
        <v>0</v>
      </c>
      <c r="J644" s="347">
        <f>SUM(G644:I644)</f>
        <v>0</v>
      </c>
      <c r="K644" s="347">
        <f>ROUND(K643*K641,0)</f>
        <v>0</v>
      </c>
    </row>
    <row r="645" spans="1:11">
      <c r="A645" s="333">
        <v>22</v>
      </c>
      <c r="C645" s="332" t="str">
        <f>'FR-16(7)(v)-1 Functional'!C645</f>
        <v>REVENUE TAX ON COST OF SERVICE</v>
      </c>
      <c r="D645" s="344"/>
      <c r="E645" s="196"/>
      <c r="F645" s="512">
        <f ca="1">ROUND(F643*F637,0)</f>
        <v>0</v>
      </c>
      <c r="G645" s="548">
        <f ca="1">ROUND(G643*$G$637,0)</f>
        <v>0</v>
      </c>
      <c r="H645" s="539">
        <f ca="1">ROUND(H643*$H$637,0)</f>
        <v>0</v>
      </c>
      <c r="I645" s="540">
        <f ca="1">ROUND(I643*$I$637,0)</f>
        <v>0</v>
      </c>
      <c r="J645" s="512">
        <f ca="1">SUM(G645:I645)</f>
        <v>0</v>
      </c>
      <c r="K645" s="512">
        <f ca="1">ROUND(K643*$K$637,0)</f>
        <v>0</v>
      </c>
    </row>
    <row r="646" spans="1:11">
      <c r="A646" s="333">
        <v>23</v>
      </c>
      <c r="C646" s="359" t="str">
        <f>'FR-16(7)(v)-1 Functional'!C646</f>
        <v>TOTAL REVENUE TAX</v>
      </c>
      <c r="D646" s="344"/>
      <c r="E646" s="196"/>
      <c r="F646" s="510">
        <f t="shared" ref="F646:K646" ca="1" si="115">F645+F644</f>
        <v>0</v>
      </c>
      <c r="G646" s="572">
        <f t="shared" ca="1" si="115"/>
        <v>0</v>
      </c>
      <c r="H646" s="573">
        <f t="shared" ca="1" si="115"/>
        <v>0</v>
      </c>
      <c r="I646" s="574">
        <f t="shared" ca="1" si="115"/>
        <v>0</v>
      </c>
      <c r="J646" s="510">
        <f t="shared" ca="1" si="115"/>
        <v>0</v>
      </c>
      <c r="K646" s="510">
        <f t="shared" ca="1" si="115"/>
        <v>0</v>
      </c>
    </row>
    <row r="647" spans="1:11">
      <c r="A647" s="333">
        <v>24</v>
      </c>
      <c r="C647" s="332" t="str">
        <f>'FR-16(7)(v)-1 Functional'!C647</f>
        <v xml:space="preserve">  TOTAL GAS COST OF SERVICE</v>
      </c>
      <c r="D647" s="344"/>
      <c r="E647" s="196"/>
      <c r="F647" s="348">
        <f ca="1">F646+F637</f>
        <v>66450668</v>
      </c>
      <c r="G647" s="549">
        <f ca="1">G646+$G$637</f>
        <v>19141618</v>
      </c>
      <c r="H647" s="541">
        <f ca="1">H646+$H$637</f>
        <v>20237029</v>
      </c>
      <c r="I647" s="542">
        <f ca="1">I646+$I$637</f>
        <v>27072022</v>
      </c>
      <c r="J647" s="348">
        <f ca="1">J646+$J$637</f>
        <v>66450669</v>
      </c>
      <c r="K647" s="348">
        <f ca="1">K646+$K$637</f>
        <v>1</v>
      </c>
    </row>
    <row r="648" spans="1:11">
      <c r="A648" s="333">
        <v>25</v>
      </c>
      <c r="D648" s="344"/>
      <c r="E648" s="196"/>
      <c r="G648" s="547"/>
      <c r="H648" s="537"/>
      <c r="I648" s="538"/>
    </row>
    <row r="649" spans="1:11">
      <c r="A649" s="333">
        <v>26</v>
      </c>
      <c r="B649" s="332" t="s">
        <v>1194</v>
      </c>
      <c r="D649" s="344"/>
      <c r="E649" s="196"/>
      <c r="F649" s="479">
        <f>'FR-16(7)(v)-8 TOT CLASS Alloc'!G649</f>
        <v>65522694</v>
      </c>
      <c r="G649" s="548">
        <f>'FR-16(7)(v)-5 DISTR Dem Alloc'!G649</f>
        <v>20762035</v>
      </c>
      <c r="H649" s="539">
        <f>'FR-16(7)(v)-3 PROD Comm Alloc'!G649</f>
        <v>24976596</v>
      </c>
      <c r="I649" s="540">
        <f>'FR-16(7)(v)-6 DISTR Cust Alloc'!G649</f>
        <v>19784063</v>
      </c>
      <c r="J649" s="347">
        <f>SUM(G649:I649)</f>
        <v>65522694</v>
      </c>
      <c r="K649" s="347">
        <f>F649-J649</f>
        <v>0</v>
      </c>
    </row>
    <row r="650" spans="1:11">
      <c r="A650" s="333">
        <v>27</v>
      </c>
      <c r="B650" s="332" t="s">
        <v>79</v>
      </c>
      <c r="D650" s="344"/>
      <c r="E650" s="196"/>
      <c r="F650" s="347">
        <f t="shared" ref="F650:K650" ca="1" si="116">-F647</f>
        <v>-66450668</v>
      </c>
      <c r="G650" s="548">
        <f t="shared" ca="1" si="116"/>
        <v>-19141618</v>
      </c>
      <c r="H650" s="539">
        <f t="shared" ca="1" si="116"/>
        <v>-20237029</v>
      </c>
      <c r="I650" s="540">
        <f t="shared" ca="1" si="116"/>
        <v>-27072022</v>
      </c>
      <c r="J650" s="347">
        <f t="shared" ca="1" si="116"/>
        <v>-66450669</v>
      </c>
      <c r="K650" s="347">
        <f t="shared" ca="1" si="116"/>
        <v>-1</v>
      </c>
    </row>
    <row r="651" spans="1:11">
      <c r="A651" s="333">
        <v>28</v>
      </c>
      <c r="B651" s="332" t="s">
        <v>80</v>
      </c>
      <c r="D651" s="344"/>
      <c r="E651" s="196"/>
      <c r="F651" s="347">
        <f ca="1">F650+F649</f>
        <v>-927974</v>
      </c>
      <c r="G651" s="548">
        <f ca="1">G650+G649</f>
        <v>1620417</v>
      </c>
      <c r="H651" s="539">
        <f ca="1">H650+H649</f>
        <v>4739567</v>
      </c>
      <c r="I651" s="540">
        <f ca="1">I650+I649</f>
        <v>-7287959</v>
      </c>
      <c r="J651" s="347">
        <f ca="1">SUM(G651:I651)</f>
        <v>-927975</v>
      </c>
      <c r="K651" s="347">
        <f ca="1">K650+K649</f>
        <v>-1</v>
      </c>
    </row>
    <row r="652" spans="1:11">
      <c r="A652" s="333">
        <v>29</v>
      </c>
      <c r="B652" s="332" t="s">
        <v>76</v>
      </c>
      <c r="D652" s="344"/>
      <c r="E652" s="196"/>
      <c r="F652" s="350">
        <f>F565</f>
        <v>0.24925</v>
      </c>
      <c r="G652" s="566">
        <f>$G$565</f>
        <v>0.24925</v>
      </c>
      <c r="H652" s="567">
        <f>$H$565</f>
        <v>0.24925</v>
      </c>
      <c r="I652" s="568">
        <f>$I$565</f>
        <v>0.24925</v>
      </c>
      <c r="J652" s="350">
        <f>$K$565</f>
        <v>0.24925</v>
      </c>
      <c r="K652" s="350">
        <f>$K$565</f>
        <v>0.24925</v>
      </c>
    </row>
    <row r="653" spans="1:11">
      <c r="A653" s="333">
        <v>30</v>
      </c>
      <c r="B653" s="332" t="s">
        <v>81</v>
      </c>
      <c r="D653" s="344"/>
      <c r="E653" s="196"/>
      <c r="F653" s="347">
        <f ca="1">ROUND(F652*F651,0)</f>
        <v>-231298</v>
      </c>
      <c r="G653" s="548">
        <f ca="1">ROUND(F652*F651,0)-H653-I653</f>
        <v>403889</v>
      </c>
      <c r="H653" s="539">
        <f ca="1">ROUND(H652*H651,0)</f>
        <v>1181337</v>
      </c>
      <c r="I653" s="540">
        <f ca="1">ROUND(I652*I651,0)</f>
        <v>-1816524</v>
      </c>
      <c r="J653" s="347">
        <f ca="1">SUM(G653:I653)</f>
        <v>-231298</v>
      </c>
      <c r="K653" s="512">
        <f t="shared" ref="K653:K654" ca="1" si="117">F653-J653</f>
        <v>0</v>
      </c>
    </row>
    <row r="654" spans="1:11">
      <c r="A654" s="333">
        <v>31</v>
      </c>
      <c r="B654" s="332" t="s">
        <v>82</v>
      </c>
      <c r="D654" s="344"/>
      <c r="E654" s="196"/>
      <c r="F654" s="347">
        <f ca="1">F651-F653</f>
        <v>-696676</v>
      </c>
      <c r="G654" s="550">
        <f ca="1">G651-G653</f>
        <v>1216528</v>
      </c>
      <c r="H654" s="543">
        <f ca="1">H651-H653</f>
        <v>3558230</v>
      </c>
      <c r="I654" s="544">
        <f ca="1">I651-I653</f>
        <v>-5471435</v>
      </c>
      <c r="J654" s="347">
        <f ca="1">SUM(G654:I654)</f>
        <v>-696677</v>
      </c>
      <c r="K654" s="512">
        <f t="shared" ca="1" si="117"/>
        <v>1</v>
      </c>
    </row>
    <row r="655" spans="1:11">
      <c r="A655" s="532"/>
      <c r="B655" s="584"/>
      <c r="C655" s="584"/>
      <c r="D655" s="736"/>
      <c r="E655" s="584"/>
      <c r="F655" s="532"/>
      <c r="G655" s="532"/>
      <c r="H655" s="532"/>
      <c r="I655" s="532"/>
      <c r="J655" s="532"/>
      <c r="K655" s="532"/>
    </row>
    <row r="656" spans="1:11">
      <c r="A656" s="343" t="str">
        <f>co_name</f>
        <v>DUKE ENERGY KENTUCKY, INC.</v>
      </c>
      <c r="C656" s="196"/>
      <c r="D656" s="344"/>
      <c r="E656" s="196"/>
      <c r="F656" s="196"/>
      <c r="G656" s="196"/>
      <c r="H656" s="196"/>
      <c r="I656" s="196"/>
      <c r="J656" s="196" t="str">
        <f>$J$1</f>
        <v>FR-16(7)(v)-9</v>
      </c>
      <c r="K656" s="196"/>
    </row>
    <row r="657" spans="1:11">
      <c r="A657" s="343" t="str">
        <f>$A$2</f>
        <v>RESIDENTIAL CLASSIFIED - GAS COST OF SERVICE</v>
      </c>
      <c r="C657" s="196"/>
      <c r="D657" s="344"/>
      <c r="E657" s="196"/>
      <c r="F657" s="196"/>
      <c r="G657" s="196"/>
      <c r="H657" s="196"/>
      <c r="I657" s="196"/>
      <c r="J657" s="196" t="str">
        <f>$J$2</f>
        <v>WITNESS RESPONSIBLE:</v>
      </c>
      <c r="K657" s="196"/>
    </row>
    <row r="658" spans="1:11">
      <c r="A658" s="343" t="str">
        <f>case_name</f>
        <v>CASE NO: 2018-00261</v>
      </c>
      <c r="C658" s="196"/>
      <c r="D658" s="344"/>
      <c r="E658" s="196"/>
      <c r="F658" s="196"/>
      <c r="G658" s="196"/>
      <c r="H658" s="196"/>
      <c r="I658" s="196"/>
      <c r="J658" s="196" t="str">
        <f>Witness</f>
        <v>JAMES E. ZIOLKOWSKI</v>
      </c>
      <c r="K658" s="196"/>
    </row>
    <row r="659" spans="1:11">
      <c r="A659" s="343" t="str">
        <f>data_filing</f>
        <v>DATA: 12 MONTH FORECASTED PERIOD</v>
      </c>
      <c r="C659" s="196"/>
      <c r="D659" s="344"/>
      <c r="E659" s="196"/>
      <c r="F659" s="196"/>
      <c r="G659" s="196"/>
      <c r="H659" s="196"/>
      <c r="I659" s="196"/>
      <c r="J659" s="196" t="str">
        <f>"PAGE "&amp;Pages2&amp;" OF "&amp;Pages2</f>
        <v>PAGE 15 OF 15</v>
      </c>
      <c r="K659" s="196"/>
    </row>
    <row r="660" spans="1:11">
      <c r="A660" s="343" t="str">
        <f>type</f>
        <v xml:space="preserve">TYPE OF FILING: "X" ORIGINAL   UPDATED    REVISED  </v>
      </c>
      <c r="C660" s="196"/>
      <c r="D660" s="344"/>
      <c r="E660" s="196"/>
      <c r="F660" s="196"/>
      <c r="G660" s="196"/>
      <c r="H660" s="196"/>
      <c r="I660" s="196"/>
      <c r="J660" s="196"/>
      <c r="K660" s="196"/>
    </row>
    <row r="661" spans="1:11">
      <c r="B661" s="343"/>
      <c r="C661" s="196"/>
      <c r="D661" s="344"/>
      <c r="E661" s="196"/>
      <c r="F661" s="196"/>
      <c r="G661" s="196"/>
      <c r="H661" s="196"/>
      <c r="I661" s="196"/>
      <c r="J661" s="196"/>
      <c r="K661" s="196"/>
    </row>
    <row r="662" spans="1:11">
      <c r="B662" s="343"/>
      <c r="C662" s="196"/>
      <c r="D662" s="344"/>
      <c r="E662" s="196"/>
      <c r="F662" s="196"/>
      <c r="G662" s="196"/>
      <c r="H662" s="196"/>
      <c r="I662" s="196"/>
      <c r="J662" s="196"/>
      <c r="K662" s="196"/>
    </row>
    <row r="663" spans="1:11">
      <c r="A663" s="344" t="s">
        <v>914</v>
      </c>
      <c r="B663" s="196"/>
      <c r="C663" s="196"/>
      <c r="D663" s="344"/>
      <c r="E663" s="196"/>
      <c r="F663" s="344" t="s">
        <v>229</v>
      </c>
      <c r="G663" s="545" t="s">
        <v>1005</v>
      </c>
      <c r="H663" s="533"/>
      <c r="I663" s="534"/>
      <c r="J663" s="344" t="s">
        <v>229</v>
      </c>
      <c r="K663" s="344" t="s">
        <v>342</v>
      </c>
    </row>
    <row r="664" spans="1:11">
      <c r="A664" s="346" t="s">
        <v>915</v>
      </c>
      <c r="B664" s="345" t="s">
        <v>83</v>
      </c>
      <c r="C664" s="345"/>
      <c r="D664" s="346" t="s">
        <v>337</v>
      </c>
      <c r="E664" s="345"/>
      <c r="F664" s="346" t="str">
        <f>$F$9</f>
        <v>RESIDENTIAL</v>
      </c>
      <c r="G664" s="546" t="s">
        <v>847</v>
      </c>
      <c r="H664" s="535" t="s">
        <v>848</v>
      </c>
      <c r="I664" s="536" t="s">
        <v>849</v>
      </c>
      <c r="J664" s="346" t="s">
        <v>341</v>
      </c>
      <c r="K664" s="346" t="s">
        <v>340</v>
      </c>
    </row>
    <row r="665" spans="1:11">
      <c r="C665" s="578" t="s">
        <v>353</v>
      </c>
      <c r="D665" s="344"/>
      <c r="E665" s="196"/>
      <c r="G665" s="824">
        <f>$G$10</f>
        <v>3</v>
      </c>
      <c r="H665" s="824">
        <f>$H$10</f>
        <v>4</v>
      </c>
      <c r="I665" s="824">
        <f>$I$10</f>
        <v>5</v>
      </c>
    </row>
    <row r="666" spans="1:11">
      <c r="A666" s="333">
        <v>1</v>
      </c>
      <c r="B666" s="332" t="s">
        <v>84</v>
      </c>
      <c r="D666" s="344"/>
      <c r="E666" s="196"/>
    </row>
    <row r="667" spans="1:11">
      <c r="A667" s="333">
        <v>2</v>
      </c>
      <c r="B667" s="332" t="s">
        <v>85</v>
      </c>
      <c r="D667" s="344"/>
      <c r="E667" s="196"/>
      <c r="G667" s="519" t="s">
        <v>339</v>
      </c>
    </row>
    <row r="668" spans="1:11">
      <c r="A668" s="333">
        <v>3</v>
      </c>
      <c r="C668" s="332" t="str">
        <f>'FR-16(7)(v)-1 Functional'!C668</f>
        <v>LONG TERM DEBT</v>
      </c>
      <c r="D668" s="344"/>
      <c r="E668" s="196"/>
      <c r="F668" s="479">
        <f>'FR-16(7)(v)-1 Functional'!$F$668</f>
        <v>518128763</v>
      </c>
      <c r="G668" s="350">
        <f>IF($F$673=0,0,ROUND(F668/$F$673,5))</f>
        <v>0.42338999999999999</v>
      </c>
    </row>
    <row r="669" spans="1:11">
      <c r="A669" s="333">
        <v>4</v>
      </c>
      <c r="C669" s="332" t="str">
        <f>'FR-16(7)(v)-1 Functional'!C669</f>
        <v>PREFERRED STOCK</v>
      </c>
      <c r="D669" s="344"/>
      <c r="E669" s="196"/>
      <c r="F669" s="479">
        <f>'FR-16(7)(v)-1 Functional'!$F$669</f>
        <v>0</v>
      </c>
      <c r="G669" s="350">
        <f>IF($F$673=0,0,ROUND(F669/$F$673,5))</f>
        <v>0</v>
      </c>
    </row>
    <row r="670" spans="1:11">
      <c r="A670" s="333">
        <v>5</v>
      </c>
      <c r="C670" s="332" t="str">
        <f>'FR-16(7)(v)-1 Functional'!C670</f>
        <v>COMMON STOCK</v>
      </c>
      <c r="D670" s="344"/>
      <c r="E670" s="196"/>
      <c r="F670" s="479">
        <f>'FR-16(7)(v)-1 Functional'!$F$670</f>
        <v>621113054</v>
      </c>
      <c r="G670" s="350">
        <f>1-G668-G669-G671-G672</f>
        <v>0.50755000000000006</v>
      </c>
    </row>
    <row r="671" spans="1:11">
      <c r="A671" s="333">
        <v>6</v>
      </c>
      <c r="C671" s="332" t="str">
        <f>'FR-16(7)(v)-1 Functional'!C671</f>
        <v>SHORT TERM DEBT</v>
      </c>
      <c r="D671" s="344"/>
      <c r="E671" s="196"/>
      <c r="F671" s="479">
        <f>'FR-16(7)(v)-1 Functional'!$F$671</f>
        <v>84508435</v>
      </c>
      <c r="G671" s="350">
        <f>IF($F$673=0,0,ROUND(F671/$F$673,5))</f>
        <v>6.9059999999999996E-2</v>
      </c>
    </row>
    <row r="672" spans="1:11">
      <c r="A672" s="333">
        <v>7</v>
      </c>
      <c r="C672" s="332" t="str">
        <f>'FR-16(7)(v)-1 Functional'!C672</f>
        <v>UNAMORTIZED DISCOUNT</v>
      </c>
      <c r="D672" s="344"/>
      <c r="E672" s="196"/>
      <c r="F672" s="479">
        <f>'FR-16(7)(v)-1 Functional'!$F$672</f>
        <v>0</v>
      </c>
      <c r="G672" s="350">
        <f>IF($F$673=0,0,ROUND(F672/$F$673,5))</f>
        <v>0</v>
      </c>
    </row>
    <row r="673" spans="1:9">
      <c r="A673" s="333">
        <v>8</v>
      </c>
      <c r="C673" s="332" t="str">
        <f>'FR-16(7)(v)-1 Functional'!C673</f>
        <v xml:space="preserve">  TOTAL</v>
      </c>
      <c r="D673" s="344"/>
      <c r="E673" s="196"/>
      <c r="F673" s="480">
        <f>SUM(F667:F672)</f>
        <v>1223750252</v>
      </c>
      <c r="G673" s="521">
        <f>SUM(G668:G672)</f>
        <v>1</v>
      </c>
    </row>
    <row r="674" spans="1:9">
      <c r="A674" s="333">
        <v>9</v>
      </c>
      <c r="D674" s="344"/>
      <c r="E674" s="196"/>
    </row>
    <row r="675" spans="1:9">
      <c r="A675" s="333">
        <v>10</v>
      </c>
      <c r="B675" s="332" t="s">
        <v>86</v>
      </c>
      <c r="D675" s="344"/>
      <c r="E675" s="196"/>
    </row>
    <row r="676" spans="1:9">
      <c r="A676" s="333">
        <v>11</v>
      </c>
      <c r="C676" s="332" t="str">
        <f>'FR-16(7)(v)-1 Functional'!C676</f>
        <v>LONG TERM DEBT</v>
      </c>
      <c r="D676" s="344"/>
      <c r="E676" s="196"/>
      <c r="F676" s="586">
        <f>'FR-16(7)(v)-1 Functional'!$F$676</f>
        <v>4.3979999999999998E-2</v>
      </c>
      <c r="G676" s="522"/>
      <c r="H676" s="522"/>
      <c r="I676" s="522"/>
    </row>
    <row r="677" spans="1:9">
      <c r="A677" s="333">
        <v>12</v>
      </c>
      <c r="C677" s="332" t="str">
        <f>'FR-16(7)(v)-1 Functional'!C677</f>
        <v>PREFERRED STOCK</v>
      </c>
      <c r="D677" s="344"/>
      <c r="E677" s="196"/>
      <c r="F677" s="586">
        <f>'FR-16(7)(v)-1 Functional'!$F$677</f>
        <v>0</v>
      </c>
      <c r="G677" s="522"/>
      <c r="H677" s="522"/>
      <c r="I677" s="522"/>
    </row>
    <row r="678" spans="1:9">
      <c r="A678" s="333">
        <v>13</v>
      </c>
      <c r="C678" s="332" t="str">
        <f>'FR-16(7)(v)-1 Functional'!C678</f>
        <v>COMMON STOCK</v>
      </c>
      <c r="D678" s="344"/>
      <c r="E678" s="196"/>
      <c r="F678" s="586">
        <f>'FR-16(7)(v)-1 Functional'!$F$678</f>
        <v>9.9000000000000005E-2</v>
      </c>
      <c r="G678" s="522"/>
      <c r="H678" s="522"/>
      <c r="I678" s="522"/>
    </row>
    <row r="679" spans="1:9">
      <c r="A679" s="333">
        <v>14</v>
      </c>
      <c r="C679" s="332" t="str">
        <f>'FR-16(7)(v)-1 Functional'!C679</f>
        <v>SHORT TERM DEBT</v>
      </c>
      <c r="D679" s="344"/>
      <c r="E679" s="196"/>
      <c r="F679" s="586">
        <f>'FR-16(7)(v)-1 Functional'!$F$679</f>
        <v>4.2500000000000003E-2</v>
      </c>
      <c r="G679" s="522"/>
      <c r="H679" s="522"/>
      <c r="I679" s="522"/>
    </row>
    <row r="680" spans="1:9">
      <c r="A680" s="333">
        <v>15</v>
      </c>
      <c r="C680" s="332" t="str">
        <f>'FR-16(7)(v)-1 Functional'!C680</f>
        <v>UNAMORTIZED DISCOUNT</v>
      </c>
      <c r="D680" s="344"/>
      <c r="E680" s="196"/>
      <c r="F680" s="586">
        <f>'FR-16(7)(v)-1 Functional'!$F$680</f>
        <v>0</v>
      </c>
      <c r="G680" s="522"/>
      <c r="H680" s="522"/>
      <c r="I680" s="522"/>
    </row>
    <row r="681" spans="1:9">
      <c r="A681" s="333">
        <v>16</v>
      </c>
      <c r="D681" s="344"/>
      <c r="E681" s="196"/>
    </row>
    <row r="682" spans="1:9">
      <c r="A682" s="333">
        <v>17</v>
      </c>
      <c r="B682" s="332" t="s">
        <v>87</v>
      </c>
      <c r="D682" s="344"/>
      <c r="E682" s="196"/>
    </row>
    <row r="683" spans="1:9">
      <c r="A683" s="333">
        <v>18</v>
      </c>
      <c r="C683" s="332" t="str">
        <f>'FR-16(7)(v)-1 Functional'!C683</f>
        <v>LONG TERM DEBT</v>
      </c>
      <c r="D683" s="344"/>
      <c r="E683" s="196"/>
      <c r="F683" s="350">
        <f>ROUND(G668*F676,5)</f>
        <v>1.8620000000000001E-2</v>
      </c>
      <c r="G683" s="520"/>
      <c r="H683" s="520"/>
      <c r="I683" s="520"/>
    </row>
    <row r="684" spans="1:9">
      <c r="A684" s="333">
        <v>19</v>
      </c>
      <c r="C684" s="332" t="str">
        <f>'FR-16(7)(v)-1 Functional'!C684</f>
        <v>PREFERRED STOCK</v>
      </c>
      <c r="D684" s="344"/>
      <c r="E684" s="196"/>
      <c r="F684" s="350">
        <f>ROUND(G669*F677,5)</f>
        <v>0</v>
      </c>
      <c r="G684" s="520"/>
      <c r="H684" s="520"/>
      <c r="I684" s="520"/>
    </row>
    <row r="685" spans="1:9">
      <c r="A685" s="333">
        <v>20</v>
      </c>
      <c r="C685" s="332" t="str">
        <f>'FR-16(7)(v)-1 Functional'!C685</f>
        <v>COMMON STOCK</v>
      </c>
      <c r="D685" s="344"/>
      <c r="E685" s="196"/>
      <c r="F685" s="350">
        <f>ROUND(G670*F678,5)</f>
        <v>5.0250000000000003E-2</v>
      </c>
      <c r="G685" s="520"/>
      <c r="H685" s="520"/>
      <c r="I685" s="520"/>
    </row>
    <row r="686" spans="1:9">
      <c r="A686" s="333">
        <v>21</v>
      </c>
      <c r="C686" s="332" t="str">
        <f>'FR-16(7)(v)-1 Functional'!C686</f>
        <v>SHORT TERM DEBT</v>
      </c>
      <c r="D686" s="344"/>
      <c r="E686" s="196"/>
      <c r="F686" s="350">
        <f>ROUND(G671*F679,5)</f>
        <v>2.9399999999999999E-3</v>
      </c>
      <c r="G686" s="520"/>
      <c r="H686" s="520"/>
      <c r="I686" s="520"/>
    </row>
    <row r="687" spans="1:9">
      <c r="A687" s="333">
        <v>22</v>
      </c>
      <c r="C687" s="332" t="str">
        <f>'FR-16(7)(v)-1 Functional'!C687</f>
        <v>UNAMORTIZED DISCOUNT</v>
      </c>
      <c r="D687" s="344"/>
      <c r="E687" s="196"/>
      <c r="F687" s="350">
        <f>ROUND(G672*F680,5)</f>
        <v>0</v>
      </c>
      <c r="G687" s="520"/>
      <c r="H687" s="520"/>
      <c r="I687" s="520"/>
    </row>
    <row r="688" spans="1:9">
      <c r="A688" s="333">
        <v>23</v>
      </c>
      <c r="C688" s="332" t="str">
        <f>'FR-16(7)(v)-1 Functional'!C688</f>
        <v xml:space="preserve">  TOT RATE OF RETURN ALLOWABLE</v>
      </c>
      <c r="D688" s="344"/>
      <c r="E688" s="196"/>
      <c r="F688" s="1487">
        <f>SUM(F683:F687)</f>
        <v>7.1809999999999999E-2</v>
      </c>
      <c r="G688" s="524"/>
      <c r="H688" s="524"/>
      <c r="I688" s="524"/>
    </row>
    <row r="689" spans="1:11">
      <c r="A689" s="333">
        <v>24</v>
      </c>
      <c r="D689" s="344"/>
      <c r="E689" s="196"/>
    </row>
    <row r="690" spans="1:11">
      <c r="A690" s="333">
        <v>25</v>
      </c>
      <c r="B690" s="332" t="s">
        <v>88</v>
      </c>
      <c r="D690" s="344"/>
      <c r="E690" s="196"/>
      <c r="F690" s="365"/>
    </row>
    <row r="691" spans="1:11">
      <c r="A691" s="333">
        <v>26</v>
      </c>
      <c r="C691" s="332" t="str">
        <f>'FR-16(7)(v)-1 Functional'!C691</f>
        <v>SHORT TERM DEBT COST</v>
      </c>
      <c r="D691" s="344"/>
      <c r="E691" s="196"/>
      <c r="F691" s="766">
        <v>0</v>
      </c>
      <c r="G691" s="525">
        <f>$F$691</f>
        <v>0</v>
      </c>
      <c r="H691" s="525">
        <f>$F$691</f>
        <v>0</v>
      </c>
      <c r="I691" s="525">
        <f>$F$691</f>
        <v>0</v>
      </c>
      <c r="J691" s="525">
        <f>$F$691</f>
        <v>0</v>
      </c>
      <c r="K691" s="525">
        <f>$F$691</f>
        <v>0</v>
      </c>
    </row>
    <row r="692" spans="1:11">
      <c r="A692" s="333">
        <v>27</v>
      </c>
      <c r="C692" s="332" t="str">
        <f>'FR-16(7)(v)-1 Functional'!C692</f>
        <v>FEDERAL INCOME TAX RATE</v>
      </c>
      <c r="D692" s="344"/>
      <c r="E692" s="196"/>
      <c r="F692" s="525">
        <f t="shared" ref="F692:K692" si="118">FIT</f>
        <v>0.21</v>
      </c>
      <c r="G692" s="525">
        <f t="shared" si="118"/>
        <v>0.21</v>
      </c>
      <c r="H692" s="525">
        <f t="shared" si="118"/>
        <v>0.21</v>
      </c>
      <c r="I692" s="525">
        <f t="shared" si="118"/>
        <v>0.21</v>
      </c>
      <c r="J692" s="525">
        <f t="shared" si="118"/>
        <v>0.21</v>
      </c>
      <c r="K692" s="525">
        <f t="shared" si="118"/>
        <v>0.21</v>
      </c>
    </row>
    <row r="693" spans="1:11">
      <c r="A693" s="333">
        <v>28</v>
      </c>
      <c r="C693" s="332" t="str">
        <f>'FR-16(7)(v)-1 Functional'!C693</f>
        <v>STATE INCOME TAX RATE</v>
      </c>
      <c r="D693" s="344"/>
      <c r="E693" s="196"/>
      <c r="F693" s="525">
        <f t="shared" ref="F693:K693" si="119">SIT</f>
        <v>4.9685000000000007E-2</v>
      </c>
      <c r="G693" s="525">
        <f t="shared" si="119"/>
        <v>4.9685000000000007E-2</v>
      </c>
      <c r="H693" s="525">
        <f t="shared" si="119"/>
        <v>4.9685000000000007E-2</v>
      </c>
      <c r="I693" s="525">
        <f t="shared" si="119"/>
        <v>4.9685000000000007E-2</v>
      </c>
      <c r="J693" s="525">
        <f t="shared" si="119"/>
        <v>4.9685000000000007E-2</v>
      </c>
      <c r="K693" s="525">
        <f t="shared" si="119"/>
        <v>4.9685000000000007E-2</v>
      </c>
    </row>
    <row r="694" spans="1:11">
      <c r="A694" s="333">
        <v>29</v>
      </c>
      <c r="C694" s="332" t="str">
        <f>'FR-16(7)(v)-1 Functional'!C694</f>
        <v>REVENUE TAX RATE</v>
      </c>
      <c r="D694" s="344"/>
      <c r="E694" s="196"/>
      <c r="F694" s="522">
        <v>0</v>
      </c>
      <c r="G694" s="525">
        <f>RevTax</f>
        <v>0</v>
      </c>
      <c r="H694" s="525">
        <f>RevTax</f>
        <v>0</v>
      </c>
      <c r="I694" s="525">
        <f>RevTax</f>
        <v>0</v>
      </c>
      <c r="J694" s="525">
        <f>RevTax</f>
        <v>0</v>
      </c>
      <c r="K694" s="525">
        <f>RevTax</f>
        <v>0</v>
      </c>
    </row>
    <row r="696" spans="1:11">
      <c r="A696" s="343"/>
      <c r="C696" s="196"/>
      <c r="D696" s="344"/>
      <c r="E696" s="196"/>
      <c r="F696" s="196"/>
      <c r="G696" s="196"/>
      <c r="H696" s="196"/>
      <c r="I696" s="196"/>
      <c r="J696" s="196"/>
      <c r="K696" s="196"/>
    </row>
    <row r="697" spans="1:11">
      <c r="A697" s="343"/>
      <c r="C697" s="196"/>
      <c r="D697" s="344"/>
      <c r="E697" s="196"/>
      <c r="F697" s="196"/>
      <c r="G697" s="196"/>
      <c r="H697" s="196"/>
      <c r="I697" s="196"/>
      <c r="J697" s="196"/>
      <c r="K697" s="196"/>
    </row>
    <row r="698" spans="1:11">
      <c r="A698" s="343"/>
      <c r="C698" s="196"/>
      <c r="D698" s="344"/>
      <c r="E698" s="196"/>
      <c r="F698" s="196"/>
      <c r="G698" s="196"/>
      <c r="H698" s="196"/>
      <c r="I698" s="196"/>
      <c r="J698" s="196"/>
      <c r="K698" s="196"/>
    </row>
    <row r="699" spans="1:11">
      <c r="A699" s="343"/>
      <c r="C699" s="196"/>
      <c r="D699" s="344"/>
      <c r="E699" s="196"/>
      <c r="F699" s="196"/>
      <c r="G699" s="196"/>
      <c r="H699" s="196"/>
      <c r="I699" s="196"/>
      <c r="J699" s="196"/>
      <c r="K699" s="196"/>
    </row>
    <row r="700" spans="1:11">
      <c r="A700" s="343"/>
      <c r="C700" s="196"/>
      <c r="D700" s="344"/>
      <c r="E700" s="196"/>
      <c r="F700" s="196"/>
      <c r="G700" s="196"/>
      <c r="H700" s="196"/>
      <c r="I700" s="196"/>
      <c r="J700" s="196"/>
      <c r="K700" s="196"/>
    </row>
    <row r="747" spans="1:11">
      <c r="A747" s="343"/>
      <c r="C747" s="196"/>
      <c r="D747" s="344"/>
      <c r="E747" s="196"/>
      <c r="F747" s="196"/>
      <c r="G747" s="196"/>
      <c r="H747" s="196"/>
      <c r="I747" s="196"/>
      <c r="J747" s="196"/>
      <c r="K747" s="196"/>
    </row>
    <row r="748" spans="1:11">
      <c r="A748" s="343"/>
      <c r="C748" s="196"/>
      <c r="D748" s="344"/>
      <c r="E748" s="196"/>
      <c r="F748" s="196"/>
      <c r="G748" s="196"/>
      <c r="H748" s="196"/>
      <c r="I748" s="196"/>
      <c r="J748" s="196"/>
      <c r="K748" s="196"/>
    </row>
    <row r="749" spans="1:11">
      <c r="A749" s="343"/>
      <c r="C749" s="196"/>
      <c r="D749" s="344"/>
      <c r="E749" s="196"/>
      <c r="F749" s="196"/>
      <c r="G749" s="196"/>
      <c r="H749" s="196"/>
      <c r="I749" s="196"/>
      <c r="J749" s="196"/>
      <c r="K749" s="196"/>
    </row>
    <row r="750" spans="1:11">
      <c r="A750" s="343"/>
      <c r="C750" s="196"/>
      <c r="D750" s="344"/>
      <c r="E750" s="196"/>
      <c r="F750" s="196"/>
      <c r="G750" s="196"/>
      <c r="H750" s="196"/>
      <c r="I750" s="196"/>
      <c r="J750" s="196"/>
      <c r="K750" s="196"/>
    </row>
    <row r="751" spans="1:11">
      <c r="A751" s="343"/>
      <c r="C751" s="196"/>
      <c r="D751" s="344"/>
      <c r="E751" s="196"/>
      <c r="F751" s="196"/>
      <c r="G751" s="196"/>
      <c r="H751" s="196"/>
      <c r="I751" s="196"/>
      <c r="J751" s="196"/>
      <c r="K751" s="196"/>
    </row>
    <row r="805" spans="1:11">
      <c r="A805" s="343"/>
      <c r="C805" s="196"/>
      <c r="D805" s="344"/>
      <c r="E805" s="196"/>
      <c r="F805" s="196"/>
      <c r="G805" s="196"/>
      <c r="H805" s="196"/>
      <c r="I805" s="196"/>
      <c r="J805" s="196"/>
      <c r="K805" s="196"/>
    </row>
    <row r="806" spans="1:11">
      <c r="A806" s="343"/>
      <c r="C806" s="196"/>
      <c r="D806" s="344"/>
      <c r="E806" s="196"/>
      <c r="F806" s="196"/>
      <c r="G806" s="196"/>
      <c r="H806" s="196"/>
      <c r="I806" s="196"/>
      <c r="J806" s="196"/>
      <c r="K806" s="196"/>
    </row>
    <row r="807" spans="1:11">
      <c r="A807" s="343"/>
      <c r="C807" s="196"/>
      <c r="D807" s="344"/>
      <c r="E807" s="196"/>
      <c r="F807" s="196"/>
      <c r="G807" s="196"/>
      <c r="H807" s="196"/>
      <c r="I807" s="196"/>
      <c r="J807" s="196"/>
      <c r="K807" s="196"/>
    </row>
    <row r="808" spans="1:11">
      <c r="A808" s="343"/>
      <c r="C808" s="196"/>
      <c r="D808" s="344"/>
      <c r="E808" s="196"/>
      <c r="F808" s="196"/>
      <c r="G808" s="196"/>
      <c r="H808" s="196"/>
      <c r="I808" s="196"/>
      <c r="J808" s="196"/>
      <c r="K808" s="196"/>
    </row>
    <row r="809" spans="1:11">
      <c r="A809" s="343"/>
      <c r="C809" s="196"/>
      <c r="D809" s="344"/>
      <c r="E809" s="196"/>
      <c r="F809" s="196"/>
      <c r="G809" s="196"/>
      <c r="H809" s="196"/>
      <c r="I809" s="196"/>
      <c r="J809" s="196"/>
      <c r="K809" s="196"/>
    </row>
    <row r="861" spans="1:11" ht="20.25">
      <c r="A861" s="1192" t="s">
        <v>1215</v>
      </c>
    </row>
    <row r="863" spans="1:11">
      <c r="A863" s="344" t="s">
        <v>914</v>
      </c>
      <c r="B863" s="196"/>
      <c r="C863" s="196"/>
      <c r="D863" s="344"/>
      <c r="E863" s="196"/>
      <c r="F863" s="344" t="s">
        <v>229</v>
      </c>
      <c r="G863" s="545" t="s">
        <v>1005</v>
      </c>
      <c r="H863" s="533"/>
      <c r="I863" s="534"/>
      <c r="J863" s="344" t="s">
        <v>229</v>
      </c>
      <c r="K863" s="344" t="s">
        <v>342</v>
      </c>
    </row>
    <row r="864" spans="1:11">
      <c r="A864" s="346" t="s">
        <v>915</v>
      </c>
      <c r="B864" s="345" t="s">
        <v>99</v>
      </c>
      <c r="C864" s="345"/>
      <c r="D864" s="346" t="s">
        <v>337</v>
      </c>
      <c r="E864" s="345"/>
      <c r="F864" s="346" t="str">
        <f>$F$9</f>
        <v>RESIDENTIAL</v>
      </c>
      <c r="G864" s="546" t="s">
        <v>847</v>
      </c>
      <c r="H864" s="535" t="s">
        <v>848</v>
      </c>
      <c r="I864" s="536" t="s">
        <v>849</v>
      </c>
      <c r="J864" s="346" t="s">
        <v>341</v>
      </c>
      <c r="K864" s="346" t="s">
        <v>340</v>
      </c>
    </row>
    <row r="865" spans="1:11">
      <c r="B865" s="196"/>
      <c r="C865" s="578" t="s">
        <v>4</v>
      </c>
      <c r="D865" s="344"/>
      <c r="E865" s="196"/>
      <c r="G865" s="800">
        <f>$G$10</f>
        <v>3</v>
      </c>
      <c r="H865" s="801">
        <f>$H$10</f>
        <v>4</v>
      </c>
      <c r="I865" s="802">
        <f>$I$10</f>
        <v>5</v>
      </c>
    </row>
    <row r="866" spans="1:11">
      <c r="A866" s="333">
        <v>1</v>
      </c>
      <c r="B866" s="332" t="s">
        <v>100</v>
      </c>
      <c r="D866" s="344"/>
      <c r="E866" s="196"/>
      <c r="G866" s="547"/>
      <c r="H866" s="537"/>
      <c r="I866" s="538"/>
    </row>
    <row r="867" spans="1:11">
      <c r="A867" s="333">
        <v>2</v>
      </c>
      <c r="C867" s="332" t="str">
        <f>'FR-16(7)(v)-1 Functional'!C867</f>
        <v>TOTAL GAS COST OF SERVICE</v>
      </c>
      <c r="D867" s="344"/>
      <c r="E867" s="196"/>
      <c r="F867" s="347">
        <f t="shared" ref="F867:K867" ca="1" si="120">F647</f>
        <v>66450668</v>
      </c>
      <c r="G867" s="548">
        <f t="shared" ca="1" si="120"/>
        <v>19141618</v>
      </c>
      <c r="H867" s="539">
        <f t="shared" ca="1" si="120"/>
        <v>20237029</v>
      </c>
      <c r="I867" s="540">
        <f t="shared" ca="1" si="120"/>
        <v>27072022</v>
      </c>
      <c r="J867" s="347">
        <f t="shared" ca="1" si="120"/>
        <v>66450669</v>
      </c>
      <c r="K867" s="347">
        <f t="shared" ca="1" si="120"/>
        <v>1</v>
      </c>
    </row>
    <row r="868" spans="1:11">
      <c r="A868" s="333">
        <v>3</v>
      </c>
      <c r="C868" s="359" t="str">
        <f>'FR-16(7)(v)-1 Functional'!C868</f>
        <v>TOTAL OTHER OPERATING REVENUES</v>
      </c>
      <c r="D868" s="344"/>
      <c r="E868" s="196"/>
      <c r="F868" s="347">
        <f>F630</f>
        <v>78649</v>
      </c>
      <c r="G868" s="548">
        <f>$G$630</f>
        <v>10567</v>
      </c>
      <c r="H868" s="539">
        <f>$H$630</f>
        <v>1452</v>
      </c>
      <c r="I868" s="540">
        <f>$I$630</f>
        <v>66630</v>
      </c>
      <c r="J868" s="347">
        <f>$J$630</f>
        <v>78649</v>
      </c>
      <c r="K868" s="347">
        <f>$K$630</f>
        <v>0</v>
      </c>
    </row>
    <row r="869" spans="1:11">
      <c r="A869" s="333">
        <v>4</v>
      </c>
      <c r="C869" s="332" t="str">
        <f>'FR-16(7)(v)-1 Functional'!C869</f>
        <v xml:space="preserve">  TOTAL GAS REVENUE</v>
      </c>
      <c r="D869" s="344"/>
      <c r="E869" s="196"/>
      <c r="F869" s="348">
        <f t="shared" ref="F869:K869" ca="1" si="121">SUM(F866:F868)</f>
        <v>66529317</v>
      </c>
      <c r="G869" s="549">
        <f t="shared" ca="1" si="121"/>
        <v>19152185</v>
      </c>
      <c r="H869" s="541">
        <f t="shared" ca="1" si="121"/>
        <v>20238481</v>
      </c>
      <c r="I869" s="542">
        <f t="shared" ca="1" si="121"/>
        <v>27138652</v>
      </c>
      <c r="J869" s="348">
        <f t="shared" ca="1" si="121"/>
        <v>66529318</v>
      </c>
      <c r="K869" s="348">
        <f t="shared" ca="1" si="121"/>
        <v>1</v>
      </c>
    </row>
    <row r="870" spans="1:11">
      <c r="A870" s="333">
        <v>5</v>
      </c>
      <c r="C870" s="332" t="str">
        <f>'FR-16(7)(v)-1 Functional'!C870</f>
        <v>TOTAL OP EXP EX INC &amp; REV TAX</v>
      </c>
      <c r="D870" s="344"/>
      <c r="E870" s="196"/>
      <c r="F870" s="347">
        <f>-F501</f>
        <v>-48894078</v>
      </c>
      <c r="G870" s="548">
        <f>-$G$501</f>
        <v>-11576249</v>
      </c>
      <c r="H870" s="539">
        <f>-$H$501</f>
        <v>-19513729</v>
      </c>
      <c r="I870" s="540">
        <f>-$I$501</f>
        <v>-17804100</v>
      </c>
      <c r="J870" s="512">
        <f>-$J$501</f>
        <v>-48894078</v>
      </c>
      <c r="K870" s="347">
        <f>-$K$501</f>
        <v>0</v>
      </c>
    </row>
    <row r="871" spans="1:11">
      <c r="A871" s="333">
        <v>6</v>
      </c>
      <c r="C871" s="359" t="str">
        <f>'FR-16(7)(v)-1 Functional'!C871</f>
        <v>FIRM SERVICE REVENUE TAX</v>
      </c>
      <c r="D871" s="344"/>
      <c r="E871" s="196"/>
      <c r="F871" s="347">
        <f ca="1">-ROUND(F694*F867,0)</f>
        <v>0</v>
      </c>
      <c r="G871" s="548">
        <f ca="1">-ROUND(G694*G867,0)</f>
        <v>0</v>
      </c>
      <c r="H871" s="539">
        <f ca="1">-ROUND(H694*H867,0)</f>
        <v>0</v>
      </c>
      <c r="I871" s="540">
        <f ca="1">-ROUND(I694*I867,0)</f>
        <v>0</v>
      </c>
      <c r="J871" s="510">
        <f ca="1">SUM(G871:I871)</f>
        <v>0</v>
      </c>
      <c r="K871" s="347">
        <f ca="1">-ROUND('FR-16(7)(v)-1 Functional'!K694*K867,0)</f>
        <v>0</v>
      </c>
    </row>
    <row r="872" spans="1:11">
      <c r="A872" s="333">
        <v>7</v>
      </c>
      <c r="C872" s="332" t="str">
        <f>'FR-16(7)(v)-1 Functional'!C872</f>
        <v xml:space="preserve">  NET INCOME</v>
      </c>
      <c r="D872" s="344"/>
      <c r="E872" s="196"/>
      <c r="F872" s="348">
        <f ca="1">SUM(F869:F871)</f>
        <v>17635239</v>
      </c>
      <c r="G872" s="549">
        <f ca="1">SUM(G869:G871)</f>
        <v>7575936</v>
      </c>
      <c r="H872" s="541">
        <f ca="1">SUM(H869:H871)</f>
        <v>724752</v>
      </c>
      <c r="I872" s="542">
        <f ca="1">SUM(I869:I871)</f>
        <v>9334552</v>
      </c>
      <c r="J872" s="348">
        <f ca="1">SUM(G872:I872)</f>
        <v>17635240</v>
      </c>
      <c r="K872" s="348">
        <f ca="1">SUM(K869:K871)</f>
        <v>1</v>
      </c>
    </row>
    <row r="873" spans="1:11">
      <c r="A873" s="333">
        <v>8</v>
      </c>
      <c r="D873" s="344"/>
      <c r="E873" s="196"/>
      <c r="G873" s="547"/>
      <c r="H873" s="537"/>
      <c r="I873" s="538"/>
    </row>
    <row r="874" spans="1:11">
      <c r="A874" s="333">
        <v>9</v>
      </c>
      <c r="B874" s="332" t="s">
        <v>101</v>
      </c>
      <c r="D874" s="344"/>
      <c r="E874" s="196"/>
      <c r="G874" s="547"/>
      <c r="H874" s="537"/>
      <c r="I874" s="538"/>
    </row>
    <row r="875" spans="1:11">
      <c r="A875" s="333">
        <v>10</v>
      </c>
      <c r="C875" s="332" t="str">
        <f>'FR-16(7)(v)-1 Functional'!C875</f>
        <v>TOTAL INTEREST EXPENSE</v>
      </c>
      <c r="D875" s="344"/>
      <c r="E875" s="196"/>
      <c r="F875" s="347">
        <f>-F516</f>
        <v>-4664691</v>
      </c>
      <c r="G875" s="548">
        <f>-$G$516</f>
        <v>-2052604</v>
      </c>
      <c r="H875" s="539">
        <f>-$H$516</f>
        <v>-73313</v>
      </c>
      <c r="I875" s="540">
        <f>-$I$516</f>
        <v>-2538774</v>
      </c>
      <c r="J875" s="347">
        <f>-$J$516</f>
        <v>-4664691</v>
      </c>
      <c r="K875" s="347">
        <f>-$K$516</f>
        <v>0</v>
      </c>
    </row>
    <row r="876" spans="1:11">
      <c r="A876" s="333">
        <v>11</v>
      </c>
      <c r="C876" s="359" t="str">
        <f>'FR-16(7)(v)-1 Functional'!C876</f>
        <v>TOTAL OTHER DEDUCTIONS</v>
      </c>
      <c r="D876" s="344"/>
      <c r="E876" s="196"/>
      <c r="F876" s="347">
        <f>-F522</f>
        <v>-4605120</v>
      </c>
      <c r="G876" s="548">
        <f>-$G$522</f>
        <v>-1922023</v>
      </c>
      <c r="H876" s="539">
        <f>-$H$522</f>
        <v>-108757</v>
      </c>
      <c r="I876" s="540">
        <f>-$I$522</f>
        <v>-2574340</v>
      </c>
      <c r="J876" s="347">
        <f>-$J$522</f>
        <v>-4605120</v>
      </c>
      <c r="K876" s="347">
        <f>-$K$522</f>
        <v>0</v>
      </c>
    </row>
    <row r="877" spans="1:11">
      <c r="A877" s="333">
        <v>12</v>
      </c>
      <c r="C877" s="332" t="str">
        <f>'FR-16(7)(v)-1 Functional'!C877</f>
        <v xml:space="preserve">  PRELIMINARY TAXABLE INCOME</v>
      </c>
      <c r="D877" s="344"/>
      <c r="E877" s="196"/>
      <c r="F877" s="348">
        <f ca="1">SUM(F874:F876)+F872</f>
        <v>8365428</v>
      </c>
      <c r="G877" s="549">
        <f ca="1">SUM(G874:G876)+G872</f>
        <v>3601309</v>
      </c>
      <c r="H877" s="541">
        <f ca="1">SUM(H874:H876)+H872</f>
        <v>542682</v>
      </c>
      <c r="I877" s="542">
        <f ca="1">SUM(I874:I876)+I872</f>
        <v>4221438</v>
      </c>
      <c r="J877" s="348">
        <f ca="1">SUM(G877:I877)</f>
        <v>8365429</v>
      </c>
      <c r="K877" s="348">
        <f ca="1">SUM(K874:K876)+K872</f>
        <v>1</v>
      </c>
    </row>
    <row r="878" spans="1:11">
      <c r="A878" s="333">
        <v>13</v>
      </c>
      <c r="D878" s="344"/>
      <c r="E878" s="196"/>
      <c r="G878" s="547"/>
      <c r="H878" s="537"/>
      <c r="I878" s="538"/>
    </row>
    <row r="879" spans="1:11">
      <c r="A879" s="333">
        <v>14</v>
      </c>
      <c r="B879" s="332" t="s">
        <v>99</v>
      </c>
      <c r="D879" s="344"/>
      <c r="E879" s="196"/>
      <c r="G879" s="547"/>
      <c r="H879" s="537"/>
      <c r="I879" s="538"/>
    </row>
    <row r="880" spans="1:11">
      <c r="A880" s="333">
        <v>15</v>
      </c>
      <c r="B880" s="332" t="s">
        <v>74</v>
      </c>
      <c r="D880" s="344"/>
      <c r="E880" s="196"/>
      <c r="G880" s="547"/>
      <c r="H880" s="537"/>
      <c r="I880" s="538"/>
    </row>
    <row r="881" spans="1:11">
      <c r="A881" s="333">
        <v>16</v>
      </c>
      <c r="C881" s="332" t="str">
        <f>'FR-16(7)(v)-1 Functional'!C881</f>
        <v>PRELIMINARY TAXABLE INCOME</v>
      </c>
      <c r="D881" s="344"/>
      <c r="E881" s="196"/>
      <c r="F881" s="347">
        <f t="shared" ref="F881:K881" ca="1" si="122">F877</f>
        <v>8365428</v>
      </c>
      <c r="G881" s="548">
        <f t="shared" ca="1" si="122"/>
        <v>3601309</v>
      </c>
      <c r="H881" s="539">
        <f t="shared" ca="1" si="122"/>
        <v>542682</v>
      </c>
      <c r="I881" s="540">
        <f t="shared" ca="1" si="122"/>
        <v>4221438</v>
      </c>
      <c r="J881" s="347">
        <f t="shared" ca="1" si="122"/>
        <v>8365429</v>
      </c>
      <c r="K881" s="347">
        <f t="shared" ca="1" si="122"/>
        <v>1</v>
      </c>
    </row>
    <row r="882" spans="1:11">
      <c r="A882" s="333">
        <v>17</v>
      </c>
      <c r="C882" s="332" t="str">
        <f>'FR-16(7)(v)-1 Functional'!C882</f>
        <v xml:space="preserve">  NET FEDERAL TAXABLE INCOME</v>
      </c>
      <c r="D882" s="344"/>
      <c r="E882" s="196"/>
      <c r="F882" s="347">
        <f t="shared" ref="F882:K882" ca="1" si="123">SUM(F881:F881)</f>
        <v>8365428</v>
      </c>
      <c r="G882" s="548">
        <f t="shared" ca="1" si="123"/>
        <v>3601309</v>
      </c>
      <c r="H882" s="539">
        <f t="shared" ca="1" si="123"/>
        <v>542682</v>
      </c>
      <c r="I882" s="540">
        <f t="shared" ca="1" si="123"/>
        <v>4221438</v>
      </c>
      <c r="J882" s="347">
        <f t="shared" ca="1" si="123"/>
        <v>8365429</v>
      </c>
      <c r="K882" s="347">
        <f t="shared" ca="1" si="123"/>
        <v>1</v>
      </c>
    </row>
    <row r="883" spans="1:11">
      <c r="A883" s="333">
        <v>18</v>
      </c>
      <c r="C883" s="332" t="str">
        <f>'FR-16(7)(v)-1 Functional'!C883</f>
        <v xml:space="preserve">  FEDERAL INCOME TAX RATE</v>
      </c>
      <c r="D883" s="344"/>
      <c r="E883" s="196"/>
      <c r="F883" s="350">
        <f>F692</f>
        <v>0.21</v>
      </c>
      <c r="G883" s="566">
        <f>G692</f>
        <v>0.21</v>
      </c>
      <c r="H883" s="567">
        <f>H692</f>
        <v>0.21</v>
      </c>
      <c r="I883" s="568">
        <f>I692</f>
        <v>0.21</v>
      </c>
      <c r="J883" s="350"/>
      <c r="K883" s="350">
        <f>'FR-16(7)(v)-1 Functional'!K692</f>
        <v>0.21</v>
      </c>
    </row>
    <row r="884" spans="1:11">
      <c r="A884" s="333">
        <v>19</v>
      </c>
      <c r="C884" s="332" t="str">
        <f>'FR-16(7)(v)-1 Functional'!C884</f>
        <v>PRELIMINARY FIT = FI01 * K190</v>
      </c>
      <c r="D884" s="344"/>
      <c r="E884" s="196"/>
      <c r="F884" s="347">
        <f ca="1">ROUND(F883*F882,0)</f>
        <v>1756740</v>
      </c>
      <c r="G884" s="548">
        <f ca="1">ROUND(G883*G882,0)</f>
        <v>756275</v>
      </c>
      <c r="H884" s="539">
        <f ca="1">ROUND(H883*H882,0)</f>
        <v>113963</v>
      </c>
      <c r="I884" s="540">
        <f ca="1">ROUND(I883*I882,0)</f>
        <v>886502</v>
      </c>
      <c r="J884" s="347">
        <f ca="1">SUM(G884:I884)</f>
        <v>1756740</v>
      </c>
      <c r="K884" s="347">
        <f ca="1">ROUND(K883*K882,0)</f>
        <v>0</v>
      </c>
    </row>
    <row r="885" spans="1:11">
      <c r="A885" s="333">
        <v>20</v>
      </c>
      <c r="C885" s="332" t="str">
        <f>'FR-16(7)(v)-1 Functional'!C885</f>
        <v>TOTAL FED DEF IT (410 &amp; 411)</v>
      </c>
      <c r="D885" s="344"/>
      <c r="E885" s="196"/>
      <c r="F885" s="347">
        <f>F532</f>
        <v>318805</v>
      </c>
      <c r="G885" s="548">
        <f>$G$532</f>
        <v>1320</v>
      </c>
      <c r="H885" s="539">
        <f>$H$532</f>
        <v>366793</v>
      </c>
      <c r="I885" s="540">
        <f>$I$532</f>
        <v>-49308</v>
      </c>
      <c r="J885" s="347">
        <f>$J$532</f>
        <v>318805</v>
      </c>
      <c r="K885" s="347">
        <f>$K$532</f>
        <v>0</v>
      </c>
    </row>
    <row r="886" spans="1:11">
      <c r="A886" s="333">
        <v>21</v>
      </c>
      <c r="C886" s="359" t="str">
        <f>'FR-16(7)(v)-1 Functional'!C886</f>
        <v>TOTAL AMORTIZED ITC</v>
      </c>
      <c r="D886" s="344"/>
      <c r="E886" s="196"/>
      <c r="F886" s="347">
        <f>-F536</f>
        <v>-45912</v>
      </c>
      <c r="G886" s="548">
        <f>-$G$536</f>
        <v>-20094</v>
      </c>
      <c r="H886" s="539">
        <f>-$H$536</f>
        <v>-261</v>
      </c>
      <c r="I886" s="540">
        <f>-$I$536</f>
        <v>-25557</v>
      </c>
      <c r="J886" s="347">
        <f>-$J$536</f>
        <v>-45912</v>
      </c>
      <c r="K886" s="347">
        <f>-$K$536</f>
        <v>0</v>
      </c>
    </row>
    <row r="887" spans="1:11">
      <c r="A887" s="333">
        <v>22</v>
      </c>
      <c r="C887" s="332" t="str">
        <f>'FR-16(7)(v)-1 Functional'!C887</f>
        <v xml:space="preserve">  NET FED INC TAX ALLOWABLE</v>
      </c>
      <c r="D887" s="344"/>
      <c r="E887" s="196"/>
      <c r="F887" s="348">
        <f t="shared" ref="F887:K887" ca="1" si="124">SUM(F884:F886)</f>
        <v>2029633</v>
      </c>
      <c r="G887" s="549">
        <f t="shared" ca="1" si="124"/>
        <v>737501</v>
      </c>
      <c r="H887" s="541">
        <f t="shared" ca="1" si="124"/>
        <v>480495</v>
      </c>
      <c r="I887" s="542">
        <f t="shared" ca="1" si="124"/>
        <v>811637</v>
      </c>
      <c r="J887" s="348">
        <f t="shared" ca="1" si="124"/>
        <v>2029633</v>
      </c>
      <c r="K887" s="348">
        <f t="shared" ca="1" si="124"/>
        <v>0</v>
      </c>
    </row>
    <row r="888" spans="1:11">
      <c r="A888" s="333">
        <v>23</v>
      </c>
      <c r="D888" s="344"/>
      <c r="E888" s="196"/>
      <c r="G888" s="547"/>
      <c r="H888" s="537"/>
      <c r="I888" s="538"/>
    </row>
    <row r="889" spans="1:11">
      <c r="A889" s="333">
        <v>24</v>
      </c>
      <c r="B889" s="332" t="s">
        <v>75</v>
      </c>
      <c r="D889" s="344"/>
      <c r="E889" s="196"/>
      <c r="G889" s="547"/>
      <c r="H889" s="537"/>
      <c r="I889" s="538"/>
    </row>
    <row r="890" spans="1:11">
      <c r="A890" s="333">
        <v>25</v>
      </c>
      <c r="C890" s="332" t="str">
        <f>'FR-16(7)(v)-1 Functional'!C890</f>
        <v>PRELIM FIT</v>
      </c>
      <c r="D890" s="344"/>
      <c r="E890" s="196"/>
      <c r="F890" s="347">
        <f t="shared" ref="F890:K890" ca="1" si="125">F884</f>
        <v>1756740</v>
      </c>
      <c r="G890" s="548">
        <f t="shared" ca="1" si="125"/>
        <v>756275</v>
      </c>
      <c r="H890" s="539">
        <f t="shared" ca="1" si="125"/>
        <v>113963</v>
      </c>
      <c r="I890" s="540">
        <f t="shared" ca="1" si="125"/>
        <v>886502</v>
      </c>
      <c r="J890" s="347">
        <f t="shared" ca="1" si="125"/>
        <v>1756740</v>
      </c>
      <c r="K890" s="347">
        <f t="shared" ca="1" si="125"/>
        <v>0</v>
      </c>
    </row>
    <row r="891" spans="1:11">
      <c r="A891" s="333">
        <v>26</v>
      </c>
      <c r="C891" s="359" t="str">
        <f>'FR-16(7)(v)-1 Functional'!C891</f>
        <v>TEST YEAR INV TAX CREDIT</v>
      </c>
      <c r="D891" s="344"/>
      <c r="E891" s="196"/>
      <c r="F891" s="347">
        <f>-F540</f>
        <v>0</v>
      </c>
      <c r="G891" s="550">
        <f>-$G$540</f>
        <v>0</v>
      </c>
      <c r="H891" s="543">
        <f>-$H$540</f>
        <v>0</v>
      </c>
      <c r="I891" s="544">
        <f>-$I$540</f>
        <v>0</v>
      </c>
      <c r="J891" s="347">
        <f>-$J$540</f>
        <v>0</v>
      </c>
      <c r="K891" s="347">
        <f>-$K$540</f>
        <v>0</v>
      </c>
    </row>
    <row r="892" spans="1:11">
      <c r="A892" s="333">
        <v>27</v>
      </c>
      <c r="C892" s="332" t="str">
        <f>'FR-16(7)(v)-1 Functional'!C892</f>
        <v xml:space="preserve">  FED INC TAX PAYABLE</v>
      </c>
      <c r="D892" s="344"/>
      <c r="E892" s="196"/>
      <c r="F892" s="348">
        <f t="shared" ref="F892:K892" ca="1" si="126">SUM(F889:F891)</f>
        <v>1756740</v>
      </c>
      <c r="G892" s="549">
        <f t="shared" ca="1" si="126"/>
        <v>756275</v>
      </c>
      <c r="H892" s="541">
        <f t="shared" ca="1" si="126"/>
        <v>113963</v>
      </c>
      <c r="I892" s="542">
        <f t="shared" ca="1" si="126"/>
        <v>886502</v>
      </c>
      <c r="J892" s="348">
        <f t="shared" ca="1" si="126"/>
        <v>1756740</v>
      </c>
      <c r="K892" s="348">
        <f t="shared" ca="1" si="126"/>
        <v>0</v>
      </c>
    </row>
    <row r="893" spans="1:11">
      <c r="A893" s="333">
        <v>28</v>
      </c>
      <c r="D893" s="344"/>
      <c r="E893" s="196"/>
      <c r="G893" s="547"/>
      <c r="H893" s="537"/>
      <c r="I893" s="538"/>
    </row>
    <row r="894" spans="1:11">
      <c r="A894" s="333">
        <v>29</v>
      </c>
      <c r="B894" s="332" t="s">
        <v>40</v>
      </c>
      <c r="D894" s="344"/>
      <c r="E894" s="196"/>
      <c r="G894" s="547"/>
      <c r="H894" s="537"/>
      <c r="I894" s="538"/>
    </row>
    <row r="895" spans="1:11">
      <c r="A895" s="333">
        <v>30</v>
      </c>
      <c r="C895" s="332" t="str">
        <f>'FR-16(7)(v)-1 Functional'!C895</f>
        <v>NET INCOME</v>
      </c>
      <c r="D895" s="344"/>
      <c r="E895" s="196"/>
      <c r="F895" s="347">
        <f t="shared" ref="F895:K895" ca="1" si="127">F872</f>
        <v>17635239</v>
      </c>
      <c r="G895" s="548">
        <f t="shared" ca="1" si="127"/>
        <v>7575936</v>
      </c>
      <c r="H895" s="539">
        <f t="shared" ca="1" si="127"/>
        <v>724752</v>
      </c>
      <c r="I895" s="540">
        <f t="shared" ca="1" si="127"/>
        <v>9334552</v>
      </c>
      <c r="J895" s="347">
        <f t="shared" ca="1" si="127"/>
        <v>17635240</v>
      </c>
      <c r="K895" s="347">
        <f t="shared" ca="1" si="127"/>
        <v>1</v>
      </c>
    </row>
    <row r="896" spans="1:11">
      <c r="A896" s="333">
        <v>31</v>
      </c>
      <c r="C896" s="359" t="str">
        <f>'FR-16(7)(v)-1 Functional'!C896</f>
        <v>NET FED INC TAX ALLOWABLE</v>
      </c>
      <c r="D896" s="344"/>
      <c r="E896" s="196"/>
      <c r="F896" s="347">
        <f t="shared" ref="F896:K896" ca="1" si="128">-F887</f>
        <v>-2029633</v>
      </c>
      <c r="G896" s="548">
        <f t="shared" ca="1" si="128"/>
        <v>-737501</v>
      </c>
      <c r="H896" s="539">
        <f t="shared" ca="1" si="128"/>
        <v>-480495</v>
      </c>
      <c r="I896" s="540">
        <f t="shared" ca="1" si="128"/>
        <v>-811637</v>
      </c>
      <c r="J896" s="347">
        <f t="shared" ca="1" si="128"/>
        <v>-2029633</v>
      </c>
      <c r="K896" s="347">
        <f t="shared" ca="1" si="128"/>
        <v>0</v>
      </c>
    </row>
    <row r="897" spans="1:11">
      <c r="A897" s="333">
        <v>32</v>
      </c>
      <c r="C897" s="332" t="str">
        <f>'FR-16(7)(v)-1 Functional'!C897</f>
        <v xml:space="preserve">  OVERALL RETURN EARNED</v>
      </c>
      <c r="D897" s="344"/>
      <c r="E897" s="196"/>
      <c r="F897" s="348">
        <f t="shared" ref="F897:K897" ca="1" si="129">SUM(F894:F896)</f>
        <v>15605606</v>
      </c>
      <c r="G897" s="549">
        <f t="shared" ca="1" si="129"/>
        <v>6838435</v>
      </c>
      <c r="H897" s="541">
        <f t="shared" ca="1" si="129"/>
        <v>244257</v>
      </c>
      <c r="I897" s="542">
        <f t="shared" ca="1" si="129"/>
        <v>8522915</v>
      </c>
      <c r="J897" s="348">
        <f t="shared" ca="1" si="129"/>
        <v>15605607</v>
      </c>
      <c r="K897" s="348">
        <f t="shared" ca="1" si="129"/>
        <v>1</v>
      </c>
    </row>
    <row r="898" spans="1:11">
      <c r="A898" s="333">
        <v>33</v>
      </c>
      <c r="D898" s="344"/>
      <c r="E898" s="196"/>
      <c r="G898" s="547"/>
      <c r="H898" s="537"/>
      <c r="I898" s="538"/>
    </row>
    <row r="899" spans="1:11">
      <c r="A899" s="333">
        <v>34</v>
      </c>
      <c r="C899" s="332" t="str">
        <f>'FR-16(7)(v)-1 Functional'!C899</f>
        <v xml:space="preserve">  RATE OF RETURN EARNED</v>
      </c>
      <c r="D899" s="344"/>
      <c r="E899" s="196"/>
      <c r="F899" s="350">
        <f t="shared" ref="F899:K899" ca="1" si="130">IF(F331=0,0,ROUND(F897/F331,5))</f>
        <v>7.2109999999999994E-2</v>
      </c>
      <c r="G899" s="575">
        <f t="shared" ca="1" si="130"/>
        <v>7.1819999999999995E-2</v>
      </c>
      <c r="H899" s="576">
        <f t="shared" ca="1" si="130"/>
        <v>7.1809999999999999E-2</v>
      </c>
      <c r="I899" s="577">
        <f t="shared" ca="1" si="130"/>
        <v>7.2359999999999994E-2</v>
      </c>
      <c r="J899" s="350">
        <f t="shared" ca="1" si="130"/>
        <v>7.2109999999999994E-2</v>
      </c>
      <c r="K899" s="350">
        <f t="shared" si="130"/>
        <v>0</v>
      </c>
    </row>
  </sheetData>
  <pageMargins left="1" right="1" top="1" bottom="1" header="1" footer="0.5"/>
  <pageSetup scale="66" orientation="landscape" blackAndWhite="1" r:id="rId1"/>
  <headerFooter alignWithMargins="0"/>
  <rowBreaks count="13" manualBreakCount="13">
    <brk id="44" max="10" man="1"/>
    <brk id="101" max="10" man="1"/>
    <brk id="151" max="10" man="1"/>
    <brk id="191" max="10" man="1"/>
    <brk id="238" max="10" man="1"/>
    <brk id="283" max="10" man="1"/>
    <brk id="334" max="10" man="1"/>
    <brk id="389" max="10" man="1"/>
    <brk id="433" max="10" man="1"/>
    <brk id="465" max="10" man="1"/>
    <brk id="501" max="10" man="1"/>
    <brk id="565" max="10" man="1"/>
    <brk id="654" max="10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>
    <tabColor rgb="FFFFFF00"/>
    <pageSetUpPr fitToPage="1"/>
  </sheetPr>
  <dimension ref="A1:N899"/>
  <sheetViews>
    <sheetView topLeftCell="A653" zoomScale="80" zoomScaleNormal="80" zoomScaleSheetLayoutView="80" workbookViewId="0">
      <selection activeCell="A656" sqref="A656:K694"/>
    </sheetView>
  </sheetViews>
  <sheetFormatPr defaultColWidth="8.77734375" defaultRowHeight="12.75"/>
  <cols>
    <col min="1" max="1" width="6.44140625" style="332" customWidth="1"/>
    <col min="2" max="2" width="3.5546875" style="332" customWidth="1"/>
    <col min="3" max="3" width="41.6640625" style="332" customWidth="1"/>
    <col min="4" max="4" width="8.33203125" style="333" customWidth="1"/>
    <col min="5" max="5" width="8.77734375" style="332" customWidth="1"/>
    <col min="6" max="6" width="14" style="332" customWidth="1"/>
    <col min="7" max="8" width="11.88671875" style="332" customWidth="1"/>
    <col min="9" max="9" width="13.77734375" style="332" customWidth="1"/>
    <col min="10" max="11" width="11.88671875" style="332" customWidth="1"/>
    <col min="12" max="16384" width="8.77734375" style="332"/>
  </cols>
  <sheetData>
    <row r="1" spans="1:11">
      <c r="A1" s="343" t="str">
        <f>co_name</f>
        <v>DUKE ENERGY KENTUCKY, INC.</v>
      </c>
      <c r="C1" s="196"/>
      <c r="D1" s="344"/>
      <c r="E1" s="196"/>
      <c r="F1" s="196"/>
      <c r="G1" s="196"/>
      <c r="H1" s="196"/>
      <c r="I1" s="196"/>
      <c r="J1" s="583" t="s">
        <v>1547</v>
      </c>
      <c r="K1" s="196"/>
    </row>
    <row r="2" spans="1:11">
      <c r="A2" s="583" t="s">
        <v>1284</v>
      </c>
      <c r="C2" s="196"/>
      <c r="D2" s="344"/>
      <c r="E2" s="196"/>
      <c r="F2" s="196"/>
      <c r="G2" s="196"/>
      <c r="H2" s="196"/>
      <c r="I2" s="196"/>
      <c r="J2" s="583" t="s">
        <v>437</v>
      </c>
      <c r="K2" s="196"/>
    </row>
    <row r="3" spans="1:11">
      <c r="A3" s="343" t="str">
        <f>case_name</f>
        <v>CASE NO: 2018-00261</v>
      </c>
      <c r="C3" s="196"/>
      <c r="D3" s="344"/>
      <c r="E3" s="196"/>
      <c r="F3" s="196"/>
      <c r="G3" s="196"/>
      <c r="H3" s="196"/>
      <c r="I3" s="196"/>
      <c r="J3" s="196" t="str">
        <f>Witness</f>
        <v>JAMES E. ZIOLKOWSKI</v>
      </c>
      <c r="K3" s="196"/>
    </row>
    <row r="4" spans="1:11">
      <c r="A4" s="343" t="str">
        <f>data_filing</f>
        <v>DATA: 12 MONTH FORECASTED PERIOD</v>
      </c>
      <c r="C4" s="196"/>
      <c r="D4" s="344"/>
      <c r="E4" s="196"/>
      <c r="F4" s="196"/>
      <c r="G4" s="196"/>
      <c r="H4" s="196"/>
      <c r="I4" s="196"/>
      <c r="J4" s="196" t="str">
        <f>"PAGE "&amp;Pages2-14&amp;" OF "&amp;Pages2</f>
        <v>PAGE 1 OF 15</v>
      </c>
      <c r="K4" s="196"/>
    </row>
    <row r="5" spans="1:11">
      <c r="A5" s="343" t="str">
        <f>type</f>
        <v xml:space="preserve">TYPE OF FILING: "X" ORIGINAL   UPDATED    REVISED  </v>
      </c>
      <c r="C5" s="196"/>
      <c r="D5" s="344"/>
      <c r="E5" s="196"/>
      <c r="F5" s="196"/>
      <c r="G5" s="196"/>
      <c r="H5" s="196"/>
      <c r="I5" s="196"/>
      <c r="J5" s="196"/>
      <c r="K5" s="196"/>
    </row>
    <row r="6" spans="1:11">
      <c r="A6" s="343"/>
      <c r="C6" s="196"/>
      <c r="D6" s="344"/>
      <c r="E6" s="196"/>
      <c r="F6" s="196"/>
      <c r="G6" s="196"/>
      <c r="H6" s="196"/>
      <c r="I6" s="196"/>
      <c r="J6" s="196"/>
      <c r="K6" s="196"/>
    </row>
    <row r="7" spans="1:11">
      <c r="A7" s="343"/>
      <c r="C7" s="196"/>
      <c r="D7" s="344"/>
      <c r="E7" s="196"/>
      <c r="F7" s="196"/>
      <c r="G7" s="196"/>
      <c r="H7" s="196"/>
      <c r="I7" s="196"/>
      <c r="J7" s="196"/>
      <c r="K7" s="196"/>
    </row>
    <row r="8" spans="1:11">
      <c r="A8" s="344" t="s">
        <v>914</v>
      </c>
      <c r="B8" s="196"/>
      <c r="C8" s="196"/>
      <c r="D8" s="344"/>
      <c r="E8" s="196"/>
      <c r="F8" s="344" t="s">
        <v>229</v>
      </c>
      <c r="G8" s="545" t="s">
        <v>1005</v>
      </c>
      <c r="H8" s="533"/>
      <c r="I8" s="534"/>
      <c r="J8" s="344" t="s">
        <v>229</v>
      </c>
      <c r="K8" s="344" t="s">
        <v>342</v>
      </c>
    </row>
    <row r="9" spans="1:11">
      <c r="A9" s="346" t="s">
        <v>915</v>
      </c>
      <c r="B9" s="345" t="s">
        <v>102</v>
      </c>
      <c r="C9" s="345"/>
      <c r="D9" s="346" t="s">
        <v>337</v>
      </c>
      <c r="E9" s="345"/>
      <c r="F9" s="829" t="s">
        <v>1282</v>
      </c>
      <c r="G9" s="546" t="s">
        <v>847</v>
      </c>
      <c r="H9" s="535" t="s">
        <v>848</v>
      </c>
      <c r="I9" s="536" t="s">
        <v>849</v>
      </c>
      <c r="J9" s="346" t="s">
        <v>341</v>
      </c>
      <c r="K9" s="346" t="s">
        <v>340</v>
      </c>
    </row>
    <row r="10" spans="1:11">
      <c r="C10" s="578" t="s">
        <v>354</v>
      </c>
      <c r="D10" s="344"/>
      <c r="E10" s="196"/>
      <c r="G10" s="785">
        <v>3</v>
      </c>
      <c r="H10" s="786">
        <v>4</v>
      </c>
      <c r="I10" s="787">
        <v>5</v>
      </c>
    </row>
    <row r="11" spans="1:11">
      <c r="A11" s="333">
        <v>1</v>
      </c>
      <c r="B11" s="332" t="s">
        <v>100</v>
      </c>
      <c r="D11" s="344"/>
      <c r="E11" s="196"/>
      <c r="G11" s="547"/>
      <c r="H11" s="537"/>
      <c r="I11" s="538"/>
    </row>
    <row r="12" spans="1:11">
      <c r="A12" s="333">
        <v>2</v>
      </c>
      <c r="C12" s="332" t="str">
        <f>'FR-16(7)(v)-1 Functional'!C12</f>
        <v>GROSS GAS PLANT IN SERVICE</v>
      </c>
      <c r="D12" s="344"/>
      <c r="E12" s="196"/>
      <c r="F12" s="347">
        <f>F101</f>
        <v>129395039</v>
      </c>
      <c r="G12" s="548">
        <f>G101</f>
        <v>93434014</v>
      </c>
      <c r="H12" s="539">
        <f>H101</f>
        <v>1965952</v>
      </c>
      <c r="I12" s="540">
        <f>I101</f>
        <v>33995073</v>
      </c>
      <c r="J12" s="347">
        <f>J101</f>
        <v>129395039</v>
      </c>
      <c r="K12" s="347">
        <f>F12-J12</f>
        <v>0</v>
      </c>
    </row>
    <row r="13" spans="1:11">
      <c r="A13" s="333">
        <v>3</v>
      </c>
      <c r="C13" s="332" t="str">
        <f>'FR-16(7)(v)-1 Functional'!C13</f>
        <v>TOTAL DEPRECIATION RESERVE</v>
      </c>
      <c r="D13" s="344"/>
      <c r="E13" s="196"/>
      <c r="F13" s="347">
        <f>-F151</f>
        <v>-38975357</v>
      </c>
      <c r="G13" s="548">
        <f>-G151</f>
        <v>-27727203</v>
      </c>
      <c r="H13" s="539">
        <f>-H151</f>
        <v>-1095602</v>
      </c>
      <c r="I13" s="540">
        <f>-I151</f>
        <v>-10152552</v>
      </c>
      <c r="J13" s="347">
        <f>-J151</f>
        <v>-38975357</v>
      </c>
      <c r="K13" s="347">
        <f>F13-J13</f>
        <v>0</v>
      </c>
    </row>
    <row r="14" spans="1:11">
      <c r="A14" s="333">
        <v>4</v>
      </c>
      <c r="C14" s="359" t="str">
        <f>'FR-16(7)(v)-1 Functional'!C14</f>
        <v>TOTAL RATE BASE ADJUSTMENTS</v>
      </c>
      <c r="D14" s="344"/>
      <c r="E14" s="196"/>
      <c r="F14" s="347">
        <f>F326</f>
        <v>-19058287</v>
      </c>
      <c r="G14" s="548">
        <f>G326</f>
        <v>-14315374</v>
      </c>
      <c r="H14" s="539">
        <f>H326</f>
        <v>1041706</v>
      </c>
      <c r="I14" s="540">
        <f>I326</f>
        <v>-5784619</v>
      </c>
      <c r="J14" s="347">
        <f>J326</f>
        <v>-19058287</v>
      </c>
      <c r="K14" s="347">
        <f>F14-J14</f>
        <v>0</v>
      </c>
    </row>
    <row r="15" spans="1:11">
      <c r="A15" s="333">
        <v>5</v>
      </c>
      <c r="C15" s="332" t="str">
        <f>'FR-16(7)(v)-1 Functional'!C15</f>
        <v xml:space="preserve">  TOTAL RATE BASE</v>
      </c>
      <c r="D15" s="344"/>
      <c r="E15" s="196"/>
      <c r="F15" s="348">
        <f t="shared" ref="F15:K15" si="0">SUM(F12:F14)</f>
        <v>71361395</v>
      </c>
      <c r="G15" s="549">
        <f t="shared" si="0"/>
        <v>51391437</v>
      </c>
      <c r="H15" s="541">
        <f t="shared" si="0"/>
        <v>1912056</v>
      </c>
      <c r="I15" s="542">
        <f t="shared" si="0"/>
        <v>18057902</v>
      </c>
      <c r="J15" s="348">
        <f t="shared" si="0"/>
        <v>71361395</v>
      </c>
      <c r="K15" s="348">
        <f t="shared" si="0"/>
        <v>0</v>
      </c>
    </row>
    <row r="16" spans="1:11">
      <c r="A16" s="333">
        <v>6</v>
      </c>
      <c r="D16" s="344"/>
      <c r="E16" s="196"/>
      <c r="G16" s="547"/>
      <c r="H16" s="537"/>
      <c r="I16" s="538"/>
    </row>
    <row r="17" spans="1:11">
      <c r="A17" s="333">
        <v>7</v>
      </c>
      <c r="B17" s="332" t="s">
        <v>98</v>
      </c>
      <c r="D17" s="344"/>
      <c r="E17" s="196"/>
      <c r="G17" s="547"/>
      <c r="H17" s="537"/>
      <c r="I17" s="538"/>
    </row>
    <row r="18" spans="1:11">
      <c r="A18" s="333">
        <v>8</v>
      </c>
      <c r="C18" s="332" t="str">
        <f>'FR-16(7)(v)-1 Functional'!C18</f>
        <v>TOTAL O&amp;M EXPENSE</v>
      </c>
      <c r="D18" s="344"/>
      <c r="E18" s="196"/>
      <c r="F18" s="347">
        <f>F433</f>
        <v>15474188</v>
      </c>
      <c r="G18" s="548">
        <f>G433</f>
        <v>2776499</v>
      </c>
      <c r="H18" s="539">
        <f>H433</f>
        <v>10944332</v>
      </c>
      <c r="I18" s="540">
        <f>I433</f>
        <v>1753357</v>
      </c>
      <c r="J18" s="347">
        <f>J433</f>
        <v>15474188</v>
      </c>
      <c r="K18" s="347">
        <f t="shared" ref="K18:K24" si="1">F18-J18</f>
        <v>0</v>
      </c>
    </row>
    <row r="19" spans="1:11">
      <c r="A19" s="333">
        <v>9</v>
      </c>
      <c r="C19" s="332" t="str">
        <f>'FR-16(7)(v)-1 Functional'!C19</f>
        <v>TOTAL DEPRECIATION EXPENSE</v>
      </c>
      <c r="D19" s="344"/>
      <c r="E19" s="196"/>
      <c r="F19" s="347">
        <f>F465</f>
        <v>3260617</v>
      </c>
      <c r="G19" s="548">
        <f>G465</f>
        <v>2249553</v>
      </c>
      <c r="H19" s="539">
        <f>H465</f>
        <v>135607</v>
      </c>
      <c r="I19" s="540">
        <f>I465</f>
        <v>875457</v>
      </c>
      <c r="J19" s="347">
        <f>J465</f>
        <v>3260617</v>
      </c>
      <c r="K19" s="347">
        <f t="shared" si="1"/>
        <v>0</v>
      </c>
    </row>
    <row r="20" spans="1:11">
      <c r="A20" s="333">
        <v>10</v>
      </c>
      <c r="C20" s="359" t="str">
        <f>'FR-16(7)(v)-1 Functional'!C20</f>
        <v>TOTAL OTHER TAX &amp; MISC EXPENSE</v>
      </c>
      <c r="D20" s="344"/>
      <c r="E20" s="196"/>
      <c r="F20" s="347">
        <f>F495</f>
        <v>908553</v>
      </c>
      <c r="G20" s="548">
        <f>$G$495</f>
        <v>627471</v>
      </c>
      <c r="H20" s="539">
        <f>$H$495</f>
        <v>29096</v>
      </c>
      <c r="I20" s="540">
        <f>$I$495</f>
        <v>251986</v>
      </c>
      <c r="J20" s="347">
        <f>$J$495</f>
        <v>908553</v>
      </c>
      <c r="K20" s="347">
        <f t="shared" si="1"/>
        <v>0</v>
      </c>
    </row>
    <row r="21" spans="1:11">
      <c r="A21" s="333">
        <v>11</v>
      </c>
      <c r="C21" s="332" t="str">
        <f>'FR-16(7)(v)-1 Functional'!C21</f>
        <v xml:space="preserve">  TOTAL OP EXP EXCLUDING INC &amp; REV TAX</v>
      </c>
      <c r="D21" s="344"/>
      <c r="E21" s="196"/>
      <c r="F21" s="348">
        <f>SUM(F17:F20)</f>
        <v>19643358</v>
      </c>
      <c r="G21" s="549">
        <f>SUM(G17:G20)</f>
        <v>5653523</v>
      </c>
      <c r="H21" s="541">
        <f>SUM(H17:H20)</f>
        <v>11109035</v>
      </c>
      <c r="I21" s="542">
        <f>SUM(I17:I20)</f>
        <v>2880800</v>
      </c>
      <c r="J21" s="348">
        <f>SUM(J17:J20)</f>
        <v>19643358</v>
      </c>
      <c r="K21" s="348">
        <f t="shared" si="1"/>
        <v>0</v>
      </c>
    </row>
    <row r="22" spans="1:11">
      <c r="A22" s="333">
        <v>12</v>
      </c>
      <c r="C22" s="332" t="str">
        <f>'FR-16(7)(v)-1 Functional'!C22</f>
        <v>NET FED INCOME TAX EXP ALLOWABLE</v>
      </c>
      <c r="D22" s="344"/>
      <c r="E22" s="196"/>
      <c r="F22" s="347">
        <f>F557</f>
        <v>830072</v>
      </c>
      <c r="G22" s="548">
        <f>$G$557</f>
        <v>402242</v>
      </c>
      <c r="H22" s="539">
        <f>$H$557</f>
        <v>274088</v>
      </c>
      <c r="I22" s="540">
        <f>$I$557</f>
        <v>153742</v>
      </c>
      <c r="J22" s="347">
        <f>$J$557</f>
        <v>830072</v>
      </c>
      <c r="K22" s="347">
        <f t="shared" si="1"/>
        <v>0</v>
      </c>
    </row>
    <row r="23" spans="1:11">
      <c r="A23" s="333">
        <v>13</v>
      </c>
      <c r="C23" s="359" t="str">
        <f>'FR-16(7)(v)-1 Functional'!C23</f>
        <v>NET STATE INCOME TAX EXP ALLOWABLE</v>
      </c>
      <c r="D23" s="344"/>
      <c r="E23" s="196"/>
      <c r="F23" s="347">
        <f>F605</f>
        <v>193787</v>
      </c>
      <c r="G23" s="548">
        <f>G605</f>
        <v>102945</v>
      </c>
      <c r="H23" s="539">
        <f>H605</f>
        <v>16259</v>
      </c>
      <c r="I23" s="540">
        <f>I605</f>
        <v>74583</v>
      </c>
      <c r="J23" s="347">
        <f>J605</f>
        <v>193787</v>
      </c>
      <c r="K23" s="347">
        <f t="shared" si="1"/>
        <v>0</v>
      </c>
    </row>
    <row r="24" spans="1:11">
      <c r="A24" s="333">
        <v>14</v>
      </c>
      <c r="C24" s="332" t="str">
        <f>'FR-16(7)(v)-1 Functional'!C24</f>
        <v xml:space="preserve">  TOTAL OPERATING EXPENSE</v>
      </c>
      <c r="D24" s="344"/>
      <c r="E24" s="196"/>
      <c r="F24" s="348">
        <f>SUM(F21:F23)</f>
        <v>20667217</v>
      </c>
      <c r="G24" s="549">
        <f>SUM(G21:G23)</f>
        <v>6158710</v>
      </c>
      <c r="H24" s="541">
        <f>SUM(H21:H23)</f>
        <v>11399382</v>
      </c>
      <c r="I24" s="542">
        <f>SUM(I21:I23)</f>
        <v>3109125</v>
      </c>
      <c r="J24" s="348">
        <f>SUM(J21:J23)</f>
        <v>20667217</v>
      </c>
      <c r="K24" s="348">
        <f t="shared" si="1"/>
        <v>0</v>
      </c>
    </row>
    <row r="25" spans="1:11">
      <c r="A25" s="333">
        <v>15</v>
      </c>
      <c r="D25" s="344"/>
      <c r="E25" s="196"/>
      <c r="G25" s="547"/>
      <c r="H25" s="537"/>
      <c r="I25" s="538"/>
    </row>
    <row r="26" spans="1:11">
      <c r="A26" s="333">
        <v>16</v>
      </c>
      <c r="B26" s="332" t="s">
        <v>43</v>
      </c>
      <c r="D26" s="344"/>
      <c r="E26" s="196"/>
      <c r="F26" s="347">
        <f>F334</f>
        <v>5124462</v>
      </c>
      <c r="G26" s="548">
        <f>G334</f>
        <v>3690419</v>
      </c>
      <c r="H26" s="539">
        <f>H334</f>
        <v>137305</v>
      </c>
      <c r="I26" s="540">
        <f>I334</f>
        <v>1296738</v>
      </c>
      <c r="J26" s="347">
        <f>J334</f>
        <v>5124462</v>
      </c>
      <c r="K26" s="347">
        <f>F26-J26</f>
        <v>0</v>
      </c>
    </row>
    <row r="27" spans="1:11">
      <c r="A27" s="333">
        <v>17</v>
      </c>
      <c r="B27" s="359" t="s">
        <v>103</v>
      </c>
      <c r="C27" s="359"/>
      <c r="D27" s="344"/>
      <c r="E27" s="196"/>
      <c r="F27" s="347">
        <f>-F630</f>
        <v>-12450</v>
      </c>
      <c r="G27" s="548">
        <f>-$G$630</f>
        <v>-5174</v>
      </c>
      <c r="H27" s="539">
        <f>-$H$630</f>
        <v>-827</v>
      </c>
      <c r="I27" s="540">
        <f>-$I$630</f>
        <v>-6449</v>
      </c>
      <c r="J27" s="347">
        <f>-$J$630</f>
        <v>-12450</v>
      </c>
      <c r="K27" s="347">
        <f>F27-J27</f>
        <v>0</v>
      </c>
    </row>
    <row r="28" spans="1:11">
      <c r="A28" s="1174">
        <v>18</v>
      </c>
      <c r="B28" s="353"/>
      <c r="C28" s="353" t="str">
        <f>'FR-16(7)(v)-1 Functional'!C28</f>
        <v>TOTAL GAS COST OF SERVICE</v>
      </c>
      <c r="D28" s="354"/>
      <c r="E28" s="342"/>
      <c r="F28" s="348">
        <f>SUM(F24:F27)</f>
        <v>25779229</v>
      </c>
      <c r="G28" s="1175">
        <f>SUM(G24:G27)</f>
        <v>9843955</v>
      </c>
      <c r="H28" s="1176">
        <f>SUM(H24:H27)</f>
        <v>11535860</v>
      </c>
      <c r="I28" s="1177">
        <f>SUM(I24:I27)</f>
        <v>4399414</v>
      </c>
      <c r="J28" s="348">
        <f>SUM(J24:J27)</f>
        <v>25779229</v>
      </c>
      <c r="K28" s="348">
        <f>F28-J28</f>
        <v>0</v>
      </c>
    </row>
    <row r="29" spans="1:11">
      <c r="A29" s="1112">
        <v>19</v>
      </c>
      <c r="B29" s="1113" t="s">
        <v>1206</v>
      </c>
      <c r="C29" s="1114"/>
      <c r="D29" s="1115">
        <f>1-'WP FR-16(7)(v)Rate Incr (15.0%)'!I11</f>
        <v>0.85</v>
      </c>
      <c r="E29" s="1116"/>
      <c r="F29" s="1117">
        <f ca="1">'WP FR-16(7)(v)Rate Incr (15.0%)'!P16</f>
        <v>-147513</v>
      </c>
      <c r="G29" s="1149">
        <f ca="1">'WP FR-16(7)(v)Rate Incr (15.0%)'!T16</f>
        <v>-81762</v>
      </c>
      <c r="H29" s="1117">
        <f ca="1">'WP FR-16(7)(v)Rate Incr (15.0%)'!U16</f>
        <v>0</v>
      </c>
      <c r="I29" s="1150">
        <f ca="1">'WP FR-16(7)(v)Rate Incr (15.0%)'!V16</f>
        <v>-65751</v>
      </c>
      <c r="J29" s="1117">
        <f ca="1">SUM(G29:I29)</f>
        <v>-147513</v>
      </c>
      <c r="K29" s="1120">
        <f ca="1">F29-J29</f>
        <v>0</v>
      </c>
    </row>
    <row r="30" spans="1:11">
      <c r="A30" s="1112">
        <v>20</v>
      </c>
      <c r="B30" s="1121" t="s">
        <v>1207</v>
      </c>
      <c r="C30" s="1024"/>
      <c r="D30" s="1122"/>
      <c r="E30" s="1116"/>
      <c r="F30" s="1123">
        <f t="shared" ref="F30:K30" ca="1" si="2">F28+F29</f>
        <v>25631716</v>
      </c>
      <c r="G30" s="1182">
        <f t="shared" ca="1" si="2"/>
        <v>9762193</v>
      </c>
      <c r="H30" s="1180">
        <f t="shared" ca="1" si="2"/>
        <v>11535860</v>
      </c>
      <c r="I30" s="1181">
        <f t="shared" ca="1" si="2"/>
        <v>4333663</v>
      </c>
      <c r="J30" s="1123">
        <f t="shared" ca="1" si="2"/>
        <v>25631716</v>
      </c>
      <c r="K30" s="1123">
        <f t="shared" ca="1" si="2"/>
        <v>0</v>
      </c>
    </row>
    <row r="31" spans="1:11">
      <c r="A31" s="1112">
        <v>21</v>
      </c>
      <c r="B31" s="1128" t="s">
        <v>850</v>
      </c>
      <c r="C31" s="1114"/>
      <c r="D31" s="1122"/>
      <c r="E31" s="1116"/>
      <c r="F31" s="1148">
        <f>'FR-16(7)(v)-8 TOT CLASS Alloc'!H31</f>
        <v>23198248</v>
      </c>
      <c r="G31" s="1124">
        <f>'FR-16(7)(v)-5 DISTR Dem Alloc'!H31</f>
        <v>7350779</v>
      </c>
      <c r="H31" s="1125">
        <f>'FR-16(7)(v)-3 PROD Comm Alloc'!H31</f>
        <v>8842940</v>
      </c>
      <c r="I31" s="1126">
        <f>'FR-16(7)(v)-6 DISTR Cust Alloc'!H31</f>
        <v>7004529</v>
      </c>
      <c r="J31" s="1127">
        <f>SUM(G31:I31)</f>
        <v>23198248</v>
      </c>
      <c r="K31" s="1127">
        <f>F31-J31</f>
        <v>0</v>
      </c>
    </row>
    <row r="32" spans="1:11">
      <c r="A32" s="1112">
        <v>22</v>
      </c>
      <c r="B32" s="1129" t="s">
        <v>1208</v>
      </c>
      <c r="C32" s="1024"/>
      <c r="D32" s="1122"/>
      <c r="E32" s="1116"/>
      <c r="F32" s="1132">
        <f t="shared" ref="F32:K32" ca="1" si="3">F30-F31</f>
        <v>2433468</v>
      </c>
      <c r="G32" s="1151">
        <f t="shared" ca="1" si="3"/>
        <v>2411414</v>
      </c>
      <c r="H32" s="1169">
        <f t="shared" ca="1" si="3"/>
        <v>2692920</v>
      </c>
      <c r="I32" s="1152">
        <f t="shared" ca="1" si="3"/>
        <v>-2670866</v>
      </c>
      <c r="J32" s="1132">
        <f t="shared" ca="1" si="3"/>
        <v>2433468</v>
      </c>
      <c r="K32" s="1132">
        <f t="shared" ca="1" si="3"/>
        <v>0</v>
      </c>
    </row>
    <row r="33" spans="1:14">
      <c r="A33" s="1112">
        <v>23</v>
      </c>
      <c r="B33" s="1024"/>
      <c r="C33" s="1024"/>
      <c r="D33" s="1122"/>
      <c r="E33" s="1116"/>
      <c r="F33" s="1024"/>
      <c r="G33" s="1134"/>
      <c r="H33" s="1135"/>
      <c r="I33" s="1136"/>
      <c r="J33" s="1024"/>
      <c r="K33" s="1024"/>
    </row>
    <row r="34" spans="1:14">
      <c r="A34" s="1112">
        <v>24</v>
      </c>
      <c r="B34" s="1024" t="s">
        <v>104</v>
      </c>
      <c r="C34" s="1024"/>
      <c r="D34" s="1122"/>
      <c r="E34" s="1116"/>
      <c r="F34" s="1127">
        <f>F654+F26</f>
        <v>3332276</v>
      </c>
      <c r="G34" s="1124">
        <f>G654+G26</f>
        <v>1895953</v>
      </c>
      <c r="H34" s="1125">
        <f>H654+H26</f>
        <v>-1872198</v>
      </c>
      <c r="I34" s="1126">
        <f>I654+I26</f>
        <v>3308521</v>
      </c>
      <c r="J34" s="1127">
        <f>J654+J26</f>
        <v>3332276</v>
      </c>
      <c r="K34" s="1127">
        <f>F34-J34</f>
        <v>0</v>
      </c>
    </row>
    <row r="35" spans="1:14">
      <c r="A35" s="1112">
        <v>25</v>
      </c>
      <c r="B35" s="1024" t="s">
        <v>105</v>
      </c>
      <c r="C35" s="1024"/>
      <c r="D35" s="1122"/>
      <c r="E35" s="1116"/>
      <c r="F35" s="1137">
        <f t="shared" ref="F35:K35" si="4">IF(F331=0,0,ROUND(F34/F331,5))</f>
        <v>4.6699999999999998E-2</v>
      </c>
      <c r="G35" s="1138">
        <f t="shared" si="4"/>
        <v>3.6889999999999999E-2</v>
      </c>
      <c r="H35" s="1139">
        <f t="shared" si="4"/>
        <v>-0.97914999999999996</v>
      </c>
      <c r="I35" s="1140">
        <f t="shared" si="4"/>
        <v>0.18321999999999999</v>
      </c>
      <c r="J35" s="1137">
        <f t="shared" si="4"/>
        <v>4.6699999999999998E-2</v>
      </c>
      <c r="K35" s="1137">
        <f t="shared" si="4"/>
        <v>0</v>
      </c>
    </row>
    <row r="36" spans="1:14">
      <c r="A36" s="1112">
        <v>26</v>
      </c>
      <c r="B36" s="1024" t="s">
        <v>42</v>
      </c>
      <c r="C36" s="1024"/>
      <c r="D36" s="1122"/>
      <c r="E36" s="1116"/>
      <c r="F36" s="1137">
        <f>$F$688</f>
        <v>7.1809999999999999E-2</v>
      </c>
      <c r="G36" s="1138">
        <f>F688</f>
        <v>7.1809999999999999E-2</v>
      </c>
      <c r="H36" s="1139">
        <f>F688</f>
        <v>7.1809999999999999E-2</v>
      </c>
      <c r="I36" s="1140">
        <f>F688</f>
        <v>7.1809999999999999E-2</v>
      </c>
      <c r="J36" s="1137">
        <f>$F$688</f>
        <v>7.1809999999999999E-2</v>
      </c>
      <c r="K36" s="1137">
        <f>IF(K35=0,0,$F$688)</f>
        <v>0</v>
      </c>
      <c r="N36" s="659" t="s">
        <v>1210</v>
      </c>
    </row>
    <row r="37" spans="1:14">
      <c r="A37" s="1112">
        <v>27</v>
      </c>
      <c r="B37" s="1024" t="s">
        <v>106</v>
      </c>
      <c r="C37" s="1024"/>
      <c r="D37" s="1122"/>
      <c r="E37" s="1116"/>
      <c r="F37" s="1137">
        <f>IF(F670=0,0,(F35-$F$683-$F$684-$F$686)*$F$673/$F$670)</f>
        <v>4.9532176368136664E-2</v>
      </c>
      <c r="G37" s="1138">
        <f>IF(F670=0,0,(G35-F683-F684-F686)*F673/F670)</f>
        <v>3.020398821493776E-2</v>
      </c>
      <c r="H37" s="1139">
        <f>IF(F670=0,0,(H35-F683-F684-F686)*F673/F670)</f>
        <v>-1.9716525144533832</v>
      </c>
      <c r="I37" s="1140">
        <f>IF(F670=0,0,(I35-F683-F684-F686)*F673/F670)</f>
        <v>0.31851120253273568</v>
      </c>
      <c r="J37" s="1137">
        <f>IF(F670=0,0,(J35-F683-F684-F686)*F673/F670)</f>
        <v>4.9532176368136664E-2</v>
      </c>
      <c r="K37" s="1137">
        <f>IF(OR(E670=0,K35=0)=TRUE,0,(K35-E683-E684-E686)*E673/E670)</f>
        <v>0</v>
      </c>
      <c r="N37" s="659" t="s">
        <v>1211</v>
      </c>
    </row>
    <row r="38" spans="1:14">
      <c r="A38" s="1112">
        <v>28</v>
      </c>
      <c r="B38" s="1024" t="s">
        <v>107</v>
      </c>
      <c r="C38" s="1024"/>
      <c r="D38" s="1122"/>
      <c r="E38" s="1116"/>
      <c r="F38" s="1137">
        <f>IF(F670=0,0,(F36-$F$683-$F$684-$F$686)*$F$673/$F$670)</f>
        <v>9.9005245127242167E-2</v>
      </c>
      <c r="G38" s="1138">
        <f>IF(F670=0,0,(G36-F683-F684-F686)*F673/F670)</f>
        <v>9.9005245127242167E-2</v>
      </c>
      <c r="H38" s="1139">
        <f>IF(F670=0,0,(H36-F683-F684-F686)*F673/F670)</f>
        <v>9.9005245127242167E-2</v>
      </c>
      <c r="I38" s="1140">
        <f>IF(F670=0,0,(I36-F683-F684-F686)*F673/F670)</f>
        <v>9.9005245127242167E-2</v>
      </c>
      <c r="J38" s="1137">
        <f>IF($F$670=0,0,(J36-$F$683-$F$684-$F$686)*$F$673/$F$670)</f>
        <v>9.9005245127242167E-2</v>
      </c>
      <c r="K38" s="1137">
        <f>IF(OR($F$670=0,K36=0)=TRUE,0,(K36-$F$683-$F$684-$F$686)*$F$673/$F$670)</f>
        <v>0</v>
      </c>
    </row>
    <row r="39" spans="1:14">
      <c r="A39" s="1112">
        <v>29</v>
      </c>
      <c r="B39" s="1024"/>
      <c r="C39" s="1024"/>
      <c r="D39" s="1122"/>
      <c r="E39" s="1116"/>
      <c r="F39" s="1024" t="s">
        <v>343</v>
      </c>
      <c r="G39" s="1134"/>
      <c r="H39" s="1135"/>
      <c r="I39" s="1136"/>
      <c r="J39" s="1024"/>
      <c r="K39" s="1024"/>
    </row>
    <row r="40" spans="1:14">
      <c r="A40" s="1112">
        <v>30</v>
      </c>
      <c r="B40" s="1024" t="s">
        <v>108</v>
      </c>
      <c r="C40" s="1024"/>
      <c r="D40" s="1122"/>
      <c r="E40" s="1116"/>
      <c r="F40" s="1148">
        <f>'FR-16(7)(v)-8 TOT CLASS Alloc'!H40</f>
        <v>23198247</v>
      </c>
      <c r="G40" s="1124">
        <f>F40-SUM(H40:I40)</f>
        <v>7350778</v>
      </c>
      <c r="H40" s="1125">
        <f>'FR-16(7)(v)-3 PROD Comm Alloc'!H40</f>
        <v>8842940</v>
      </c>
      <c r="I40" s="1126">
        <f>'FR-16(7)(v)-6 DISTR Cust Alloc'!H40</f>
        <v>7004529</v>
      </c>
      <c r="J40" s="1127">
        <f>SUM(G40:I40)</f>
        <v>23198247</v>
      </c>
      <c r="K40" s="1127">
        <f>F40-J40</f>
        <v>0</v>
      </c>
    </row>
    <row r="41" spans="1:14">
      <c r="A41" s="1112">
        <v>31</v>
      </c>
      <c r="B41" s="1024" t="s">
        <v>109</v>
      </c>
      <c r="C41" s="1024"/>
      <c r="D41" s="1122"/>
      <c r="E41" s="1116"/>
      <c r="F41" s="1127">
        <f t="shared" ref="F41:K41" si="5">F28-F40</f>
        <v>2580982</v>
      </c>
      <c r="G41" s="1124">
        <f t="shared" si="5"/>
        <v>2493177</v>
      </c>
      <c r="H41" s="1125">
        <f t="shared" si="5"/>
        <v>2692920</v>
      </c>
      <c r="I41" s="1126">
        <f t="shared" si="5"/>
        <v>-2605115</v>
      </c>
      <c r="J41" s="1127">
        <f t="shared" si="5"/>
        <v>2580982</v>
      </c>
      <c r="K41" s="1127">
        <f t="shared" si="5"/>
        <v>0</v>
      </c>
    </row>
    <row r="42" spans="1:14">
      <c r="A42" s="1112">
        <v>32</v>
      </c>
      <c r="B42" s="1024"/>
      <c r="C42" s="1024" t="s">
        <v>283</v>
      </c>
      <c r="D42" s="1122"/>
      <c r="E42" s="1116"/>
      <c r="F42" s="1141">
        <f t="shared" ref="F42:K42" si="6">IF(F40=0,0,ROUND(F41/F40,5))</f>
        <v>0.11126</v>
      </c>
      <c r="G42" s="1142">
        <f t="shared" si="6"/>
        <v>0.33917000000000003</v>
      </c>
      <c r="H42" s="1143">
        <f t="shared" si="6"/>
        <v>0.30453000000000002</v>
      </c>
      <c r="I42" s="1144">
        <f t="shared" si="6"/>
        <v>-0.37191999999999997</v>
      </c>
      <c r="J42" s="1141">
        <f t="shared" si="6"/>
        <v>0.11126</v>
      </c>
      <c r="K42" s="1127">
        <f t="shared" si="6"/>
        <v>0</v>
      </c>
    </row>
    <row r="43" spans="1:14">
      <c r="A43" s="1112">
        <v>33</v>
      </c>
      <c r="B43" s="1024" t="s">
        <v>110</v>
      </c>
      <c r="C43" s="1024"/>
      <c r="D43" s="1122"/>
      <c r="E43" s="1116"/>
      <c r="F43" s="1127">
        <f t="shared" ref="F43:K43" si="7">F31-F40</f>
        <v>1</v>
      </c>
      <c r="G43" s="1124">
        <f t="shared" si="7"/>
        <v>1</v>
      </c>
      <c r="H43" s="1125">
        <f t="shared" si="7"/>
        <v>0</v>
      </c>
      <c r="I43" s="1126">
        <f t="shared" si="7"/>
        <v>0</v>
      </c>
      <c r="J43" s="1127">
        <f t="shared" si="7"/>
        <v>1</v>
      </c>
      <c r="K43" s="1127">
        <f t="shared" si="7"/>
        <v>0</v>
      </c>
    </row>
    <row r="44" spans="1:14">
      <c r="A44" s="1112">
        <v>34</v>
      </c>
      <c r="B44" s="1024"/>
      <c r="C44" s="1024" t="s">
        <v>283</v>
      </c>
      <c r="D44" s="1122"/>
      <c r="E44" s="1116"/>
      <c r="F44" s="1141">
        <f t="shared" ref="F44:K44" si="8">IF(F40=0,0,ROUND(F43/F40,5))</f>
        <v>0</v>
      </c>
      <c r="G44" s="1145">
        <f t="shared" si="8"/>
        <v>0</v>
      </c>
      <c r="H44" s="1146">
        <f t="shared" si="8"/>
        <v>0</v>
      </c>
      <c r="I44" s="1147">
        <f t="shared" si="8"/>
        <v>0</v>
      </c>
      <c r="J44" s="1141">
        <f t="shared" si="8"/>
        <v>0</v>
      </c>
      <c r="K44" s="1127">
        <f t="shared" si="8"/>
        <v>0</v>
      </c>
    </row>
    <row r="45" spans="1:14">
      <c r="A45" s="343"/>
      <c r="C45" s="196"/>
      <c r="D45" s="344"/>
      <c r="E45" s="196"/>
      <c r="F45" s="196"/>
      <c r="G45" s="196"/>
      <c r="H45" s="196"/>
      <c r="I45" s="196"/>
      <c r="J45" s="196"/>
      <c r="K45" s="196"/>
    </row>
    <row r="46" spans="1:14">
      <c r="A46" s="343" t="str">
        <f>co_name</f>
        <v>DUKE ENERGY KENTUCKY, INC.</v>
      </c>
      <c r="C46" s="196"/>
      <c r="D46" s="344"/>
      <c r="E46" s="196"/>
      <c r="F46" s="196"/>
      <c r="G46" s="196"/>
      <c r="H46" s="196"/>
      <c r="I46" s="196"/>
      <c r="J46" s="196" t="str">
        <f>$J$1</f>
        <v>FR-16(7)(v)-10</v>
      </c>
      <c r="K46" s="196"/>
    </row>
    <row r="47" spans="1:14">
      <c r="A47" s="343" t="str">
        <f>$A$2</f>
        <v>GS CLASSIFIED - GAS COST OF SERVICE</v>
      </c>
      <c r="C47" s="196"/>
      <c r="D47" s="344"/>
      <c r="E47" s="196"/>
      <c r="F47" s="196"/>
      <c r="G47" s="196"/>
      <c r="H47" s="196"/>
      <c r="I47" s="196"/>
      <c r="J47" s="196" t="str">
        <f>$J$2</f>
        <v>WITNESS RESPONSIBLE:</v>
      </c>
      <c r="K47" s="196"/>
    </row>
    <row r="48" spans="1:14">
      <c r="A48" s="343" t="str">
        <f>case_name</f>
        <v>CASE NO: 2018-00261</v>
      </c>
      <c r="C48" s="196"/>
      <c r="D48" s="344"/>
      <c r="E48" s="196"/>
      <c r="F48" s="196"/>
      <c r="G48" s="196"/>
      <c r="H48" s="196"/>
      <c r="I48" s="196"/>
      <c r="J48" s="196" t="str">
        <f>Witness</f>
        <v>JAMES E. ZIOLKOWSKI</v>
      </c>
      <c r="K48" s="196"/>
    </row>
    <row r="49" spans="1:11">
      <c r="A49" s="343" t="str">
        <f>data_filing</f>
        <v>DATA: 12 MONTH FORECASTED PERIOD</v>
      </c>
      <c r="C49" s="196"/>
      <c r="D49" s="344"/>
      <c r="E49" s="196"/>
      <c r="F49" s="196"/>
      <c r="G49" s="196"/>
      <c r="H49" s="196"/>
      <c r="I49" s="196"/>
      <c r="J49" s="196" t="str">
        <f>"PAGE "&amp;Pages2-13&amp;" OF "&amp;Pages2</f>
        <v>PAGE 2 OF 15</v>
      </c>
      <c r="K49" s="196"/>
    </row>
    <row r="50" spans="1:11">
      <c r="A50" s="343" t="str">
        <f>type</f>
        <v xml:space="preserve">TYPE OF FILING: "X" ORIGINAL   UPDATED    REVISED  </v>
      </c>
      <c r="C50" s="196"/>
      <c r="D50" s="344"/>
      <c r="E50" s="196"/>
      <c r="F50" s="196"/>
      <c r="G50" s="196"/>
      <c r="H50" s="196"/>
      <c r="I50" s="196"/>
      <c r="J50" s="196"/>
      <c r="K50" s="196"/>
    </row>
    <row r="51" spans="1:11">
      <c r="A51" s="343"/>
      <c r="C51" s="196"/>
      <c r="D51" s="344"/>
      <c r="E51" s="196"/>
      <c r="F51" s="196"/>
      <c r="G51" s="196"/>
      <c r="H51" s="196"/>
      <c r="I51" s="196"/>
      <c r="J51" s="196"/>
      <c r="K51" s="196"/>
    </row>
    <row r="52" spans="1:11">
      <c r="A52" s="343"/>
      <c r="C52" s="196"/>
      <c r="D52" s="344"/>
      <c r="E52" s="196"/>
      <c r="F52" s="196"/>
      <c r="G52" s="196"/>
      <c r="H52" s="196"/>
      <c r="I52" s="196"/>
      <c r="J52" s="196"/>
      <c r="K52" s="196"/>
    </row>
    <row r="53" spans="1:11">
      <c r="A53" s="344" t="s">
        <v>914</v>
      </c>
      <c r="B53" s="196"/>
      <c r="C53" s="196"/>
      <c r="D53" s="344"/>
      <c r="E53" s="196"/>
      <c r="F53" s="344" t="s">
        <v>229</v>
      </c>
      <c r="G53" s="545" t="s">
        <v>1005</v>
      </c>
      <c r="H53" s="533"/>
      <c r="I53" s="534"/>
      <c r="J53" s="344" t="s">
        <v>229</v>
      </c>
      <c r="K53" s="344" t="s">
        <v>342</v>
      </c>
    </row>
    <row r="54" spans="1:11">
      <c r="A54" s="346" t="s">
        <v>915</v>
      </c>
      <c r="B54" s="345" t="s">
        <v>95</v>
      </c>
      <c r="C54" s="345"/>
      <c r="D54" s="346" t="s">
        <v>337</v>
      </c>
      <c r="E54" s="345"/>
      <c r="F54" s="346" t="str">
        <f>$F$9</f>
        <v>GS</v>
      </c>
      <c r="G54" s="546" t="s">
        <v>847</v>
      </c>
      <c r="H54" s="535" t="s">
        <v>848</v>
      </c>
      <c r="I54" s="536" t="s">
        <v>849</v>
      </c>
      <c r="J54" s="346" t="s">
        <v>341</v>
      </c>
      <c r="K54" s="346" t="s">
        <v>340</v>
      </c>
    </row>
    <row r="55" spans="1:11">
      <c r="C55" s="578" t="s">
        <v>344</v>
      </c>
      <c r="D55" s="344"/>
      <c r="E55" s="196"/>
      <c r="G55" s="800">
        <f>$G$10</f>
        <v>3</v>
      </c>
      <c r="H55" s="801">
        <f>$H$10</f>
        <v>4</v>
      </c>
      <c r="I55" s="802">
        <f>$I$10</f>
        <v>5</v>
      </c>
      <c r="K55" s="332" t="s">
        <v>343</v>
      </c>
    </row>
    <row r="56" spans="1:11">
      <c r="A56" s="333">
        <v>1</v>
      </c>
      <c r="B56" s="332" t="s">
        <v>14</v>
      </c>
      <c r="E56" s="196"/>
      <c r="G56" s="547"/>
      <c r="H56" s="537"/>
      <c r="I56" s="538"/>
    </row>
    <row r="57" spans="1:11">
      <c r="A57" s="333">
        <v>2</v>
      </c>
      <c r="C57" s="365" t="str">
        <f>'FR-16(7)(v)-1 Functional'!C57</f>
        <v>PRODUCTION PLANT</v>
      </c>
      <c r="D57" s="344" t="str">
        <f>'FR-16(7)(v)-1 Functional'!D57</f>
        <v>K205</v>
      </c>
      <c r="E57" s="196"/>
      <c r="F57" s="479">
        <f>'FR-16(7)(v)-8 TOT CLASS Alloc'!H57</f>
        <v>853321</v>
      </c>
      <c r="G57" s="548">
        <f>'FR-16(7)(v)-5 DISTR Dem Alloc'!$H$57</f>
        <v>0</v>
      </c>
      <c r="H57" s="539">
        <f>'FR-16(7)(v)-3 PROD Comm Alloc'!$H$57</f>
        <v>853321</v>
      </c>
      <c r="I57" s="540">
        <f>'FR-16(7)(v)-6 DISTR Cust Alloc'!$H$57</f>
        <v>0</v>
      </c>
      <c r="J57" s="347">
        <f>SUM($G$57:$I$57)</f>
        <v>853321</v>
      </c>
      <c r="K57" s="347">
        <f>F57-$J$57</f>
        <v>0</v>
      </c>
    </row>
    <row r="58" spans="1:11">
      <c r="A58" s="333">
        <v>3</v>
      </c>
      <c r="C58" s="359" t="str">
        <f>'FR-16(7)(v)-1 Functional'!C58</f>
        <v>GAS PRODUCTION -CPMPL NOT CLASS</v>
      </c>
      <c r="D58" s="344" t="str">
        <f>'FR-16(7)(v)-1 Functional'!D58</f>
        <v>K205</v>
      </c>
      <c r="E58" s="196"/>
      <c r="F58" s="479">
        <f>'FR-16(7)(v)-8 TOT CLASS Alloc'!H58</f>
        <v>0</v>
      </c>
      <c r="G58" s="548">
        <f>'FR-16(7)(v)-5 DISTR Dem Alloc'!$H$58</f>
        <v>0</v>
      </c>
      <c r="H58" s="539">
        <f>'FR-16(7)(v)-3 PROD Comm Alloc'!$H$58</f>
        <v>0</v>
      </c>
      <c r="I58" s="540">
        <f>'FR-16(7)(v)-6 DISTR Cust Alloc'!$H$58</f>
        <v>0</v>
      </c>
      <c r="J58" s="347">
        <f>SUM($G$58:$I$58)</f>
        <v>0</v>
      </c>
      <c r="K58" s="347">
        <f>F58-$J$58</f>
        <v>0</v>
      </c>
    </row>
    <row r="59" spans="1:11">
      <c r="A59" s="333">
        <v>4</v>
      </c>
      <c r="C59" s="332" t="str">
        <f>'FR-16(7)(v)-1 Functional'!C59</f>
        <v xml:space="preserve">  PRODUCTION PLANT IN SERVICE</v>
      </c>
      <c r="D59" s="344"/>
      <c r="E59" s="196"/>
      <c r="F59" s="348">
        <f>SUM(F57:F58)</f>
        <v>853321</v>
      </c>
      <c r="G59" s="549">
        <f>SUM($G$57:$G$58)</f>
        <v>0</v>
      </c>
      <c r="H59" s="541">
        <f>SUM($H$57:$H$58)</f>
        <v>853321</v>
      </c>
      <c r="I59" s="542">
        <f>SUM($I$57:$I$58)</f>
        <v>0</v>
      </c>
      <c r="J59" s="348">
        <f>SUM($J$57:$J$58)</f>
        <v>853321</v>
      </c>
      <c r="K59" s="348">
        <f>SUM($K$57:$K$58)</f>
        <v>0</v>
      </c>
    </row>
    <row r="60" spans="1:11">
      <c r="A60" s="333">
        <v>5</v>
      </c>
      <c r="D60" s="344"/>
      <c r="E60" s="196"/>
      <c r="G60" s="547"/>
      <c r="H60" s="537"/>
      <c r="I60" s="538"/>
    </row>
    <row r="61" spans="1:11">
      <c r="A61" s="333">
        <v>6</v>
      </c>
      <c r="B61" s="332" t="s">
        <v>15</v>
      </c>
      <c r="D61" s="344"/>
      <c r="E61" s="196"/>
      <c r="G61" s="547"/>
      <c r="H61" s="537"/>
      <c r="I61" s="538"/>
    </row>
    <row r="62" spans="1:11">
      <c r="A62" s="333">
        <v>7</v>
      </c>
      <c r="C62" s="359" t="str">
        <f>'FR-16(7)(v)-1 Functional'!C62</f>
        <v>TRANSMISSION PLANT</v>
      </c>
      <c r="D62" s="344" t="s">
        <v>343</v>
      </c>
      <c r="E62" s="196"/>
      <c r="F62" s="477"/>
      <c r="G62" s="548"/>
      <c r="H62" s="539"/>
      <c r="I62" s="540"/>
      <c r="J62" s="347"/>
      <c r="K62" s="347"/>
    </row>
    <row r="63" spans="1:11">
      <c r="A63" s="333">
        <v>8</v>
      </c>
      <c r="C63" s="332" t="str">
        <f>'FR-16(7)(v)-1 Functional'!C63</f>
        <v xml:space="preserve">  TRANSMISSION PLANT IN SERVICE</v>
      </c>
      <c r="D63" s="344"/>
      <c r="E63" s="196"/>
      <c r="F63" s="348">
        <f>SUM(F62)</f>
        <v>0</v>
      </c>
      <c r="G63" s="549">
        <f>SUM($G$62)</f>
        <v>0</v>
      </c>
      <c r="H63" s="541">
        <f>SUM($H$62)</f>
        <v>0</v>
      </c>
      <c r="I63" s="542">
        <f>SUM($I$62)</f>
        <v>0</v>
      </c>
      <c r="J63" s="348">
        <f>SUM($J$62)</f>
        <v>0</v>
      </c>
      <c r="K63" s="348">
        <f>SUM($K$62)</f>
        <v>0</v>
      </c>
    </row>
    <row r="64" spans="1:11">
      <c r="A64" s="333">
        <v>9</v>
      </c>
      <c r="D64" s="344"/>
      <c r="E64" s="196"/>
      <c r="G64" s="547"/>
      <c r="H64" s="537"/>
      <c r="I64" s="538"/>
    </row>
    <row r="65" spans="1:11">
      <c r="A65" s="333">
        <v>10</v>
      </c>
      <c r="B65" s="332" t="s">
        <v>16</v>
      </c>
      <c r="D65" s="344"/>
      <c r="E65" s="196"/>
      <c r="F65" s="347">
        <f>F63+F59</f>
        <v>853321</v>
      </c>
      <c r="G65" s="548">
        <f>$G$63+$G$59</f>
        <v>0</v>
      </c>
      <c r="H65" s="539">
        <f>$H$63+$H$59</f>
        <v>853321</v>
      </c>
      <c r="I65" s="540">
        <f>$I$63+$I$59</f>
        <v>0</v>
      </c>
      <c r="J65" s="347">
        <f>$J$63+$J$59</f>
        <v>853321</v>
      </c>
      <c r="K65" s="347">
        <f>$K$63+$K$59</f>
        <v>0</v>
      </c>
    </row>
    <row r="66" spans="1:11">
      <c r="A66" s="333">
        <v>11</v>
      </c>
      <c r="D66" s="344"/>
      <c r="E66" s="196"/>
      <c r="G66" s="547"/>
      <c r="H66" s="537"/>
      <c r="I66" s="538"/>
    </row>
    <row r="67" spans="1:11">
      <c r="A67" s="333">
        <v>12</v>
      </c>
      <c r="B67" s="332" t="s">
        <v>17</v>
      </c>
      <c r="D67" s="344"/>
      <c r="E67" s="196"/>
      <c r="G67" s="547"/>
      <c r="H67" s="537"/>
      <c r="I67" s="538"/>
    </row>
    <row r="68" spans="1:11">
      <c r="A68" s="333">
        <v>13</v>
      </c>
      <c r="C68" s="332" t="str">
        <f>'FR-16(7)(v)-1 Functional'!C68</f>
        <v>SYSTEM M&amp;R - (2780, 2781)</v>
      </c>
      <c r="D68" s="344" t="str">
        <f>'FR-16(7)(v)-1 Functional'!D68</f>
        <v>K203</v>
      </c>
      <c r="E68" s="196"/>
      <c r="F68" s="479">
        <f>'FR-16(7)(v)-8 TOT CLASS Alloc'!H68</f>
        <v>2419384</v>
      </c>
      <c r="G68" s="548">
        <f>'FR-16(7)(v)-5 DISTR Dem Alloc'!H68</f>
        <v>2419384</v>
      </c>
      <c r="H68" s="539">
        <f>'FR-16(7)(v)-3 PROD Comm Alloc'!H68</f>
        <v>0</v>
      </c>
      <c r="I68" s="540">
        <f>'FR-16(7)(v)-6 DISTR Cust Alloc'!H68</f>
        <v>0</v>
      </c>
      <c r="J68" s="347">
        <f t="shared" ref="J68:J77" si="9">SUM(G68:I68)</f>
        <v>2419384</v>
      </c>
      <c r="K68" s="347">
        <f t="shared" ref="K68:K77" si="10">F68-J68</f>
        <v>0</v>
      </c>
    </row>
    <row r="69" spans="1:11">
      <c r="A69" s="333">
        <v>14</v>
      </c>
      <c r="C69" s="332" t="str">
        <f>'FR-16(7)(v)-1 Functional'!C69</f>
        <v xml:space="preserve">DIST REG EQUIP &amp; CITY GATE M&amp;R- (2782, 2790) </v>
      </c>
      <c r="D69" s="344" t="str">
        <f>'FR-16(7)(v)-1 Functional'!D69</f>
        <v>K203</v>
      </c>
      <c r="E69" s="196"/>
      <c r="F69" s="479">
        <f>'FR-16(7)(v)-8 TOT CLASS Alloc'!H69</f>
        <v>714213</v>
      </c>
      <c r="G69" s="548">
        <f>'FR-16(7)(v)-5 DISTR Dem Alloc'!H69</f>
        <v>714213</v>
      </c>
      <c r="H69" s="539">
        <f>'FR-16(7)(v)-3 PROD Comm Alloc'!H69</f>
        <v>0</v>
      </c>
      <c r="I69" s="540">
        <f>'FR-16(7)(v)-6 DISTR Cust Alloc'!H69</f>
        <v>0</v>
      </c>
      <c r="J69" s="347">
        <f t="shared" si="9"/>
        <v>714213</v>
      </c>
      <c r="K69" s="347">
        <f t="shared" si="10"/>
        <v>0</v>
      </c>
    </row>
    <row r="70" spans="1:11">
      <c r="A70" s="333">
        <v>15</v>
      </c>
      <c r="C70" s="332" t="str">
        <f>'FR-16(7)(v)-1 Functional'!C70</f>
        <v>LARGE IND M&amp;R - (2850, 2851)</v>
      </c>
      <c r="D70" s="344" t="str">
        <f>'FR-16(7)(v)-1 Functional'!D70</f>
        <v>K595</v>
      </c>
      <c r="E70" s="196"/>
      <c r="F70" s="479">
        <f>'FR-16(7)(v)-8 TOT CLASS Alloc'!H70</f>
        <v>0</v>
      </c>
      <c r="G70" s="548">
        <f>'FR-16(7)(v)-5 DISTR Dem Alloc'!H70</f>
        <v>0</v>
      </c>
      <c r="H70" s="539">
        <f>'FR-16(7)(v)-3 PROD Comm Alloc'!H70</f>
        <v>0</v>
      </c>
      <c r="I70" s="540">
        <f>'FR-16(7)(v)-6 DISTR Cust Alloc'!H70</f>
        <v>0</v>
      </c>
      <c r="J70" s="347">
        <f t="shared" si="9"/>
        <v>0</v>
      </c>
      <c r="K70" s="347">
        <f t="shared" si="10"/>
        <v>0</v>
      </c>
    </row>
    <row r="71" spans="1:11">
      <c r="A71" s="333">
        <v>16</v>
      </c>
      <c r="C71" s="332" t="str">
        <f>'FR-16(7)(v)-1 Functional'!C71</f>
        <v>MAINS - (2761, 2762, 2763, 2765)</v>
      </c>
      <c r="D71" s="344" t="str">
        <f>'FR-16(7)(v)-1 Functional'!D71</f>
        <v>K415</v>
      </c>
      <c r="E71" s="196"/>
      <c r="F71" s="479">
        <f>'FR-16(7)(v)-8 TOT CLASS Alloc'!H71</f>
        <v>73491482</v>
      </c>
      <c r="G71" s="548">
        <f>'FR-16(7)(v)-5 DISTR Dem Alloc'!H71</f>
        <v>70292843</v>
      </c>
      <c r="H71" s="539">
        <f>'FR-16(7)(v)-3 PROD Comm Alloc'!H71</f>
        <v>0</v>
      </c>
      <c r="I71" s="540">
        <f>'FR-16(7)(v)-6 DISTR Cust Alloc'!H71</f>
        <v>3198639</v>
      </c>
      <c r="J71" s="347">
        <f t="shared" si="9"/>
        <v>73491482</v>
      </c>
      <c r="K71" s="347">
        <f t="shared" si="10"/>
        <v>0</v>
      </c>
    </row>
    <row r="72" spans="1:11">
      <c r="A72" s="333">
        <v>17</v>
      </c>
      <c r="C72" s="332" t="str">
        <f>'FR-16(7)(v)-1 Functional'!C72</f>
        <v>SERVICES - (2801, 2802, 2803)</v>
      </c>
      <c r="D72" s="344" t="str">
        <f>'FR-16(7)(v)-1 Functional'!D72</f>
        <v>K403</v>
      </c>
      <c r="E72" s="196"/>
      <c r="F72" s="479">
        <f>'FR-16(7)(v)-8 TOT CLASS Alloc'!H72</f>
        <v>19532443</v>
      </c>
      <c r="G72" s="548">
        <f>'FR-16(7)(v)-5 DISTR Dem Alloc'!H72</f>
        <v>0</v>
      </c>
      <c r="H72" s="539">
        <f>'FR-16(7)(v)-3 PROD Comm Alloc'!H72</f>
        <v>0</v>
      </c>
      <c r="I72" s="540">
        <f>'FR-16(7)(v)-6 DISTR Cust Alloc'!H72</f>
        <v>19532443</v>
      </c>
      <c r="J72" s="347">
        <f t="shared" si="9"/>
        <v>19532443</v>
      </c>
      <c r="K72" s="347">
        <f t="shared" si="10"/>
        <v>0</v>
      </c>
    </row>
    <row r="73" spans="1:11">
      <c r="A73" s="333">
        <v>18</v>
      </c>
      <c r="C73" s="332" t="str">
        <f>'FR-16(7)(v)-1 Functional'!C73</f>
        <v>MTRS &amp; MTR INST (2810, 2811, 2820, 2821)</v>
      </c>
      <c r="D73" s="344" t="str">
        <f>'FR-16(7)(v)-1 Functional'!D73</f>
        <v>K413</v>
      </c>
      <c r="E73" s="196"/>
      <c r="F73" s="479">
        <f>'FR-16(7)(v)-8 TOT CLASS Alloc'!H73</f>
        <v>4564235</v>
      </c>
      <c r="G73" s="548">
        <f>'FR-16(7)(v)-5 DISTR Dem Alloc'!H73</f>
        <v>0</v>
      </c>
      <c r="H73" s="539">
        <f>'FR-16(7)(v)-3 PROD Comm Alloc'!H73</f>
        <v>0</v>
      </c>
      <c r="I73" s="540">
        <f>'FR-16(7)(v)-6 DISTR Cust Alloc'!H73</f>
        <v>4564235</v>
      </c>
      <c r="J73" s="347">
        <f t="shared" si="9"/>
        <v>4564235</v>
      </c>
      <c r="K73" s="347">
        <f t="shared" si="10"/>
        <v>0</v>
      </c>
    </row>
    <row r="74" spans="1:11">
      <c r="A74" s="333">
        <v>19</v>
      </c>
      <c r="C74" s="332" t="str">
        <f>'FR-16(7)(v)-1 Functional'!C74</f>
        <v>LAND, R OF W, STRUCT &amp; IMPROV</v>
      </c>
      <c r="D74" s="344" t="str">
        <f>'FR-16(7)(v)-1 Functional'!D74</f>
        <v>K203</v>
      </c>
      <c r="E74" s="196"/>
      <c r="F74" s="479">
        <f>'FR-16(7)(v)-8 TOT CLASS Alloc'!H74</f>
        <v>431152</v>
      </c>
      <c r="G74" s="548">
        <f>'FR-16(7)(v)-5 DISTR Dem Alloc'!H74</f>
        <v>431152</v>
      </c>
      <c r="H74" s="539">
        <f>'FR-16(7)(v)-3 PROD Comm Alloc'!H74</f>
        <v>0</v>
      </c>
      <c r="I74" s="540">
        <f>'FR-16(7)(v)-6 DISTR Cust Alloc'!H74</f>
        <v>0</v>
      </c>
      <c r="J74" s="347">
        <f t="shared" si="9"/>
        <v>431152</v>
      </c>
      <c r="K74" s="347">
        <f t="shared" si="10"/>
        <v>0</v>
      </c>
    </row>
    <row r="75" spans="1:11">
      <c r="A75" s="333">
        <v>20</v>
      </c>
      <c r="C75" s="332" t="str">
        <f>'FR-16(7)(v)-1 Functional'!C75</f>
        <v>HOUSE REG &amp; INSTALL (2830, 2840)</v>
      </c>
      <c r="D75" s="344" t="str">
        <f>'FR-16(7)(v)-1 Functional'!D75</f>
        <v>K417</v>
      </c>
      <c r="E75" s="196"/>
      <c r="F75" s="479">
        <f>'FR-16(7)(v)-8 TOT CLASS Alloc'!H75</f>
        <v>4114039</v>
      </c>
      <c r="G75" s="548">
        <f>'FR-16(7)(v)-5 DISTR Dem Alloc'!H75</f>
        <v>0</v>
      </c>
      <c r="H75" s="539">
        <f>'FR-16(7)(v)-3 PROD Comm Alloc'!H75</f>
        <v>0</v>
      </c>
      <c r="I75" s="540">
        <f>'FR-16(7)(v)-6 DISTR Cust Alloc'!H75</f>
        <v>4114039</v>
      </c>
      <c r="J75" s="347">
        <f t="shared" si="9"/>
        <v>4114039</v>
      </c>
      <c r="K75" s="347">
        <f t="shared" si="10"/>
        <v>0</v>
      </c>
    </row>
    <row r="76" spans="1:11">
      <c r="A76" s="333">
        <v>21</v>
      </c>
      <c r="C76" s="365" t="str">
        <f>'FR-16(7)(v)-1 Functional'!C76</f>
        <v>STREET LIGHTING EQUIPMENT &amp; OTH</v>
      </c>
      <c r="D76" s="344" t="str">
        <f>'FR-16(7)(v)-1 Functional'!D76</f>
        <v>K597</v>
      </c>
      <c r="E76" s="196"/>
      <c r="F76" s="479">
        <f>'FR-16(7)(v)-8 TOT CLASS Alloc'!H76</f>
        <v>49737</v>
      </c>
      <c r="G76" s="548">
        <f>'FR-16(7)(v)-5 DISTR Dem Alloc'!H76</f>
        <v>49737</v>
      </c>
      <c r="H76" s="539">
        <f>'FR-16(7)(v)-3 PROD Comm Alloc'!H76</f>
        <v>0</v>
      </c>
      <c r="I76" s="540">
        <f>'FR-16(7)(v)-6 DISTR Cust Alloc'!H76</f>
        <v>0</v>
      </c>
      <c r="J76" s="347">
        <f t="shared" si="9"/>
        <v>49737</v>
      </c>
      <c r="K76" s="347">
        <f t="shared" si="10"/>
        <v>0</v>
      </c>
    </row>
    <row r="77" spans="1:11">
      <c r="A77" s="333">
        <v>22</v>
      </c>
      <c r="C77" s="332" t="str">
        <f>'FR-16(7)(v)-1 Functional'!C77</f>
        <v>ASSET RETIREMENT COST FOR DISTRIBUTION PLANT</v>
      </c>
      <c r="D77" s="344" t="str">
        <f>'FR-16(7)(v)-1 Functional'!D77</f>
        <v>K203</v>
      </c>
      <c r="E77" s="196"/>
      <c r="F77" s="479">
        <f>'FR-16(7)(v)-8 TOT CLASS Alloc'!H77</f>
        <v>15827350</v>
      </c>
      <c r="G77" s="548">
        <f>'FR-16(7)(v)-5 DISTR Dem Alloc'!H77</f>
        <v>15827350</v>
      </c>
      <c r="H77" s="539">
        <f>'FR-16(7)(v)-3 PROD Comm Alloc'!H77</f>
        <v>0</v>
      </c>
      <c r="I77" s="540">
        <f>'FR-16(7)(v)-6 DISTR Cust Alloc'!H77</f>
        <v>0</v>
      </c>
      <c r="J77" s="347">
        <f t="shared" si="9"/>
        <v>15827350</v>
      </c>
      <c r="K77" s="347">
        <f t="shared" si="10"/>
        <v>0</v>
      </c>
    </row>
    <row r="78" spans="1:11">
      <c r="A78" s="333">
        <v>23</v>
      </c>
      <c r="C78" s="339" t="str">
        <f>'FR-16(7)(v)-1 Functional'!C78</f>
        <v xml:space="preserve">  DISTRIBUTION PLANT IN SERVICE</v>
      </c>
      <c r="D78" s="344"/>
      <c r="E78" s="196"/>
      <c r="F78" s="348">
        <f t="shared" ref="F78:K78" si="11">SUM(F68:F77)</f>
        <v>121144035</v>
      </c>
      <c r="G78" s="549">
        <f t="shared" si="11"/>
        <v>89734679</v>
      </c>
      <c r="H78" s="541">
        <f t="shared" si="11"/>
        <v>0</v>
      </c>
      <c r="I78" s="542">
        <f t="shared" si="11"/>
        <v>31409356</v>
      </c>
      <c r="J78" s="348">
        <f t="shared" si="11"/>
        <v>121144035</v>
      </c>
      <c r="K78" s="348">
        <f t="shared" si="11"/>
        <v>0</v>
      </c>
    </row>
    <row r="79" spans="1:11">
      <c r="A79" s="333">
        <v>24</v>
      </c>
      <c r="D79" s="344"/>
      <c r="E79" s="196"/>
      <c r="G79" s="547"/>
      <c r="H79" s="537"/>
      <c r="I79" s="538"/>
    </row>
    <row r="80" spans="1:11">
      <c r="A80" s="333">
        <v>25</v>
      </c>
      <c r="B80" s="332" t="s">
        <v>18</v>
      </c>
      <c r="D80" s="344"/>
      <c r="E80" s="196"/>
      <c r="F80" s="347">
        <f>F78+F63</f>
        <v>121144035</v>
      </c>
      <c r="G80" s="548">
        <f>G78+$G$63</f>
        <v>89734679</v>
      </c>
      <c r="H80" s="539">
        <f>H78+$H$63</f>
        <v>0</v>
      </c>
      <c r="I80" s="540">
        <f>I78+$I$63</f>
        <v>31409356</v>
      </c>
      <c r="J80" s="347">
        <f>J78+$J$63</f>
        <v>121144035</v>
      </c>
      <c r="K80" s="347">
        <f>K78+$K$63</f>
        <v>0</v>
      </c>
    </row>
    <row r="81" spans="1:11">
      <c r="A81" s="333">
        <v>26</v>
      </c>
      <c r="B81" s="332" t="s">
        <v>19</v>
      </c>
      <c r="D81" s="344"/>
      <c r="E81" s="196"/>
      <c r="F81" s="347">
        <f t="shared" ref="F81:K81" si="12">F78+F65</f>
        <v>121997356</v>
      </c>
      <c r="G81" s="548">
        <f t="shared" si="12"/>
        <v>89734679</v>
      </c>
      <c r="H81" s="539">
        <f t="shared" si="12"/>
        <v>853321</v>
      </c>
      <c r="I81" s="540">
        <f t="shared" si="12"/>
        <v>31409356</v>
      </c>
      <c r="J81" s="347">
        <f t="shared" si="12"/>
        <v>121997356</v>
      </c>
      <c r="K81" s="347">
        <f t="shared" si="12"/>
        <v>0</v>
      </c>
    </row>
    <row r="82" spans="1:11">
      <c r="A82" s="333">
        <v>27</v>
      </c>
      <c r="D82" s="344"/>
      <c r="E82" s="196"/>
      <c r="G82" s="547"/>
      <c r="H82" s="537"/>
      <c r="I82" s="538"/>
    </row>
    <row r="83" spans="1:11">
      <c r="A83" s="333">
        <v>28</v>
      </c>
      <c r="B83" s="332" t="s">
        <v>20</v>
      </c>
      <c r="D83" s="344"/>
      <c r="E83" s="196"/>
      <c r="G83" s="547"/>
      <c r="H83" s="537"/>
      <c r="I83" s="538"/>
    </row>
    <row r="84" spans="1:11">
      <c r="A84" s="333">
        <v>29</v>
      </c>
      <c r="C84" s="332" t="str">
        <f>'FR-16(7)(v)-1 Functional'!C84</f>
        <v>PRODUCTION PLANT</v>
      </c>
      <c r="D84" s="344" t="str">
        <f>'FR-16(7)(v)-1 Functional'!D84</f>
        <v>K201</v>
      </c>
      <c r="E84" s="196"/>
      <c r="F84" s="479">
        <f>'FR-16(7)(v)-8 TOT CLASS Alloc'!H84</f>
        <v>409609</v>
      </c>
      <c r="G84" s="548">
        <f>'FR-16(7)(v)-5 DISTR Dem Alloc'!H84</f>
        <v>0</v>
      </c>
      <c r="H84" s="539">
        <f>'FR-16(7)(v)-3 PROD Comm Alloc'!H84</f>
        <v>409609</v>
      </c>
      <c r="I84" s="540">
        <f>'FR-16(7)(v)-6 DISTR Cust Alloc'!H84</f>
        <v>0</v>
      </c>
      <c r="J84" s="347">
        <f t="shared" ref="J84:J89" si="13">SUM(G84:I84)</f>
        <v>409609</v>
      </c>
      <c r="K84" s="347">
        <f t="shared" ref="K84:K89" si="14">F84-J84</f>
        <v>0</v>
      </c>
    </row>
    <row r="85" spans="1:11">
      <c r="A85" s="333">
        <v>30</v>
      </c>
      <c r="C85" s="332" t="str">
        <f>'FR-16(7)(v)-1 Functional'!C85</f>
        <v>PRODUCTION PLANT COMMODITY</v>
      </c>
      <c r="D85" s="344" t="str">
        <f>'FR-16(7)(v)-1 Functional'!D85</f>
        <v>P349</v>
      </c>
      <c r="E85" s="196"/>
      <c r="F85" s="479">
        <f>'FR-16(7)(v)-8 TOT CLASS Alloc'!H85</f>
        <v>319335</v>
      </c>
      <c r="G85" s="548">
        <f>'FR-16(7)(v)-5 DISTR Dem Alloc'!H85</f>
        <v>0</v>
      </c>
      <c r="H85" s="539">
        <f>'FR-16(7)(v)-3 PROD Comm Alloc'!H85</f>
        <v>319335</v>
      </c>
      <c r="I85" s="540">
        <f>'FR-16(7)(v)-6 DISTR Cust Alloc'!H85</f>
        <v>0</v>
      </c>
      <c r="J85" s="347">
        <f t="shared" si="13"/>
        <v>319335</v>
      </c>
      <c r="K85" s="347">
        <f t="shared" si="14"/>
        <v>0</v>
      </c>
    </row>
    <row r="86" spans="1:11">
      <c r="A86" s="333">
        <v>31</v>
      </c>
      <c r="C86" s="332" t="str">
        <f>'FR-16(7)(v)-1 Functional'!C86</f>
        <v>DISTRIBUTION PLANT</v>
      </c>
      <c r="D86" s="344" t="str">
        <f>'FR-16(7)(v)-1 Functional'!D86</f>
        <v>D349</v>
      </c>
      <c r="E86" s="196"/>
      <c r="F86" s="479">
        <f>'FR-16(7)(v)-8 TOT CLASS Alloc'!H86</f>
        <v>3630577</v>
      </c>
      <c r="G86" s="548">
        <f>'FR-16(7)(v)-5 DISTR Dem Alloc'!H86</f>
        <v>2423631</v>
      </c>
      <c r="H86" s="539">
        <f>'FR-16(7)(v)-3 PROD Comm Alloc'!H86</f>
        <v>0</v>
      </c>
      <c r="I86" s="540">
        <f>'FR-16(7)(v)-6 DISTR Cust Alloc'!H86</f>
        <v>1206946</v>
      </c>
      <c r="J86" s="347">
        <f t="shared" si="13"/>
        <v>3630577</v>
      </c>
      <c r="K86" s="347">
        <f t="shared" si="14"/>
        <v>0</v>
      </c>
    </row>
    <row r="87" spans="1:11">
      <c r="A87" s="333">
        <v>32</v>
      </c>
      <c r="C87" s="332" t="str">
        <f>'FR-16(7)(v)-1 Functional'!C87</f>
        <v>CUSTOMER ACCOUNTING</v>
      </c>
      <c r="D87" s="344" t="str">
        <f>'FR-16(7)(v)-1 Functional'!D87</f>
        <v>CA19</v>
      </c>
      <c r="E87" s="196"/>
      <c r="F87" s="479">
        <f>'FR-16(7)(v)-8 TOT CLASS Alloc'!H87</f>
        <v>447901</v>
      </c>
      <c r="G87" s="548">
        <f>'FR-16(7)(v)-5 DISTR Dem Alloc'!H87</f>
        <v>0</v>
      </c>
      <c r="H87" s="539">
        <f>'FR-16(7)(v)-3 PROD Comm Alloc'!H87</f>
        <v>0</v>
      </c>
      <c r="I87" s="540">
        <f>'FR-16(7)(v)-6 DISTR Cust Alloc'!H87</f>
        <v>447901</v>
      </c>
      <c r="J87" s="347">
        <f t="shared" si="13"/>
        <v>447901</v>
      </c>
      <c r="K87" s="347">
        <f t="shared" si="14"/>
        <v>0</v>
      </c>
    </row>
    <row r="88" spans="1:11">
      <c r="A88" s="333">
        <v>33</v>
      </c>
      <c r="C88" s="332" t="str">
        <f>'FR-16(7)(v)-1 Functional'!C88</f>
        <v>CUSTOMER SERVICE &amp; INFORMATION</v>
      </c>
      <c r="D88" s="344" t="str">
        <f>'FR-16(7)(v)-1 Functional'!D88</f>
        <v>CS19</v>
      </c>
      <c r="E88" s="196"/>
      <c r="F88" s="479">
        <f>'FR-16(7)(v)-8 TOT CLASS Alloc'!H88</f>
        <v>39194</v>
      </c>
      <c r="G88" s="548">
        <f>'FR-16(7)(v)-5 DISTR Dem Alloc'!H88</f>
        <v>0</v>
      </c>
      <c r="H88" s="539">
        <f>'FR-16(7)(v)-3 PROD Comm Alloc'!H88</f>
        <v>0</v>
      </c>
      <c r="I88" s="540">
        <f>'FR-16(7)(v)-6 DISTR Cust Alloc'!H88</f>
        <v>39194</v>
      </c>
      <c r="J88" s="347">
        <f t="shared" si="13"/>
        <v>39194</v>
      </c>
      <c r="K88" s="347">
        <f t="shared" si="14"/>
        <v>0</v>
      </c>
    </row>
    <row r="89" spans="1:11">
      <c r="A89" s="333">
        <v>34</v>
      </c>
      <c r="C89" s="332" t="str">
        <f>'FR-16(7)(v)-1 Functional'!C89</f>
        <v>SALES</v>
      </c>
      <c r="D89" s="344" t="str">
        <f>'FR-16(7)(v)-1 Functional'!D89</f>
        <v>SE19</v>
      </c>
      <c r="E89" s="196"/>
      <c r="F89" s="479">
        <f>'FR-16(7)(v)-8 TOT CLASS Alloc'!H89</f>
        <v>0</v>
      </c>
      <c r="G89" s="548">
        <f>'FR-16(7)(v)-5 DISTR Dem Alloc'!H89</f>
        <v>0</v>
      </c>
      <c r="H89" s="539">
        <f>'FR-16(7)(v)-3 PROD Comm Alloc'!H89</f>
        <v>0</v>
      </c>
      <c r="I89" s="540">
        <f>'FR-16(7)(v)-6 DISTR Cust Alloc'!H89</f>
        <v>0</v>
      </c>
      <c r="J89" s="347">
        <f t="shared" si="13"/>
        <v>0</v>
      </c>
      <c r="K89" s="347">
        <f t="shared" si="14"/>
        <v>0</v>
      </c>
    </row>
    <row r="90" spans="1:11">
      <c r="A90" s="333">
        <v>35</v>
      </c>
      <c r="C90" s="339" t="str">
        <f>'FR-16(7)(v)-1 Functional'!C90</f>
        <v xml:space="preserve">  GEN &amp; INTANG PLANT IN SERVICE</v>
      </c>
      <c r="D90" s="344"/>
      <c r="E90" s="196"/>
      <c r="F90" s="480">
        <f t="shared" ref="F90:K90" si="15">SUM(F84:F89)</f>
        <v>4846616</v>
      </c>
      <c r="G90" s="549">
        <f t="shared" si="15"/>
        <v>2423631</v>
      </c>
      <c r="H90" s="541">
        <f t="shared" si="15"/>
        <v>728944</v>
      </c>
      <c r="I90" s="542">
        <f t="shared" si="15"/>
        <v>1694041</v>
      </c>
      <c r="J90" s="348">
        <f t="shared" si="15"/>
        <v>4846616</v>
      </c>
      <c r="K90" s="348">
        <f t="shared" si="15"/>
        <v>0</v>
      </c>
    </row>
    <row r="91" spans="1:11">
      <c r="A91" s="333">
        <v>36</v>
      </c>
      <c r="D91" s="344"/>
      <c r="E91" s="196"/>
      <c r="G91" s="547"/>
      <c r="H91" s="537"/>
      <c r="I91" s="538"/>
    </row>
    <row r="92" spans="1:11">
      <c r="A92" s="333">
        <v>37</v>
      </c>
      <c r="B92" s="332" t="s">
        <v>21</v>
      </c>
      <c r="D92" s="344"/>
      <c r="E92" s="196"/>
      <c r="G92" s="547"/>
      <c r="H92" s="537"/>
      <c r="I92" s="538"/>
    </row>
    <row r="93" spans="1:11">
      <c r="A93" s="333">
        <v>38</v>
      </c>
      <c r="C93" s="332" t="str">
        <f>'FR-16(7)(v)-1 Functional'!C93</f>
        <v>PRODUCTION PLANT</v>
      </c>
      <c r="D93" s="344" t="str">
        <f>'FR-16(7)(v)-1 Functional'!D93</f>
        <v>K201</v>
      </c>
      <c r="E93" s="196"/>
      <c r="F93" s="479">
        <f>'FR-16(7)(v)-8 TOT CLASS Alloc'!H93</f>
        <v>215602</v>
      </c>
      <c r="G93" s="548">
        <f>'FR-16(7)(v)-5 DISTR Dem Alloc'!H93</f>
        <v>0</v>
      </c>
      <c r="H93" s="539">
        <f>'FR-16(7)(v)-3 PROD Comm Alloc'!H93</f>
        <v>215602</v>
      </c>
      <c r="I93" s="540">
        <f>'FR-16(7)(v)-6 DISTR Cust Alloc'!H93</f>
        <v>0</v>
      </c>
      <c r="J93" s="347">
        <f t="shared" ref="J93:J98" si="16">SUM(G93:I93)</f>
        <v>215602</v>
      </c>
      <c r="K93" s="347">
        <f t="shared" ref="K93:K98" si="17">F93-J93</f>
        <v>0</v>
      </c>
    </row>
    <row r="94" spans="1:11">
      <c r="A94" s="333">
        <v>39</v>
      </c>
      <c r="C94" s="332" t="str">
        <f>'FR-16(7)(v)-1 Functional'!C94</f>
        <v>PRODUCTION PLANT COMMODITY</v>
      </c>
      <c r="D94" s="344" t="str">
        <f>'FR-16(7)(v)-1 Functional'!D94</f>
        <v>P349</v>
      </c>
      <c r="E94" s="196"/>
      <c r="F94" s="479">
        <f>'FR-16(7)(v)-8 TOT CLASS Alloc'!H94</f>
        <v>168085</v>
      </c>
      <c r="G94" s="548">
        <f>'FR-16(7)(v)-5 DISTR Dem Alloc'!H94</f>
        <v>0</v>
      </c>
      <c r="H94" s="539">
        <f>'FR-16(7)(v)-3 PROD Comm Alloc'!H94</f>
        <v>168085</v>
      </c>
      <c r="I94" s="540">
        <f>'FR-16(7)(v)-6 DISTR Cust Alloc'!H94</f>
        <v>0</v>
      </c>
      <c r="J94" s="347">
        <f t="shared" si="16"/>
        <v>168085</v>
      </c>
      <c r="K94" s="347">
        <f t="shared" si="17"/>
        <v>0</v>
      </c>
    </row>
    <row r="95" spans="1:11">
      <c r="A95" s="333">
        <v>40</v>
      </c>
      <c r="C95" s="332" t="str">
        <f>'FR-16(7)(v)-1 Functional'!C95</f>
        <v>DISTRIBUTION PLANT</v>
      </c>
      <c r="D95" s="344" t="str">
        <f>'FR-16(7)(v)-1 Functional'!D95</f>
        <v>D349</v>
      </c>
      <c r="E95" s="196"/>
      <c r="F95" s="479">
        <f>'FR-16(7)(v)-8 TOT CLASS Alloc'!H95</f>
        <v>1910993</v>
      </c>
      <c r="G95" s="548">
        <f>'FR-16(7)(v)-5 DISTR Dem Alloc'!H95</f>
        <v>1275704</v>
      </c>
      <c r="H95" s="539">
        <f>'FR-16(7)(v)-3 PROD Comm Alloc'!H95</f>
        <v>0</v>
      </c>
      <c r="I95" s="540">
        <f>'FR-16(7)(v)-6 DISTR Cust Alloc'!H95</f>
        <v>635289</v>
      </c>
      <c r="J95" s="347">
        <f t="shared" si="16"/>
        <v>1910993</v>
      </c>
      <c r="K95" s="347">
        <f t="shared" si="17"/>
        <v>0</v>
      </c>
    </row>
    <row r="96" spans="1:11">
      <c r="A96" s="333">
        <v>41</v>
      </c>
      <c r="C96" s="332" t="str">
        <f>'FR-16(7)(v)-1 Functional'!C96</f>
        <v>CUSTOMER ACCOUNTING</v>
      </c>
      <c r="D96" s="344" t="str">
        <f>'FR-16(7)(v)-1 Functional'!D96</f>
        <v>CA19</v>
      </c>
      <c r="E96" s="196"/>
      <c r="F96" s="479">
        <f>'FR-16(7)(v)-8 TOT CLASS Alloc'!H96</f>
        <v>235757</v>
      </c>
      <c r="G96" s="548">
        <f>'FR-16(7)(v)-5 DISTR Dem Alloc'!H96</f>
        <v>0</v>
      </c>
      <c r="H96" s="539">
        <f>'FR-16(7)(v)-3 PROD Comm Alloc'!H96</f>
        <v>0</v>
      </c>
      <c r="I96" s="540">
        <f>'FR-16(7)(v)-6 DISTR Cust Alloc'!H96</f>
        <v>235757</v>
      </c>
      <c r="J96" s="347">
        <f t="shared" si="16"/>
        <v>235757</v>
      </c>
      <c r="K96" s="347">
        <f t="shared" si="17"/>
        <v>0</v>
      </c>
    </row>
    <row r="97" spans="1:11">
      <c r="A97" s="333">
        <v>42</v>
      </c>
      <c r="C97" s="332" t="str">
        <f>'FR-16(7)(v)-1 Functional'!C97</f>
        <v>CUSTOMER SERVICE &amp; INFORMATION</v>
      </c>
      <c r="D97" s="344" t="str">
        <f>'FR-16(7)(v)-1 Functional'!D97</f>
        <v>CS19</v>
      </c>
      <c r="E97" s="196"/>
      <c r="F97" s="479">
        <f>'FR-16(7)(v)-8 TOT CLASS Alloc'!H97</f>
        <v>20630</v>
      </c>
      <c r="G97" s="548">
        <f>'FR-16(7)(v)-5 DISTR Dem Alloc'!H97</f>
        <v>0</v>
      </c>
      <c r="H97" s="539">
        <f>'FR-16(7)(v)-3 PROD Comm Alloc'!H97</f>
        <v>0</v>
      </c>
      <c r="I97" s="540">
        <f>'FR-16(7)(v)-6 DISTR Cust Alloc'!H97</f>
        <v>20630</v>
      </c>
      <c r="J97" s="347">
        <f t="shared" si="16"/>
        <v>20630</v>
      </c>
      <c r="K97" s="347">
        <f t="shared" si="17"/>
        <v>0</v>
      </c>
    </row>
    <row r="98" spans="1:11">
      <c r="A98" s="333">
        <v>43</v>
      </c>
      <c r="C98" s="365" t="str">
        <f>'FR-16(7)(v)-1 Functional'!C98</f>
        <v>SALES</v>
      </c>
      <c r="D98" s="344" t="str">
        <f>'FR-16(7)(v)-1 Functional'!D98</f>
        <v>SE19</v>
      </c>
      <c r="E98" s="196"/>
      <c r="F98" s="479">
        <f>'FR-16(7)(v)-8 TOT CLASS Alloc'!H98</f>
        <v>0</v>
      </c>
      <c r="G98" s="548">
        <f>'FR-16(7)(v)-5 DISTR Dem Alloc'!H98</f>
        <v>0</v>
      </c>
      <c r="H98" s="539">
        <f>'FR-16(7)(v)-3 PROD Comm Alloc'!H98</f>
        <v>0</v>
      </c>
      <c r="I98" s="540">
        <f>'FR-16(7)(v)-6 DISTR Cust Alloc'!H98</f>
        <v>0</v>
      </c>
      <c r="J98" s="347">
        <f t="shared" si="16"/>
        <v>0</v>
      </c>
      <c r="K98" s="347">
        <f t="shared" si="17"/>
        <v>0</v>
      </c>
    </row>
    <row r="99" spans="1:11">
      <c r="A99" s="333">
        <v>44</v>
      </c>
      <c r="C99" s="339" t="str">
        <f>'FR-16(7)(v)-1 Functional'!C99</f>
        <v xml:space="preserve">  COMMON &amp; OTHER PLANT IN SERVICE</v>
      </c>
      <c r="E99" s="196"/>
      <c r="F99" s="348">
        <f t="shared" ref="F99:K99" si="18">SUM(F93:F98)</f>
        <v>2551067</v>
      </c>
      <c r="G99" s="549">
        <f t="shared" si="18"/>
        <v>1275704</v>
      </c>
      <c r="H99" s="541">
        <f t="shared" si="18"/>
        <v>383687</v>
      </c>
      <c r="I99" s="542">
        <f t="shared" si="18"/>
        <v>891676</v>
      </c>
      <c r="J99" s="348">
        <f t="shared" si="18"/>
        <v>2551067</v>
      </c>
      <c r="K99" s="348">
        <f t="shared" si="18"/>
        <v>0</v>
      </c>
    </row>
    <row r="100" spans="1:11">
      <c r="A100" s="333">
        <v>45</v>
      </c>
      <c r="E100" s="196"/>
      <c r="G100" s="547"/>
      <c r="H100" s="537"/>
      <c r="I100" s="538"/>
    </row>
    <row r="101" spans="1:11">
      <c r="A101" s="333">
        <v>46</v>
      </c>
      <c r="B101" s="332" t="s">
        <v>95</v>
      </c>
      <c r="E101" s="196"/>
      <c r="F101" s="347">
        <f t="shared" ref="F101:K101" si="19">F81+F90+F99</f>
        <v>129395039</v>
      </c>
      <c r="G101" s="550">
        <f t="shared" si="19"/>
        <v>93434014</v>
      </c>
      <c r="H101" s="543">
        <f t="shared" si="19"/>
        <v>1965952</v>
      </c>
      <c r="I101" s="544">
        <f t="shared" si="19"/>
        <v>33995073</v>
      </c>
      <c r="J101" s="347">
        <f t="shared" si="19"/>
        <v>129395039</v>
      </c>
      <c r="K101" s="347">
        <f t="shared" si="19"/>
        <v>0</v>
      </c>
    </row>
    <row r="102" spans="1:11">
      <c r="B102" s="343"/>
      <c r="C102" s="196"/>
      <c r="D102" s="344"/>
      <c r="E102" s="196"/>
      <c r="F102" s="196"/>
      <c r="G102" s="196"/>
      <c r="H102" s="196"/>
      <c r="I102" s="196"/>
      <c r="J102" s="196"/>
      <c r="K102" s="196"/>
    </row>
    <row r="103" spans="1:11">
      <c r="A103" s="343" t="str">
        <f>co_name</f>
        <v>DUKE ENERGY KENTUCKY, INC.</v>
      </c>
      <c r="C103" s="196"/>
      <c r="D103" s="344"/>
      <c r="E103" s="196"/>
      <c r="F103" s="196"/>
      <c r="G103" s="196"/>
      <c r="H103" s="196"/>
      <c r="I103" s="196"/>
      <c r="J103" s="196" t="str">
        <f>$J$1</f>
        <v>FR-16(7)(v)-10</v>
      </c>
      <c r="K103" s="196"/>
    </row>
    <row r="104" spans="1:11">
      <c r="A104" s="343" t="str">
        <f>$A$2</f>
        <v>GS CLASSIFIED - GAS COST OF SERVICE</v>
      </c>
      <c r="C104" s="196"/>
      <c r="D104" s="344"/>
      <c r="E104" s="196"/>
      <c r="F104" s="196"/>
      <c r="G104" s="196"/>
      <c r="H104" s="196"/>
      <c r="I104" s="196"/>
      <c r="J104" s="196" t="str">
        <f>$J$2</f>
        <v>WITNESS RESPONSIBLE:</v>
      </c>
      <c r="K104" s="196"/>
    </row>
    <row r="105" spans="1:11">
      <c r="A105" s="343" t="str">
        <f>case_name</f>
        <v>CASE NO: 2018-00261</v>
      </c>
      <c r="C105" s="196"/>
      <c r="D105" s="344"/>
      <c r="E105" s="196"/>
      <c r="F105" s="196"/>
      <c r="G105" s="196"/>
      <c r="H105" s="196"/>
      <c r="I105" s="196"/>
      <c r="J105" s="196" t="str">
        <f>Witness</f>
        <v>JAMES E. ZIOLKOWSKI</v>
      </c>
      <c r="K105" s="196"/>
    </row>
    <row r="106" spans="1:11">
      <c r="A106" s="343" t="str">
        <f>data_filing</f>
        <v>DATA: 12 MONTH FORECASTED PERIOD</v>
      </c>
      <c r="C106" s="196"/>
      <c r="D106" s="344"/>
      <c r="E106" s="196"/>
      <c r="F106" s="196"/>
      <c r="G106" s="196"/>
      <c r="H106" s="196"/>
      <c r="I106" s="196"/>
      <c r="J106" s="196" t="str">
        <f>"PAGE "&amp;Pages2-12&amp;" OF "&amp;Pages2</f>
        <v>PAGE 3 OF 15</v>
      </c>
      <c r="K106" s="196"/>
    </row>
    <row r="107" spans="1:11">
      <c r="A107" s="343" t="str">
        <f>type</f>
        <v xml:space="preserve">TYPE OF FILING: "X" ORIGINAL   UPDATED    REVISED  </v>
      </c>
      <c r="C107" s="196"/>
      <c r="D107" s="344"/>
      <c r="E107" s="196"/>
      <c r="F107" s="196"/>
      <c r="G107" s="196"/>
      <c r="H107" s="196"/>
      <c r="I107" s="196"/>
      <c r="J107" s="196"/>
      <c r="K107" s="196"/>
    </row>
    <row r="108" spans="1:11">
      <c r="A108" s="343"/>
      <c r="C108" s="196"/>
      <c r="D108" s="344"/>
      <c r="E108" s="196"/>
      <c r="F108" s="196"/>
      <c r="G108" s="196"/>
      <c r="H108" s="196"/>
      <c r="I108" s="196"/>
      <c r="J108" s="196"/>
      <c r="K108" s="196"/>
    </row>
    <row r="109" spans="1:11">
      <c r="B109" s="343"/>
      <c r="C109" s="196"/>
      <c r="D109" s="344"/>
      <c r="E109" s="196"/>
      <c r="F109" s="196"/>
      <c r="G109" s="196"/>
      <c r="H109" s="196"/>
      <c r="I109" s="196"/>
      <c r="J109" s="196"/>
      <c r="K109" s="196"/>
    </row>
    <row r="110" spans="1:11">
      <c r="A110" s="344" t="s">
        <v>914</v>
      </c>
      <c r="B110" s="196"/>
      <c r="C110" s="196"/>
      <c r="D110" s="344"/>
      <c r="E110" s="196"/>
      <c r="F110" s="344" t="s">
        <v>229</v>
      </c>
      <c r="G110" s="545" t="s">
        <v>1005</v>
      </c>
      <c r="H110" s="533"/>
      <c r="I110" s="534"/>
      <c r="J110" s="344" t="s">
        <v>229</v>
      </c>
      <c r="K110" s="344" t="s">
        <v>342</v>
      </c>
    </row>
    <row r="111" spans="1:11">
      <c r="A111" s="346" t="s">
        <v>915</v>
      </c>
      <c r="B111" s="345" t="s">
        <v>22</v>
      </c>
      <c r="C111" s="345"/>
      <c r="D111" s="346" t="s">
        <v>337</v>
      </c>
      <c r="E111" s="345"/>
      <c r="F111" s="346" t="str">
        <f>$F$9</f>
        <v>GS</v>
      </c>
      <c r="G111" s="546" t="s">
        <v>847</v>
      </c>
      <c r="H111" s="535" t="s">
        <v>848</v>
      </c>
      <c r="I111" s="536" t="s">
        <v>849</v>
      </c>
      <c r="J111" s="346" t="s">
        <v>341</v>
      </c>
      <c r="K111" s="346" t="s">
        <v>340</v>
      </c>
    </row>
    <row r="112" spans="1:11">
      <c r="C112" s="578" t="s">
        <v>345</v>
      </c>
      <c r="D112" s="344"/>
      <c r="E112" s="196"/>
      <c r="G112" s="800">
        <f>$G$10</f>
        <v>3</v>
      </c>
      <c r="H112" s="801">
        <f>$H$10</f>
        <v>4</v>
      </c>
      <c r="I112" s="802">
        <f>$I$10</f>
        <v>5</v>
      </c>
    </row>
    <row r="113" spans="1:11">
      <c r="A113" s="333">
        <v>1</v>
      </c>
      <c r="B113" s="332" t="s">
        <v>14</v>
      </c>
      <c r="D113" s="344"/>
      <c r="E113" s="196"/>
      <c r="G113" s="547"/>
      <c r="H113" s="537"/>
      <c r="I113" s="538"/>
    </row>
    <row r="114" spans="1:11">
      <c r="A114" s="333">
        <v>2</v>
      </c>
      <c r="C114" s="365" t="str">
        <f>'FR-16(7)(v)-1 Functional'!C114</f>
        <v>PRODUCTION PLANT</v>
      </c>
      <c r="D114" s="344" t="str">
        <f>'FR-16(7)(v)-1 Functional'!D114</f>
        <v>K205</v>
      </c>
      <c r="E114" s="196"/>
      <c r="F114" s="479">
        <f>'FR-16(7)(v)-8 TOT CLASS Alloc'!H114</f>
        <v>498225</v>
      </c>
      <c r="G114" s="548">
        <f>'FR-16(7)(v)-5 DISTR Dem Alloc'!H114</f>
        <v>0</v>
      </c>
      <c r="H114" s="539">
        <f>'FR-16(7)(v)-3 PROD Comm Alloc'!H114</f>
        <v>498225</v>
      </c>
      <c r="I114" s="540">
        <f>'FR-16(7)(v)-6 DISTR Cust Alloc'!H114</f>
        <v>0</v>
      </c>
      <c r="J114" s="347">
        <f>SUM(G114:I114)</f>
        <v>498225</v>
      </c>
      <c r="K114" s="347">
        <f>F114-J114</f>
        <v>0</v>
      </c>
    </row>
    <row r="115" spans="1:11">
      <c r="A115" s="333">
        <v>3</v>
      </c>
      <c r="C115" s="339" t="str">
        <f>'FR-16(7)(v)-1 Functional'!C115</f>
        <v xml:space="preserve">  TOTAL PROD DEPREC RESERVE</v>
      </c>
      <c r="D115" s="344"/>
      <c r="E115" s="196"/>
      <c r="F115" s="348">
        <f t="shared" ref="F115:K115" si="20">SUM(F114:F114)</f>
        <v>498225</v>
      </c>
      <c r="G115" s="549">
        <f t="shared" si="20"/>
        <v>0</v>
      </c>
      <c r="H115" s="541">
        <f t="shared" si="20"/>
        <v>498225</v>
      </c>
      <c r="I115" s="542">
        <f t="shared" si="20"/>
        <v>0</v>
      </c>
      <c r="J115" s="348">
        <f t="shared" si="20"/>
        <v>498225</v>
      </c>
      <c r="K115" s="348">
        <f t="shared" si="20"/>
        <v>0</v>
      </c>
    </row>
    <row r="116" spans="1:11">
      <c r="A116" s="333">
        <v>4</v>
      </c>
      <c r="D116" s="344"/>
      <c r="E116" s="196"/>
      <c r="G116" s="547"/>
      <c r="H116" s="537"/>
      <c r="I116" s="538"/>
    </row>
    <row r="117" spans="1:11">
      <c r="A117" s="333">
        <v>5</v>
      </c>
      <c r="B117" s="332" t="s">
        <v>15</v>
      </c>
      <c r="D117" s="344"/>
      <c r="E117" s="196"/>
      <c r="G117" s="547"/>
      <c r="H117" s="537"/>
      <c r="I117" s="538"/>
    </row>
    <row r="118" spans="1:11">
      <c r="A118" s="333">
        <v>6</v>
      </c>
      <c r="C118" s="359" t="str">
        <f>'FR-16(7)(v)-1 Functional'!C118</f>
        <v>TRANSMISSION PLANT</v>
      </c>
      <c r="D118" s="344" t="s">
        <v>343</v>
      </c>
      <c r="E118" s="196"/>
      <c r="F118" s="477"/>
      <c r="G118" s="548"/>
      <c r="H118" s="539"/>
      <c r="I118" s="540"/>
      <c r="J118" s="347"/>
      <c r="K118" s="347"/>
    </row>
    <row r="119" spans="1:11">
      <c r="A119" s="333">
        <v>7</v>
      </c>
      <c r="C119" s="332" t="str">
        <f>'FR-16(7)(v)-1 Functional'!C119</f>
        <v>TOTAL TRANS DEPREC RESERVE</v>
      </c>
      <c r="D119" s="344"/>
      <c r="E119" s="196"/>
      <c r="F119" s="348">
        <f t="shared" ref="F119:K119" si="21">SUM(F118:F118)</f>
        <v>0</v>
      </c>
      <c r="G119" s="549">
        <f t="shared" si="21"/>
        <v>0</v>
      </c>
      <c r="H119" s="541">
        <f t="shared" si="21"/>
        <v>0</v>
      </c>
      <c r="I119" s="542">
        <f t="shared" si="21"/>
        <v>0</v>
      </c>
      <c r="J119" s="348">
        <f t="shared" si="21"/>
        <v>0</v>
      </c>
      <c r="K119" s="348">
        <f t="shared" si="21"/>
        <v>0</v>
      </c>
    </row>
    <row r="120" spans="1:11">
      <c r="A120" s="333">
        <v>8</v>
      </c>
      <c r="D120" s="344"/>
      <c r="E120" s="196"/>
      <c r="G120" s="547"/>
      <c r="H120" s="537"/>
      <c r="I120" s="538"/>
    </row>
    <row r="121" spans="1:11">
      <c r="A121" s="333">
        <v>9</v>
      </c>
      <c r="B121" s="332" t="s">
        <v>17</v>
      </c>
      <c r="D121" s="344"/>
      <c r="E121" s="196"/>
      <c r="G121" s="547"/>
      <c r="H121" s="537"/>
      <c r="I121" s="538"/>
    </row>
    <row r="122" spans="1:11">
      <c r="A122" s="333">
        <v>10</v>
      </c>
      <c r="C122" s="332" t="str">
        <f>'FR-16(7)(v)-1 Functional'!C122</f>
        <v>SYSTEM M&amp;R - (2780, 2781)</v>
      </c>
      <c r="D122" s="344" t="str">
        <f>'FR-16(7)(v)-1 Functional'!D122</f>
        <v>K203</v>
      </c>
      <c r="E122" s="196"/>
      <c r="F122" s="479">
        <f>'FR-16(7)(v)-8 TOT CLASS Alloc'!H122</f>
        <v>873229</v>
      </c>
      <c r="G122" s="548">
        <f>'FR-16(7)(v)-5 DISTR Dem Alloc'!H122</f>
        <v>873229</v>
      </c>
      <c r="H122" s="539">
        <f>'FR-16(7)(v)-3 PROD Comm Alloc'!H122</f>
        <v>0</v>
      </c>
      <c r="I122" s="540">
        <f>'FR-16(7)(v)-6 DISTR Cust Alloc'!H122</f>
        <v>0</v>
      </c>
      <c r="J122" s="347">
        <f t="shared" ref="J122:J130" si="22">SUM(G122:I122)</f>
        <v>873229</v>
      </c>
      <c r="K122" s="347">
        <f t="shared" ref="K122:K130" si="23">F122-J122</f>
        <v>0</v>
      </c>
    </row>
    <row r="123" spans="1:11">
      <c r="A123" s="333">
        <v>11</v>
      </c>
      <c r="C123" s="332" t="str">
        <f>'FR-16(7)(v)-1 Functional'!C123</f>
        <v xml:space="preserve">DIST REG EQUIP &amp; CITY GATE M&amp;R- (2782, 2790) </v>
      </c>
      <c r="D123" s="344" t="str">
        <f>'FR-16(7)(v)-1 Functional'!D123</f>
        <v>K203</v>
      </c>
      <c r="E123" s="196"/>
      <c r="F123" s="479">
        <f>'FR-16(7)(v)-8 TOT CLASS Alloc'!H123</f>
        <v>327797</v>
      </c>
      <c r="G123" s="548">
        <f>'FR-16(7)(v)-5 DISTR Dem Alloc'!H123</f>
        <v>327797</v>
      </c>
      <c r="H123" s="539">
        <f>'FR-16(7)(v)-3 PROD Comm Alloc'!H123</f>
        <v>0</v>
      </c>
      <c r="I123" s="540">
        <f>'FR-16(7)(v)-6 DISTR Cust Alloc'!H123</f>
        <v>0</v>
      </c>
      <c r="J123" s="347">
        <f t="shared" si="22"/>
        <v>327797</v>
      </c>
      <c r="K123" s="347">
        <f t="shared" si="23"/>
        <v>0</v>
      </c>
    </row>
    <row r="124" spans="1:11">
      <c r="A124" s="333">
        <v>12</v>
      </c>
      <c r="C124" s="332" t="str">
        <f>'FR-16(7)(v)-1 Functional'!C124</f>
        <v>LARGE IND M&amp;R - (2850, 2851)</v>
      </c>
      <c r="D124" s="344" t="str">
        <f>'FR-16(7)(v)-1 Functional'!D124</f>
        <v>K595</v>
      </c>
      <c r="E124" s="196"/>
      <c r="F124" s="479">
        <f>'FR-16(7)(v)-8 TOT CLASS Alloc'!H124</f>
        <v>0</v>
      </c>
      <c r="G124" s="548">
        <f>'FR-16(7)(v)-5 DISTR Dem Alloc'!H124</f>
        <v>0</v>
      </c>
      <c r="H124" s="539">
        <f>'FR-16(7)(v)-3 PROD Comm Alloc'!H124</f>
        <v>0</v>
      </c>
      <c r="I124" s="540">
        <f>'FR-16(7)(v)-6 DISTR Cust Alloc'!H124</f>
        <v>0</v>
      </c>
      <c r="J124" s="347">
        <f t="shared" si="22"/>
        <v>0</v>
      </c>
      <c r="K124" s="347">
        <f t="shared" si="23"/>
        <v>0</v>
      </c>
    </row>
    <row r="125" spans="1:11">
      <c r="A125" s="333">
        <v>13</v>
      </c>
      <c r="C125" s="332" t="str">
        <f>'FR-16(7)(v)-1 Functional'!C125</f>
        <v>MAINS - (2761, 2762, 2763, 2765)</v>
      </c>
      <c r="D125" s="344" t="str">
        <f>'FR-16(7)(v)-1 Functional'!D125</f>
        <v>K415</v>
      </c>
      <c r="E125" s="196"/>
      <c r="F125" s="479">
        <f>'FR-16(7)(v)-8 TOT CLASS Alloc'!H125</f>
        <v>27682271</v>
      </c>
      <c r="G125" s="548">
        <f>'FR-16(7)(v)-5 DISTR Dem Alloc'!H125</f>
        <v>26477430</v>
      </c>
      <c r="H125" s="539">
        <f>'FR-16(7)(v)-3 PROD Comm Alloc'!H125</f>
        <v>0</v>
      </c>
      <c r="I125" s="540">
        <f>'FR-16(7)(v)-6 DISTR Cust Alloc'!H125</f>
        <v>1204841</v>
      </c>
      <c r="J125" s="347">
        <f t="shared" si="22"/>
        <v>27682271</v>
      </c>
      <c r="K125" s="347">
        <f t="shared" si="23"/>
        <v>0</v>
      </c>
    </row>
    <row r="126" spans="1:11">
      <c r="A126" s="333">
        <v>14</v>
      </c>
      <c r="C126" s="332" t="str">
        <f>'FR-16(7)(v)-1 Functional'!C126</f>
        <v>SERVICES - (2801, 2802, 2803)</v>
      </c>
      <c r="D126" s="344" t="str">
        <f>'FR-16(7)(v)-1 Functional'!D126</f>
        <v>K403</v>
      </c>
      <c r="E126" s="196"/>
      <c r="F126" s="479">
        <f>'FR-16(7)(v)-8 TOT CLASS Alloc'!H126</f>
        <v>6442401</v>
      </c>
      <c r="G126" s="548">
        <f>'FR-16(7)(v)-5 DISTR Dem Alloc'!H126</f>
        <v>0</v>
      </c>
      <c r="H126" s="539">
        <f>'FR-16(7)(v)-3 PROD Comm Alloc'!H126</f>
        <v>0</v>
      </c>
      <c r="I126" s="540">
        <f>'FR-16(7)(v)-6 DISTR Cust Alloc'!H126</f>
        <v>6442401</v>
      </c>
      <c r="J126" s="347">
        <f t="shared" si="22"/>
        <v>6442401</v>
      </c>
      <c r="K126" s="347">
        <f t="shared" si="23"/>
        <v>0</v>
      </c>
    </row>
    <row r="127" spans="1:11">
      <c r="A127" s="333">
        <v>15</v>
      </c>
      <c r="C127" s="332" t="str">
        <f>'FR-16(7)(v)-1 Functional'!C127</f>
        <v>MTRS &amp; MTR INST (2810, 2811, 2820, 2821)</v>
      </c>
      <c r="D127" s="344" t="str">
        <f>'FR-16(7)(v)-1 Functional'!D127</f>
        <v>K413</v>
      </c>
      <c r="E127" s="196"/>
      <c r="F127" s="479">
        <f>'FR-16(7)(v)-8 TOT CLASS Alloc'!H127</f>
        <v>-572772</v>
      </c>
      <c r="G127" s="548">
        <f>'FR-16(7)(v)-5 DISTR Dem Alloc'!H127</f>
        <v>0</v>
      </c>
      <c r="H127" s="539">
        <f>'FR-16(7)(v)-3 PROD Comm Alloc'!H127</f>
        <v>0</v>
      </c>
      <c r="I127" s="540">
        <f>'FR-16(7)(v)-6 DISTR Cust Alloc'!H127</f>
        <v>-572772</v>
      </c>
      <c r="J127" s="347">
        <f t="shared" si="22"/>
        <v>-572772</v>
      </c>
      <c r="K127" s="347">
        <f t="shared" si="23"/>
        <v>0</v>
      </c>
    </row>
    <row r="128" spans="1:11">
      <c r="A128" s="333">
        <v>16</v>
      </c>
      <c r="C128" s="332" t="str">
        <f>'FR-16(7)(v)-1 Functional'!C128</f>
        <v>LAND, R OF W, STRUCT &amp; IMPROV &amp; OTH</v>
      </c>
      <c r="D128" s="344" t="str">
        <f>'FR-16(7)(v)-1 Functional'!D128</f>
        <v>K203</v>
      </c>
      <c r="E128" s="196"/>
      <c r="F128" s="479">
        <f>'FR-16(7)(v)-8 TOT CLASS Alloc'!H128</f>
        <v>199090</v>
      </c>
      <c r="G128" s="548">
        <f>'FR-16(7)(v)-5 DISTR Dem Alloc'!H128</f>
        <v>199090</v>
      </c>
      <c r="H128" s="539">
        <f>'FR-16(7)(v)-3 PROD Comm Alloc'!H128</f>
        <v>0</v>
      </c>
      <c r="I128" s="540">
        <f>'FR-16(7)(v)-6 DISTR Cust Alloc'!H128</f>
        <v>0</v>
      </c>
      <c r="J128" s="347">
        <f t="shared" si="22"/>
        <v>199090</v>
      </c>
      <c r="K128" s="347">
        <f t="shared" si="23"/>
        <v>0</v>
      </c>
    </row>
    <row r="129" spans="1:11">
      <c r="A129" s="333">
        <v>17</v>
      </c>
      <c r="C129" s="332" t="str">
        <f>'FR-16(7)(v)-1 Functional'!C129</f>
        <v>HOUSE REG &amp; INSTALL (2830, 2840)</v>
      </c>
      <c r="D129" s="344" t="str">
        <f>'FR-16(7)(v)-1 Functional'!D129</f>
        <v>K417</v>
      </c>
      <c r="E129" s="196"/>
      <c r="F129" s="479">
        <f>'FR-16(7)(v)-8 TOT CLASS Alloc'!H129</f>
        <v>1689800</v>
      </c>
      <c r="G129" s="548">
        <f>'FR-16(7)(v)-5 DISTR Dem Alloc'!H129</f>
        <v>0</v>
      </c>
      <c r="H129" s="539">
        <f>'FR-16(7)(v)-3 PROD Comm Alloc'!H129</f>
        <v>0</v>
      </c>
      <c r="I129" s="540">
        <f>'FR-16(7)(v)-6 DISTR Cust Alloc'!H129</f>
        <v>1689800</v>
      </c>
      <c r="J129" s="347">
        <f t="shared" si="22"/>
        <v>1689800</v>
      </c>
      <c r="K129" s="347">
        <f t="shared" si="23"/>
        <v>0</v>
      </c>
    </row>
    <row r="130" spans="1:11">
      <c r="A130" s="333">
        <v>18</v>
      </c>
      <c r="C130" s="359" t="str">
        <f>'FR-16(7)(v)-1 Functional'!C130</f>
        <v>STREET LIGHTING EQUIPMENT &amp; OTH</v>
      </c>
      <c r="D130" s="344" t="str">
        <f>'FR-16(7)(v)-1 Functional'!D130</f>
        <v>K597</v>
      </c>
      <c r="E130" s="196"/>
      <c r="F130" s="479">
        <f>'FR-16(7)(v)-8 TOT CLASS Alloc'!H130</f>
        <v>-2136531</v>
      </c>
      <c r="G130" s="548">
        <f>'FR-16(7)(v)-5 DISTR Dem Alloc'!H130</f>
        <v>-2136531</v>
      </c>
      <c r="H130" s="539">
        <f>'FR-16(7)(v)-3 PROD Comm Alloc'!H130</f>
        <v>0</v>
      </c>
      <c r="I130" s="540">
        <f>'FR-16(7)(v)-6 DISTR Cust Alloc'!H130</f>
        <v>0</v>
      </c>
      <c r="J130" s="347">
        <f t="shared" si="22"/>
        <v>-2136531</v>
      </c>
      <c r="K130" s="347">
        <f t="shared" si="23"/>
        <v>0</v>
      </c>
    </row>
    <row r="131" spans="1:11">
      <c r="A131" s="333">
        <v>19</v>
      </c>
      <c r="C131" s="332" t="str">
        <f>'FR-16(7)(v)-1 Functional'!C131</f>
        <v xml:space="preserve">  TOTAL DIST DEPREC RESERVE</v>
      </c>
      <c r="D131" s="344"/>
      <c r="E131" s="196"/>
      <c r="F131" s="348">
        <f t="shared" ref="F131:K131" si="24">SUM(F121:F130)</f>
        <v>34505285</v>
      </c>
      <c r="G131" s="549">
        <f t="shared" si="24"/>
        <v>25741015</v>
      </c>
      <c r="H131" s="541">
        <f t="shared" si="24"/>
        <v>0</v>
      </c>
      <c r="I131" s="542">
        <f t="shared" si="24"/>
        <v>8764270</v>
      </c>
      <c r="J131" s="348">
        <f t="shared" si="24"/>
        <v>34505285</v>
      </c>
      <c r="K131" s="348">
        <f t="shared" si="24"/>
        <v>0</v>
      </c>
    </row>
    <row r="132" spans="1:11">
      <c r="A132" s="333">
        <v>20</v>
      </c>
      <c r="D132" s="344"/>
      <c r="E132" s="196"/>
      <c r="G132" s="547"/>
      <c r="H132" s="537"/>
      <c r="I132" s="538"/>
    </row>
    <row r="133" spans="1:11">
      <c r="A133" s="333">
        <v>21</v>
      </c>
      <c r="B133" s="332" t="s">
        <v>20</v>
      </c>
      <c r="D133" s="344"/>
      <c r="E133" s="196"/>
      <c r="G133" s="547"/>
      <c r="H133" s="537"/>
      <c r="I133" s="538"/>
    </row>
    <row r="134" spans="1:11">
      <c r="A134" s="333">
        <v>22</v>
      </c>
      <c r="C134" s="332" t="str">
        <f>'FR-16(7)(v)-1 Functional'!C134</f>
        <v>PRODUCTION PLANT</v>
      </c>
      <c r="D134" s="344" t="str">
        <f>'FR-16(7)(v)-1 Functional'!D134</f>
        <v>K201</v>
      </c>
      <c r="E134" s="196"/>
      <c r="F134" s="479">
        <f>'FR-16(7)(v)-8 TOT CLASS Alloc'!H134</f>
        <v>157873</v>
      </c>
      <c r="G134" s="548">
        <f>'FR-16(7)(v)-5 DISTR Dem Alloc'!H134</f>
        <v>0</v>
      </c>
      <c r="H134" s="539">
        <f>'FR-16(7)(v)-3 PROD Comm Alloc'!H134</f>
        <v>157873</v>
      </c>
      <c r="I134" s="540">
        <f>'FR-16(7)(v)-6 DISTR Cust Alloc'!H134</f>
        <v>0</v>
      </c>
      <c r="J134" s="347">
        <f t="shared" ref="J134:J139" si="25">SUM(G134:I134)</f>
        <v>157873</v>
      </c>
      <c r="K134" s="347">
        <f t="shared" ref="K134:K139" si="26">F134-J134</f>
        <v>0</v>
      </c>
    </row>
    <row r="135" spans="1:11">
      <c r="A135" s="333">
        <v>23</v>
      </c>
      <c r="C135" s="332" t="str">
        <f>'FR-16(7)(v)-1 Functional'!C135</f>
        <v>PRODUCTION PLANT COMMODITY</v>
      </c>
      <c r="D135" s="344" t="str">
        <f>'FR-16(7)(v)-1 Functional'!D135</f>
        <v>P349</v>
      </c>
      <c r="E135" s="196"/>
      <c r="F135" s="479">
        <f>'FR-16(7)(v)-8 TOT CLASS Alloc'!H135</f>
        <v>123079</v>
      </c>
      <c r="G135" s="548">
        <f>'FR-16(7)(v)-5 DISTR Dem Alloc'!H135</f>
        <v>0</v>
      </c>
      <c r="H135" s="539">
        <f>'FR-16(7)(v)-3 PROD Comm Alloc'!H135</f>
        <v>123079</v>
      </c>
      <c r="I135" s="540">
        <f>'FR-16(7)(v)-6 DISTR Cust Alloc'!H135</f>
        <v>0</v>
      </c>
      <c r="J135" s="347">
        <f t="shared" si="25"/>
        <v>123079</v>
      </c>
      <c r="K135" s="347">
        <f t="shared" si="26"/>
        <v>0</v>
      </c>
    </row>
    <row r="136" spans="1:11">
      <c r="A136" s="333">
        <v>24</v>
      </c>
      <c r="C136" s="332" t="str">
        <f>'FR-16(7)(v)-1 Functional'!C136</f>
        <v>DISTRIBUTION PLANT</v>
      </c>
      <c r="D136" s="344" t="str">
        <f>'FR-16(7)(v)-1 Functional'!D136</f>
        <v>D349</v>
      </c>
      <c r="E136" s="196"/>
      <c r="F136" s="479">
        <f>'FR-16(7)(v)-8 TOT CLASS Alloc'!H136</f>
        <v>1399306</v>
      </c>
      <c r="G136" s="548">
        <f>'FR-16(7)(v)-5 DISTR Dem Alloc'!H136</f>
        <v>934122</v>
      </c>
      <c r="H136" s="539">
        <f>'FR-16(7)(v)-3 PROD Comm Alloc'!H136</f>
        <v>0</v>
      </c>
      <c r="I136" s="540">
        <f>'FR-16(7)(v)-6 DISTR Cust Alloc'!H136</f>
        <v>465184</v>
      </c>
      <c r="J136" s="347">
        <f t="shared" si="25"/>
        <v>1399306</v>
      </c>
      <c r="K136" s="347">
        <f t="shared" si="26"/>
        <v>0</v>
      </c>
    </row>
    <row r="137" spans="1:11">
      <c r="A137" s="333">
        <v>25</v>
      </c>
      <c r="C137" s="332" t="str">
        <f>'FR-16(7)(v)-1 Functional'!C137</f>
        <v>CUSTOMER ACCOUNTING</v>
      </c>
      <c r="D137" s="344" t="str">
        <f>'FR-16(7)(v)-1 Functional'!D137</f>
        <v>CA19</v>
      </c>
      <c r="E137" s="196"/>
      <c r="F137" s="479">
        <f>'FR-16(7)(v)-8 TOT CLASS Alloc'!H137</f>
        <v>172631</v>
      </c>
      <c r="G137" s="548">
        <f>'FR-16(7)(v)-5 DISTR Dem Alloc'!H137</f>
        <v>0</v>
      </c>
      <c r="H137" s="539">
        <f>'FR-16(7)(v)-3 PROD Comm Alloc'!H137</f>
        <v>0</v>
      </c>
      <c r="I137" s="540">
        <f>'FR-16(7)(v)-6 DISTR Cust Alloc'!H137</f>
        <v>172631</v>
      </c>
      <c r="J137" s="347">
        <f t="shared" si="25"/>
        <v>172631</v>
      </c>
      <c r="K137" s="347">
        <f t="shared" si="26"/>
        <v>0</v>
      </c>
    </row>
    <row r="138" spans="1:11">
      <c r="A138" s="333">
        <v>26</v>
      </c>
      <c r="C138" s="332" t="str">
        <f>'FR-16(7)(v)-1 Functional'!C138</f>
        <v>CUSTOMER SERVICE &amp; INFORMATION</v>
      </c>
      <c r="D138" s="344" t="str">
        <f>'FR-16(7)(v)-1 Functional'!D138</f>
        <v>CS19</v>
      </c>
      <c r="E138" s="196"/>
      <c r="F138" s="479">
        <f>'FR-16(7)(v)-8 TOT CLASS Alloc'!H138</f>
        <v>15106</v>
      </c>
      <c r="G138" s="548">
        <f>'FR-16(7)(v)-5 DISTR Dem Alloc'!H138</f>
        <v>0</v>
      </c>
      <c r="H138" s="539">
        <f>'FR-16(7)(v)-3 PROD Comm Alloc'!H138</f>
        <v>0</v>
      </c>
      <c r="I138" s="540">
        <f>'FR-16(7)(v)-6 DISTR Cust Alloc'!H138</f>
        <v>15106</v>
      </c>
      <c r="J138" s="347">
        <f t="shared" si="25"/>
        <v>15106</v>
      </c>
      <c r="K138" s="347">
        <f t="shared" si="26"/>
        <v>0</v>
      </c>
    </row>
    <row r="139" spans="1:11">
      <c r="A139" s="333">
        <v>27</v>
      </c>
      <c r="C139" s="365" t="str">
        <f>'FR-16(7)(v)-1 Functional'!C139</f>
        <v>SALES</v>
      </c>
      <c r="D139" s="344" t="str">
        <f>'FR-16(7)(v)-1 Functional'!D139</f>
        <v>SE19</v>
      </c>
      <c r="E139" s="196"/>
      <c r="F139" s="479">
        <f>'FR-16(7)(v)-8 TOT CLASS Alloc'!H139</f>
        <v>0</v>
      </c>
      <c r="G139" s="548">
        <f>'FR-16(7)(v)-5 DISTR Dem Alloc'!H139</f>
        <v>0</v>
      </c>
      <c r="H139" s="539">
        <f>'FR-16(7)(v)-3 PROD Comm Alloc'!H139</f>
        <v>0</v>
      </c>
      <c r="I139" s="540">
        <f>'FR-16(7)(v)-6 DISTR Cust Alloc'!H139</f>
        <v>0</v>
      </c>
      <c r="J139" s="347">
        <f t="shared" si="25"/>
        <v>0</v>
      </c>
      <c r="K139" s="347">
        <f t="shared" si="26"/>
        <v>0</v>
      </c>
    </row>
    <row r="140" spans="1:11">
      <c r="A140" s="333">
        <v>28</v>
      </c>
      <c r="C140" s="339" t="str">
        <f>'FR-16(7)(v)-1 Functional'!C140</f>
        <v xml:space="preserve">  TOTAL GEN DEPREC RESERVE</v>
      </c>
      <c r="D140" s="344"/>
      <c r="E140" s="196"/>
      <c r="F140" s="348">
        <f t="shared" ref="F140:K140" si="27">SUM(F133:F139)</f>
        <v>1867995</v>
      </c>
      <c r="G140" s="549">
        <f t="shared" si="27"/>
        <v>934122</v>
      </c>
      <c r="H140" s="541">
        <f t="shared" si="27"/>
        <v>280952</v>
      </c>
      <c r="I140" s="542">
        <f t="shared" si="27"/>
        <v>652921</v>
      </c>
      <c r="J140" s="348">
        <f t="shared" si="27"/>
        <v>1867995</v>
      </c>
      <c r="K140" s="348">
        <f t="shared" si="27"/>
        <v>0</v>
      </c>
    </row>
    <row r="141" spans="1:11">
      <c r="A141" s="333">
        <v>29</v>
      </c>
      <c r="C141" s="365"/>
      <c r="D141" s="344"/>
      <c r="E141" s="196"/>
      <c r="G141" s="547"/>
      <c r="H141" s="537"/>
      <c r="I141" s="538"/>
    </row>
    <row r="142" spans="1:11">
      <c r="A142" s="333">
        <v>30</v>
      </c>
      <c r="B142" s="332" t="s">
        <v>21</v>
      </c>
      <c r="C142" s="365"/>
      <c r="D142" s="344"/>
      <c r="E142" s="196"/>
      <c r="G142" s="547"/>
      <c r="H142" s="537"/>
      <c r="I142" s="538"/>
    </row>
    <row r="143" spans="1:11">
      <c r="A143" s="333">
        <v>31</v>
      </c>
      <c r="C143" s="365" t="str">
        <f>'FR-16(7)(v)-1 Functional'!C143</f>
        <v>PRODUCTION PLANT</v>
      </c>
      <c r="D143" s="344" t="str">
        <f>'FR-16(7)(v)-1 Functional'!D143</f>
        <v>K201</v>
      </c>
      <c r="E143" s="196"/>
      <c r="F143" s="479">
        <f>'FR-16(7)(v)-8 TOT CLASS Alloc'!H143</f>
        <v>177806</v>
      </c>
      <c r="G143" s="548">
        <f>'FR-16(7)(v)-5 DISTR Dem Alloc'!H143</f>
        <v>0</v>
      </c>
      <c r="H143" s="539">
        <f>'FR-16(7)(v)-3 PROD Comm Alloc'!H143</f>
        <v>177806</v>
      </c>
      <c r="I143" s="540">
        <f>'FR-16(7)(v)-6 DISTR Cust Alloc'!H143</f>
        <v>0</v>
      </c>
      <c r="J143" s="347">
        <f t="shared" ref="J143:J148" si="28">SUM(G143:I143)</f>
        <v>177806</v>
      </c>
      <c r="K143" s="347">
        <f t="shared" ref="K143:K148" si="29">F143-J143</f>
        <v>0</v>
      </c>
    </row>
    <row r="144" spans="1:11">
      <c r="A144" s="333">
        <v>32</v>
      </c>
      <c r="C144" s="365" t="str">
        <f>'FR-16(7)(v)-1 Functional'!C144</f>
        <v>PRODUCTION PLANT COMMODITY</v>
      </c>
      <c r="D144" s="344" t="str">
        <f>'FR-16(7)(v)-1 Functional'!D144</f>
        <v>P349</v>
      </c>
      <c r="E144" s="196"/>
      <c r="F144" s="479">
        <f>'FR-16(7)(v)-8 TOT CLASS Alloc'!H144</f>
        <v>138619</v>
      </c>
      <c r="G144" s="548">
        <f>'FR-16(7)(v)-5 DISTR Dem Alloc'!H144</f>
        <v>0</v>
      </c>
      <c r="H144" s="539">
        <f>'FR-16(7)(v)-3 PROD Comm Alloc'!H144</f>
        <v>138619</v>
      </c>
      <c r="I144" s="540">
        <f>'FR-16(7)(v)-6 DISTR Cust Alloc'!H144</f>
        <v>0</v>
      </c>
      <c r="J144" s="347">
        <f t="shared" si="28"/>
        <v>138619</v>
      </c>
      <c r="K144" s="347">
        <f t="shared" si="29"/>
        <v>0</v>
      </c>
    </row>
    <row r="145" spans="1:11">
      <c r="A145" s="333">
        <v>33</v>
      </c>
      <c r="C145" s="365" t="str">
        <f>'FR-16(7)(v)-1 Functional'!C145</f>
        <v>DISTRIBUTION PLANT</v>
      </c>
      <c r="D145" s="344" t="str">
        <f>'FR-16(7)(v)-1 Functional'!D145</f>
        <v>D349</v>
      </c>
      <c r="E145" s="196"/>
      <c r="F145" s="479">
        <f>'FR-16(7)(v)-8 TOT CLASS Alloc'!H145</f>
        <v>1575985</v>
      </c>
      <c r="G145" s="548">
        <f>'FR-16(7)(v)-5 DISTR Dem Alloc'!H145</f>
        <v>1052066</v>
      </c>
      <c r="H145" s="539">
        <f>'FR-16(7)(v)-3 PROD Comm Alloc'!H145</f>
        <v>0</v>
      </c>
      <c r="I145" s="540">
        <f>'FR-16(7)(v)-6 DISTR Cust Alloc'!H145</f>
        <v>523919</v>
      </c>
      <c r="J145" s="347">
        <f t="shared" si="28"/>
        <v>1575985</v>
      </c>
      <c r="K145" s="347">
        <f t="shared" si="29"/>
        <v>0</v>
      </c>
    </row>
    <row r="146" spans="1:11">
      <c r="A146" s="333">
        <v>34</v>
      </c>
      <c r="C146" s="365" t="str">
        <f>'FR-16(7)(v)-1 Functional'!C146</f>
        <v>CUSTOMER ACCOUNTING</v>
      </c>
      <c r="D146" s="344" t="str">
        <f>'FR-16(7)(v)-1 Functional'!D146</f>
        <v>CA19</v>
      </c>
      <c r="E146" s="196"/>
      <c r="F146" s="479">
        <f>'FR-16(7)(v)-8 TOT CLASS Alloc'!H146</f>
        <v>194428</v>
      </c>
      <c r="G146" s="548">
        <f>'FR-16(7)(v)-5 DISTR Dem Alloc'!H146</f>
        <v>0</v>
      </c>
      <c r="H146" s="539">
        <f>'FR-16(7)(v)-3 PROD Comm Alloc'!H146</f>
        <v>0</v>
      </c>
      <c r="I146" s="540">
        <f>'FR-16(7)(v)-6 DISTR Cust Alloc'!H146</f>
        <v>194428</v>
      </c>
      <c r="J146" s="347">
        <f t="shared" si="28"/>
        <v>194428</v>
      </c>
      <c r="K146" s="347">
        <f t="shared" si="29"/>
        <v>0</v>
      </c>
    </row>
    <row r="147" spans="1:11">
      <c r="A147" s="333">
        <v>35</v>
      </c>
      <c r="C147" s="365" t="str">
        <f>'FR-16(7)(v)-1 Functional'!C147</f>
        <v>CUSTOMER SERVICE &amp; INFORMATION</v>
      </c>
      <c r="D147" s="344" t="str">
        <f>'FR-16(7)(v)-1 Functional'!D147</f>
        <v>CS19</v>
      </c>
      <c r="E147" s="196"/>
      <c r="F147" s="479">
        <f>'FR-16(7)(v)-8 TOT CLASS Alloc'!H147</f>
        <v>17014</v>
      </c>
      <c r="G147" s="548">
        <f>'FR-16(7)(v)-5 DISTR Dem Alloc'!H147</f>
        <v>0</v>
      </c>
      <c r="H147" s="539">
        <f>'FR-16(7)(v)-3 PROD Comm Alloc'!H147</f>
        <v>0</v>
      </c>
      <c r="I147" s="540">
        <f>'FR-16(7)(v)-6 DISTR Cust Alloc'!H147</f>
        <v>17014</v>
      </c>
      <c r="J147" s="347">
        <f t="shared" si="28"/>
        <v>17014</v>
      </c>
      <c r="K147" s="347">
        <f t="shared" si="29"/>
        <v>0</v>
      </c>
    </row>
    <row r="148" spans="1:11">
      <c r="A148" s="333">
        <v>36</v>
      </c>
      <c r="C148" s="365" t="str">
        <f>'FR-16(7)(v)-1 Functional'!C148</f>
        <v>SALES</v>
      </c>
      <c r="D148" s="344" t="str">
        <f>'FR-16(7)(v)-1 Functional'!D148</f>
        <v>SE19</v>
      </c>
      <c r="E148" s="196"/>
      <c r="F148" s="479">
        <f>'FR-16(7)(v)-8 TOT CLASS Alloc'!H148</f>
        <v>0</v>
      </c>
      <c r="G148" s="548">
        <f>'FR-16(7)(v)-5 DISTR Dem Alloc'!H148</f>
        <v>0</v>
      </c>
      <c r="H148" s="539">
        <f>'FR-16(7)(v)-3 PROD Comm Alloc'!H148</f>
        <v>0</v>
      </c>
      <c r="I148" s="540">
        <f>'FR-16(7)(v)-6 DISTR Cust Alloc'!H148</f>
        <v>0</v>
      </c>
      <c r="J148" s="347">
        <f t="shared" si="28"/>
        <v>0</v>
      </c>
      <c r="K148" s="347">
        <f t="shared" si="29"/>
        <v>0</v>
      </c>
    </row>
    <row r="149" spans="1:11">
      <c r="A149" s="333">
        <v>37</v>
      </c>
      <c r="C149" s="339" t="str">
        <f>'FR-16(7)(v)-1 Functional'!C149</f>
        <v xml:space="preserve">  TOTAL COM &amp; OTHER PLT RESERVE</v>
      </c>
      <c r="D149" s="344"/>
      <c r="E149" s="196"/>
      <c r="F149" s="348">
        <f>SUM(F143:F148)</f>
        <v>2103852</v>
      </c>
      <c r="G149" s="549">
        <f>SUM(G142:G148)</f>
        <v>1052066</v>
      </c>
      <c r="H149" s="541">
        <f>SUM(H142:H148)</f>
        <v>316425</v>
      </c>
      <c r="I149" s="542">
        <f>SUM(I142:I148)</f>
        <v>735361</v>
      </c>
      <c r="J149" s="348">
        <f>SUM(J142:J148)</f>
        <v>2103852</v>
      </c>
      <c r="K149" s="348">
        <f>SUM(K142:K148)</f>
        <v>0</v>
      </c>
    </row>
    <row r="150" spans="1:11">
      <c r="A150" s="333">
        <v>38</v>
      </c>
      <c r="D150" s="344"/>
      <c r="E150" s="196"/>
      <c r="G150" s="547"/>
      <c r="H150" s="537"/>
      <c r="I150" s="538"/>
    </row>
    <row r="151" spans="1:11">
      <c r="A151" s="333">
        <v>39</v>
      </c>
      <c r="B151" s="332" t="s">
        <v>23</v>
      </c>
      <c r="D151" s="344"/>
      <c r="E151" s="196"/>
      <c r="F151" s="347">
        <f t="shared" ref="F151:K151" si="30">F149+F140+F131+F119+F115</f>
        <v>38975357</v>
      </c>
      <c r="G151" s="550">
        <f t="shared" si="30"/>
        <v>27727203</v>
      </c>
      <c r="H151" s="543">
        <f t="shared" si="30"/>
        <v>1095602</v>
      </c>
      <c r="I151" s="544">
        <f t="shared" si="30"/>
        <v>10152552</v>
      </c>
      <c r="J151" s="347">
        <f t="shared" si="30"/>
        <v>38975357</v>
      </c>
      <c r="K151" s="347">
        <f t="shared" si="30"/>
        <v>0</v>
      </c>
    </row>
    <row r="152" spans="1:11">
      <c r="B152" s="343"/>
      <c r="C152" s="196"/>
      <c r="D152" s="344"/>
      <c r="E152" s="196"/>
      <c r="F152" s="196"/>
      <c r="G152" s="196"/>
      <c r="H152" s="196"/>
      <c r="I152" s="196"/>
      <c r="J152" s="196"/>
    </row>
    <row r="153" spans="1:11">
      <c r="A153" s="343" t="str">
        <f>co_name</f>
        <v>DUKE ENERGY KENTUCKY, INC.</v>
      </c>
      <c r="C153" s="196"/>
      <c r="D153" s="344"/>
      <c r="E153" s="196"/>
      <c r="F153" s="196"/>
      <c r="G153" s="196"/>
      <c r="H153" s="196"/>
      <c r="I153" s="196"/>
      <c r="J153" s="196" t="str">
        <f>$J$1</f>
        <v>FR-16(7)(v)-10</v>
      </c>
      <c r="K153" s="196"/>
    </row>
    <row r="154" spans="1:11">
      <c r="A154" s="343" t="str">
        <f>$A$2</f>
        <v>GS CLASSIFIED - GAS COST OF SERVICE</v>
      </c>
      <c r="C154" s="196"/>
      <c r="D154" s="344"/>
      <c r="E154" s="196"/>
      <c r="F154" s="196"/>
      <c r="G154" s="196"/>
      <c r="H154" s="196"/>
      <c r="I154" s="196"/>
      <c r="J154" s="196" t="str">
        <f>$J$2</f>
        <v>WITNESS RESPONSIBLE:</v>
      </c>
      <c r="K154" s="196"/>
    </row>
    <row r="155" spans="1:11">
      <c r="A155" s="343" t="str">
        <f>case_name</f>
        <v>CASE NO: 2018-00261</v>
      </c>
      <c r="C155" s="196"/>
      <c r="D155" s="344"/>
      <c r="E155" s="196"/>
      <c r="F155" s="196"/>
      <c r="G155" s="196"/>
      <c r="H155" s="196"/>
      <c r="I155" s="196"/>
      <c r="J155" s="196" t="str">
        <f>Witness</f>
        <v>JAMES E. ZIOLKOWSKI</v>
      </c>
      <c r="K155" s="196"/>
    </row>
    <row r="156" spans="1:11">
      <c r="A156" s="343" t="str">
        <f>data_filing</f>
        <v>DATA: 12 MONTH FORECASTED PERIOD</v>
      </c>
      <c r="C156" s="196"/>
      <c r="D156" s="344"/>
      <c r="E156" s="196"/>
      <c r="F156" s="196"/>
      <c r="G156" s="196"/>
      <c r="H156" s="196"/>
      <c r="I156" s="196"/>
      <c r="J156" s="196" t="str">
        <f>"PAGE "&amp;Pages2-11&amp;" OF "&amp;Pages2</f>
        <v>PAGE 4 OF 15</v>
      </c>
      <c r="K156" s="196"/>
    </row>
    <row r="157" spans="1:11">
      <c r="A157" s="343" t="str">
        <f>type</f>
        <v xml:space="preserve">TYPE OF FILING: "X" ORIGINAL   UPDATED    REVISED  </v>
      </c>
      <c r="C157" s="196"/>
      <c r="D157" s="344"/>
      <c r="E157" s="196"/>
      <c r="F157" s="196"/>
      <c r="G157" s="196"/>
      <c r="H157" s="196"/>
      <c r="I157" s="196"/>
      <c r="J157" s="196"/>
      <c r="K157" s="196"/>
    </row>
    <row r="158" spans="1:11">
      <c r="A158" s="343"/>
      <c r="C158" s="196"/>
      <c r="D158" s="344"/>
      <c r="E158" s="196"/>
      <c r="F158" s="196"/>
      <c r="G158" s="196"/>
      <c r="H158" s="196"/>
      <c r="I158" s="196"/>
      <c r="J158" s="196"/>
      <c r="K158" s="196"/>
    </row>
    <row r="159" spans="1:11">
      <c r="B159" s="343"/>
      <c r="C159" s="196"/>
      <c r="D159" s="344"/>
      <c r="E159" s="196"/>
      <c r="F159" s="196"/>
      <c r="G159" s="196"/>
      <c r="H159" s="196"/>
      <c r="I159" s="196"/>
      <c r="J159" s="196"/>
    </row>
    <row r="160" spans="1:11">
      <c r="A160" s="344" t="s">
        <v>914</v>
      </c>
      <c r="B160" s="196"/>
      <c r="C160" s="196"/>
      <c r="D160" s="344"/>
      <c r="E160" s="196"/>
      <c r="F160" s="344" t="s">
        <v>229</v>
      </c>
      <c r="G160" s="545" t="s">
        <v>1005</v>
      </c>
      <c r="H160" s="533"/>
      <c r="I160" s="534"/>
      <c r="J160" s="344" t="s">
        <v>229</v>
      </c>
      <c r="K160" s="344" t="s">
        <v>342</v>
      </c>
    </row>
    <row r="161" spans="1:11">
      <c r="A161" s="346" t="s">
        <v>915</v>
      </c>
      <c r="B161" s="345" t="str">
        <f>"NET GAS PLANT"</f>
        <v>NET GAS PLANT</v>
      </c>
      <c r="C161" s="345"/>
      <c r="D161" s="346" t="s">
        <v>337</v>
      </c>
      <c r="E161" s="345"/>
      <c r="F161" s="346" t="str">
        <f>$F$9</f>
        <v>GS</v>
      </c>
      <c r="G161" s="546" t="s">
        <v>847</v>
      </c>
      <c r="H161" s="535" t="s">
        <v>848</v>
      </c>
      <c r="I161" s="536" t="s">
        <v>849</v>
      </c>
      <c r="J161" s="346" t="s">
        <v>341</v>
      </c>
      <c r="K161" s="346" t="s">
        <v>340</v>
      </c>
    </row>
    <row r="162" spans="1:11">
      <c r="C162" s="578" t="s">
        <v>346</v>
      </c>
      <c r="D162" s="344"/>
      <c r="E162" s="196"/>
      <c r="G162" s="800">
        <f>$G$10</f>
        <v>3</v>
      </c>
      <c r="H162" s="801">
        <f>$H$10</f>
        <v>4</v>
      </c>
      <c r="I162" s="802">
        <f>$I$10</f>
        <v>5</v>
      </c>
    </row>
    <row r="163" spans="1:11">
      <c r="A163" s="333">
        <v>1</v>
      </c>
      <c r="B163" s="332" t="s">
        <v>14</v>
      </c>
      <c r="D163" s="344"/>
      <c r="E163" s="196"/>
      <c r="G163" s="547"/>
      <c r="H163" s="537"/>
      <c r="I163" s="538"/>
    </row>
    <row r="164" spans="1:11">
      <c r="A164" s="333">
        <v>2</v>
      </c>
      <c r="C164" s="332" t="str">
        <f>'FR-16(7)(v)-1 Functional'!C164</f>
        <v>PRODUCTION PLANT IN SERVICE</v>
      </c>
      <c r="D164" s="344"/>
      <c r="E164" s="196"/>
      <c r="F164" s="347">
        <f>F59</f>
        <v>853321</v>
      </c>
      <c r="G164" s="548">
        <f>$G$59</f>
        <v>0</v>
      </c>
      <c r="H164" s="539">
        <f>$H$59</f>
        <v>853321</v>
      </c>
      <c r="I164" s="540">
        <f>$I$59</f>
        <v>0</v>
      </c>
      <c r="J164" s="347">
        <f>$J$59</f>
        <v>853321</v>
      </c>
      <c r="K164" s="347">
        <f>F164-J164</f>
        <v>0</v>
      </c>
    </row>
    <row r="165" spans="1:11">
      <c r="A165" s="333">
        <v>3</v>
      </c>
      <c r="C165" s="359" t="str">
        <f>'FR-16(7)(v)-1 Functional'!C165</f>
        <v>TOTAL PROD DEPRC RESERVE</v>
      </c>
      <c r="D165" s="344"/>
      <c r="E165" s="196"/>
      <c r="F165" s="347">
        <f>-F115</f>
        <v>-498225</v>
      </c>
      <c r="G165" s="548">
        <f>-G115</f>
        <v>0</v>
      </c>
      <c r="H165" s="539">
        <f>-H115</f>
        <v>-498225</v>
      </c>
      <c r="I165" s="540">
        <f>-I115</f>
        <v>0</v>
      </c>
      <c r="J165" s="347">
        <f>-J115</f>
        <v>-498225</v>
      </c>
      <c r="K165" s="347">
        <f>F165-J165</f>
        <v>0</v>
      </c>
    </row>
    <row r="166" spans="1:11">
      <c r="A166" s="333">
        <v>4</v>
      </c>
      <c r="C166" s="332" t="str">
        <f>'FR-16(7)(v)-1 Functional'!C166</f>
        <v xml:space="preserve">  NET PRODUCTION PLANT</v>
      </c>
      <c r="D166" s="344"/>
      <c r="E166" s="196"/>
      <c r="F166" s="348">
        <f t="shared" ref="F166:K166" si="31">SUM(F164:F165)</f>
        <v>355096</v>
      </c>
      <c r="G166" s="549">
        <f t="shared" si="31"/>
        <v>0</v>
      </c>
      <c r="H166" s="541">
        <f t="shared" si="31"/>
        <v>355096</v>
      </c>
      <c r="I166" s="542">
        <f t="shared" si="31"/>
        <v>0</v>
      </c>
      <c r="J166" s="348">
        <f t="shared" si="31"/>
        <v>355096</v>
      </c>
      <c r="K166" s="348">
        <f t="shared" si="31"/>
        <v>0</v>
      </c>
    </row>
    <row r="167" spans="1:11">
      <c r="A167" s="333">
        <v>5</v>
      </c>
      <c r="D167" s="344"/>
      <c r="E167" s="196"/>
      <c r="G167" s="547"/>
      <c r="H167" s="537"/>
      <c r="I167" s="538"/>
    </row>
    <row r="168" spans="1:11">
      <c r="A168" s="333">
        <v>6</v>
      </c>
      <c r="B168" s="359" t="s">
        <v>15</v>
      </c>
      <c r="C168" s="359"/>
      <c r="D168" s="344"/>
      <c r="E168" s="196"/>
      <c r="F168" s="347"/>
      <c r="G168" s="548"/>
      <c r="H168" s="539"/>
      <c r="I168" s="540"/>
      <c r="J168" s="347"/>
    </row>
    <row r="169" spans="1:11">
      <c r="A169" s="333">
        <v>7</v>
      </c>
      <c r="C169" s="332" t="str">
        <f>'FR-16(7)(v)-1 Functional'!C169</f>
        <v>TRANSMISSION PLANT IN SERVICE</v>
      </c>
      <c r="D169" s="344"/>
      <c r="E169" s="196"/>
      <c r="F169" s="347">
        <f>F63</f>
        <v>0</v>
      </c>
      <c r="G169" s="548">
        <f>$G$63</f>
        <v>0</v>
      </c>
      <c r="H169" s="539">
        <f>$H$63</f>
        <v>0</v>
      </c>
      <c r="I169" s="540">
        <f>$I$63</f>
        <v>0</v>
      </c>
      <c r="J169" s="347">
        <f>$J$63</f>
        <v>0</v>
      </c>
      <c r="K169" s="347">
        <f>F169-J169</f>
        <v>0</v>
      </c>
    </row>
    <row r="170" spans="1:11">
      <c r="A170" s="333">
        <v>8</v>
      </c>
      <c r="C170" s="332" t="str">
        <f>'FR-16(7)(v)-1 Functional'!C170</f>
        <v>TOTAL TRANS DEPREC RESERVE</v>
      </c>
      <c r="D170" s="344"/>
      <c r="E170" s="196"/>
      <c r="F170" s="347">
        <f>-F119</f>
        <v>0</v>
      </c>
      <c r="G170" s="548">
        <f>-G119</f>
        <v>0</v>
      </c>
      <c r="H170" s="539">
        <f>-H119</f>
        <v>0</v>
      </c>
      <c r="I170" s="540">
        <f>-I119</f>
        <v>0</v>
      </c>
      <c r="J170" s="347">
        <f>-J119</f>
        <v>0</v>
      </c>
      <c r="K170" s="347">
        <f>F170-J170</f>
        <v>0</v>
      </c>
    </row>
    <row r="171" spans="1:11">
      <c r="A171" s="333">
        <v>9</v>
      </c>
      <c r="C171" s="332" t="str">
        <f>'FR-16(7)(v)-1 Functional'!C171</f>
        <v xml:space="preserve">    NET TRANSMISSION PLANT</v>
      </c>
      <c r="D171" s="344"/>
      <c r="E171" s="196"/>
      <c r="F171" s="348">
        <f t="shared" ref="F171:K171" si="32">SUM(F168:F170)</f>
        <v>0</v>
      </c>
      <c r="G171" s="549">
        <f t="shared" si="32"/>
        <v>0</v>
      </c>
      <c r="H171" s="541">
        <f t="shared" si="32"/>
        <v>0</v>
      </c>
      <c r="I171" s="542">
        <f t="shared" si="32"/>
        <v>0</v>
      </c>
      <c r="J171" s="348">
        <f t="shared" si="32"/>
        <v>0</v>
      </c>
      <c r="K171" s="348">
        <f t="shared" si="32"/>
        <v>0</v>
      </c>
    </row>
    <row r="172" spans="1:11">
      <c r="A172" s="333">
        <v>10</v>
      </c>
      <c r="D172" s="344"/>
      <c r="E172" s="196"/>
      <c r="G172" s="547"/>
      <c r="H172" s="537"/>
      <c r="I172" s="538"/>
    </row>
    <row r="173" spans="1:11">
      <c r="A173" s="333">
        <v>11</v>
      </c>
      <c r="B173" s="332" t="s">
        <v>17</v>
      </c>
      <c r="D173" s="344"/>
      <c r="E173" s="196"/>
      <c r="G173" s="547"/>
      <c r="H173" s="537"/>
      <c r="I173" s="538"/>
    </row>
    <row r="174" spans="1:11">
      <c r="A174" s="333">
        <v>12</v>
      </c>
      <c r="C174" s="332" t="str">
        <f>'FR-16(7)(v)-1 Functional'!C174</f>
        <v>DISTRIBUTION PLANT IN SERVICE</v>
      </c>
      <c r="D174" s="344"/>
      <c r="E174" s="196"/>
      <c r="F174" s="347">
        <f>F78</f>
        <v>121144035</v>
      </c>
      <c r="G174" s="548">
        <f>G78</f>
        <v>89734679</v>
      </c>
      <c r="H174" s="539">
        <f>H78</f>
        <v>0</v>
      </c>
      <c r="I174" s="540">
        <f>I78</f>
        <v>31409356</v>
      </c>
      <c r="J174" s="347">
        <f>J78</f>
        <v>121144035</v>
      </c>
      <c r="K174" s="347">
        <f>F174-J174</f>
        <v>0</v>
      </c>
    </row>
    <row r="175" spans="1:11">
      <c r="A175" s="333">
        <v>13</v>
      </c>
      <c r="C175" s="359" t="str">
        <f>'FR-16(7)(v)-1 Functional'!C175</f>
        <v>TOTAL DIST DEPREC RESERVE</v>
      </c>
      <c r="D175" s="344"/>
      <c r="E175" s="196"/>
      <c r="F175" s="347">
        <f>-F131</f>
        <v>-34505285</v>
      </c>
      <c r="G175" s="548">
        <f>-G131</f>
        <v>-25741015</v>
      </c>
      <c r="H175" s="539">
        <f>-H131</f>
        <v>0</v>
      </c>
      <c r="I175" s="540">
        <f>-I131</f>
        <v>-8764270</v>
      </c>
      <c r="J175" s="347">
        <f>-J131</f>
        <v>-34505285</v>
      </c>
      <c r="K175" s="347">
        <f>F175-J175</f>
        <v>0</v>
      </c>
    </row>
    <row r="176" spans="1:11">
      <c r="A176" s="333">
        <v>14</v>
      </c>
      <c r="C176" s="332" t="str">
        <f>'FR-16(7)(v)-1 Functional'!C176</f>
        <v xml:space="preserve">  NET DISTRIBUTION PLANT</v>
      </c>
      <c r="D176" s="344"/>
      <c r="E176" s="196"/>
      <c r="F176" s="348">
        <f t="shared" ref="F176:K176" si="33">SUM(F173:F175)</f>
        <v>86638750</v>
      </c>
      <c r="G176" s="549">
        <f t="shared" si="33"/>
        <v>63993664</v>
      </c>
      <c r="H176" s="541">
        <f t="shared" si="33"/>
        <v>0</v>
      </c>
      <c r="I176" s="542">
        <f t="shared" si="33"/>
        <v>22645086</v>
      </c>
      <c r="J176" s="348">
        <f t="shared" si="33"/>
        <v>86638750</v>
      </c>
      <c r="K176" s="348">
        <f t="shared" si="33"/>
        <v>0</v>
      </c>
    </row>
    <row r="177" spans="1:11">
      <c r="A177" s="333">
        <v>15</v>
      </c>
      <c r="D177" s="344"/>
      <c r="E177" s="196"/>
      <c r="G177" s="547"/>
      <c r="H177" s="537"/>
      <c r="I177" s="538"/>
    </row>
    <row r="178" spans="1:11">
      <c r="A178" s="333">
        <v>16</v>
      </c>
      <c r="B178" s="332" t="s">
        <v>430</v>
      </c>
      <c r="D178" s="344"/>
      <c r="E178" s="196"/>
      <c r="F178" s="347">
        <f t="shared" ref="F178:K178" si="34">F176+F171+F166</f>
        <v>86993846</v>
      </c>
      <c r="G178" s="548">
        <f t="shared" si="34"/>
        <v>63993664</v>
      </c>
      <c r="H178" s="539">
        <f t="shared" si="34"/>
        <v>355096</v>
      </c>
      <c r="I178" s="540">
        <f t="shared" si="34"/>
        <v>22645086</v>
      </c>
      <c r="J178" s="347">
        <f t="shared" si="34"/>
        <v>86993846</v>
      </c>
      <c r="K178" s="347">
        <f t="shared" si="34"/>
        <v>0</v>
      </c>
    </row>
    <row r="179" spans="1:11">
      <c r="A179" s="333">
        <v>17</v>
      </c>
      <c r="B179" s="332" t="s">
        <v>24</v>
      </c>
      <c r="D179" s="344"/>
      <c r="E179" s="196"/>
      <c r="F179" s="347">
        <f t="shared" ref="F179:K179" si="35">F176+F171</f>
        <v>86638750</v>
      </c>
      <c r="G179" s="548">
        <f t="shared" si="35"/>
        <v>63993664</v>
      </c>
      <c r="H179" s="539">
        <f t="shared" si="35"/>
        <v>0</v>
      </c>
      <c r="I179" s="540">
        <f t="shared" si="35"/>
        <v>22645086</v>
      </c>
      <c r="J179" s="347">
        <f t="shared" si="35"/>
        <v>86638750</v>
      </c>
      <c r="K179" s="347">
        <f t="shared" si="35"/>
        <v>0</v>
      </c>
    </row>
    <row r="180" spans="1:11">
      <c r="A180" s="333">
        <v>18</v>
      </c>
      <c r="D180" s="344"/>
      <c r="E180" s="196"/>
      <c r="G180" s="547"/>
      <c r="H180" s="537"/>
      <c r="I180" s="538"/>
    </row>
    <row r="181" spans="1:11">
      <c r="A181" s="333">
        <v>19</v>
      </c>
      <c r="B181" s="332" t="s">
        <v>20</v>
      </c>
      <c r="D181" s="344"/>
      <c r="E181" s="196"/>
      <c r="G181" s="547"/>
      <c r="H181" s="537"/>
      <c r="I181" s="538"/>
    </row>
    <row r="182" spans="1:11">
      <c r="A182" s="333">
        <v>20</v>
      </c>
      <c r="C182" s="332" t="str">
        <f>'FR-16(7)(v)-1 Functional'!C182</f>
        <v>GEN &amp; INTANG PLANT IN SERVICE</v>
      </c>
      <c r="D182" s="344"/>
      <c r="E182" s="196"/>
      <c r="F182" s="347">
        <f>F90</f>
        <v>4846616</v>
      </c>
      <c r="G182" s="548">
        <f>G90</f>
        <v>2423631</v>
      </c>
      <c r="H182" s="539">
        <f>H90</f>
        <v>728944</v>
      </c>
      <c r="I182" s="540">
        <f>I90</f>
        <v>1694041</v>
      </c>
      <c r="J182" s="347">
        <f>J90</f>
        <v>4846616</v>
      </c>
      <c r="K182" s="347">
        <f>F182-J182</f>
        <v>0</v>
      </c>
    </row>
    <row r="183" spans="1:11">
      <c r="A183" s="333">
        <v>21</v>
      </c>
      <c r="C183" s="359" t="str">
        <f>'FR-16(7)(v)-1 Functional'!C183</f>
        <v>TOTAL GEN &amp; INTG DEPREC RESERVE</v>
      </c>
      <c r="D183" s="344"/>
      <c r="E183" s="196"/>
      <c r="F183" s="347">
        <f>-F140</f>
        <v>-1867995</v>
      </c>
      <c r="G183" s="548">
        <f>-G140</f>
        <v>-934122</v>
      </c>
      <c r="H183" s="539">
        <f>-H140</f>
        <v>-280952</v>
      </c>
      <c r="I183" s="540">
        <f>-I140</f>
        <v>-652921</v>
      </c>
      <c r="J183" s="347">
        <f>-J140</f>
        <v>-1867995</v>
      </c>
      <c r="K183" s="347">
        <f>F183-J183</f>
        <v>0</v>
      </c>
    </row>
    <row r="184" spans="1:11">
      <c r="A184" s="333">
        <v>22</v>
      </c>
      <c r="C184" s="332" t="str">
        <f>'FR-16(7)(v)-1 Functional'!C184</f>
        <v xml:space="preserve">  NET GENERAL &amp; INTANG PLANT</v>
      </c>
      <c r="D184" s="344"/>
      <c r="E184" s="196"/>
      <c r="F184" s="348">
        <f t="shared" ref="F184:K184" si="36">SUM(F181:F183)</f>
        <v>2978621</v>
      </c>
      <c r="G184" s="549">
        <f t="shared" si="36"/>
        <v>1489509</v>
      </c>
      <c r="H184" s="541">
        <f t="shared" si="36"/>
        <v>447992</v>
      </c>
      <c r="I184" s="542">
        <f t="shared" si="36"/>
        <v>1041120</v>
      </c>
      <c r="J184" s="348">
        <f t="shared" si="36"/>
        <v>2978621</v>
      </c>
      <c r="K184" s="348">
        <f t="shared" si="36"/>
        <v>0</v>
      </c>
    </row>
    <row r="185" spans="1:11">
      <c r="A185" s="333">
        <v>23</v>
      </c>
      <c r="D185" s="344"/>
      <c r="E185" s="196"/>
      <c r="F185" s="347"/>
      <c r="G185" s="548"/>
      <c r="H185" s="539"/>
      <c r="I185" s="540"/>
      <c r="J185" s="347"/>
    </row>
    <row r="186" spans="1:11">
      <c r="A186" s="333">
        <v>24</v>
      </c>
      <c r="B186" s="332" t="s">
        <v>21</v>
      </c>
      <c r="D186" s="344"/>
      <c r="E186" s="196"/>
      <c r="F186" s="347"/>
      <c r="G186" s="548"/>
      <c r="H186" s="539"/>
      <c r="I186" s="540"/>
      <c r="J186" s="347"/>
    </row>
    <row r="187" spans="1:11">
      <c r="A187" s="333">
        <v>25</v>
      </c>
      <c r="C187" s="332" t="str">
        <f>'FR-16(7)(v)-1 Functional'!C187</f>
        <v>COMMON &amp; OTH PLT IN SERVICE</v>
      </c>
      <c r="D187" s="344"/>
      <c r="E187" s="196"/>
      <c r="F187" s="347">
        <f>F99</f>
        <v>2551067</v>
      </c>
      <c r="G187" s="548">
        <f>G99</f>
        <v>1275704</v>
      </c>
      <c r="H187" s="539">
        <f>H99</f>
        <v>383687</v>
      </c>
      <c r="I187" s="540">
        <f>I99</f>
        <v>891676</v>
      </c>
      <c r="J187" s="347">
        <f>J99</f>
        <v>2551067</v>
      </c>
      <c r="K187" s="347">
        <f>F187-J187</f>
        <v>0</v>
      </c>
    </row>
    <row r="188" spans="1:11">
      <c r="A188" s="333">
        <v>26</v>
      </c>
      <c r="C188" s="359" t="str">
        <f>'FR-16(7)(v)-1 Functional'!C188</f>
        <v>TOTAL COM &amp; OTH DEPREC RESERVE</v>
      </c>
      <c r="D188" s="344"/>
      <c r="E188" s="196"/>
      <c r="F188" s="347">
        <f>-F149</f>
        <v>-2103852</v>
      </c>
      <c r="G188" s="548">
        <f>-G149</f>
        <v>-1052066</v>
      </c>
      <c r="H188" s="539">
        <f>-H149</f>
        <v>-316425</v>
      </c>
      <c r="I188" s="540">
        <f>-I149</f>
        <v>-735361</v>
      </c>
      <c r="J188" s="347">
        <f>-J149</f>
        <v>-2103852</v>
      </c>
      <c r="K188" s="347">
        <f>F188-J188</f>
        <v>0</v>
      </c>
    </row>
    <row r="189" spans="1:11">
      <c r="A189" s="333">
        <v>27</v>
      </c>
      <c r="C189" s="332" t="str">
        <f>'FR-16(7)(v)-1 Functional'!C189</f>
        <v xml:space="preserve">  NET COMMON &amp; OTHER PLANT</v>
      </c>
      <c r="D189" s="344"/>
      <c r="E189" s="196"/>
      <c r="F189" s="348">
        <f t="shared" ref="F189:K189" si="37">SUM(F186:F188)</f>
        <v>447215</v>
      </c>
      <c r="G189" s="549">
        <f t="shared" si="37"/>
        <v>223638</v>
      </c>
      <c r="H189" s="541">
        <f t="shared" si="37"/>
        <v>67262</v>
      </c>
      <c r="I189" s="542">
        <f t="shared" si="37"/>
        <v>156315</v>
      </c>
      <c r="J189" s="348">
        <f t="shared" si="37"/>
        <v>447215</v>
      </c>
      <c r="K189" s="348">
        <f t="shared" si="37"/>
        <v>0</v>
      </c>
    </row>
    <row r="190" spans="1:11">
      <c r="A190" s="333">
        <v>28</v>
      </c>
      <c r="D190" s="344"/>
      <c r="E190" s="196"/>
      <c r="F190" s="347"/>
      <c r="G190" s="548"/>
      <c r="H190" s="539"/>
      <c r="I190" s="540"/>
      <c r="J190" s="347"/>
      <c r="K190" s="347"/>
    </row>
    <row r="191" spans="1:11">
      <c r="A191" s="333">
        <v>29</v>
      </c>
      <c r="C191" s="332" t="str">
        <f>'FR-16(7)(v)-1 Functional'!C191</f>
        <v>NET GAS PLANT IN SERVICE</v>
      </c>
      <c r="D191" s="344"/>
      <c r="E191" s="196"/>
      <c r="F191" s="347">
        <f t="shared" ref="F191:K191" si="38">F189+F184+F176+F171+F166</f>
        <v>90419682</v>
      </c>
      <c r="G191" s="550">
        <f t="shared" si="38"/>
        <v>65706811</v>
      </c>
      <c r="H191" s="543">
        <f t="shared" si="38"/>
        <v>870350</v>
      </c>
      <c r="I191" s="544">
        <f t="shared" si="38"/>
        <v>23842521</v>
      </c>
      <c r="J191" s="347">
        <f t="shared" si="38"/>
        <v>90419682</v>
      </c>
      <c r="K191" s="347">
        <f t="shared" si="38"/>
        <v>0</v>
      </c>
    </row>
    <row r="192" spans="1:11">
      <c r="B192" s="343"/>
      <c r="C192" s="196"/>
      <c r="D192" s="344"/>
      <c r="E192" s="196"/>
      <c r="F192" s="196"/>
      <c r="G192" s="196"/>
      <c r="H192" s="196"/>
      <c r="I192" s="196"/>
      <c r="J192" s="196"/>
      <c r="K192" s="196"/>
    </row>
    <row r="193" spans="1:11">
      <c r="A193" s="343" t="str">
        <f>co_name</f>
        <v>DUKE ENERGY KENTUCKY, INC.</v>
      </c>
      <c r="C193" s="196"/>
      <c r="D193" s="344"/>
      <c r="E193" s="196"/>
      <c r="F193" s="196"/>
      <c r="G193" s="196"/>
      <c r="H193" s="196"/>
      <c r="I193" s="196"/>
      <c r="J193" s="196" t="str">
        <f>$J$1</f>
        <v>FR-16(7)(v)-10</v>
      </c>
      <c r="K193" s="196"/>
    </row>
    <row r="194" spans="1:11">
      <c r="A194" s="343" t="str">
        <f>$A$2</f>
        <v>GS CLASSIFIED - GAS COST OF SERVICE</v>
      </c>
      <c r="C194" s="196"/>
      <c r="D194" s="344"/>
      <c r="E194" s="196"/>
      <c r="F194" s="196"/>
      <c r="G194" s="196"/>
      <c r="H194" s="196"/>
      <c r="I194" s="196"/>
      <c r="J194" s="196" t="str">
        <f>$J$2</f>
        <v>WITNESS RESPONSIBLE:</v>
      </c>
      <c r="K194" s="196"/>
    </row>
    <row r="195" spans="1:11">
      <c r="A195" s="343" t="str">
        <f>case_name</f>
        <v>CASE NO: 2018-00261</v>
      </c>
      <c r="C195" s="196"/>
      <c r="D195" s="344"/>
      <c r="E195" s="196"/>
      <c r="F195" s="196"/>
      <c r="G195" s="196"/>
      <c r="H195" s="196"/>
      <c r="I195" s="196"/>
      <c r="J195" s="196" t="str">
        <f>Witness</f>
        <v>JAMES E. ZIOLKOWSKI</v>
      </c>
      <c r="K195" s="196"/>
    </row>
    <row r="196" spans="1:11">
      <c r="A196" s="343" t="str">
        <f>data_filing</f>
        <v>DATA: 12 MONTH FORECASTED PERIOD</v>
      </c>
      <c r="C196" s="196"/>
      <c r="D196" s="344"/>
      <c r="E196" s="196"/>
      <c r="F196" s="196"/>
      <c r="G196" s="196"/>
      <c r="H196" s="196"/>
      <c r="I196" s="196"/>
      <c r="J196" s="196" t="str">
        <f>"PAGE "&amp;Pages2-10&amp;" OF "&amp;Pages2</f>
        <v>PAGE 5 OF 15</v>
      </c>
      <c r="K196" s="196"/>
    </row>
    <row r="197" spans="1:11">
      <c r="A197" s="343" t="str">
        <f>type</f>
        <v xml:space="preserve">TYPE OF FILING: "X" ORIGINAL   UPDATED    REVISED  </v>
      </c>
      <c r="C197" s="196"/>
      <c r="D197" s="344"/>
      <c r="E197" s="196"/>
      <c r="F197" s="196"/>
      <c r="G197" s="196"/>
      <c r="H197" s="196"/>
      <c r="I197" s="196"/>
      <c r="J197" s="196"/>
      <c r="K197" s="196"/>
    </row>
    <row r="198" spans="1:11">
      <c r="B198" s="343"/>
      <c r="C198" s="196"/>
      <c r="D198" s="344"/>
      <c r="E198" s="196"/>
      <c r="F198" s="196"/>
      <c r="G198" s="196"/>
      <c r="H198" s="196"/>
      <c r="I198" s="196"/>
      <c r="J198" s="196"/>
      <c r="K198" s="196"/>
    </row>
    <row r="199" spans="1:11">
      <c r="B199" s="343"/>
      <c r="C199" s="196"/>
      <c r="D199" s="344"/>
      <c r="E199" s="196"/>
      <c r="F199" s="196"/>
      <c r="G199" s="196"/>
      <c r="H199" s="196"/>
      <c r="I199" s="196"/>
      <c r="J199" s="196"/>
      <c r="K199" s="196"/>
    </row>
    <row r="200" spans="1:11">
      <c r="A200" s="344" t="s">
        <v>914</v>
      </c>
      <c r="B200" s="196"/>
      <c r="C200" s="196"/>
      <c r="D200" s="344"/>
      <c r="E200" s="196"/>
      <c r="F200" s="344" t="s">
        <v>229</v>
      </c>
      <c r="G200" s="545" t="s">
        <v>1005</v>
      </c>
      <c r="H200" s="533"/>
      <c r="I200" s="534"/>
      <c r="J200" s="344" t="s">
        <v>229</v>
      </c>
      <c r="K200" s="344" t="s">
        <v>342</v>
      </c>
    </row>
    <row r="201" spans="1:11">
      <c r="A201" s="346" t="s">
        <v>915</v>
      </c>
      <c r="B201" s="345" t="s">
        <v>953</v>
      </c>
      <c r="C201" s="345"/>
      <c r="D201" s="346" t="s">
        <v>337</v>
      </c>
      <c r="E201" s="345"/>
      <c r="F201" s="346" t="str">
        <f>$F$9</f>
        <v>GS</v>
      </c>
      <c r="G201" s="546" t="s">
        <v>847</v>
      </c>
      <c r="H201" s="535" t="s">
        <v>848</v>
      </c>
      <c r="I201" s="536" t="s">
        <v>849</v>
      </c>
      <c r="J201" s="346" t="s">
        <v>341</v>
      </c>
      <c r="K201" s="346" t="s">
        <v>340</v>
      </c>
    </row>
    <row r="202" spans="1:11">
      <c r="C202" s="578" t="s">
        <v>347</v>
      </c>
      <c r="D202" s="344"/>
      <c r="E202" s="196"/>
      <c r="G202" s="800">
        <f>$G$10</f>
        <v>3</v>
      </c>
      <c r="H202" s="801">
        <f>$H$10</f>
        <v>4</v>
      </c>
      <c r="I202" s="802">
        <f>$I$10</f>
        <v>5</v>
      </c>
    </row>
    <row r="203" spans="1:11">
      <c r="A203" s="333">
        <v>1</v>
      </c>
      <c r="B203" s="332" t="s">
        <v>26</v>
      </c>
      <c r="D203" s="344"/>
      <c r="E203" s="196"/>
      <c r="G203" s="547"/>
      <c r="H203" s="537"/>
      <c r="I203" s="538"/>
    </row>
    <row r="204" spans="1:11">
      <c r="A204" s="333">
        <v>2</v>
      </c>
      <c r="B204" s="332" t="s">
        <v>823</v>
      </c>
      <c r="D204" s="344"/>
      <c r="E204" s="196"/>
      <c r="G204" s="547"/>
      <c r="H204" s="537"/>
      <c r="I204" s="538"/>
    </row>
    <row r="205" spans="1:11">
      <c r="A205" s="333">
        <v>3</v>
      </c>
      <c r="B205" s="332" t="s">
        <v>27</v>
      </c>
      <c r="D205" s="344"/>
      <c r="E205" s="196"/>
      <c r="G205" s="547"/>
      <c r="H205" s="537"/>
      <c r="I205" s="538"/>
    </row>
    <row r="206" spans="1:11">
      <c r="A206" s="333">
        <v>4</v>
      </c>
      <c r="C206" s="332" t="str">
        <f>'FR-16(7)(v)-1 Functional'!C206</f>
        <v>LIBERALIZED DEPRECIATION</v>
      </c>
      <c r="D206" s="344" t="str">
        <f>'FR-16(7)(v)-1 Functional'!D206</f>
        <v>NP29</v>
      </c>
      <c r="E206" s="332" t="s">
        <v>343</v>
      </c>
      <c r="F206" s="479">
        <f>'FR-16(7)(v)-8 TOT CLASS Alloc'!H206</f>
        <v>11906603</v>
      </c>
      <c r="G206" s="548">
        <f>'FR-16(7)(v)-5 DISTR Dem Alloc'!H206</f>
        <v>8652481</v>
      </c>
      <c r="H206" s="539">
        <f>'FR-16(7)(v)-3 PROD Comm Alloc'!H206</f>
        <v>114600</v>
      </c>
      <c r="I206" s="540">
        <f>'FR-16(7)(v)-6 DISTR Cust Alloc'!H206</f>
        <v>3139522</v>
      </c>
      <c r="J206" s="347">
        <f t="shared" ref="J206:J214" si="39">SUM(G206:I206)</f>
        <v>11906603</v>
      </c>
      <c r="K206" s="347">
        <f t="shared" ref="K206:K214" si="40">F206-J206</f>
        <v>0</v>
      </c>
    </row>
    <row r="207" spans="1:11">
      <c r="A207" s="333">
        <v>5</v>
      </c>
      <c r="C207" s="332" t="str">
        <f>'FR-16(7)(v)-1 Functional'!C207</f>
        <v>LEASED METERS</v>
      </c>
      <c r="D207" s="344" t="str">
        <f>'FR-16(7)(v)-1 Functional'!D207</f>
        <v>K413</v>
      </c>
      <c r="E207" s="332" t="s">
        <v>343</v>
      </c>
      <c r="F207" s="479">
        <f>'FR-16(7)(v)-8 TOT CLASS Alloc'!H207</f>
        <v>331594</v>
      </c>
      <c r="G207" s="548">
        <f>'FR-16(7)(v)-5 DISTR Dem Alloc'!H207</f>
        <v>0</v>
      </c>
      <c r="H207" s="539">
        <f>'FR-16(7)(v)-3 PROD Comm Alloc'!H207</f>
        <v>0</v>
      </c>
      <c r="I207" s="540">
        <f>'FR-16(7)(v)-6 DISTR Cust Alloc'!H207</f>
        <v>331594</v>
      </c>
      <c r="J207" s="347">
        <f t="shared" si="39"/>
        <v>331594</v>
      </c>
      <c r="K207" s="347">
        <f t="shared" si="40"/>
        <v>0</v>
      </c>
    </row>
    <row r="208" spans="1:11">
      <c r="A208" s="333">
        <v>6</v>
      </c>
      <c r="C208" s="332" t="str">
        <f>'FR-16(7)(v)-1 Functional'!C208</f>
        <v>CONTRIB AID CONSTR</v>
      </c>
      <c r="D208" s="344" t="str">
        <f>'FR-16(7)(v)-1 Functional'!D208</f>
        <v>D249</v>
      </c>
      <c r="E208" s="332" t="s">
        <v>343</v>
      </c>
      <c r="F208" s="479">
        <f>'FR-16(7)(v)-8 TOT CLASS Alloc'!H208</f>
        <v>-41911</v>
      </c>
      <c r="G208" s="548">
        <f>'FR-16(7)(v)-5 DISTR Dem Alloc'!H208</f>
        <v>-30956</v>
      </c>
      <c r="H208" s="539">
        <f>'FR-16(7)(v)-3 PROD Comm Alloc'!H208</f>
        <v>0</v>
      </c>
      <c r="I208" s="540">
        <f>'FR-16(7)(v)-6 DISTR Cust Alloc'!H208</f>
        <v>-10955</v>
      </c>
      <c r="J208" s="347">
        <f t="shared" si="39"/>
        <v>-41911</v>
      </c>
      <c r="K208" s="347">
        <f t="shared" si="40"/>
        <v>0</v>
      </c>
    </row>
    <row r="209" spans="1:11">
      <c r="A209" s="333">
        <v>7</v>
      </c>
      <c r="C209" s="332" t="str">
        <f>'FR-16(7)(v)-1 Functional'!C209</f>
        <v>CAPITALIZED INTEREST</v>
      </c>
      <c r="D209" s="344" t="str">
        <f>'FR-16(7)(v)-1 Functional'!D209</f>
        <v>NP29</v>
      </c>
      <c r="E209" s="332" t="s">
        <v>343</v>
      </c>
      <c r="F209" s="479">
        <f>'FR-16(7)(v)-8 TOT CLASS Alloc'!H209</f>
        <v>-211709</v>
      </c>
      <c r="G209" s="548">
        <f>'FR-16(7)(v)-5 DISTR Dem Alloc'!H209</f>
        <v>-153848</v>
      </c>
      <c r="H209" s="539">
        <f>'FR-16(7)(v)-3 PROD Comm Alloc'!H209</f>
        <v>-2038</v>
      </c>
      <c r="I209" s="540">
        <f>'FR-16(7)(v)-6 DISTR Cust Alloc'!H209</f>
        <v>-55823</v>
      </c>
      <c r="J209" s="347">
        <f t="shared" si="39"/>
        <v>-211709</v>
      </c>
      <c r="K209" s="347">
        <f t="shared" si="40"/>
        <v>0</v>
      </c>
    </row>
    <row r="210" spans="1:11">
      <c r="A210" s="333">
        <v>8</v>
      </c>
      <c r="C210" s="332" t="str">
        <f>'FR-16(7)(v)-1 Functional'!C210</f>
        <v>AFUDC IN DEBT</v>
      </c>
      <c r="D210" s="344" t="str">
        <f>'FR-16(7)(v)-1 Functional'!D210</f>
        <v>NP29</v>
      </c>
      <c r="E210" s="332" t="s">
        <v>343</v>
      </c>
      <c r="F210" s="479">
        <f>'FR-16(7)(v)-8 TOT CLASS Alloc'!H210</f>
        <v>57081</v>
      </c>
      <c r="G210" s="548">
        <f>'FR-16(7)(v)-5 DISTR Dem Alloc'!H210</f>
        <v>41480</v>
      </c>
      <c r="H210" s="539">
        <f>'FR-16(7)(v)-3 PROD Comm Alloc'!H210</f>
        <v>550</v>
      </c>
      <c r="I210" s="540">
        <f>'FR-16(7)(v)-6 DISTR Cust Alloc'!H210</f>
        <v>15051</v>
      </c>
      <c r="J210" s="347">
        <f t="shared" si="39"/>
        <v>57081</v>
      </c>
      <c r="K210" s="347">
        <f t="shared" si="40"/>
        <v>0</v>
      </c>
    </row>
    <row r="211" spans="1:11">
      <c r="A211" s="333">
        <v>9</v>
      </c>
      <c r="C211" s="332" t="str">
        <f>'FR-16(7)(v)-1 Functional'!C211</f>
        <v>CWIP DIFFERENCES</v>
      </c>
      <c r="D211" s="344" t="str">
        <f>'FR-16(7)(v)-1 Functional'!D211</f>
        <v>NP29</v>
      </c>
      <c r="E211" s="332" t="s">
        <v>343</v>
      </c>
      <c r="F211" s="479">
        <f>'FR-16(7)(v)-8 TOT CLASS Alloc'!H211</f>
        <v>0</v>
      </c>
      <c r="G211" s="548">
        <f>'FR-16(7)(v)-5 DISTR Dem Alloc'!H211</f>
        <v>0</v>
      </c>
      <c r="H211" s="539">
        <f>'FR-16(7)(v)-3 PROD Comm Alloc'!H211</f>
        <v>0</v>
      </c>
      <c r="I211" s="540">
        <f>'FR-16(7)(v)-6 DISTR Cust Alloc'!H211</f>
        <v>0</v>
      </c>
      <c r="J211" s="347">
        <f t="shared" si="39"/>
        <v>0</v>
      </c>
      <c r="K211" s="347">
        <f t="shared" si="40"/>
        <v>0</v>
      </c>
    </row>
    <row r="212" spans="1:11">
      <c r="A212" s="333">
        <v>10</v>
      </c>
      <c r="C212" s="332" t="str">
        <f>'FR-16(7)(v)-1 Functional'!C212</f>
        <v>NON-CASH OVERHEADS</v>
      </c>
      <c r="D212" s="344" t="str">
        <f>'FR-16(7)(v)-1 Functional'!D212</f>
        <v>AG39</v>
      </c>
      <c r="E212" s="332" t="s">
        <v>343</v>
      </c>
      <c r="F212" s="479">
        <f>'FR-16(7)(v)-8 TOT CLASS Alloc'!H212</f>
        <v>-106369</v>
      </c>
      <c r="G212" s="548">
        <f>'FR-16(7)(v)-5 DISTR Dem Alloc'!H212</f>
        <v>-53194</v>
      </c>
      <c r="H212" s="539">
        <f>'FR-16(7)(v)-3 PROD Comm Alloc'!H212</f>
        <v>-15993</v>
      </c>
      <c r="I212" s="540">
        <f>'FR-16(7)(v)-6 DISTR Cust Alloc'!H212</f>
        <v>-37182</v>
      </c>
      <c r="J212" s="347">
        <f t="shared" si="39"/>
        <v>-106369</v>
      </c>
      <c r="K212" s="347">
        <f t="shared" si="40"/>
        <v>0</v>
      </c>
    </row>
    <row r="213" spans="1:11">
      <c r="A213" s="333">
        <v>11</v>
      </c>
      <c r="C213" s="332" t="str">
        <f>'FR-16(7)(v)-1 Functional'!C213</f>
        <v>PLANT FAS 109</v>
      </c>
      <c r="D213" s="344" t="str">
        <f>'FR-16(7)(v)-1 Functional'!D213</f>
        <v>NP29</v>
      </c>
      <c r="E213" s="332" t="s">
        <v>343</v>
      </c>
      <c r="F213" s="479">
        <f>'FR-16(7)(v)-8 TOT CLASS Alloc'!H213</f>
        <v>0</v>
      </c>
      <c r="G213" s="548">
        <f>'FR-16(7)(v)-5 DISTR Dem Alloc'!H213</f>
        <v>0</v>
      </c>
      <c r="H213" s="539">
        <f>'FR-16(7)(v)-3 PROD Comm Alloc'!H213</f>
        <v>0</v>
      </c>
      <c r="I213" s="540">
        <f>'FR-16(7)(v)-6 DISTR Cust Alloc'!H213</f>
        <v>0</v>
      </c>
      <c r="J213" s="347">
        <f t="shared" si="39"/>
        <v>0</v>
      </c>
      <c r="K213" s="347">
        <f t="shared" si="40"/>
        <v>0</v>
      </c>
    </row>
    <row r="214" spans="1:11">
      <c r="A214" s="333">
        <v>12</v>
      </c>
      <c r="C214" s="365" t="str">
        <f>'FR-16(7)(v)-1 Functional'!C214</f>
        <v>MISCELLANEOUS</v>
      </c>
      <c r="D214" s="344" t="str">
        <f>'FR-16(7)(v)-1 Functional'!D214</f>
        <v>AG39</v>
      </c>
      <c r="F214" s="479">
        <f>'FR-16(7)(v)-8 TOT CLASS Alloc'!H214</f>
        <v>1872941</v>
      </c>
      <c r="G214" s="548">
        <f>'FR-16(7)(v)-5 DISTR Dem Alloc'!H214</f>
        <v>936634</v>
      </c>
      <c r="H214" s="539">
        <f>'FR-16(7)(v)-3 PROD Comm Alloc'!H214</f>
        <v>281606</v>
      </c>
      <c r="I214" s="540">
        <f>'FR-16(7)(v)-6 DISTR Cust Alloc'!H214</f>
        <v>654701</v>
      </c>
      <c r="J214" s="347">
        <f t="shared" si="39"/>
        <v>1872941</v>
      </c>
      <c r="K214" s="347">
        <f t="shared" si="40"/>
        <v>0</v>
      </c>
    </row>
    <row r="215" spans="1:11">
      <c r="A215" s="333">
        <v>13</v>
      </c>
      <c r="C215" s="339" t="str">
        <f>'FR-16(7)(v)-1 Functional'!C215</f>
        <v xml:space="preserve">  TOTAL ACCOUNT 282</v>
      </c>
      <c r="D215" s="344"/>
      <c r="F215" s="348">
        <f t="shared" ref="F215:K215" si="41">SUM(F206:F214)</f>
        <v>13808230</v>
      </c>
      <c r="G215" s="549">
        <f t="shared" si="41"/>
        <v>9392597</v>
      </c>
      <c r="H215" s="541">
        <f t="shared" si="41"/>
        <v>378725</v>
      </c>
      <c r="I215" s="542">
        <f t="shared" si="41"/>
        <v>4036908</v>
      </c>
      <c r="J215" s="348">
        <f t="shared" si="41"/>
        <v>13808230</v>
      </c>
      <c r="K215" s="348">
        <f t="shared" si="41"/>
        <v>0</v>
      </c>
    </row>
    <row r="216" spans="1:11">
      <c r="A216" s="333">
        <v>14</v>
      </c>
      <c r="D216" s="344"/>
      <c r="E216" s="196"/>
      <c r="G216" s="547"/>
      <c r="H216" s="537"/>
      <c r="I216" s="538"/>
    </row>
    <row r="217" spans="1:11">
      <c r="A217" s="333">
        <v>15</v>
      </c>
      <c r="B217" s="332" t="s">
        <v>28</v>
      </c>
      <c r="D217" s="344"/>
      <c r="E217" s="196"/>
      <c r="G217" s="547"/>
      <c r="H217" s="537"/>
      <c r="I217" s="538"/>
    </row>
    <row r="218" spans="1:11">
      <c r="A218" s="333">
        <v>16</v>
      </c>
      <c r="C218" s="332" t="str">
        <f>'FR-16(7)(v)-1 Functional'!C218</f>
        <v>BLANK</v>
      </c>
      <c r="D218" s="344" t="str">
        <f>'FR-16(7)(v)-1 Functional'!D218</f>
        <v>K413</v>
      </c>
      <c r="F218" s="479">
        <f>'FR-16(7)(v)-8 TOT CLASS Alloc'!H218</f>
        <v>0</v>
      </c>
      <c r="G218" s="548">
        <f>'FR-16(7)(v)-5 DISTR Dem Alloc'!H218</f>
        <v>0</v>
      </c>
      <c r="H218" s="539">
        <f>'FR-16(7)(v)-3 PROD Comm Alloc'!H218</f>
        <v>0</v>
      </c>
      <c r="I218" s="540">
        <f>'FR-16(7)(v)-6 DISTR Cust Alloc'!H218</f>
        <v>0</v>
      </c>
      <c r="J218" s="347">
        <f t="shared" ref="J218:J228" si="42">SUM(G218:I218)</f>
        <v>0</v>
      </c>
      <c r="K218" s="347">
        <f t="shared" ref="K218:K228" si="43">F218-J218</f>
        <v>0</v>
      </c>
    </row>
    <row r="219" spans="1:11">
      <c r="A219" s="333">
        <v>17</v>
      </c>
      <c r="C219" s="332" t="str">
        <f>'FR-16(7)(v)-1 Functional'!C219</f>
        <v>BLANK</v>
      </c>
      <c r="D219" s="344" t="str">
        <f>'FR-16(7)(v)-1 Functional'!D219</f>
        <v>K413</v>
      </c>
      <c r="F219" s="479">
        <f>'FR-16(7)(v)-8 TOT CLASS Alloc'!H219</f>
        <v>0</v>
      </c>
      <c r="G219" s="548">
        <f>'FR-16(7)(v)-5 DISTR Dem Alloc'!H219</f>
        <v>0</v>
      </c>
      <c r="H219" s="539">
        <f>'FR-16(7)(v)-3 PROD Comm Alloc'!H219</f>
        <v>0</v>
      </c>
      <c r="I219" s="540">
        <f>'FR-16(7)(v)-6 DISTR Cust Alloc'!H219</f>
        <v>0</v>
      </c>
      <c r="J219" s="347">
        <f t="shared" si="42"/>
        <v>0</v>
      </c>
      <c r="K219" s="347">
        <f t="shared" si="43"/>
        <v>0</v>
      </c>
    </row>
    <row r="220" spans="1:11">
      <c r="A220" s="333">
        <v>18</v>
      </c>
      <c r="C220" s="332" t="str">
        <f>'FR-16(7)(v)-1 Functional'!C220</f>
        <v>UNRECOVERED PURCHASED GAS COST</v>
      </c>
      <c r="D220" s="344" t="str">
        <f>'FR-16(7)(v)-1 Functional'!D220</f>
        <v>AG39</v>
      </c>
      <c r="F220" s="479">
        <f>'FR-16(7)(v)-8 TOT CLASS Alloc'!H220</f>
        <v>3968</v>
      </c>
      <c r="G220" s="548">
        <f>'FR-16(7)(v)-5 DISTR Dem Alloc'!H220</f>
        <v>1984</v>
      </c>
      <c r="H220" s="539">
        <f>'FR-16(7)(v)-3 PROD Comm Alloc'!H220</f>
        <v>597</v>
      </c>
      <c r="I220" s="540">
        <f>'FR-16(7)(v)-6 DISTR Cust Alloc'!H220</f>
        <v>1387</v>
      </c>
      <c r="J220" s="347">
        <f t="shared" si="42"/>
        <v>3968</v>
      </c>
      <c r="K220" s="347">
        <f t="shared" si="43"/>
        <v>0</v>
      </c>
    </row>
    <row r="221" spans="1:11">
      <c r="A221" s="333">
        <v>19</v>
      </c>
      <c r="C221" s="332" t="str">
        <f>'FR-16(7)(v)-1 Functional'!C221</f>
        <v>ENVIRONMENTAL RESERVE</v>
      </c>
      <c r="D221" s="344" t="str">
        <f>'FR-16(7)(v)-1 Functional'!D221</f>
        <v>NP29</v>
      </c>
      <c r="F221" s="479">
        <f>'FR-16(7)(v)-8 TOT CLASS Alloc'!H221</f>
        <v>0</v>
      </c>
      <c r="G221" s="548">
        <f>'FR-16(7)(v)-5 DISTR Dem Alloc'!H221</f>
        <v>0</v>
      </c>
      <c r="H221" s="539">
        <f>'FR-16(7)(v)-3 PROD Comm Alloc'!H221</f>
        <v>0</v>
      </c>
      <c r="I221" s="540">
        <f>'FR-16(7)(v)-6 DISTR Cust Alloc'!H221</f>
        <v>0</v>
      </c>
      <c r="J221" s="347">
        <f t="shared" si="42"/>
        <v>0</v>
      </c>
      <c r="K221" s="347">
        <f t="shared" si="43"/>
        <v>0</v>
      </c>
    </row>
    <row r="222" spans="1:11">
      <c r="A222" s="333">
        <v>20</v>
      </c>
      <c r="C222" s="332" t="str">
        <f>'FR-16(7)(v)-1 Functional'!C222</f>
        <v>POST IN-SERVICE CARRYING COSTS</v>
      </c>
      <c r="D222" s="344" t="str">
        <f>'FR-16(7)(v)-1 Functional'!D222</f>
        <v>K667</v>
      </c>
      <c r="F222" s="479">
        <f>'FR-16(7)(v)-8 TOT CLASS Alloc'!H222</f>
        <v>0</v>
      </c>
      <c r="G222" s="548">
        <f>'FR-16(7)(v)-5 DISTR Dem Alloc'!H222</f>
        <v>0</v>
      </c>
      <c r="H222" s="539">
        <f>'FR-16(7)(v)-3 PROD Comm Alloc'!H222</f>
        <v>0</v>
      </c>
      <c r="I222" s="540">
        <f>'FR-16(7)(v)-6 DISTR Cust Alloc'!H222</f>
        <v>0</v>
      </c>
      <c r="J222" s="347">
        <f t="shared" si="42"/>
        <v>0</v>
      </c>
      <c r="K222" s="347">
        <f t="shared" si="43"/>
        <v>0</v>
      </c>
    </row>
    <row r="223" spans="1:11">
      <c r="A223" s="333">
        <v>21</v>
      </c>
      <c r="C223" s="332" t="str">
        <f>'FR-16(7)(v)-1 Functional'!C223</f>
        <v>ARO CUMULATIVE EFFECT</v>
      </c>
      <c r="D223" s="344" t="str">
        <f>'FR-16(7)(v)-1 Functional'!D223</f>
        <v>NP29</v>
      </c>
      <c r="F223" s="479">
        <f>'FR-16(7)(v)-8 TOT CLASS Alloc'!H223</f>
        <v>0</v>
      </c>
      <c r="G223" s="548">
        <f>'FR-16(7)(v)-5 DISTR Dem Alloc'!H223</f>
        <v>0</v>
      </c>
      <c r="H223" s="539">
        <f>'FR-16(7)(v)-3 PROD Comm Alloc'!H223</f>
        <v>0</v>
      </c>
      <c r="I223" s="540">
        <f>'FR-16(7)(v)-6 DISTR Cust Alloc'!H223</f>
        <v>0</v>
      </c>
      <c r="J223" s="347">
        <f t="shared" si="42"/>
        <v>0</v>
      </c>
      <c r="K223" s="347">
        <f t="shared" si="43"/>
        <v>0</v>
      </c>
    </row>
    <row r="224" spans="1:11">
      <c r="A224" s="333">
        <v>22</v>
      </c>
      <c r="C224" s="332" t="str">
        <f>'FR-16(7)(v)-1 Functional'!C224</f>
        <v>LOSS ON REACQUIRED DEBT</v>
      </c>
      <c r="D224" s="344" t="str">
        <f>'FR-16(7)(v)-1 Functional'!D224</f>
        <v>NP29</v>
      </c>
      <c r="F224" s="479">
        <f>'FR-16(7)(v)-8 TOT CLASS Alloc'!H224</f>
        <v>3854</v>
      </c>
      <c r="G224" s="548">
        <f>'FR-16(7)(v)-5 DISTR Dem Alloc'!H224</f>
        <v>2801</v>
      </c>
      <c r="H224" s="539">
        <f>'FR-16(7)(v)-3 PROD Comm Alloc'!H224</f>
        <v>37</v>
      </c>
      <c r="I224" s="540">
        <f>'FR-16(7)(v)-6 DISTR Cust Alloc'!H224</f>
        <v>1016</v>
      </c>
      <c r="J224" s="347">
        <f t="shared" si="42"/>
        <v>3854</v>
      </c>
      <c r="K224" s="347">
        <f t="shared" si="43"/>
        <v>0</v>
      </c>
    </row>
    <row r="225" spans="1:11">
      <c r="A225" s="333">
        <v>23</v>
      </c>
      <c r="C225" s="332" t="str">
        <f>'FR-16(7)(v)-1 Functional'!C225</f>
        <v>VACATION PAY ACCRUAL</v>
      </c>
      <c r="D225" s="344" t="str">
        <f>'FR-16(7)(v)-1 Functional'!D225</f>
        <v>AG39</v>
      </c>
      <c r="F225" s="479">
        <f>'FR-16(7)(v)-8 TOT CLASS Alloc'!H225</f>
        <v>18179</v>
      </c>
      <c r="G225" s="548">
        <f>'FR-16(7)(v)-5 DISTR Dem Alloc'!H225</f>
        <v>9091</v>
      </c>
      <c r="H225" s="539">
        <f>'FR-16(7)(v)-3 PROD Comm Alloc'!H225</f>
        <v>2733</v>
      </c>
      <c r="I225" s="540">
        <f>'FR-16(7)(v)-6 DISTR Cust Alloc'!H225</f>
        <v>6355</v>
      </c>
      <c r="J225" s="347">
        <f t="shared" si="42"/>
        <v>18179</v>
      </c>
      <c r="K225" s="347">
        <f t="shared" si="43"/>
        <v>0</v>
      </c>
    </row>
    <row r="226" spans="1:11">
      <c r="A226" s="333">
        <v>24</v>
      </c>
      <c r="C226" s="618" t="str">
        <f>'FR-16(7)(v)-1 Functional'!C226</f>
        <v>RATE CASE EXPENSE AMORT</v>
      </c>
      <c r="D226" s="344" t="str">
        <f>'FR-16(7)(v)-1 Functional'!D226</f>
        <v>AG39</v>
      </c>
      <c r="F226" s="479">
        <f>'FR-16(7)(v)-8 TOT CLASS Alloc'!H226</f>
        <v>-4969</v>
      </c>
      <c r="G226" s="548">
        <f>'FR-16(7)(v)-5 DISTR Dem Alloc'!H226</f>
        <v>-2485</v>
      </c>
      <c r="H226" s="539">
        <f>'FR-16(7)(v)-3 PROD Comm Alloc'!H226</f>
        <v>-747</v>
      </c>
      <c r="I226" s="540">
        <f>'FR-16(7)(v)-6 DISTR Cust Alloc'!H226</f>
        <v>-1737</v>
      </c>
      <c r="J226" s="347">
        <f>SUM(G226:I226)</f>
        <v>-4969</v>
      </c>
      <c r="K226" s="347">
        <f>F226-J226</f>
        <v>0</v>
      </c>
    </row>
    <row r="227" spans="1:11">
      <c r="A227" s="333">
        <v>25</v>
      </c>
      <c r="C227" s="332" t="str">
        <f>'FR-16(7)(v)-1 Functional'!C227</f>
        <v>PENSION</v>
      </c>
      <c r="D227" s="344" t="str">
        <f>'FR-16(7)(v)-1 Functional'!D227</f>
        <v>AG39</v>
      </c>
      <c r="F227" s="479">
        <f>'FR-16(7)(v)-8 TOT CLASS Alloc'!H227</f>
        <v>317601</v>
      </c>
      <c r="G227" s="548">
        <f>'FR-16(7)(v)-5 DISTR Dem Alloc'!H227</f>
        <v>158828</v>
      </c>
      <c r="H227" s="539">
        <f>'FR-16(7)(v)-3 PROD Comm Alloc'!H227</f>
        <v>47753</v>
      </c>
      <c r="I227" s="540">
        <f>'FR-16(7)(v)-6 DISTR Cust Alloc'!H227</f>
        <v>111020</v>
      </c>
      <c r="J227" s="347">
        <f>SUM(G227:I227)</f>
        <v>317601</v>
      </c>
      <c r="K227" s="347">
        <f>F227-J227</f>
        <v>0</v>
      </c>
    </row>
    <row r="228" spans="1:11">
      <c r="A228" s="333">
        <v>26</v>
      </c>
      <c r="C228" s="365" t="str">
        <f>'FR-16(7)(v)-1 Functional'!C228</f>
        <v>MISCELLANEOUS</v>
      </c>
      <c r="D228" s="344" t="str">
        <f>'FR-16(7)(v)-1 Functional'!D228</f>
        <v>K406</v>
      </c>
      <c r="F228" s="479">
        <f>'FR-16(7)(v)-8 TOT CLASS Alloc'!H228</f>
        <v>50959</v>
      </c>
      <c r="G228" s="548">
        <f>'FR-16(7)(v)-5 DISTR Dem Alloc'!H228</f>
        <v>0</v>
      </c>
      <c r="H228" s="539">
        <f>'FR-16(7)(v)-3 PROD Comm Alloc'!H228</f>
        <v>0</v>
      </c>
      <c r="I228" s="540">
        <f>'FR-16(7)(v)-6 DISTR Cust Alloc'!H228</f>
        <v>50959</v>
      </c>
      <c r="J228" s="347">
        <f t="shared" si="42"/>
        <v>50959</v>
      </c>
      <c r="K228" s="347">
        <f t="shared" si="43"/>
        <v>0</v>
      </c>
    </row>
    <row r="229" spans="1:11">
      <c r="A229" s="333">
        <v>27</v>
      </c>
      <c r="C229" s="339" t="str">
        <f>'FR-16(7)(v)-1 Functional'!C229</f>
        <v xml:space="preserve">  TOTAL ACCOUNT 283</v>
      </c>
      <c r="D229" s="344"/>
      <c r="F229" s="348">
        <f t="shared" ref="F229:K229" si="44">SUM(F217:F228)</f>
        <v>389592</v>
      </c>
      <c r="G229" s="549">
        <f t="shared" si="44"/>
        <v>170219</v>
      </c>
      <c r="H229" s="541">
        <f t="shared" si="44"/>
        <v>50373</v>
      </c>
      <c r="I229" s="542">
        <f t="shared" si="44"/>
        <v>169000</v>
      </c>
      <c r="J229" s="348">
        <f t="shared" si="44"/>
        <v>389592</v>
      </c>
      <c r="K229" s="348">
        <f t="shared" si="44"/>
        <v>0</v>
      </c>
    </row>
    <row r="230" spans="1:11">
      <c r="A230" s="333">
        <v>28</v>
      </c>
      <c r="D230" s="344"/>
      <c r="E230" s="196"/>
      <c r="G230" s="547"/>
      <c r="H230" s="537"/>
      <c r="I230" s="538"/>
    </row>
    <row r="231" spans="1:11">
      <c r="A231" s="333">
        <v>29</v>
      </c>
      <c r="B231" s="353" t="s">
        <v>824</v>
      </c>
      <c r="C231" s="353"/>
      <c r="D231" s="344"/>
      <c r="E231" s="196"/>
      <c r="G231" s="547"/>
      <c r="H231" s="537"/>
      <c r="I231" s="538"/>
    </row>
    <row r="232" spans="1:11">
      <c r="A232" s="333">
        <v>30</v>
      </c>
      <c r="C232" s="332" t="str">
        <f>'FR-16(7)(v)-1 Functional'!C232</f>
        <v>CUSTOMER ADVANCES FOR CONSTRUCTION</v>
      </c>
      <c r="D232" s="344" t="s">
        <v>312</v>
      </c>
      <c r="E232" s="196"/>
      <c r="F232" s="479">
        <f>'FR-16(7)(v)-8 TOT CLASS Alloc'!H232</f>
        <v>357611</v>
      </c>
      <c r="G232" s="548">
        <f>'FR-16(7)(v)-5 DISTR Dem Alloc'!H232</f>
        <v>264139</v>
      </c>
      <c r="H232" s="539">
        <f>'FR-16(7)(v)-3 PROD Comm Alloc'!H232</f>
        <v>0</v>
      </c>
      <c r="I232" s="540">
        <f>'FR-16(7)(v)-6 DISTR Cust Alloc'!H232</f>
        <v>93472</v>
      </c>
      <c r="J232" s="347">
        <f>SUM(G232:I232)</f>
        <v>357611</v>
      </c>
      <c r="K232" s="347">
        <f>F232-J232</f>
        <v>0</v>
      </c>
    </row>
    <row r="233" spans="1:11">
      <c r="A233" s="333">
        <v>31</v>
      </c>
      <c r="C233" s="332" t="str">
        <f>'FR-16(7)(v)-1 Functional'!C233</f>
        <v>CUSTOMER SERVICE DEPOSITS</v>
      </c>
      <c r="D233" s="344" t="str">
        <f>'FR-16(7)(v)-1 Functional'!D233</f>
        <v>D249</v>
      </c>
      <c r="E233" s="196"/>
      <c r="F233" s="479">
        <f>'FR-16(7)(v)-8 TOT CLASS Alloc'!H233</f>
        <v>0</v>
      </c>
      <c r="G233" s="548">
        <f>'FR-16(7)(v)-5 DISTR Dem Alloc'!H233</f>
        <v>0</v>
      </c>
      <c r="H233" s="539">
        <f>'FR-16(7)(v)-3 PROD Comm Alloc'!H233</f>
        <v>0</v>
      </c>
      <c r="I233" s="540">
        <f>'FR-16(7)(v)-6 DISTR Cust Alloc'!H233</f>
        <v>0</v>
      </c>
      <c r="J233" s="347">
        <f>SUM(G233:I233)</f>
        <v>0</v>
      </c>
      <c r="K233" s="347">
        <f>F233-J233</f>
        <v>0</v>
      </c>
    </row>
    <row r="234" spans="1:11">
      <c r="A234" s="333">
        <v>32</v>
      </c>
      <c r="C234" s="332" t="str">
        <f>'FR-16(7)(v)-1 Functional'!C234</f>
        <v>POST RETIREMENT BENEFITS</v>
      </c>
      <c r="D234" s="344" t="str">
        <f>'FR-16(7)(v)-1 Functional'!D234</f>
        <v>AG39</v>
      </c>
      <c r="E234" s="196"/>
      <c r="F234" s="479">
        <f>'FR-16(7)(v)-8 TOT CLASS Alloc'!H234</f>
        <v>0</v>
      </c>
      <c r="G234" s="548">
        <f>'FR-16(7)(v)-5 DISTR Dem Alloc'!H234</f>
        <v>0</v>
      </c>
      <c r="H234" s="539">
        <f>'FR-16(7)(v)-3 PROD Comm Alloc'!H234</f>
        <v>0</v>
      </c>
      <c r="I234" s="540">
        <f>'FR-16(7)(v)-6 DISTR Cust Alloc'!H234</f>
        <v>0</v>
      </c>
      <c r="J234" s="347">
        <f>SUM(G234:I234)</f>
        <v>0</v>
      </c>
      <c r="K234" s="347">
        <f>F234-J234</f>
        <v>0</v>
      </c>
    </row>
    <row r="235" spans="1:11">
      <c r="A235" s="333">
        <v>33</v>
      </c>
      <c r="C235" s="365" t="str">
        <f>'FR-16(7)(v)-1 Functional'!C235</f>
        <v>EDIT</v>
      </c>
      <c r="D235" s="344" t="str">
        <f>'FR-16(7)(v)-1 Functional'!D235</f>
        <v>NP29</v>
      </c>
      <c r="E235" s="196"/>
      <c r="F235" s="479">
        <f>'FR-16(7)(v)-8 TOT CLASS Alloc'!H235</f>
        <v>7060692</v>
      </c>
      <c r="G235" s="548">
        <f>'FR-16(7)(v)-5 DISTR Dem Alloc'!H235</f>
        <v>5130976</v>
      </c>
      <c r="H235" s="539">
        <f>'FR-16(7)(v)-3 PROD Comm Alloc'!H235</f>
        <v>67959</v>
      </c>
      <c r="I235" s="540">
        <f>'FR-16(7)(v)-6 DISTR Cust Alloc'!H235</f>
        <v>1861757</v>
      </c>
      <c r="J235" s="347">
        <f>SUM(G235:I235)</f>
        <v>7060692</v>
      </c>
      <c r="K235" s="347">
        <f>F235-J235</f>
        <v>0</v>
      </c>
    </row>
    <row r="236" spans="1:11">
      <c r="A236" s="333">
        <v>34</v>
      </c>
      <c r="C236" s="339" t="str">
        <f>'FR-16(7)(v)-1 Functional'!C236</f>
        <v xml:space="preserve">  TOTAL OTHER SUBTRACTIVE ADJS</v>
      </c>
      <c r="D236" s="344"/>
      <c r="E236" s="196"/>
      <c r="F236" s="348">
        <f t="shared" ref="F236:K236" si="45">SUM(F231:F235)</f>
        <v>7418303</v>
      </c>
      <c r="G236" s="549">
        <f t="shared" si="45"/>
        <v>5395115</v>
      </c>
      <c r="H236" s="541">
        <f t="shared" si="45"/>
        <v>67959</v>
      </c>
      <c r="I236" s="542">
        <f t="shared" si="45"/>
        <v>1955229</v>
      </c>
      <c r="J236" s="348">
        <f t="shared" si="45"/>
        <v>7418303</v>
      </c>
      <c r="K236" s="348">
        <f t="shared" si="45"/>
        <v>0</v>
      </c>
    </row>
    <row r="237" spans="1:11">
      <c r="A237" s="333">
        <v>35</v>
      </c>
      <c r="D237" s="344"/>
      <c r="E237" s="196"/>
      <c r="G237" s="547"/>
      <c r="H237" s="537"/>
      <c r="I237" s="538"/>
    </row>
    <row r="238" spans="1:11">
      <c r="A238" s="333">
        <v>36</v>
      </c>
      <c r="B238" s="332" t="s">
        <v>828</v>
      </c>
      <c r="D238" s="344"/>
      <c r="E238" s="196"/>
      <c r="F238" s="347">
        <f t="shared" ref="F238:K238" si="46">F236+F229+F215</f>
        <v>21616125</v>
      </c>
      <c r="G238" s="550">
        <f t="shared" si="46"/>
        <v>14957931</v>
      </c>
      <c r="H238" s="543">
        <f t="shared" si="46"/>
        <v>497057</v>
      </c>
      <c r="I238" s="544">
        <f t="shared" si="46"/>
        <v>6161137</v>
      </c>
      <c r="J238" s="347">
        <f t="shared" si="46"/>
        <v>21616125</v>
      </c>
      <c r="K238" s="347">
        <f t="shared" si="46"/>
        <v>0</v>
      </c>
    </row>
    <row r="239" spans="1:11">
      <c r="B239" s="343"/>
      <c r="C239" s="196"/>
      <c r="D239" s="344"/>
      <c r="E239" s="196"/>
      <c r="F239" s="196"/>
      <c r="G239" s="196"/>
      <c r="H239" s="196"/>
      <c r="I239" s="196"/>
      <c r="J239" s="196"/>
      <c r="K239" s="196"/>
    </row>
    <row r="240" spans="1:11">
      <c r="A240" s="343" t="str">
        <f>co_name</f>
        <v>DUKE ENERGY KENTUCKY, INC.</v>
      </c>
      <c r="C240" s="196"/>
      <c r="D240" s="344"/>
      <c r="E240" s="196"/>
      <c r="F240" s="196"/>
      <c r="G240" s="196"/>
      <c r="H240" s="196"/>
      <c r="I240" s="196"/>
      <c r="J240" s="196" t="str">
        <f>$J$1</f>
        <v>FR-16(7)(v)-10</v>
      </c>
      <c r="K240" s="196"/>
    </row>
    <row r="241" spans="1:11">
      <c r="A241" s="343" t="str">
        <f>$A$2</f>
        <v>GS CLASSIFIED - GAS COST OF SERVICE</v>
      </c>
      <c r="C241" s="196"/>
      <c r="D241" s="344"/>
      <c r="E241" s="196"/>
      <c r="F241" s="196"/>
      <c r="G241" s="196"/>
      <c r="H241" s="196"/>
      <c r="I241" s="196"/>
      <c r="J241" s="196" t="str">
        <f>$J$2</f>
        <v>WITNESS RESPONSIBLE:</v>
      </c>
      <c r="K241" s="196"/>
    </row>
    <row r="242" spans="1:11">
      <c r="A242" s="343" t="str">
        <f>case_name</f>
        <v>CASE NO: 2018-00261</v>
      </c>
      <c r="C242" s="196"/>
      <c r="D242" s="344"/>
      <c r="E242" s="196"/>
      <c r="F242" s="196"/>
      <c r="G242" s="196"/>
      <c r="H242" s="196"/>
      <c r="I242" s="196"/>
      <c r="J242" s="196" t="str">
        <f>Witness</f>
        <v>JAMES E. ZIOLKOWSKI</v>
      </c>
      <c r="K242" s="196"/>
    </row>
    <row r="243" spans="1:11">
      <c r="A243" s="343" t="str">
        <f>data_filing</f>
        <v>DATA: 12 MONTH FORECASTED PERIOD</v>
      </c>
      <c r="C243" s="196"/>
      <c r="D243" s="344"/>
      <c r="E243" s="196"/>
      <c r="F243" s="196"/>
      <c r="G243" s="196"/>
      <c r="H243" s="196"/>
      <c r="I243" s="196"/>
      <c r="J243" s="196" t="str">
        <f>"PAGE "&amp;Pages2-9&amp;" OF "&amp;Pages2</f>
        <v>PAGE 6 OF 15</v>
      </c>
      <c r="K243" s="196"/>
    </row>
    <row r="244" spans="1:11">
      <c r="A244" s="343" t="str">
        <f>type</f>
        <v xml:space="preserve">TYPE OF FILING: "X" ORIGINAL   UPDATED    REVISED  </v>
      </c>
      <c r="C244" s="196"/>
      <c r="D244" s="344"/>
      <c r="E244" s="196"/>
      <c r="F244" s="196"/>
      <c r="G244" s="196"/>
      <c r="H244" s="196"/>
      <c r="I244" s="196"/>
      <c r="J244" s="196"/>
      <c r="K244" s="196"/>
    </row>
    <row r="245" spans="1:11">
      <c r="B245" s="343"/>
      <c r="C245" s="196"/>
      <c r="D245" s="344"/>
      <c r="E245" s="196"/>
      <c r="F245" s="196"/>
      <c r="G245" s="196"/>
      <c r="H245" s="196"/>
      <c r="I245" s="196"/>
      <c r="J245" s="196"/>
      <c r="K245" s="196"/>
    </row>
    <row r="246" spans="1:11">
      <c r="B246" s="343"/>
      <c r="C246" s="196"/>
      <c r="D246" s="344"/>
      <c r="E246" s="196"/>
      <c r="F246" s="196"/>
      <c r="G246" s="196"/>
      <c r="H246" s="196"/>
      <c r="I246" s="196"/>
      <c r="J246" s="196"/>
      <c r="K246" s="196"/>
    </row>
    <row r="247" spans="1:11">
      <c r="A247" s="344" t="s">
        <v>914</v>
      </c>
      <c r="B247" s="196"/>
      <c r="C247" s="196"/>
      <c r="D247" s="344"/>
      <c r="E247" s="196"/>
      <c r="F247" s="344" t="s">
        <v>229</v>
      </c>
      <c r="G247" s="545" t="s">
        <v>1005</v>
      </c>
      <c r="H247" s="533"/>
      <c r="I247" s="534"/>
      <c r="J247" s="344" t="s">
        <v>229</v>
      </c>
      <c r="K247" s="344" t="s">
        <v>342</v>
      </c>
    </row>
    <row r="248" spans="1:11">
      <c r="A248" s="346" t="s">
        <v>915</v>
      </c>
      <c r="B248" s="345" t="s">
        <v>954</v>
      </c>
      <c r="C248" s="345"/>
      <c r="D248" s="346" t="s">
        <v>337</v>
      </c>
      <c r="E248" s="345"/>
      <c r="F248" s="346" t="str">
        <f>$F$9</f>
        <v>GS</v>
      </c>
      <c r="G248" s="546" t="s">
        <v>847</v>
      </c>
      <c r="H248" s="535" t="s">
        <v>848</v>
      </c>
      <c r="I248" s="536" t="s">
        <v>849</v>
      </c>
      <c r="J248" s="346" t="s">
        <v>341</v>
      </c>
      <c r="K248" s="346" t="s">
        <v>340</v>
      </c>
    </row>
    <row r="249" spans="1:11">
      <c r="C249" s="578" t="s">
        <v>558</v>
      </c>
      <c r="D249" s="344"/>
      <c r="E249" s="196"/>
      <c r="G249" s="800">
        <f>$G$10</f>
        <v>3</v>
      </c>
      <c r="H249" s="801">
        <f>$H$10</f>
        <v>4</v>
      </c>
      <c r="I249" s="802">
        <f>$I$10</f>
        <v>5</v>
      </c>
    </row>
    <row r="250" spans="1:11">
      <c r="A250" s="333">
        <v>1</v>
      </c>
      <c r="B250" s="332" t="s">
        <v>826</v>
      </c>
      <c r="D250" s="344"/>
      <c r="E250" s="196"/>
      <c r="G250" s="551"/>
      <c r="H250" s="552"/>
      <c r="I250" s="553"/>
    </row>
    <row r="251" spans="1:11">
      <c r="A251" s="333">
        <v>2</v>
      </c>
      <c r="B251" s="332" t="s">
        <v>29</v>
      </c>
      <c r="D251" s="344"/>
      <c r="E251" s="196"/>
      <c r="G251" s="547"/>
      <c r="H251" s="537"/>
      <c r="I251" s="538"/>
    </row>
    <row r="252" spans="1:11">
      <c r="A252" s="333">
        <v>3</v>
      </c>
      <c r="C252" s="332" t="str">
        <f>'FR-16(7)(v)-1 Functional'!C252</f>
        <v>UNCOLLECTIBLE ACCTS</v>
      </c>
      <c r="D252" s="344" t="str">
        <f>'FR-16(7)(v)-1 Functional'!D252</f>
        <v>K406</v>
      </c>
      <c r="F252" s="479">
        <f>'FR-16(7)(v)-8 TOT CLASS Alloc'!H252</f>
        <v>270</v>
      </c>
      <c r="G252" s="548">
        <f>'FR-16(7)(v)-5 DISTR Dem Alloc'!H252</f>
        <v>0</v>
      </c>
      <c r="H252" s="539">
        <f>'FR-16(7)(v)-3 PROD Comm Alloc'!H252</f>
        <v>0</v>
      </c>
      <c r="I252" s="540">
        <f>'FR-16(7)(v)-6 DISTR Cust Alloc'!H252</f>
        <v>270</v>
      </c>
      <c r="J252" s="347">
        <f t="shared" ref="J252:J274" si="47">SUM(G252:I252)</f>
        <v>270</v>
      </c>
      <c r="K252" s="347">
        <f t="shared" ref="K252:K274" si="48">F252-J252</f>
        <v>0</v>
      </c>
    </row>
    <row r="253" spans="1:11">
      <c r="A253" s="333">
        <v>4</v>
      </c>
      <c r="C253" s="332" t="str">
        <f>'FR-16(7)(v)-1 Functional'!C253</f>
        <v>GAS SUPPLIER REFUND</v>
      </c>
      <c r="D253" s="344" t="str">
        <f>'FR-16(7)(v)-1 Functional'!D253</f>
        <v>K300</v>
      </c>
      <c r="F253" s="479">
        <f>'FR-16(7)(v)-8 TOT CLASS Alloc'!H253</f>
        <v>10098</v>
      </c>
      <c r="G253" s="548">
        <f>'FR-16(7)(v)-5 DISTR Dem Alloc'!H253</f>
        <v>0</v>
      </c>
      <c r="H253" s="539">
        <f>'FR-16(7)(v)-3 PROD Comm Alloc'!H253</f>
        <v>10098</v>
      </c>
      <c r="I253" s="540">
        <f>'FR-16(7)(v)-6 DISTR Cust Alloc'!H253</f>
        <v>0</v>
      </c>
      <c r="J253" s="347">
        <f t="shared" si="47"/>
        <v>10098</v>
      </c>
      <c r="K253" s="347">
        <f t="shared" si="48"/>
        <v>0</v>
      </c>
    </row>
    <row r="254" spans="1:11">
      <c r="A254" s="333">
        <v>5</v>
      </c>
      <c r="C254" s="332" t="str">
        <f>'FR-16(7)(v)-1 Functional'!C254</f>
        <v>UNBILLED REVENUE - FUEL &amp; RATE REFUNDS</v>
      </c>
      <c r="D254" s="344" t="str">
        <f>'FR-16(7)(v)-1 Functional'!D254</f>
        <v>K300</v>
      </c>
      <c r="F254" s="479">
        <f>'FR-16(7)(v)-8 TOT CLASS Alloc'!H254</f>
        <v>182983</v>
      </c>
      <c r="G254" s="548">
        <f>'FR-16(7)(v)-5 DISTR Dem Alloc'!H254</f>
        <v>0</v>
      </c>
      <c r="H254" s="539">
        <f>'FR-16(7)(v)-3 PROD Comm Alloc'!H254</f>
        <v>182983</v>
      </c>
      <c r="I254" s="540">
        <f>'FR-16(7)(v)-6 DISTR Cust Alloc'!H254</f>
        <v>0</v>
      </c>
      <c r="J254" s="347">
        <f t="shared" si="47"/>
        <v>182983</v>
      </c>
      <c r="K254" s="347">
        <f t="shared" si="48"/>
        <v>0</v>
      </c>
    </row>
    <row r="255" spans="1:11">
      <c r="A255" s="333">
        <v>6</v>
      </c>
      <c r="C255" s="353" t="str">
        <f>'FR-16(7)(v)-1 Functional'!C255</f>
        <v>OFFSITE GAS STORAGE</v>
      </c>
      <c r="D255" s="344" t="str">
        <f>'FR-16(7)(v)-1 Functional'!D255</f>
        <v>K300</v>
      </c>
      <c r="F255" s="479">
        <f>'FR-16(7)(v)-8 TOT CLASS Alloc'!H255</f>
        <v>22308</v>
      </c>
      <c r="G255" s="548">
        <f>'FR-16(7)(v)-5 DISTR Dem Alloc'!H255</f>
        <v>0</v>
      </c>
      <c r="H255" s="539">
        <f>'FR-16(7)(v)-3 PROD Comm Alloc'!H255</f>
        <v>22308</v>
      </c>
      <c r="I255" s="540">
        <f>'FR-16(7)(v)-6 DISTR Cust Alloc'!H255</f>
        <v>0</v>
      </c>
      <c r="J255" s="347">
        <f t="shared" si="47"/>
        <v>22308</v>
      </c>
      <c r="K255" s="347">
        <f t="shared" si="48"/>
        <v>0</v>
      </c>
    </row>
    <row r="256" spans="1:11">
      <c r="A256" s="333">
        <v>7</v>
      </c>
      <c r="C256" s="332" t="str">
        <f>'FR-16(7)(v)-1 Functional'!C256</f>
        <v>GAS METERS</v>
      </c>
      <c r="D256" s="344" t="str">
        <f>'FR-16(7)(v)-1 Functional'!D256</f>
        <v>K413</v>
      </c>
      <c r="F256" s="479">
        <f>'FR-16(7)(v)-8 TOT CLASS Alloc'!H256</f>
        <v>7375</v>
      </c>
      <c r="G256" s="548">
        <f>'FR-16(7)(v)-5 DISTR Dem Alloc'!H256</f>
        <v>0</v>
      </c>
      <c r="H256" s="539">
        <f>'FR-16(7)(v)-3 PROD Comm Alloc'!H256</f>
        <v>0</v>
      </c>
      <c r="I256" s="540">
        <f>'FR-16(7)(v)-6 DISTR Cust Alloc'!H256</f>
        <v>7375</v>
      </c>
      <c r="J256" s="347">
        <f t="shared" si="47"/>
        <v>7375</v>
      </c>
      <c r="K256" s="347">
        <f t="shared" si="48"/>
        <v>0</v>
      </c>
    </row>
    <row r="257" spans="1:11">
      <c r="A257" s="333">
        <v>8</v>
      </c>
      <c r="C257" s="332" t="str">
        <f>'FR-16(7)(v)-1 Functional'!C257</f>
        <v>UNAMORTIZED DEBT PREMIUM</v>
      </c>
      <c r="D257" s="344" t="str">
        <f>'FR-16(7)(v)-1 Functional'!D257</f>
        <v>NP29</v>
      </c>
      <c r="F257" s="479">
        <f>'FR-16(7)(v)-8 TOT CLASS Alloc'!H257</f>
        <v>-414</v>
      </c>
      <c r="G257" s="548">
        <f>'FR-16(7)(v)-5 DISTR Dem Alloc'!H257</f>
        <v>-301</v>
      </c>
      <c r="H257" s="539">
        <f>'FR-16(7)(v)-3 PROD Comm Alloc'!H257</f>
        <v>-4</v>
      </c>
      <c r="I257" s="540">
        <f>'FR-16(7)(v)-6 DISTR Cust Alloc'!H257</f>
        <v>-109</v>
      </c>
      <c r="J257" s="347">
        <f t="shared" si="47"/>
        <v>-414</v>
      </c>
      <c r="K257" s="347">
        <f t="shared" si="48"/>
        <v>0</v>
      </c>
    </row>
    <row r="258" spans="1:11">
      <c r="A258" s="333">
        <v>9</v>
      </c>
      <c r="C258" s="332" t="str">
        <f>'FR-16(7)(v)-1 Functional'!C258</f>
        <v>ARO CUMULATIVE EFFECT</v>
      </c>
      <c r="D258" s="344" t="str">
        <f>'FR-16(7)(v)-1 Functional'!D258</f>
        <v>NP29</v>
      </c>
      <c r="F258" s="479">
        <f>'FR-16(7)(v)-8 TOT CLASS Alloc'!H258</f>
        <v>0</v>
      </c>
      <c r="G258" s="548">
        <f>'FR-16(7)(v)-5 DISTR Dem Alloc'!H258</f>
        <v>0</v>
      </c>
      <c r="H258" s="539">
        <f>'FR-16(7)(v)-3 PROD Comm Alloc'!H258</f>
        <v>0</v>
      </c>
      <c r="I258" s="540">
        <f>'FR-16(7)(v)-6 DISTR Cust Alloc'!H258</f>
        <v>0</v>
      </c>
      <c r="J258" s="347">
        <f t="shared" si="47"/>
        <v>0</v>
      </c>
      <c r="K258" s="347">
        <f t="shared" si="48"/>
        <v>0</v>
      </c>
    </row>
    <row r="259" spans="1:11">
      <c r="A259" s="333">
        <v>10</v>
      </c>
      <c r="C259" s="332" t="str">
        <f>'FR-16(7)(v)-1 Functional'!C259</f>
        <v>PENSION EXPENSE</v>
      </c>
      <c r="D259" s="344" t="str">
        <f>'FR-16(7)(v)-1 Functional'!D259</f>
        <v>AG39</v>
      </c>
      <c r="F259" s="479">
        <f>'FR-16(7)(v)-8 TOT CLASS Alloc'!H259</f>
        <v>36529</v>
      </c>
      <c r="G259" s="548">
        <f>'FR-16(7)(v)-5 DISTR Dem Alloc'!H259</f>
        <v>18268</v>
      </c>
      <c r="H259" s="539">
        <f>'FR-16(7)(v)-3 PROD Comm Alloc'!H259</f>
        <v>5492</v>
      </c>
      <c r="I259" s="540">
        <f>'FR-16(7)(v)-6 DISTR Cust Alloc'!H259</f>
        <v>12769</v>
      </c>
      <c r="J259" s="347">
        <f t="shared" si="47"/>
        <v>36529</v>
      </c>
      <c r="K259" s="347">
        <f t="shared" si="48"/>
        <v>0</v>
      </c>
    </row>
    <row r="260" spans="1:11">
      <c r="A260" s="333">
        <v>11</v>
      </c>
      <c r="C260" s="332" t="str">
        <f>'FR-16(7)(v)-1 Functional'!C260</f>
        <v>POST RETIREMENT BENEFITS - LIFE INS</v>
      </c>
      <c r="D260" s="344" t="str">
        <f>'FR-16(7)(v)-1 Functional'!D260</f>
        <v>AG39</v>
      </c>
      <c r="F260" s="479">
        <f>'FR-16(7)(v)-8 TOT CLASS Alloc'!H260</f>
        <v>0</v>
      </c>
      <c r="G260" s="548">
        <f>'FR-16(7)(v)-5 DISTR Dem Alloc'!H260</f>
        <v>0</v>
      </c>
      <c r="H260" s="539">
        <f>'FR-16(7)(v)-3 PROD Comm Alloc'!H260</f>
        <v>0</v>
      </c>
      <c r="I260" s="540">
        <f>'FR-16(7)(v)-6 DISTR Cust Alloc'!H260</f>
        <v>0</v>
      </c>
      <c r="J260" s="347">
        <f t="shared" si="47"/>
        <v>0</v>
      </c>
      <c r="K260" s="347">
        <f t="shared" si="48"/>
        <v>0</v>
      </c>
    </row>
    <row r="261" spans="1:11">
      <c r="A261" s="333">
        <v>12</v>
      </c>
      <c r="C261" s="332" t="str">
        <f>'FR-16(7)(v)-1 Functional'!C261</f>
        <v>POST RETIREMENT BENEFITS - HEALTH CARE</v>
      </c>
      <c r="D261" s="344" t="str">
        <f>'FR-16(7)(v)-1 Functional'!D261</f>
        <v>AG39</v>
      </c>
      <c r="F261" s="479">
        <f>'FR-16(7)(v)-8 TOT CLASS Alloc'!H261</f>
        <v>0</v>
      </c>
      <c r="G261" s="548">
        <f>'FR-16(7)(v)-5 DISTR Dem Alloc'!H261</f>
        <v>0</v>
      </c>
      <c r="H261" s="539">
        <f>'FR-16(7)(v)-3 PROD Comm Alloc'!H261</f>
        <v>0</v>
      </c>
      <c r="I261" s="540">
        <f>'FR-16(7)(v)-6 DISTR Cust Alloc'!H261</f>
        <v>0</v>
      </c>
      <c r="J261" s="347">
        <f t="shared" si="47"/>
        <v>0</v>
      </c>
      <c r="K261" s="347">
        <f t="shared" si="48"/>
        <v>0</v>
      </c>
    </row>
    <row r="262" spans="1:11">
      <c r="A262" s="333">
        <v>13</v>
      </c>
      <c r="C262" s="332" t="str">
        <f>'FR-16(7)(v)-1 Functional'!C262</f>
        <v>POST EMPLOYMENT BENEFITS - SFAS 112</v>
      </c>
      <c r="D262" s="344" t="str">
        <f>'FR-16(7)(v)-1 Functional'!D262</f>
        <v>AG39</v>
      </c>
      <c r="F262" s="479">
        <f>'FR-16(7)(v)-8 TOT CLASS Alloc'!H262</f>
        <v>8713</v>
      </c>
      <c r="G262" s="548">
        <f>'FR-16(7)(v)-5 DISTR Dem Alloc'!H262</f>
        <v>4357</v>
      </c>
      <c r="H262" s="539">
        <f>'FR-16(7)(v)-3 PROD Comm Alloc'!H262</f>
        <v>1310</v>
      </c>
      <c r="I262" s="540">
        <f>'FR-16(7)(v)-6 DISTR Cust Alloc'!H262</f>
        <v>3046</v>
      </c>
      <c r="J262" s="347">
        <f t="shared" si="47"/>
        <v>8713</v>
      </c>
      <c r="K262" s="347">
        <f t="shared" si="48"/>
        <v>0</v>
      </c>
    </row>
    <row r="263" spans="1:11">
      <c r="A263" s="333">
        <v>14</v>
      </c>
      <c r="C263" s="332" t="str">
        <f>'FR-16(7)(v)-1 Functional'!C263</f>
        <v>OPEB EXPENSE ACCRUAL</v>
      </c>
      <c r="D263" s="344" t="str">
        <f>'FR-16(7)(v)-1 Functional'!D263</f>
        <v>AG39</v>
      </c>
      <c r="F263" s="479">
        <f>'FR-16(7)(v)-8 TOT CLASS Alloc'!H263</f>
        <v>59956</v>
      </c>
      <c r="G263" s="548">
        <f>'FR-16(7)(v)-5 DISTR Dem Alloc'!H263</f>
        <v>29983</v>
      </c>
      <c r="H263" s="539">
        <f>'FR-16(7)(v)-3 PROD Comm Alloc'!H263</f>
        <v>9015</v>
      </c>
      <c r="I263" s="540">
        <f>'FR-16(7)(v)-6 DISTR Cust Alloc'!H263</f>
        <v>20958</v>
      </c>
      <c r="J263" s="347">
        <f t="shared" si="47"/>
        <v>59956</v>
      </c>
      <c r="K263" s="347">
        <f t="shared" si="48"/>
        <v>0</v>
      </c>
    </row>
    <row r="264" spans="1:11">
      <c r="A264" s="333">
        <v>15</v>
      </c>
      <c r="C264" s="332" t="str">
        <f>'FR-16(7)(v)-1 Functional'!C264</f>
        <v>INCENTIVE PLAN</v>
      </c>
      <c r="D264" s="344" t="str">
        <f>'FR-16(7)(v)-1 Functional'!D264</f>
        <v>AG39</v>
      </c>
      <c r="F264" s="479">
        <f>'FR-16(7)(v)-8 TOT CLASS Alloc'!H264</f>
        <v>0</v>
      </c>
      <c r="G264" s="548">
        <f>'FR-16(7)(v)-5 DISTR Dem Alloc'!H264</f>
        <v>0</v>
      </c>
      <c r="H264" s="539">
        <f>'FR-16(7)(v)-3 PROD Comm Alloc'!H264</f>
        <v>0</v>
      </c>
      <c r="I264" s="540">
        <f>'FR-16(7)(v)-6 DISTR Cust Alloc'!H264</f>
        <v>0</v>
      </c>
      <c r="J264" s="347">
        <f t="shared" si="47"/>
        <v>0</v>
      </c>
      <c r="K264" s="347">
        <f t="shared" si="48"/>
        <v>0</v>
      </c>
    </row>
    <row r="265" spans="1:11">
      <c r="A265" s="333">
        <v>16</v>
      </c>
      <c r="C265" s="332" t="str">
        <f>'FR-16(7)(v)-1 Functional'!C265</f>
        <v>FEDERAL DEFERRED TAX RECEIVEABLE</v>
      </c>
      <c r="D265" s="344" t="str">
        <f>'FR-16(7)(v)-1 Functional'!D265</f>
        <v>AG39</v>
      </c>
      <c r="F265" s="479">
        <f>'FR-16(7)(v)-8 TOT CLASS Alloc'!H265</f>
        <v>0</v>
      </c>
      <c r="G265" s="548">
        <f>'FR-16(7)(v)-5 DISTR Dem Alloc'!H265</f>
        <v>0</v>
      </c>
      <c r="H265" s="539">
        <f>'FR-16(7)(v)-3 PROD Comm Alloc'!H265</f>
        <v>0</v>
      </c>
      <c r="I265" s="540">
        <f>'FR-16(7)(v)-6 DISTR Cust Alloc'!H265</f>
        <v>0</v>
      </c>
      <c r="J265" s="347">
        <f t="shared" si="47"/>
        <v>0</v>
      </c>
      <c r="K265" s="347">
        <f t="shared" si="48"/>
        <v>0</v>
      </c>
    </row>
    <row r="266" spans="1:11">
      <c r="A266" s="333">
        <v>17</v>
      </c>
      <c r="C266" s="332" t="str">
        <f>'FR-16(7)(v)-1 Functional'!C266</f>
        <v>DSM DEFERRAL</v>
      </c>
      <c r="D266" s="344" t="str">
        <f>'FR-16(7)(v)-1 Functional'!D266</f>
        <v>AG39</v>
      </c>
      <c r="F266" s="479">
        <f>'FR-16(7)(v)-8 TOT CLASS Alloc'!H266</f>
        <v>37128</v>
      </c>
      <c r="G266" s="548">
        <f>'FR-16(7)(v)-5 DISTR Dem Alloc'!H266</f>
        <v>18567</v>
      </c>
      <c r="H266" s="539">
        <f>'FR-16(7)(v)-3 PROD Comm Alloc'!H266</f>
        <v>5582</v>
      </c>
      <c r="I266" s="540">
        <f>'FR-16(7)(v)-6 DISTR Cust Alloc'!H266</f>
        <v>12979</v>
      </c>
      <c r="J266" s="347">
        <f t="shared" si="47"/>
        <v>37128</v>
      </c>
      <c r="K266" s="347">
        <f t="shared" si="48"/>
        <v>0</v>
      </c>
    </row>
    <row r="267" spans="1:11">
      <c r="A267" s="333">
        <v>18</v>
      </c>
      <c r="C267" s="332" t="str">
        <f>'FR-16(7)(v)-1 Functional'!C267</f>
        <v>PROPERTY TAX</v>
      </c>
      <c r="D267" s="344" t="str">
        <f>'FR-16(7)(v)-1 Functional'!D267</f>
        <v>P229</v>
      </c>
      <c r="F267" s="479">
        <f>'FR-16(7)(v)-8 TOT CLASS Alloc'!H267</f>
        <v>0</v>
      </c>
      <c r="G267" s="548">
        <f>'FR-16(7)(v)-5 DISTR Dem Alloc'!H267</f>
        <v>0</v>
      </c>
      <c r="H267" s="539">
        <f>'FR-16(7)(v)-3 PROD Comm Alloc'!H267</f>
        <v>0</v>
      </c>
      <c r="I267" s="540">
        <f>'FR-16(7)(v)-6 DISTR Cust Alloc'!H267</f>
        <v>0</v>
      </c>
      <c r="J267" s="347">
        <f t="shared" si="47"/>
        <v>0</v>
      </c>
      <c r="K267" s="347">
        <f t="shared" si="48"/>
        <v>0</v>
      </c>
    </row>
    <row r="268" spans="1:11">
      <c r="A268" s="333">
        <v>19</v>
      </c>
      <c r="C268" s="353" t="str">
        <f>'FR-16(7)(v)-1 Functional'!C268</f>
        <v>PROPERTY TAX ON PROPANE</v>
      </c>
      <c r="D268" s="344" t="str">
        <f>'FR-16(7)(v)-1 Functional'!D268</f>
        <v>P229</v>
      </c>
      <c r="F268" s="479">
        <f>'FR-16(7)(v)-8 TOT CLASS Alloc'!H268</f>
        <v>0</v>
      </c>
      <c r="G268" s="548">
        <f>'FR-16(7)(v)-5 DISTR Dem Alloc'!H268</f>
        <v>0</v>
      </c>
      <c r="H268" s="539">
        <f>'FR-16(7)(v)-3 PROD Comm Alloc'!H268</f>
        <v>0</v>
      </c>
      <c r="I268" s="540">
        <f>'FR-16(7)(v)-6 DISTR Cust Alloc'!H268</f>
        <v>0</v>
      </c>
      <c r="J268" s="347">
        <f t="shared" si="47"/>
        <v>0</v>
      </c>
      <c r="K268" s="347">
        <f t="shared" si="48"/>
        <v>0</v>
      </c>
    </row>
    <row r="269" spans="1:11">
      <c r="A269" s="333">
        <v>20</v>
      </c>
      <c r="C269" s="489" t="str">
        <f>'FR-16(7)(v)-1 Functional'!C269</f>
        <v>401K INCENTIVE PLAN</v>
      </c>
      <c r="D269" s="344" t="str">
        <f>'FR-16(7)(v)-1 Functional'!D269</f>
        <v>AG39</v>
      </c>
      <c r="F269" s="479">
        <f>'FR-16(7)(v)-8 TOT CLASS Alloc'!H269</f>
        <v>0</v>
      </c>
      <c r="G269" s="548">
        <f>'FR-16(7)(v)-5 DISTR Dem Alloc'!H269</f>
        <v>0</v>
      </c>
      <c r="H269" s="539">
        <f>'FR-16(7)(v)-3 PROD Comm Alloc'!H269</f>
        <v>0</v>
      </c>
      <c r="I269" s="540">
        <f>'FR-16(7)(v)-6 DISTR Cust Alloc'!H269</f>
        <v>0</v>
      </c>
      <c r="J269" s="347">
        <f t="shared" si="47"/>
        <v>0</v>
      </c>
      <c r="K269" s="347">
        <f t="shared" si="48"/>
        <v>0</v>
      </c>
    </row>
    <row r="270" spans="1:11">
      <c r="A270" s="333">
        <v>21</v>
      </c>
      <c r="C270" s="332" t="str">
        <f>'FR-16(7)(v)-1 Functional'!C270</f>
        <v>ENVIRONMENTAL RESERVE</v>
      </c>
      <c r="D270" s="344" t="str">
        <f>'FR-16(7)(v)-1 Functional'!D270</f>
        <v>NP29</v>
      </c>
      <c r="F270" s="479">
        <f>'FR-16(7)(v)-8 TOT CLASS Alloc'!H270</f>
        <v>35897</v>
      </c>
      <c r="G270" s="548">
        <f>'FR-16(7)(v)-5 DISTR Dem Alloc'!H270</f>
        <v>26086</v>
      </c>
      <c r="H270" s="539">
        <f>'FR-16(7)(v)-3 PROD Comm Alloc'!H270</f>
        <v>346</v>
      </c>
      <c r="I270" s="540">
        <f>'FR-16(7)(v)-6 DISTR Cust Alloc'!H270</f>
        <v>9465</v>
      </c>
      <c r="J270" s="347">
        <f t="shared" si="47"/>
        <v>35897</v>
      </c>
      <c r="K270" s="347">
        <f t="shared" si="48"/>
        <v>0</v>
      </c>
    </row>
    <row r="271" spans="1:11">
      <c r="A271" s="333">
        <v>22</v>
      </c>
      <c r="C271" s="332" t="str">
        <f>'FR-16(7)(v)-1 Functional'!C271</f>
        <v>VACATION PAY ACCRUALS</v>
      </c>
      <c r="D271" s="344" t="str">
        <f>'FR-16(7)(v)-1 Functional'!D271</f>
        <v>G129</v>
      </c>
      <c r="F271" s="479">
        <f>'FR-16(7)(v)-8 TOT CLASS Alloc'!H271</f>
        <v>32469</v>
      </c>
      <c r="G271" s="548">
        <f>'FR-16(7)(v)-5 DISTR Dem Alloc'!H271</f>
        <v>16237</v>
      </c>
      <c r="H271" s="539">
        <f>'FR-16(7)(v)-3 PROD Comm Alloc'!H271</f>
        <v>4883</v>
      </c>
      <c r="I271" s="540">
        <f>'FR-16(7)(v)-6 DISTR Cust Alloc'!H271</f>
        <v>11349</v>
      </c>
      <c r="J271" s="347">
        <f t="shared" si="47"/>
        <v>32469</v>
      </c>
      <c r="K271" s="347">
        <f t="shared" si="48"/>
        <v>0</v>
      </c>
    </row>
    <row r="272" spans="1:11">
      <c r="A272" s="333">
        <v>23</v>
      </c>
      <c r="C272" s="332" t="str">
        <f>'FR-16(7)(v)-1 Functional'!C272</f>
        <v>SMART GRID</v>
      </c>
      <c r="D272" s="344" t="str">
        <f>'FR-16(7)(v)-1 Functional'!D272</f>
        <v>K413</v>
      </c>
      <c r="F272" s="479">
        <f>'FR-16(7)(v)-8 TOT CLASS Alloc'!H272</f>
        <v>0</v>
      </c>
      <c r="G272" s="548">
        <f>'FR-16(7)(v)-5 DISTR Dem Alloc'!H272</f>
        <v>0</v>
      </c>
      <c r="H272" s="539">
        <f>'FR-16(7)(v)-3 PROD Comm Alloc'!H272</f>
        <v>0</v>
      </c>
      <c r="I272" s="540">
        <f>'FR-16(7)(v)-6 DISTR Cust Alloc'!H272</f>
        <v>0</v>
      </c>
      <c r="J272" s="347">
        <f t="shared" si="47"/>
        <v>0</v>
      </c>
      <c r="K272" s="347">
        <f t="shared" si="48"/>
        <v>0</v>
      </c>
    </row>
    <row r="273" spans="1:11">
      <c r="A273" s="333">
        <v>24</v>
      </c>
      <c r="C273" s="332" t="str">
        <f>'FR-16(7)(v)-1 Functional'!C273</f>
        <v>METERS &amp; TRANSFORMERS</v>
      </c>
      <c r="D273" s="344" t="str">
        <f>'FR-16(7)(v)-1 Functional'!D273</f>
        <v>D249</v>
      </c>
      <c r="F273" s="479">
        <f>'FR-16(7)(v)-8 TOT CLASS Alloc'!H273</f>
        <v>0</v>
      </c>
      <c r="G273" s="548">
        <f>'FR-16(7)(v)-5 DISTR Dem Alloc'!H273</f>
        <v>0</v>
      </c>
      <c r="H273" s="539">
        <f>'FR-16(7)(v)-3 PROD Comm Alloc'!H273</f>
        <v>0</v>
      </c>
      <c r="I273" s="540">
        <f>'FR-16(7)(v)-6 DISTR Cust Alloc'!H273</f>
        <v>0</v>
      </c>
      <c r="J273" s="347">
        <f t="shared" si="47"/>
        <v>0</v>
      </c>
      <c r="K273" s="347">
        <f t="shared" si="48"/>
        <v>0</v>
      </c>
    </row>
    <row r="274" spans="1:11">
      <c r="A274" s="333">
        <v>25</v>
      </c>
      <c r="C274" s="359" t="str">
        <f>'FR-16(7)(v)-1 Functional'!C274</f>
        <v>OTHER</v>
      </c>
      <c r="D274" s="344" t="str">
        <f>'FR-16(7)(v)-1 Functional'!D274</f>
        <v>AG39</v>
      </c>
      <c r="F274" s="479">
        <f>'FR-16(7)(v)-8 TOT CLASS Alloc'!H274</f>
        <v>75157</v>
      </c>
      <c r="G274" s="548">
        <f>'FR-16(7)(v)-5 DISTR Dem Alloc'!H274</f>
        <v>37585</v>
      </c>
      <c r="H274" s="539">
        <f>'FR-16(7)(v)-3 PROD Comm Alloc'!H274</f>
        <v>11300</v>
      </c>
      <c r="I274" s="540">
        <f>'FR-16(7)(v)-6 DISTR Cust Alloc'!H274</f>
        <v>26272</v>
      </c>
      <c r="J274" s="347">
        <f t="shared" si="47"/>
        <v>75157</v>
      </c>
      <c r="K274" s="347">
        <f t="shared" si="48"/>
        <v>0</v>
      </c>
    </row>
    <row r="275" spans="1:11">
      <c r="A275" s="333">
        <v>26</v>
      </c>
      <c r="C275" s="332" t="str">
        <f>'FR-16(7)(v)-1 Functional'!C275</f>
        <v xml:space="preserve">  TOTAL ACCOUNT 190</v>
      </c>
      <c r="D275" s="344"/>
      <c r="F275" s="348">
        <f t="shared" ref="F275:K275" si="49">SUM(F251:F274)</f>
        <v>508469</v>
      </c>
      <c r="G275" s="549">
        <f t="shared" si="49"/>
        <v>150782</v>
      </c>
      <c r="H275" s="541">
        <f t="shared" si="49"/>
        <v>253313</v>
      </c>
      <c r="I275" s="542">
        <f t="shared" si="49"/>
        <v>104374</v>
      </c>
      <c r="J275" s="348">
        <f t="shared" si="49"/>
        <v>508469</v>
      </c>
      <c r="K275" s="348">
        <f t="shared" si="49"/>
        <v>0</v>
      </c>
    </row>
    <row r="276" spans="1:11">
      <c r="A276" s="333">
        <v>27</v>
      </c>
      <c r="D276" s="344"/>
      <c r="E276" s="196"/>
      <c r="G276" s="547"/>
      <c r="H276" s="537"/>
      <c r="I276" s="538"/>
    </row>
    <row r="277" spans="1:11">
      <c r="A277" s="333">
        <v>28</v>
      </c>
      <c r="B277" s="332" t="s">
        <v>30</v>
      </c>
      <c r="D277" s="344"/>
      <c r="E277" s="196"/>
      <c r="G277" s="547"/>
      <c r="H277" s="537"/>
      <c r="I277" s="538"/>
    </row>
    <row r="278" spans="1:11">
      <c r="A278" s="333">
        <v>29</v>
      </c>
      <c r="C278" s="365" t="str">
        <f>'FR-16(7)(v)-1 Functional'!C278</f>
        <v>RESERVED FOR FUTURE USE</v>
      </c>
      <c r="D278" s="344" t="str">
        <f>'FR-16(7)(v)-1 Functional'!D278</f>
        <v>D249</v>
      </c>
      <c r="F278" s="479">
        <f>'FR-16(7)(v)-8 TOT CLASS Alloc'!H278</f>
        <v>0</v>
      </c>
      <c r="G278" s="548">
        <f>'FR-16(7)(v)-5 DISTR Dem Alloc'!H278</f>
        <v>0</v>
      </c>
      <c r="H278" s="539">
        <f>'FR-16(7)(v)-3 PROD Comm Alloc'!H278</f>
        <v>0</v>
      </c>
      <c r="I278" s="540">
        <f>'FR-16(7)(v)-6 DISTR Cust Alloc'!H278</f>
        <v>0</v>
      </c>
      <c r="J278" s="347">
        <f>SUM(G278:I278)</f>
        <v>0</v>
      </c>
      <c r="K278" s="347">
        <f>F278-J278</f>
        <v>0</v>
      </c>
    </row>
    <row r="279" spans="1:11">
      <c r="A279" s="333">
        <v>30</v>
      </c>
      <c r="C279" s="332" t="str">
        <f>'FR-16(7)(v)-1 Functional'!C279</f>
        <v>ANNUALIZE DEPRECIATION</v>
      </c>
      <c r="D279" s="344" t="str">
        <f>'FR-16(7)(v)-1 Functional'!D279</f>
        <v>NP29</v>
      </c>
      <c r="F279" s="479">
        <f>'FR-16(7)(v)-8 TOT CLASS Alloc'!H279</f>
        <v>-60934</v>
      </c>
      <c r="G279" s="548">
        <f>'FR-16(7)(v)-5 DISTR Dem Alloc'!H279</f>
        <v>-44281</v>
      </c>
      <c r="H279" s="539">
        <f>'FR-16(7)(v)-3 PROD Comm Alloc'!H279</f>
        <v>-586</v>
      </c>
      <c r="I279" s="540">
        <f>'FR-16(7)(v)-6 DISTR Cust Alloc'!H279</f>
        <v>-16067</v>
      </c>
      <c r="J279" s="347">
        <f>SUM(G279:I279)</f>
        <v>-60934</v>
      </c>
      <c r="K279" s="347">
        <f>F279-J279</f>
        <v>0</v>
      </c>
    </row>
    <row r="280" spans="1:11">
      <c r="A280" s="333">
        <v>31</v>
      </c>
      <c r="C280" s="332" t="str">
        <f>'FR-16(7)(v)-1 Functional'!C280</f>
        <v>ELIMINATE UNBILLED REVENUE AND GAS COSTS</v>
      </c>
      <c r="D280" s="344" t="str">
        <f>'FR-16(7)(v)-1 Functional'!D280</f>
        <v>K300</v>
      </c>
      <c r="F280" s="479">
        <f>'FR-16(7)(v)-8 TOT CLASS Alloc'!H280</f>
        <v>-5052</v>
      </c>
      <c r="G280" s="548">
        <f>'FR-16(7)(v)-5 DISTR Dem Alloc'!H280</f>
        <v>0</v>
      </c>
      <c r="H280" s="539">
        <f>'FR-16(7)(v)-3 PROD Comm Alloc'!H280</f>
        <v>-5052</v>
      </c>
      <c r="I280" s="540">
        <f>'FR-16(7)(v)-6 DISTR Cust Alloc'!H280</f>
        <v>0</v>
      </c>
      <c r="J280" s="347">
        <f>SUM(G280:I280)</f>
        <v>-5052</v>
      </c>
      <c r="K280" s="347">
        <f>F280-J280</f>
        <v>0</v>
      </c>
    </row>
    <row r="281" spans="1:11">
      <c r="A281" s="333">
        <v>32</v>
      </c>
      <c r="C281" s="339" t="str">
        <f>'FR-16(7)(v)-1 Functional'!C281</f>
        <v xml:space="preserve">  OTHER</v>
      </c>
      <c r="D281" s="344"/>
      <c r="F281" s="348">
        <f>SUM(F278:F280)</f>
        <v>-65986</v>
      </c>
      <c r="G281" s="549">
        <f>SUM(G277:G280)</f>
        <v>-44281</v>
      </c>
      <c r="H281" s="541">
        <f>SUM(H277:H280)</f>
        <v>-5638</v>
      </c>
      <c r="I281" s="542">
        <f>SUM(I277:I280)</f>
        <v>-16067</v>
      </c>
      <c r="J281" s="348">
        <f>SUM(J277:J280)</f>
        <v>-65986</v>
      </c>
      <c r="K281" s="348">
        <f>SUM(K277:K280)</f>
        <v>0</v>
      </c>
    </row>
    <row r="282" spans="1:11">
      <c r="A282" s="333">
        <v>33</v>
      </c>
      <c r="D282" s="344"/>
      <c r="F282" s="335" t="s">
        <v>343</v>
      </c>
      <c r="G282" s="547"/>
      <c r="H282" s="537"/>
      <c r="I282" s="538"/>
    </row>
    <row r="283" spans="1:11">
      <c r="A283" s="333">
        <v>34</v>
      </c>
      <c r="B283" s="332" t="s">
        <v>825</v>
      </c>
      <c r="D283" s="344"/>
      <c r="F283" s="347">
        <f t="shared" ref="F283:K283" si="50">F275+F281</f>
        <v>442483</v>
      </c>
      <c r="G283" s="550">
        <f t="shared" si="50"/>
        <v>106501</v>
      </c>
      <c r="H283" s="543">
        <f t="shared" si="50"/>
        <v>247675</v>
      </c>
      <c r="I283" s="544">
        <f t="shared" si="50"/>
        <v>88307</v>
      </c>
      <c r="J283" s="347">
        <f t="shared" si="50"/>
        <v>442483</v>
      </c>
      <c r="K283" s="347">
        <f t="shared" si="50"/>
        <v>0</v>
      </c>
    </row>
    <row r="284" spans="1:11">
      <c r="B284" s="343"/>
      <c r="C284" s="196"/>
      <c r="D284" s="344"/>
      <c r="E284" s="196"/>
      <c r="F284" s="196"/>
      <c r="G284" s="196"/>
      <c r="H284" s="196"/>
      <c r="I284" s="196"/>
      <c r="J284" s="196"/>
      <c r="K284" s="196"/>
    </row>
    <row r="285" spans="1:11">
      <c r="A285" s="343" t="str">
        <f>co_name</f>
        <v>DUKE ENERGY KENTUCKY, INC.</v>
      </c>
      <c r="C285" s="196"/>
      <c r="D285" s="344"/>
      <c r="E285" s="196"/>
      <c r="F285" s="196"/>
      <c r="G285" s="196"/>
      <c r="H285" s="196"/>
      <c r="I285" s="196"/>
      <c r="J285" s="196" t="str">
        <f>$J$1</f>
        <v>FR-16(7)(v)-10</v>
      </c>
      <c r="K285" s="196"/>
    </row>
    <row r="286" spans="1:11">
      <c r="A286" s="343" t="str">
        <f>$A$2</f>
        <v>GS CLASSIFIED - GAS COST OF SERVICE</v>
      </c>
      <c r="C286" s="196"/>
      <c r="D286" s="344"/>
      <c r="E286" s="196"/>
      <c r="F286" s="196"/>
      <c r="G286" s="196"/>
      <c r="H286" s="196"/>
      <c r="I286" s="196"/>
      <c r="J286" s="196" t="str">
        <f>$J$2</f>
        <v>WITNESS RESPONSIBLE:</v>
      </c>
      <c r="K286" s="196"/>
    </row>
    <row r="287" spans="1:11">
      <c r="A287" s="343" t="str">
        <f>case_name</f>
        <v>CASE NO: 2018-00261</v>
      </c>
      <c r="C287" s="196"/>
      <c r="D287" s="344"/>
      <c r="E287" s="196"/>
      <c r="F287" s="196"/>
      <c r="G287" s="196"/>
      <c r="H287" s="196"/>
      <c r="I287" s="196"/>
      <c r="J287" s="196" t="str">
        <f>Witness</f>
        <v>JAMES E. ZIOLKOWSKI</v>
      </c>
      <c r="K287" s="196"/>
    </row>
    <row r="288" spans="1:11">
      <c r="A288" s="343" t="str">
        <f>data_filing</f>
        <v>DATA: 12 MONTH FORECASTED PERIOD</v>
      </c>
      <c r="C288" s="196"/>
      <c r="D288" s="344"/>
      <c r="E288" s="196"/>
      <c r="F288" s="196"/>
      <c r="G288" s="196"/>
      <c r="H288" s="196"/>
      <c r="I288" s="196"/>
      <c r="J288" s="196" t="str">
        <f>"PAGE "&amp;Pages2-8&amp;" OF "&amp;Pages2</f>
        <v>PAGE 7 OF 15</v>
      </c>
      <c r="K288" s="196"/>
    </row>
    <row r="289" spans="1:13">
      <c r="A289" s="343" t="str">
        <f>type</f>
        <v xml:space="preserve">TYPE OF FILING: "X" ORIGINAL   UPDATED    REVISED  </v>
      </c>
      <c r="C289" s="196"/>
      <c r="D289" s="344"/>
      <c r="E289" s="196"/>
      <c r="F289" s="196"/>
      <c r="G289" s="196"/>
      <c r="H289" s="196"/>
      <c r="I289" s="196"/>
      <c r="J289" s="196"/>
      <c r="K289" s="196"/>
    </row>
    <row r="290" spans="1:13">
      <c r="B290" s="343"/>
      <c r="C290" s="196"/>
      <c r="D290" s="344"/>
      <c r="E290" s="196"/>
      <c r="F290" s="196"/>
      <c r="G290" s="196"/>
      <c r="H290" s="196"/>
      <c r="I290" s="196"/>
      <c r="J290" s="196"/>
      <c r="K290" s="196"/>
    </row>
    <row r="291" spans="1:13">
      <c r="B291" s="343"/>
      <c r="C291" s="196"/>
      <c r="D291" s="344"/>
      <c r="E291" s="196"/>
      <c r="F291" s="196"/>
      <c r="G291" s="196"/>
      <c r="H291" s="196"/>
      <c r="I291" s="196"/>
      <c r="J291" s="196"/>
      <c r="K291" s="196"/>
    </row>
    <row r="292" spans="1:13">
      <c r="A292" s="344" t="s">
        <v>914</v>
      </c>
      <c r="B292" s="196"/>
      <c r="C292" s="196"/>
      <c r="D292" s="344"/>
      <c r="E292" s="196"/>
      <c r="F292" s="344" t="s">
        <v>229</v>
      </c>
      <c r="G292" s="545" t="s">
        <v>1005</v>
      </c>
      <c r="H292" s="533"/>
      <c r="I292" s="534"/>
      <c r="J292" s="344" t="s">
        <v>229</v>
      </c>
      <c r="K292" s="344" t="s">
        <v>342</v>
      </c>
    </row>
    <row r="293" spans="1:13">
      <c r="A293" s="346" t="s">
        <v>915</v>
      </c>
      <c r="B293" s="345" t="s">
        <v>32</v>
      </c>
      <c r="C293" s="345"/>
      <c r="D293" s="346" t="s">
        <v>337</v>
      </c>
      <c r="E293" s="345"/>
      <c r="F293" s="346" t="str">
        <f>$F$9</f>
        <v>GS</v>
      </c>
      <c r="G293" s="546" t="s">
        <v>847</v>
      </c>
      <c r="H293" s="535" t="s">
        <v>848</v>
      </c>
      <c r="I293" s="536" t="s">
        <v>849</v>
      </c>
      <c r="J293" s="346" t="s">
        <v>341</v>
      </c>
      <c r="K293" s="346" t="s">
        <v>340</v>
      </c>
    </row>
    <row r="294" spans="1:13">
      <c r="C294" s="578" t="s">
        <v>559</v>
      </c>
      <c r="D294" s="344"/>
      <c r="E294" s="490"/>
      <c r="F294" s="491"/>
      <c r="G294" s="800">
        <f>$G$10</f>
        <v>3</v>
      </c>
      <c r="H294" s="801">
        <f>$H$10</f>
        <v>4</v>
      </c>
      <c r="I294" s="802">
        <f>$I$10</f>
        <v>5</v>
      </c>
      <c r="J294" s="490"/>
      <c r="K294" s="490"/>
    </row>
    <row r="295" spans="1:13">
      <c r="C295" s="578"/>
      <c r="D295" s="344"/>
      <c r="E295" s="490"/>
      <c r="F295" s="491"/>
      <c r="G295" s="800"/>
      <c r="H295" s="801"/>
      <c r="I295" s="802"/>
      <c r="J295" s="490"/>
      <c r="K295" s="490"/>
    </row>
    <row r="296" spans="1:13">
      <c r="A296" s="333">
        <v>1</v>
      </c>
      <c r="B296" s="332" t="s">
        <v>31</v>
      </c>
      <c r="D296" s="344"/>
      <c r="E296" s="196"/>
      <c r="F296" s="347">
        <f t="shared" ref="F296:K296" si="51">F191-F238+F283</f>
        <v>69246040</v>
      </c>
      <c r="G296" s="548">
        <f t="shared" si="51"/>
        <v>50855381</v>
      </c>
      <c r="H296" s="539">
        <f t="shared" si="51"/>
        <v>620968</v>
      </c>
      <c r="I296" s="540">
        <f t="shared" si="51"/>
        <v>17769691</v>
      </c>
      <c r="J296" s="347">
        <f t="shared" si="51"/>
        <v>69246040</v>
      </c>
      <c r="K296" s="347">
        <f t="shared" si="51"/>
        <v>0</v>
      </c>
    </row>
    <row r="297" spans="1:13">
      <c r="A297" s="333">
        <v>2</v>
      </c>
      <c r="D297" s="344"/>
      <c r="E297" s="196"/>
      <c r="G297" s="547"/>
      <c r="H297" s="537"/>
      <c r="I297" s="538"/>
    </row>
    <row r="298" spans="1:13">
      <c r="A298" s="333">
        <v>3</v>
      </c>
      <c r="B298" s="332" t="s">
        <v>32</v>
      </c>
      <c r="D298" s="344"/>
      <c r="E298" s="196"/>
      <c r="G298" s="547"/>
      <c r="H298" s="537"/>
      <c r="I298" s="538"/>
    </row>
    <row r="299" spans="1:13">
      <c r="A299" s="333">
        <v>4</v>
      </c>
      <c r="D299" s="344"/>
      <c r="E299" s="196"/>
      <c r="G299" s="547"/>
      <c r="H299" s="537"/>
      <c r="I299" s="538"/>
    </row>
    <row r="300" spans="1:13">
      <c r="A300" s="333">
        <v>5</v>
      </c>
      <c r="B300" s="332" t="s">
        <v>33</v>
      </c>
      <c r="D300" s="344"/>
      <c r="E300" s="196"/>
      <c r="G300" s="547"/>
      <c r="H300" s="537"/>
      <c r="I300" s="538"/>
    </row>
    <row r="301" spans="1:13">
      <c r="A301" s="333">
        <v>6</v>
      </c>
      <c r="C301" s="332" t="str">
        <f>'FR-16(7)(v)-1 Functional'!C301</f>
        <v>GAS ENRICHER LIQUID</v>
      </c>
      <c r="D301" s="344" t="str">
        <f>'FR-16(7)(v)-1 Functional'!D301</f>
        <v>K301</v>
      </c>
      <c r="E301" s="196"/>
      <c r="F301" s="479">
        <f>'FR-16(7)(v)-8 TOT CLASS Alloc'!H301</f>
        <v>370749</v>
      </c>
      <c r="G301" s="548">
        <f>'FR-16(7)(v)-5 DISTR Dem Alloc'!H301</f>
        <v>0</v>
      </c>
      <c r="H301" s="539">
        <f>'FR-16(7)(v)-3 PROD Comm Alloc'!H301</f>
        <v>370749</v>
      </c>
      <c r="I301" s="540">
        <f>'FR-16(7)(v)-6 DISTR Cust Alloc'!H301</f>
        <v>0</v>
      </c>
      <c r="J301" s="347">
        <f>SUM(G301:I301)</f>
        <v>370749</v>
      </c>
      <c r="K301" s="347">
        <f>F301-J301</f>
        <v>0</v>
      </c>
      <c r="M301" s="335"/>
    </row>
    <row r="302" spans="1:13">
      <c r="A302" s="333">
        <v>7</v>
      </c>
      <c r="C302" s="359" t="str">
        <f>'FR-16(7)(v)-1 Functional'!C302</f>
        <v>OTHER SUPPLIES</v>
      </c>
      <c r="D302" s="344" t="str">
        <f>'FR-16(7)(v)-1 Functional'!D302</f>
        <v>NP29</v>
      </c>
      <c r="E302" s="196"/>
      <c r="F302" s="479">
        <f>'FR-16(7)(v)-8 TOT CLASS Alloc'!H302</f>
        <v>257689</v>
      </c>
      <c r="G302" s="548">
        <f>'FR-16(7)(v)-5 DISTR Dem Alloc'!H302</f>
        <v>187262</v>
      </c>
      <c r="H302" s="539">
        <f>'FR-16(7)(v)-3 PROD Comm Alloc'!H302</f>
        <v>2480</v>
      </c>
      <c r="I302" s="540">
        <f>'FR-16(7)(v)-6 DISTR Cust Alloc'!H302</f>
        <v>67947</v>
      </c>
      <c r="J302" s="347">
        <f>SUM(G302:I302)</f>
        <v>257689</v>
      </c>
      <c r="K302" s="347">
        <f>F302-J302</f>
        <v>0</v>
      </c>
      <c r="M302" s="335"/>
    </row>
    <row r="303" spans="1:13">
      <c r="A303" s="333">
        <v>8</v>
      </c>
      <c r="C303" s="332" t="str">
        <f>'FR-16(7)(v)-1 Functional'!C303</f>
        <v xml:space="preserve">  TOTAL PLANT MATS. &amp; SUPPLIES</v>
      </c>
      <c r="D303" s="344"/>
      <c r="E303" s="196"/>
      <c r="F303" s="348">
        <f t="shared" ref="F303:K303" si="52">SUM(F300:F302)</f>
        <v>628438</v>
      </c>
      <c r="G303" s="549">
        <f t="shared" si="52"/>
        <v>187262</v>
      </c>
      <c r="H303" s="541">
        <f t="shared" si="52"/>
        <v>373229</v>
      </c>
      <c r="I303" s="542">
        <f t="shared" si="52"/>
        <v>67947</v>
      </c>
      <c r="J303" s="348">
        <f t="shared" si="52"/>
        <v>628438</v>
      </c>
      <c r="K303" s="348">
        <f t="shared" si="52"/>
        <v>0</v>
      </c>
    </row>
    <row r="304" spans="1:13">
      <c r="A304" s="333">
        <v>9</v>
      </c>
      <c r="B304" s="332" t="s">
        <v>34</v>
      </c>
      <c r="D304" s="344"/>
      <c r="E304" s="196"/>
      <c r="F304" s="347">
        <f t="shared" ref="F304:K304" si="53">F303</f>
        <v>628438</v>
      </c>
      <c r="G304" s="548">
        <f t="shared" si="53"/>
        <v>187262</v>
      </c>
      <c r="H304" s="539">
        <f t="shared" si="53"/>
        <v>373229</v>
      </c>
      <c r="I304" s="540">
        <f t="shared" si="53"/>
        <v>67947</v>
      </c>
      <c r="J304" s="347">
        <f t="shared" si="53"/>
        <v>628438</v>
      </c>
      <c r="K304" s="347">
        <f t="shared" si="53"/>
        <v>0</v>
      </c>
    </row>
    <row r="305" spans="1:13">
      <c r="A305" s="333">
        <v>10</v>
      </c>
      <c r="D305" s="344"/>
      <c r="E305" s="196"/>
      <c r="G305" s="547"/>
      <c r="H305" s="537"/>
      <c r="I305" s="538"/>
    </row>
    <row r="306" spans="1:13">
      <c r="A306" s="333">
        <v>11</v>
      </c>
      <c r="B306" s="332" t="s">
        <v>35</v>
      </c>
      <c r="D306" s="344"/>
      <c r="E306" s="196"/>
      <c r="G306" s="547"/>
      <c r="H306" s="537"/>
      <c r="I306" s="538"/>
    </row>
    <row r="307" spans="1:13">
      <c r="A307" s="333">
        <v>12</v>
      </c>
      <c r="C307" s="332" t="str">
        <f>'FR-16(7)(v)-1 Functional'!C307</f>
        <v>INSURANCE GENERAL</v>
      </c>
      <c r="D307" s="344" t="str">
        <f>'FR-16(7)(v)-1 Functional'!D307</f>
        <v>OM39</v>
      </c>
      <c r="E307" s="196"/>
      <c r="F307" s="479">
        <f>'FR-16(7)(v)-8 TOT CLASS Alloc'!H307</f>
        <v>9653</v>
      </c>
      <c r="G307" s="548">
        <f>'FR-16(7)(v)-5 DISTR Dem Alloc'!H307</f>
        <v>1732</v>
      </c>
      <c r="H307" s="539">
        <f>'FR-16(7)(v)-3 PROD Comm Alloc'!H307</f>
        <v>6827</v>
      </c>
      <c r="I307" s="540">
        <f>'FR-16(7)(v)-6 DISTR Cust Alloc'!H307</f>
        <v>1094</v>
      </c>
      <c r="J307" s="347">
        <f>SUM(G307:I307)</f>
        <v>9653</v>
      </c>
      <c r="K307" s="347">
        <f>F307-J307</f>
        <v>0</v>
      </c>
      <c r="M307" s="335"/>
    </row>
    <row r="308" spans="1:13">
      <c r="A308" s="333">
        <v>13</v>
      </c>
      <c r="C308" s="332" t="str">
        <f>'FR-16(7)(v)-1 Functional'!C308</f>
        <v>EXCISE TAX</v>
      </c>
      <c r="D308" s="344" t="str">
        <f>'FR-16(7)(v)-1 Functional'!D308</f>
        <v>OM39</v>
      </c>
      <c r="E308" s="196"/>
      <c r="F308" s="479">
        <f>'FR-16(7)(v)-8 TOT CLASS Alloc'!H308</f>
        <v>0</v>
      </c>
      <c r="G308" s="548">
        <f>'FR-16(7)(v)-5 DISTR Dem Alloc'!H308</f>
        <v>0</v>
      </c>
      <c r="H308" s="539">
        <f>'FR-16(7)(v)-3 PROD Comm Alloc'!H308</f>
        <v>0</v>
      </c>
      <c r="I308" s="540">
        <f>'FR-16(7)(v)-6 DISTR Cust Alloc'!H308</f>
        <v>0</v>
      </c>
      <c r="J308" s="347">
        <f>SUM(G308:I308)</f>
        <v>0</v>
      </c>
      <c r="K308" s="347">
        <f>F308-J308</f>
        <v>0</v>
      </c>
      <c r="M308" s="335"/>
    </row>
    <row r="309" spans="1:13">
      <c r="A309" s="333">
        <v>14</v>
      </c>
      <c r="C309" s="332" t="str">
        <f>'FR-16(7)(v)-1 Functional'!C309</f>
        <v>GAS PURCHASE</v>
      </c>
      <c r="D309" s="344" t="str">
        <f>'FR-16(7)(v)-1 Functional'!D309</f>
        <v>K301</v>
      </c>
      <c r="E309" s="196"/>
      <c r="F309" s="479">
        <f>'FR-16(7)(v)-8 TOT CLASS Alloc'!H309</f>
        <v>0</v>
      </c>
      <c r="G309" s="548">
        <f>'FR-16(7)(v)-5 DISTR Dem Alloc'!H309</f>
        <v>0</v>
      </c>
      <c r="H309" s="539">
        <f>'FR-16(7)(v)-3 PROD Comm Alloc'!H309</f>
        <v>0</v>
      </c>
      <c r="I309" s="540">
        <f>'FR-16(7)(v)-6 DISTR Cust Alloc'!H309</f>
        <v>0</v>
      </c>
      <c r="J309" s="347">
        <f>SUM(G309:I309)</f>
        <v>0</v>
      </c>
      <c r="K309" s="347">
        <f>F309-J309</f>
        <v>0</v>
      </c>
      <c r="M309" s="335"/>
    </row>
    <row r="310" spans="1:13">
      <c r="A310" s="333">
        <v>15</v>
      </c>
      <c r="C310" s="339" t="str">
        <f>'FR-16(7)(v)-1 Functional'!C310</f>
        <v xml:space="preserve">  TOTAL PREPAYMENTS</v>
      </c>
      <c r="D310" s="344"/>
      <c r="E310" s="196"/>
      <c r="F310" s="579">
        <f t="shared" ref="F310:K310" si="54">SUM(F306:F309)</f>
        <v>9653</v>
      </c>
      <c r="G310" s="580">
        <f t="shared" si="54"/>
        <v>1732</v>
      </c>
      <c r="H310" s="581">
        <f t="shared" si="54"/>
        <v>6827</v>
      </c>
      <c r="I310" s="582">
        <f t="shared" si="54"/>
        <v>1094</v>
      </c>
      <c r="J310" s="579">
        <f t="shared" si="54"/>
        <v>9653</v>
      </c>
      <c r="K310" s="579">
        <f t="shared" si="54"/>
        <v>0</v>
      </c>
    </row>
    <row r="311" spans="1:13">
      <c r="A311" s="333">
        <v>16</v>
      </c>
      <c r="D311" s="344"/>
      <c r="E311" s="196"/>
      <c r="G311" s="547"/>
      <c r="H311" s="537"/>
      <c r="I311" s="538"/>
    </row>
    <row r="312" spans="1:13">
      <c r="A312" s="333">
        <v>17</v>
      </c>
      <c r="B312" s="332" t="s">
        <v>36</v>
      </c>
      <c r="D312" s="344"/>
      <c r="E312" s="196"/>
      <c r="F312" s="347">
        <f>IF(WorkingCap="No",0,ROUND((F433-F348-F353)/8,0))</f>
        <v>622976</v>
      </c>
      <c r="G312" s="548">
        <f>IF(WorkingCap="No",0,ROUND((G433-G348-G353)/8,0))</f>
        <v>347062</v>
      </c>
      <c r="H312" s="539">
        <f>IF(WorkingCap="No",0,ROUND((H433-H348-H353)/8,0))</f>
        <v>56744</v>
      </c>
      <c r="I312" s="540">
        <f>IF(WorkingCap="No",0,ROUND((I433-I348-I353)/8,0))</f>
        <v>219170</v>
      </c>
      <c r="J312" s="347">
        <f>SUM(G312:I312)</f>
        <v>622976</v>
      </c>
      <c r="K312" s="347">
        <f>F312-J312</f>
        <v>0</v>
      </c>
    </row>
    <row r="313" spans="1:13">
      <c r="A313" s="333">
        <v>18</v>
      </c>
      <c r="B313" s="332" t="s">
        <v>37</v>
      </c>
      <c r="D313" s="344"/>
      <c r="E313" s="196"/>
      <c r="F313" s="347">
        <f t="shared" ref="F313:K313" si="55">F312</f>
        <v>622976</v>
      </c>
      <c r="G313" s="548">
        <f t="shared" si="55"/>
        <v>347062</v>
      </c>
      <c r="H313" s="539">
        <f t="shared" si="55"/>
        <v>56744</v>
      </c>
      <c r="I313" s="540">
        <f t="shared" si="55"/>
        <v>219170</v>
      </c>
      <c r="J313" s="347">
        <f t="shared" si="55"/>
        <v>622976</v>
      </c>
      <c r="K313" s="347">
        <f t="shared" si="55"/>
        <v>0</v>
      </c>
    </row>
    <row r="314" spans="1:13">
      <c r="A314" s="333">
        <v>19</v>
      </c>
      <c r="D314" s="344"/>
      <c r="E314" s="196"/>
      <c r="G314" s="547"/>
      <c r="H314" s="537"/>
      <c r="I314" s="538"/>
    </row>
    <row r="315" spans="1:13">
      <c r="A315" s="333">
        <v>20</v>
      </c>
      <c r="B315" s="332" t="s">
        <v>38</v>
      </c>
      <c r="D315" s="344"/>
      <c r="E315" s="196"/>
      <c r="G315" s="547"/>
      <c r="H315" s="537"/>
      <c r="I315" s="538"/>
    </row>
    <row r="316" spans="1:13">
      <c r="A316" s="333">
        <v>21</v>
      </c>
      <c r="C316" s="618" t="str">
        <f>'FR-16(7)(v)-1 Functional'!C316</f>
        <v>GAS STORED UNDERGROUND</v>
      </c>
      <c r="D316" s="344" t="str">
        <f>'FR-16(7)(v)-1 Functional'!D316</f>
        <v>K301</v>
      </c>
      <c r="E316" s="196"/>
      <c r="F316" s="479">
        <f>'FR-16(7)(v)-8 TOT CLASS Alloc'!H316</f>
        <v>854288</v>
      </c>
      <c r="G316" s="548">
        <f>'FR-16(7)(v)-5 DISTR Dem Alloc'!H316</f>
        <v>0</v>
      </c>
      <c r="H316" s="539">
        <f>'FR-16(7)(v)-3 PROD Comm Alloc'!H316</f>
        <v>854288</v>
      </c>
      <c r="I316" s="540">
        <f>'FR-16(7)(v)-6 DISTR Cust Alloc'!H316</f>
        <v>0</v>
      </c>
      <c r="J316" s="347">
        <f>SUM(G316:I316)</f>
        <v>854288</v>
      </c>
      <c r="K316" s="347">
        <f>F316-J316</f>
        <v>0</v>
      </c>
      <c r="M316" s="335"/>
    </row>
    <row r="317" spans="1:13">
      <c r="A317" s="333">
        <v>22</v>
      </c>
      <c r="C317" s="353" t="str">
        <f>'FR-16(7)(v)-1 Functional'!C317</f>
        <v>PIPP UNCOLLECTIBLES</v>
      </c>
      <c r="D317" s="344" t="str">
        <f>'FR-16(7)(v)-1 Functional'!D317</f>
        <v>K406</v>
      </c>
      <c r="E317" s="196"/>
      <c r="F317" s="479">
        <f>'FR-16(7)(v)-8 TOT CLASS Alloc'!H317</f>
        <v>0</v>
      </c>
      <c r="G317" s="548">
        <f>'FR-16(7)(v)-5 DISTR Dem Alloc'!H317</f>
        <v>0</v>
      </c>
      <c r="H317" s="539">
        <f>'FR-16(7)(v)-3 PROD Comm Alloc'!H317</f>
        <v>0</v>
      </c>
      <c r="I317" s="540">
        <f>'FR-16(7)(v)-6 DISTR Cust Alloc'!H317</f>
        <v>0</v>
      </c>
      <c r="J317" s="347">
        <f>SUM(G317:I317)</f>
        <v>0</v>
      </c>
      <c r="K317" s="347">
        <f>F317-J317</f>
        <v>0</v>
      </c>
      <c r="M317" s="335"/>
    </row>
    <row r="318" spans="1:13">
      <c r="A318" s="333">
        <v>23</v>
      </c>
      <c r="C318" s="511" t="str">
        <f>'FR-16(7)(v)-1 Functional'!C318</f>
        <v>RESERVED FOR FUTURE USE</v>
      </c>
      <c r="D318" s="344" t="str">
        <f>'FR-16(7)(v)-1 Functional'!D318</f>
        <v>D249</v>
      </c>
      <c r="E318" s="196"/>
      <c r="F318" s="479">
        <f>'FR-16(7)(v)-8 TOT CLASS Alloc'!H318</f>
        <v>0</v>
      </c>
      <c r="G318" s="548">
        <f>'FR-16(7)(v)-5 DISTR Dem Alloc'!H318</f>
        <v>0</v>
      </c>
      <c r="H318" s="539">
        <f>'FR-16(7)(v)-3 PROD Comm Alloc'!H318</f>
        <v>0</v>
      </c>
      <c r="I318" s="540">
        <f>'FR-16(7)(v)-6 DISTR Cust Alloc'!H318</f>
        <v>0</v>
      </c>
      <c r="J318" s="347">
        <f>SUM(G318:I318)</f>
        <v>0</v>
      </c>
      <c r="K318" s="347">
        <f>F318-J318</f>
        <v>0</v>
      </c>
      <c r="M318" s="335"/>
    </row>
    <row r="319" spans="1:13">
      <c r="A319" s="333">
        <v>24</v>
      </c>
      <c r="C319" s="332" t="str">
        <f>'FR-16(7)(v)-1 Functional'!C319</f>
        <v xml:space="preserve">  TOTAL MISC WORK CAPITAL</v>
      </c>
      <c r="D319" s="344"/>
      <c r="E319" s="196"/>
      <c r="F319" s="348">
        <f t="shared" ref="F319:K319" si="56">SUM(F315:F318)</f>
        <v>854288</v>
      </c>
      <c r="G319" s="549">
        <f t="shared" si="56"/>
        <v>0</v>
      </c>
      <c r="H319" s="541">
        <f t="shared" si="56"/>
        <v>854288</v>
      </c>
      <c r="I319" s="542">
        <f t="shared" si="56"/>
        <v>0</v>
      </c>
      <c r="J319" s="348">
        <f t="shared" si="56"/>
        <v>854288</v>
      </c>
      <c r="K319" s="348">
        <f t="shared" si="56"/>
        <v>0</v>
      </c>
    </row>
    <row r="320" spans="1:13">
      <c r="A320" s="333">
        <v>25</v>
      </c>
      <c r="D320" s="344"/>
      <c r="E320" s="196"/>
      <c r="G320" s="547"/>
      <c r="H320" s="537"/>
      <c r="I320" s="538"/>
    </row>
    <row r="321" spans="1:13">
      <c r="A321" s="333">
        <v>26</v>
      </c>
      <c r="B321" s="332" t="s">
        <v>39</v>
      </c>
      <c r="D321" s="344"/>
      <c r="E321" s="196"/>
      <c r="F321" s="347">
        <f t="shared" ref="F321:K321" si="57">F304+F310+F313+F319</f>
        <v>2115355</v>
      </c>
      <c r="G321" s="548">
        <f t="shared" si="57"/>
        <v>536056</v>
      </c>
      <c r="H321" s="539">
        <f t="shared" si="57"/>
        <v>1291088</v>
      </c>
      <c r="I321" s="540">
        <f t="shared" si="57"/>
        <v>288211</v>
      </c>
      <c r="J321" s="347">
        <f t="shared" si="57"/>
        <v>2115355</v>
      </c>
      <c r="K321" s="347">
        <f t="shared" si="57"/>
        <v>0</v>
      </c>
    </row>
    <row r="322" spans="1:13">
      <c r="A322" s="333">
        <v>27</v>
      </c>
      <c r="B322" s="332" t="s">
        <v>40</v>
      </c>
      <c r="D322" s="344"/>
      <c r="E322" s="196"/>
      <c r="G322" s="547"/>
      <c r="H322" s="537"/>
      <c r="I322" s="538"/>
    </row>
    <row r="323" spans="1:13">
      <c r="A323" s="333">
        <v>28</v>
      </c>
      <c r="C323" s="332" t="str">
        <f>'FR-16(7)(v)-1 Functional'!C323</f>
        <v>TOTAL ACCUMULATED DEFERRED INCOME TAXES</v>
      </c>
      <c r="D323" s="344"/>
      <c r="E323" s="196"/>
      <c r="F323" s="347">
        <f t="shared" ref="F323:K323" si="58">-F238</f>
        <v>-21616125</v>
      </c>
      <c r="G323" s="548">
        <f t="shared" si="58"/>
        <v>-14957931</v>
      </c>
      <c r="H323" s="539">
        <f t="shared" si="58"/>
        <v>-497057</v>
      </c>
      <c r="I323" s="540">
        <f t="shared" si="58"/>
        <v>-6161137</v>
      </c>
      <c r="J323" s="347">
        <f t="shared" si="58"/>
        <v>-21616125</v>
      </c>
      <c r="K323" s="347">
        <f t="shared" si="58"/>
        <v>0</v>
      </c>
      <c r="M323" s="335"/>
    </row>
    <row r="324" spans="1:13">
      <c r="A324" s="333">
        <v>29</v>
      </c>
      <c r="C324" s="332" t="str">
        <f>'FR-16(7)(v)-1 Functional'!C324</f>
        <v>TOTAL OTHER ACCUMULATED DEFERRED INCOME TAXES</v>
      </c>
      <c r="D324" s="344"/>
      <c r="E324" s="196"/>
      <c r="F324" s="347">
        <f t="shared" ref="F324:K324" si="59">F283</f>
        <v>442483</v>
      </c>
      <c r="G324" s="548">
        <f t="shared" si="59"/>
        <v>106501</v>
      </c>
      <c r="H324" s="539">
        <f t="shared" si="59"/>
        <v>247675</v>
      </c>
      <c r="I324" s="540">
        <f t="shared" si="59"/>
        <v>88307</v>
      </c>
      <c r="J324" s="347">
        <f t="shared" si="59"/>
        <v>442483</v>
      </c>
      <c r="K324" s="347">
        <f t="shared" si="59"/>
        <v>0</v>
      </c>
      <c r="M324" s="335"/>
    </row>
    <row r="325" spans="1:13">
      <c r="A325" s="333">
        <v>30</v>
      </c>
      <c r="C325" s="359" t="str">
        <f>'FR-16(7)(v)-1 Functional'!C325</f>
        <v>TOTAL WORKING CAPITAL</v>
      </c>
      <c r="D325" s="344"/>
      <c r="E325" s="196"/>
      <c r="F325" s="347">
        <f t="shared" ref="F325:K325" si="60">F321</f>
        <v>2115355</v>
      </c>
      <c r="G325" s="548">
        <f t="shared" si="60"/>
        <v>536056</v>
      </c>
      <c r="H325" s="539">
        <f t="shared" si="60"/>
        <v>1291088</v>
      </c>
      <c r="I325" s="540">
        <f t="shared" si="60"/>
        <v>288211</v>
      </c>
      <c r="J325" s="347">
        <f t="shared" si="60"/>
        <v>2115355</v>
      </c>
      <c r="K325" s="347">
        <f t="shared" si="60"/>
        <v>0</v>
      </c>
      <c r="M325" s="335"/>
    </row>
    <row r="326" spans="1:13">
      <c r="A326" s="333">
        <v>31</v>
      </c>
      <c r="C326" s="332" t="str">
        <f>'FR-16(7)(v)-1 Functional'!C326</f>
        <v xml:space="preserve">  TOTAL RATE BASE ADJUSTMENTS</v>
      </c>
      <c r="D326" s="344"/>
      <c r="E326" s="196"/>
      <c r="F326" s="348">
        <f t="shared" ref="F326:K326" si="61">SUM(F322:F325)</f>
        <v>-19058287</v>
      </c>
      <c r="G326" s="549">
        <f t="shared" si="61"/>
        <v>-14315374</v>
      </c>
      <c r="H326" s="541">
        <f t="shared" si="61"/>
        <v>1041706</v>
      </c>
      <c r="I326" s="542">
        <f t="shared" si="61"/>
        <v>-5784619</v>
      </c>
      <c r="J326" s="348">
        <f>SUM(J322:J325)</f>
        <v>-19058287</v>
      </c>
      <c r="K326" s="348">
        <f t="shared" si="61"/>
        <v>0</v>
      </c>
    </row>
    <row r="327" spans="1:13">
      <c r="A327" s="333">
        <v>32</v>
      </c>
      <c r="D327" s="344"/>
      <c r="E327" s="196"/>
      <c r="G327" s="547"/>
      <c r="H327" s="537"/>
      <c r="I327" s="538"/>
    </row>
    <row r="328" spans="1:13">
      <c r="A328" s="333">
        <v>33</v>
      </c>
      <c r="B328" s="332" t="s">
        <v>41</v>
      </c>
      <c r="D328" s="344"/>
      <c r="E328" s="196"/>
      <c r="G328" s="547"/>
      <c r="H328" s="537"/>
      <c r="I328" s="538"/>
    </row>
    <row r="329" spans="1:13">
      <c r="A329" s="333">
        <v>34</v>
      </c>
      <c r="C329" s="332" t="str">
        <f>'FR-16(7)(v)-1 Functional'!C329</f>
        <v>NET GAS PLANT IN SERVICE</v>
      </c>
      <c r="D329" s="344"/>
      <c r="E329" s="196"/>
      <c r="F329" s="347">
        <f t="shared" ref="F329:K329" si="62">F191</f>
        <v>90419682</v>
      </c>
      <c r="G329" s="548">
        <f t="shared" si="62"/>
        <v>65706811</v>
      </c>
      <c r="H329" s="539">
        <f t="shared" si="62"/>
        <v>870350</v>
      </c>
      <c r="I329" s="540">
        <f t="shared" si="62"/>
        <v>23842521</v>
      </c>
      <c r="J329" s="347">
        <f t="shared" si="62"/>
        <v>90419682</v>
      </c>
      <c r="K329" s="347">
        <f t="shared" si="62"/>
        <v>0</v>
      </c>
    </row>
    <row r="330" spans="1:13">
      <c r="A330" s="333">
        <v>35</v>
      </c>
      <c r="C330" s="359" t="str">
        <f>'FR-16(7)(v)-1 Functional'!C330</f>
        <v>TOTAL RATE BASE ADJUSTMENTS</v>
      </c>
      <c r="D330" s="344"/>
      <c r="E330" s="196"/>
      <c r="F330" s="347">
        <f t="shared" ref="F330:K330" si="63">F326</f>
        <v>-19058287</v>
      </c>
      <c r="G330" s="548">
        <f t="shared" si="63"/>
        <v>-14315374</v>
      </c>
      <c r="H330" s="539">
        <f t="shared" si="63"/>
        <v>1041706</v>
      </c>
      <c r="I330" s="540">
        <f t="shared" si="63"/>
        <v>-5784619</v>
      </c>
      <c r="J330" s="347">
        <f t="shared" si="63"/>
        <v>-19058287</v>
      </c>
      <c r="K330" s="347">
        <f t="shared" si="63"/>
        <v>0</v>
      </c>
    </row>
    <row r="331" spans="1:13">
      <c r="A331" s="333">
        <v>36</v>
      </c>
      <c r="C331" s="332" t="str">
        <f>'FR-16(7)(v)-1 Functional'!C331</f>
        <v xml:space="preserve">  TOTAL RATE BASE</v>
      </c>
      <c r="D331" s="344"/>
      <c r="E331" s="196"/>
      <c r="F331" s="348">
        <f t="shared" ref="F331:K331" si="64">SUM(F328:F330)</f>
        <v>71361395</v>
      </c>
      <c r="G331" s="549">
        <f t="shared" si="64"/>
        <v>51391437</v>
      </c>
      <c r="H331" s="541">
        <f t="shared" si="64"/>
        <v>1912056</v>
      </c>
      <c r="I331" s="542">
        <f t="shared" si="64"/>
        <v>18057902</v>
      </c>
      <c r="J331" s="348">
        <f t="shared" si="64"/>
        <v>71361395</v>
      </c>
      <c r="K331" s="348">
        <f t="shared" si="64"/>
        <v>0</v>
      </c>
    </row>
    <row r="332" spans="1:13">
      <c r="A332" s="333">
        <v>37</v>
      </c>
      <c r="D332" s="344"/>
      <c r="E332" s="196"/>
      <c r="G332" s="547"/>
      <c r="H332" s="537"/>
      <c r="I332" s="538"/>
    </row>
    <row r="333" spans="1:13">
      <c r="A333" s="333">
        <v>38</v>
      </c>
      <c r="B333" s="332" t="s">
        <v>42</v>
      </c>
      <c r="D333" s="344"/>
      <c r="E333" s="196"/>
      <c r="F333" s="350">
        <f>$F$688</f>
        <v>7.1809999999999999E-2</v>
      </c>
      <c r="G333" s="1278">
        <f>F688</f>
        <v>7.1809999999999999E-2</v>
      </c>
      <c r="H333" s="1279">
        <f>F688</f>
        <v>7.1809999999999999E-2</v>
      </c>
      <c r="I333" s="1280">
        <f>F688</f>
        <v>7.1809999999999999E-2</v>
      </c>
      <c r="J333" s="350">
        <f>F688</f>
        <v>7.1809999999999999E-2</v>
      </c>
      <c r="K333" s="350">
        <f>'FR-16(7)(v)-1 Functional'!F688</f>
        <v>7.1809999999999999E-2</v>
      </c>
    </row>
    <row r="334" spans="1:13">
      <c r="A334" s="333">
        <v>39</v>
      </c>
      <c r="B334" s="332" t="s">
        <v>43</v>
      </c>
      <c r="D334" s="344"/>
      <c r="E334" s="196"/>
      <c r="F334" s="347">
        <f>ROUND(F333*F331,0)</f>
        <v>5124462</v>
      </c>
      <c r="G334" s="554">
        <f>F334-SUM(H334:I334)</f>
        <v>3690419</v>
      </c>
      <c r="H334" s="555">
        <f>ROUND(H331*H333,0)</f>
        <v>137305</v>
      </c>
      <c r="I334" s="556">
        <f>ROUND(I331*I333,0)</f>
        <v>1296738</v>
      </c>
      <c r="J334" s="347">
        <f>SUM(G334:I334)</f>
        <v>5124462</v>
      </c>
      <c r="K334" s="347">
        <f>ROUND(K331*K333,0)</f>
        <v>0</v>
      </c>
    </row>
    <row r="335" spans="1:13">
      <c r="B335" s="343"/>
      <c r="C335" s="196"/>
      <c r="D335" s="344"/>
      <c r="E335" s="196"/>
      <c r="F335" s="196"/>
      <c r="G335" s="196"/>
      <c r="H335" s="196"/>
      <c r="I335" s="196"/>
      <c r="J335" s="196"/>
      <c r="K335" s="196"/>
    </row>
    <row r="336" spans="1:13">
      <c r="A336" s="343" t="str">
        <f>co_name</f>
        <v>DUKE ENERGY KENTUCKY, INC.</v>
      </c>
      <c r="C336" s="196"/>
      <c r="D336" s="344"/>
      <c r="E336" s="196"/>
      <c r="F336" s="196"/>
      <c r="G336" s="196"/>
      <c r="H336" s="196"/>
      <c r="I336" s="196"/>
      <c r="J336" s="196" t="str">
        <f>$J$1</f>
        <v>FR-16(7)(v)-10</v>
      </c>
      <c r="K336" s="196"/>
    </row>
    <row r="337" spans="1:11">
      <c r="A337" s="343" t="str">
        <f>$A$2</f>
        <v>GS CLASSIFIED - GAS COST OF SERVICE</v>
      </c>
      <c r="C337" s="196"/>
      <c r="D337" s="344"/>
      <c r="E337" s="196"/>
      <c r="F337" s="196"/>
      <c r="G337" s="196"/>
      <c r="H337" s="196"/>
      <c r="I337" s="196"/>
      <c r="J337" s="196" t="str">
        <f>$J$2</f>
        <v>WITNESS RESPONSIBLE:</v>
      </c>
      <c r="K337" s="196"/>
    </row>
    <row r="338" spans="1:11">
      <c r="A338" s="343" t="str">
        <f>case_name</f>
        <v>CASE NO: 2018-00261</v>
      </c>
      <c r="C338" s="196"/>
      <c r="D338" s="344"/>
      <c r="E338" s="196"/>
      <c r="F338" s="196"/>
      <c r="G338" s="196"/>
      <c r="H338" s="196"/>
      <c r="I338" s="196"/>
      <c r="J338" s="196" t="str">
        <f>Witness</f>
        <v>JAMES E. ZIOLKOWSKI</v>
      </c>
      <c r="K338" s="196"/>
    </row>
    <row r="339" spans="1:11">
      <c r="A339" s="343" t="str">
        <f>data_filing</f>
        <v>DATA: 12 MONTH FORECASTED PERIOD</v>
      </c>
      <c r="C339" s="196"/>
      <c r="D339" s="344"/>
      <c r="E339" s="196"/>
      <c r="F339" s="196"/>
      <c r="G339" s="196"/>
      <c r="H339" s="196"/>
      <c r="I339" s="196"/>
      <c r="J339" s="196" t="str">
        <f>"PAGE "&amp;Pages2-7&amp;" OF "&amp;Pages2</f>
        <v>PAGE 8 OF 15</v>
      </c>
      <c r="K339" s="196"/>
    </row>
    <row r="340" spans="1:11">
      <c r="A340" s="343" t="str">
        <f>type</f>
        <v xml:space="preserve">TYPE OF FILING: "X" ORIGINAL   UPDATED    REVISED  </v>
      </c>
      <c r="C340" s="196"/>
      <c r="D340" s="344"/>
      <c r="E340" s="196"/>
      <c r="F340" s="196"/>
      <c r="G340" s="196"/>
      <c r="H340" s="196"/>
      <c r="I340" s="196"/>
      <c r="J340" s="196"/>
      <c r="K340" s="196"/>
    </row>
    <row r="341" spans="1:11">
      <c r="B341" s="343"/>
      <c r="C341" s="196"/>
      <c r="D341" s="344"/>
      <c r="E341" s="196"/>
      <c r="F341" s="196"/>
      <c r="G341" s="196"/>
      <c r="H341" s="196"/>
      <c r="I341" s="196"/>
      <c r="J341" s="196"/>
      <c r="K341" s="196"/>
    </row>
    <row r="342" spans="1:11">
      <c r="B342" s="343"/>
      <c r="C342" s="196"/>
      <c r="D342" s="344"/>
      <c r="E342" s="196"/>
      <c r="F342" s="196"/>
      <c r="G342" s="196"/>
      <c r="H342" s="196"/>
      <c r="I342" s="196"/>
      <c r="J342" s="196"/>
      <c r="K342" s="196"/>
    </row>
    <row r="343" spans="1:11">
      <c r="A343" s="344" t="s">
        <v>914</v>
      </c>
      <c r="B343" s="196"/>
      <c r="C343" s="196"/>
      <c r="D343" s="344"/>
      <c r="E343" s="196"/>
      <c r="F343" s="344" t="s">
        <v>229</v>
      </c>
      <c r="G343" s="545" t="s">
        <v>1005</v>
      </c>
      <c r="H343" s="533"/>
      <c r="I343" s="534"/>
      <c r="J343" s="344" t="s">
        <v>229</v>
      </c>
      <c r="K343" s="344" t="s">
        <v>342</v>
      </c>
    </row>
    <row r="344" spans="1:11">
      <c r="A344" s="346" t="s">
        <v>915</v>
      </c>
      <c r="B344" s="345" t="s">
        <v>44</v>
      </c>
      <c r="C344" s="345"/>
      <c r="D344" s="346" t="s">
        <v>337</v>
      </c>
      <c r="E344" s="345"/>
      <c r="F344" s="346" t="str">
        <f>$F$9</f>
        <v>GS</v>
      </c>
      <c r="G344" s="546" t="s">
        <v>847</v>
      </c>
      <c r="H344" s="535" t="s">
        <v>848</v>
      </c>
      <c r="I344" s="536" t="s">
        <v>849</v>
      </c>
      <c r="J344" s="346" t="s">
        <v>341</v>
      </c>
      <c r="K344" s="346" t="s">
        <v>340</v>
      </c>
    </row>
    <row r="345" spans="1:11">
      <c r="C345" s="578" t="s">
        <v>348</v>
      </c>
      <c r="D345" s="344"/>
      <c r="E345" s="196"/>
      <c r="G345" s="800">
        <f>$G$10</f>
        <v>3</v>
      </c>
      <c r="H345" s="801">
        <f>$H$10</f>
        <v>4</v>
      </c>
      <c r="I345" s="802">
        <f>$I$10</f>
        <v>5</v>
      </c>
    </row>
    <row r="346" spans="1:11">
      <c r="A346" s="333">
        <v>1</v>
      </c>
      <c r="B346" s="332" t="s">
        <v>45</v>
      </c>
      <c r="D346" s="344"/>
      <c r="E346" s="196"/>
      <c r="G346" s="547"/>
      <c r="H346" s="537"/>
      <c r="I346" s="538"/>
    </row>
    <row r="347" spans="1:11">
      <c r="A347" s="333">
        <v>2</v>
      </c>
      <c r="B347" s="332" t="s">
        <v>46</v>
      </c>
      <c r="D347" s="344"/>
      <c r="E347" s="196"/>
      <c r="G347" s="547"/>
      <c r="H347" s="537"/>
      <c r="I347" s="538"/>
    </row>
    <row r="348" spans="1:11">
      <c r="A348" s="333">
        <v>3</v>
      </c>
      <c r="C348" s="332" t="str">
        <f>'FR-16(7)(v)-1 Functional'!C348</f>
        <v>ANNUALIZED GAS COST</v>
      </c>
      <c r="D348" s="344" t="str">
        <f>'FR-16(7)(v)-1 Functional'!D348</f>
        <v>K301</v>
      </c>
      <c r="E348" s="196"/>
      <c r="F348" s="479">
        <f>'FR-16(7)(v)-8 TOT CLASS Alloc'!H348</f>
        <v>10490379</v>
      </c>
      <c r="G348" s="548">
        <f>'FR-16(7)(v)-5 DISTR Dem Alloc'!H348</f>
        <v>0</v>
      </c>
      <c r="H348" s="539">
        <f>'FR-16(7)(v)-3 PROD Comm Alloc'!H348</f>
        <v>10490379</v>
      </c>
      <c r="I348" s="540">
        <f>'FR-16(7)(v)-6 DISTR Cust Alloc'!H348</f>
        <v>0</v>
      </c>
      <c r="J348" s="347">
        <f>SUM(G348:I348)</f>
        <v>10490379</v>
      </c>
      <c r="K348" s="347">
        <f>F348-J348</f>
        <v>0</v>
      </c>
    </row>
    <row r="349" spans="1:11">
      <c r="A349" s="333">
        <v>4</v>
      </c>
      <c r="C349" s="359" t="str">
        <f>'FR-16(7)(v)-1 Functional'!C349</f>
        <v>OTHER ASSOCIATED COST</v>
      </c>
      <c r="D349" s="344" t="str">
        <f>'FR-16(7)(v)-1 Functional'!D349</f>
        <v>K300</v>
      </c>
      <c r="E349" s="196"/>
      <c r="F349" s="479">
        <f>'FR-16(7)(v)-8 TOT CLASS Alloc'!H349</f>
        <v>244802</v>
      </c>
      <c r="G349" s="548">
        <f>'FR-16(7)(v)-5 DISTR Dem Alloc'!H349</f>
        <v>0</v>
      </c>
      <c r="H349" s="539">
        <f>'FR-16(7)(v)-3 PROD Comm Alloc'!H349</f>
        <v>244802</v>
      </c>
      <c r="I349" s="540">
        <f>'FR-16(7)(v)-6 DISTR Cust Alloc'!H349</f>
        <v>0</v>
      </c>
      <c r="J349" s="347">
        <f>SUM(G349:I349)</f>
        <v>244802</v>
      </c>
      <c r="K349" s="347">
        <f>F349-J349</f>
        <v>0</v>
      </c>
    </row>
    <row r="350" spans="1:11">
      <c r="A350" s="333">
        <v>5</v>
      </c>
      <c r="C350" s="332" t="str">
        <f>'FR-16(7)(v)-1 Functional'!C350</f>
        <v xml:space="preserve">  TOTAL COMMODITY RELATED</v>
      </c>
      <c r="D350" s="344"/>
      <c r="E350" s="196"/>
      <c r="F350" s="348">
        <f t="shared" ref="F350:K350" si="65">SUM(F348:F349)</f>
        <v>10735181</v>
      </c>
      <c r="G350" s="549">
        <f t="shared" si="65"/>
        <v>0</v>
      </c>
      <c r="H350" s="541">
        <f t="shared" si="65"/>
        <v>10735181</v>
      </c>
      <c r="I350" s="542">
        <f t="shared" si="65"/>
        <v>0</v>
      </c>
      <c r="J350" s="348">
        <f t="shared" si="65"/>
        <v>10735181</v>
      </c>
      <c r="K350" s="348">
        <f t="shared" si="65"/>
        <v>0</v>
      </c>
    </row>
    <row r="351" spans="1:11">
      <c r="A351" s="333">
        <v>6</v>
      </c>
      <c r="D351" s="344"/>
      <c r="E351" s="196"/>
      <c r="G351" s="547"/>
      <c r="H351" s="537"/>
      <c r="I351" s="538"/>
    </row>
    <row r="352" spans="1:11">
      <c r="A352" s="333">
        <v>7</v>
      </c>
      <c r="B352" s="359" t="s">
        <v>47</v>
      </c>
      <c r="C352" s="359"/>
      <c r="D352" s="344"/>
      <c r="E352" s="196"/>
      <c r="F352" s="347"/>
      <c r="G352" s="548"/>
      <c r="H352" s="539"/>
      <c r="I352" s="540"/>
      <c r="J352" s="347"/>
      <c r="K352" s="347"/>
    </row>
    <row r="353" spans="1:11">
      <c r="A353" s="333">
        <v>8</v>
      </c>
      <c r="C353" s="332" t="str">
        <f>'FR-16(7)(v)-1 Functional'!C353</f>
        <v>ANNUALIZED GAS COST - DEMAND</v>
      </c>
      <c r="D353" s="344" t="s">
        <v>290</v>
      </c>
      <c r="E353" s="196"/>
      <c r="F353" s="479">
        <f>'FR-16(7)(v)-8 TOT CLASS Alloc'!H353</f>
        <v>0</v>
      </c>
      <c r="G353" s="548">
        <f>'FR-16(7)(v)-5 DISTR Dem Alloc'!H353</f>
        <v>0</v>
      </c>
      <c r="H353" s="539">
        <f>'FR-16(7)(v)-3 PROD Comm Alloc'!H353</f>
        <v>0</v>
      </c>
      <c r="I353" s="540">
        <f>'FR-16(7)(v)-6 DISTR Cust Alloc'!H353</f>
        <v>0</v>
      </c>
      <c r="J353" s="347">
        <f>SUM(G353:I353)</f>
        <v>0</v>
      </c>
      <c r="K353" s="347">
        <f>F353-J353</f>
        <v>0</v>
      </c>
    </row>
    <row r="354" spans="1:11">
      <c r="A354" s="333">
        <v>9</v>
      </c>
      <c r="C354" s="332" t="str">
        <f>'FR-16(7)(v)-1 Functional'!C354</f>
        <v xml:space="preserve">  TOTAL DEMAND RELATED</v>
      </c>
      <c r="D354" s="344"/>
      <c r="E354" s="196"/>
      <c r="F354" s="348">
        <f t="shared" ref="F354:K354" si="66">SUM(F352:F353)</f>
        <v>0</v>
      </c>
      <c r="G354" s="549">
        <f t="shared" si="66"/>
        <v>0</v>
      </c>
      <c r="H354" s="541">
        <f t="shared" si="66"/>
        <v>0</v>
      </c>
      <c r="I354" s="542">
        <f t="shared" si="66"/>
        <v>0</v>
      </c>
      <c r="J354" s="348">
        <f t="shared" si="66"/>
        <v>0</v>
      </c>
      <c r="K354" s="348">
        <f t="shared" si="66"/>
        <v>0</v>
      </c>
    </row>
    <row r="355" spans="1:11">
      <c r="A355" s="333">
        <v>10</v>
      </c>
      <c r="D355" s="344"/>
      <c r="E355" s="196"/>
      <c r="G355" s="547"/>
      <c r="H355" s="537"/>
      <c r="I355" s="538"/>
    </row>
    <row r="356" spans="1:11">
      <c r="A356" s="333">
        <v>11</v>
      </c>
      <c r="B356" s="332" t="s">
        <v>1010</v>
      </c>
      <c r="D356" s="344"/>
      <c r="E356" s="196"/>
      <c r="G356" s="547"/>
      <c r="H356" s="537"/>
      <c r="I356" s="538"/>
    </row>
    <row r="357" spans="1:11">
      <c r="A357" s="333">
        <v>12</v>
      </c>
      <c r="C357" s="359" t="str">
        <f>'FR-16(7)(v)-1 Functional'!C357</f>
        <v>PRODUCTION EXPENSES</v>
      </c>
      <c r="D357" s="344" t="str">
        <f>'FR-16(7)(v)-1 Functional'!D357</f>
        <v>K201</v>
      </c>
      <c r="E357" s="196"/>
      <c r="F357" s="479">
        <f>'FR-16(7)(v)-8 TOT CLASS Alloc'!H357</f>
        <v>0</v>
      </c>
      <c r="G357" s="548">
        <f>'FR-16(7)(v)-5 DISTR Dem Alloc'!H357</f>
        <v>0</v>
      </c>
      <c r="H357" s="539">
        <f>'FR-16(7)(v)-3 PROD Comm Alloc'!H357</f>
        <v>0</v>
      </c>
      <c r="I357" s="540">
        <f>'FR-16(7)(v)-6 DISTR Cust Alloc'!H357</f>
        <v>0</v>
      </c>
      <c r="J357" s="347">
        <f>SUM(G357:I357)</f>
        <v>0</v>
      </c>
      <c r="K357" s="347">
        <f>F357-J357</f>
        <v>0</v>
      </c>
    </row>
    <row r="358" spans="1:11">
      <c r="A358" s="333">
        <v>13</v>
      </c>
      <c r="C358" s="332" t="str">
        <f>'FR-16(7)(v)-1 Functional'!C358</f>
        <v xml:space="preserve">  TOTAL DEM REL &amp; OTH PROD O&amp;M </v>
      </c>
      <c r="D358" s="344"/>
      <c r="E358" s="196"/>
      <c r="F358" s="348">
        <f t="shared" ref="F358:K358" si="67">SUM(F356:F357)</f>
        <v>0</v>
      </c>
      <c r="G358" s="549">
        <f t="shared" si="67"/>
        <v>0</v>
      </c>
      <c r="H358" s="541">
        <f t="shared" si="67"/>
        <v>0</v>
      </c>
      <c r="I358" s="542">
        <f t="shared" si="67"/>
        <v>0</v>
      </c>
      <c r="J358" s="348">
        <f t="shared" si="67"/>
        <v>0</v>
      </c>
      <c r="K358" s="348">
        <f t="shared" si="67"/>
        <v>0</v>
      </c>
    </row>
    <row r="359" spans="1:11">
      <c r="A359" s="333">
        <v>14</v>
      </c>
      <c r="D359" s="344"/>
      <c r="E359" s="196"/>
      <c r="F359" s="347"/>
      <c r="G359" s="548"/>
      <c r="H359" s="539"/>
      <c r="I359" s="540"/>
      <c r="J359" s="347"/>
      <c r="K359" s="347"/>
    </row>
    <row r="360" spans="1:11">
      <c r="A360" s="333">
        <v>15</v>
      </c>
      <c r="B360" s="332" t="s">
        <v>48</v>
      </c>
      <c r="D360" s="344"/>
      <c r="E360" s="196" t="s">
        <v>343</v>
      </c>
      <c r="F360" s="347">
        <f t="shared" ref="F360:K360" si="68">F358+F354+F350</f>
        <v>10735181</v>
      </c>
      <c r="G360" s="548">
        <f t="shared" si="68"/>
        <v>0</v>
      </c>
      <c r="H360" s="539">
        <f t="shared" si="68"/>
        <v>10735181</v>
      </c>
      <c r="I360" s="540">
        <f t="shared" si="68"/>
        <v>0</v>
      </c>
      <c r="J360" s="347">
        <f t="shared" si="68"/>
        <v>10735181</v>
      </c>
      <c r="K360" s="347">
        <f t="shared" si="68"/>
        <v>0</v>
      </c>
    </row>
    <row r="361" spans="1:11">
      <c r="A361" s="333">
        <v>16</v>
      </c>
      <c r="D361" s="344"/>
      <c r="E361" s="196"/>
      <c r="G361" s="547"/>
      <c r="H361" s="537"/>
      <c r="I361" s="538"/>
    </row>
    <row r="362" spans="1:11">
      <c r="A362" s="333">
        <v>17</v>
      </c>
      <c r="B362" s="332" t="s">
        <v>49</v>
      </c>
      <c r="D362" s="344"/>
      <c r="E362" s="196"/>
      <c r="G362" s="547"/>
      <c r="H362" s="537"/>
      <c r="I362" s="538"/>
    </row>
    <row r="363" spans="1:11">
      <c r="A363" s="333">
        <v>18</v>
      </c>
      <c r="C363" s="359" t="str">
        <f>'FR-16(7)(v)-1 Functional'!C363</f>
        <v>TRANSMISSION O &amp; M</v>
      </c>
      <c r="D363" s="344" t="s">
        <v>343</v>
      </c>
      <c r="E363" s="196"/>
      <c r="F363" s="477"/>
      <c r="G363" s="548"/>
      <c r="H363" s="539"/>
      <c r="I363" s="540"/>
      <c r="J363" s="347"/>
      <c r="K363" s="347"/>
    </row>
    <row r="364" spans="1:11">
      <c r="A364" s="333">
        <v>19</v>
      </c>
      <c r="C364" s="332" t="str">
        <f>'FR-16(7)(v)-1 Functional'!C364</f>
        <v xml:space="preserve">  TOTAL TRANSMISSION O &amp; M</v>
      </c>
      <c r="D364" s="344"/>
      <c r="E364" s="196"/>
      <c r="F364" s="348">
        <f t="shared" ref="F364:K364" si="69">SUM(F363)</f>
        <v>0</v>
      </c>
      <c r="G364" s="549">
        <f t="shared" si="69"/>
        <v>0</v>
      </c>
      <c r="H364" s="541">
        <f t="shared" si="69"/>
        <v>0</v>
      </c>
      <c r="I364" s="542">
        <f t="shared" si="69"/>
        <v>0</v>
      </c>
      <c r="J364" s="348">
        <f t="shared" si="69"/>
        <v>0</v>
      </c>
      <c r="K364" s="348">
        <f t="shared" si="69"/>
        <v>0</v>
      </c>
    </row>
    <row r="365" spans="1:11">
      <c r="A365" s="333">
        <v>20</v>
      </c>
      <c r="D365" s="344"/>
      <c r="E365" s="196"/>
      <c r="G365" s="547"/>
      <c r="H365" s="537"/>
      <c r="I365" s="538"/>
    </row>
    <row r="366" spans="1:11">
      <c r="A366" s="333">
        <v>21</v>
      </c>
      <c r="B366" s="332" t="s">
        <v>50</v>
      </c>
      <c r="D366" s="344"/>
      <c r="E366" s="196"/>
      <c r="G366" s="547"/>
      <c r="H366" s="537"/>
      <c r="I366" s="538"/>
    </row>
    <row r="367" spans="1:11">
      <c r="A367" s="333">
        <v>22</v>
      </c>
      <c r="C367" s="332" t="str">
        <f>'FR-16(7)(v)-1 Functional'!C367</f>
        <v>LOAD DISPATCHING</v>
      </c>
      <c r="D367" s="344" t="str">
        <f>'FR-16(7)(v)-1 Functional'!D367</f>
        <v>K203</v>
      </c>
      <c r="E367" s="196"/>
      <c r="F367" s="479">
        <f>'FR-16(7)(v)-8 TOT CLASS Alloc'!H367</f>
        <v>54716</v>
      </c>
      <c r="G367" s="548">
        <f>'FR-16(7)(v)-5 DISTR Dem Alloc'!H367</f>
        <v>54716</v>
      </c>
      <c r="H367" s="539">
        <f>'FR-16(7)(v)-3 PROD Comm Alloc'!H367</f>
        <v>0</v>
      </c>
      <c r="I367" s="540">
        <f>'FR-16(7)(v)-6 DISTR Cust Alloc'!H367</f>
        <v>0</v>
      </c>
      <c r="J367" s="347">
        <f t="shared" ref="J367:J377" si="70">SUM(G367:I367)</f>
        <v>54716</v>
      </c>
      <c r="K367" s="347">
        <f t="shared" ref="K367:K377" si="71">F367-J367</f>
        <v>0</v>
      </c>
    </row>
    <row r="368" spans="1:11">
      <c r="A368" s="333">
        <v>23</v>
      </c>
      <c r="C368" s="332" t="str">
        <f>'FR-16(7)(v)-1 Functional'!C368</f>
        <v>MAINS &amp; SERVICES OPER</v>
      </c>
      <c r="D368" s="344" t="str">
        <f>'FR-16(7)(v)-1 Functional'!D368</f>
        <v>K667</v>
      </c>
      <c r="E368" s="196"/>
      <c r="F368" s="479">
        <f>'FR-16(7)(v)-8 TOT CLASS Alloc'!H368</f>
        <v>524895</v>
      </c>
      <c r="G368" s="548">
        <f>'FR-16(7)(v)-5 DISTR Dem Alloc'!H368</f>
        <v>390474</v>
      </c>
      <c r="H368" s="539">
        <f>'FR-16(7)(v)-3 PROD Comm Alloc'!H368</f>
        <v>0</v>
      </c>
      <c r="I368" s="540">
        <f>'FR-16(7)(v)-6 DISTR Cust Alloc'!H368</f>
        <v>134421</v>
      </c>
      <c r="J368" s="347">
        <f t="shared" si="70"/>
        <v>524895</v>
      </c>
      <c r="K368" s="347">
        <f t="shared" si="71"/>
        <v>0</v>
      </c>
    </row>
    <row r="369" spans="1:11">
      <c r="A369" s="333">
        <v>24</v>
      </c>
      <c r="C369" s="332" t="str">
        <f>'FR-16(7)(v)-1 Functional'!C369</f>
        <v>M &amp; R STATION GENERAL</v>
      </c>
      <c r="D369" s="344" t="str">
        <f>'FR-16(7)(v)-1 Functional'!D369</f>
        <v>K203</v>
      </c>
      <c r="E369" s="196"/>
      <c r="F369" s="479">
        <f>'FR-16(7)(v)-8 TOT CLASS Alloc'!H369</f>
        <v>19541</v>
      </c>
      <c r="G369" s="548">
        <f>'FR-16(7)(v)-5 DISTR Dem Alloc'!H369</f>
        <v>19541</v>
      </c>
      <c r="H369" s="539">
        <f>'FR-16(7)(v)-3 PROD Comm Alloc'!H369</f>
        <v>0</v>
      </c>
      <c r="I369" s="540">
        <f>'FR-16(7)(v)-6 DISTR Cust Alloc'!H369</f>
        <v>0</v>
      </c>
      <c r="J369" s="347">
        <f t="shared" si="70"/>
        <v>19541</v>
      </c>
      <c r="K369" s="347">
        <f t="shared" si="71"/>
        <v>0</v>
      </c>
    </row>
    <row r="370" spans="1:11">
      <c r="A370" s="333">
        <v>25</v>
      </c>
      <c r="C370" s="332" t="str">
        <f>'FR-16(7)(v)-1 Functional'!C370</f>
        <v>CUSTOMER INST &amp; OTHER</v>
      </c>
      <c r="D370" s="344" t="str">
        <f>'FR-16(7)(v)-1 Functional'!D370</f>
        <v>K415</v>
      </c>
      <c r="E370" s="196"/>
      <c r="F370" s="479">
        <f>'FR-16(7)(v)-8 TOT CLASS Alloc'!H370</f>
        <v>351579</v>
      </c>
      <c r="G370" s="548">
        <f>'FR-16(7)(v)-5 DISTR Dem Alloc'!H370</f>
        <v>295326</v>
      </c>
      <c r="H370" s="539">
        <f>'FR-16(7)(v)-3 PROD Comm Alloc'!H370</f>
        <v>0</v>
      </c>
      <c r="I370" s="540">
        <f>'FR-16(7)(v)-6 DISTR Cust Alloc'!H370</f>
        <v>56253</v>
      </c>
      <c r="J370" s="347">
        <f t="shared" si="70"/>
        <v>351579</v>
      </c>
      <c r="K370" s="347">
        <f t="shared" si="71"/>
        <v>0</v>
      </c>
    </row>
    <row r="371" spans="1:11">
      <c r="A371" s="333">
        <v>26</v>
      </c>
      <c r="C371" s="332" t="str">
        <f>'FR-16(7)(v)-1 Functional'!C371</f>
        <v>METERS &amp; HOUSE REG</v>
      </c>
      <c r="D371" s="344" t="str">
        <f>'FR-16(7)(v)-1 Functional'!D371</f>
        <v>K697</v>
      </c>
      <c r="E371" s="196"/>
      <c r="F371" s="479">
        <f>'FR-16(7)(v)-8 TOT CLASS Alloc'!H371</f>
        <v>582488</v>
      </c>
      <c r="G371" s="548">
        <f>'FR-16(7)(v)-5 DISTR Dem Alloc'!H371</f>
        <v>0</v>
      </c>
      <c r="H371" s="539">
        <f>'FR-16(7)(v)-3 PROD Comm Alloc'!H371</f>
        <v>0</v>
      </c>
      <c r="I371" s="540">
        <f>'FR-16(7)(v)-6 DISTR Cust Alloc'!H371</f>
        <v>582488</v>
      </c>
      <c r="J371" s="347">
        <f t="shared" si="70"/>
        <v>582488</v>
      </c>
      <c r="K371" s="347">
        <f t="shared" si="71"/>
        <v>0</v>
      </c>
    </row>
    <row r="372" spans="1:11">
      <c r="A372" s="333">
        <v>27</v>
      </c>
      <c r="C372" s="332" t="str">
        <f>'FR-16(7)(v)-1 Functional'!C372</f>
        <v>MAINS</v>
      </c>
      <c r="D372" s="344" t="str">
        <f>'FR-16(7)(v)-1 Functional'!D372</f>
        <v>K415</v>
      </c>
      <c r="E372" s="196"/>
      <c r="F372" s="479">
        <f>'FR-16(7)(v)-8 TOT CLASS Alloc'!H372</f>
        <v>560848</v>
      </c>
      <c r="G372" s="548">
        <f>'FR-16(7)(v)-5 DISTR Dem Alloc'!H372</f>
        <v>471112</v>
      </c>
      <c r="H372" s="539">
        <f>'FR-16(7)(v)-3 PROD Comm Alloc'!H372</f>
        <v>0</v>
      </c>
      <c r="I372" s="540">
        <f>'FR-16(7)(v)-6 DISTR Cust Alloc'!H372</f>
        <v>89736</v>
      </c>
      <c r="J372" s="347">
        <f t="shared" si="70"/>
        <v>560848</v>
      </c>
      <c r="K372" s="347">
        <f t="shared" si="71"/>
        <v>0</v>
      </c>
    </row>
    <row r="373" spans="1:11">
      <c r="A373" s="333">
        <v>28</v>
      </c>
      <c r="C373" s="332" t="str">
        <f>'FR-16(7)(v)-1 Functional'!C373</f>
        <v>SERVICES</v>
      </c>
      <c r="D373" s="344" t="str">
        <f>'FR-16(7)(v)-1 Functional'!D373</f>
        <v>K403</v>
      </c>
      <c r="E373" s="196"/>
      <c r="F373" s="479">
        <f>'FR-16(7)(v)-8 TOT CLASS Alloc'!H373</f>
        <v>71428</v>
      </c>
      <c r="G373" s="548">
        <f>'FR-16(7)(v)-5 DISTR Dem Alloc'!H373</f>
        <v>0</v>
      </c>
      <c r="H373" s="539">
        <f>'FR-16(7)(v)-3 PROD Comm Alloc'!H373</f>
        <v>0</v>
      </c>
      <c r="I373" s="540">
        <f>'FR-16(7)(v)-6 DISTR Cust Alloc'!H373</f>
        <v>71428</v>
      </c>
      <c r="J373" s="347">
        <f t="shared" si="70"/>
        <v>71428</v>
      </c>
      <c r="K373" s="347">
        <f t="shared" si="71"/>
        <v>0</v>
      </c>
    </row>
    <row r="374" spans="1:11">
      <c r="A374" s="333">
        <v>29</v>
      </c>
      <c r="C374" s="332" t="str">
        <f>'FR-16(7)(v)-1 Functional'!C374</f>
        <v>SUPV &amp; ENG</v>
      </c>
      <c r="D374" s="344" t="str">
        <f>'FR-16(7)(v)-1 Functional'!D374</f>
        <v>D249</v>
      </c>
      <c r="E374" s="196"/>
      <c r="F374" s="479">
        <f>'FR-16(7)(v)-8 TOT CLASS Alloc'!H374</f>
        <v>0</v>
      </c>
      <c r="G374" s="548">
        <f>'FR-16(7)(v)-5 DISTR Dem Alloc'!H374</f>
        <v>0</v>
      </c>
      <c r="H374" s="539">
        <f>'FR-16(7)(v)-3 PROD Comm Alloc'!H374</f>
        <v>0</v>
      </c>
      <c r="I374" s="540">
        <f>'FR-16(7)(v)-6 DISTR Cust Alloc'!H374</f>
        <v>0</v>
      </c>
      <c r="J374" s="347">
        <f t="shared" si="70"/>
        <v>0</v>
      </c>
      <c r="K374" s="347">
        <f t="shared" si="71"/>
        <v>0</v>
      </c>
    </row>
    <row r="375" spans="1:11">
      <c r="A375" s="333">
        <v>30</v>
      </c>
      <c r="C375" s="332" t="str">
        <f>'FR-16(7)(v)-1 Functional'!C375</f>
        <v>ELIMINATE NON-KY CUSTOMER</v>
      </c>
      <c r="D375" s="344" t="str">
        <f>'FR-16(7)(v)-1 Functional'!D375</f>
        <v>K595</v>
      </c>
      <c r="E375" s="196"/>
      <c r="F375" s="479">
        <f>'FR-16(7)(v)-8 TOT CLASS Alloc'!H375</f>
        <v>0</v>
      </c>
      <c r="G375" s="548">
        <f>'FR-16(7)(v)-5 DISTR Dem Alloc'!H375</f>
        <v>0</v>
      </c>
      <c r="H375" s="539">
        <f>'FR-16(7)(v)-3 PROD Comm Alloc'!H375</f>
        <v>0</v>
      </c>
      <c r="I375" s="540">
        <f>'FR-16(7)(v)-6 DISTR Cust Alloc'!H375</f>
        <v>0</v>
      </c>
      <c r="J375" s="347">
        <f t="shared" si="70"/>
        <v>0</v>
      </c>
      <c r="K375" s="347">
        <f t="shared" si="71"/>
        <v>0</v>
      </c>
    </row>
    <row r="376" spans="1:11">
      <c r="A376" s="333">
        <v>31</v>
      </c>
      <c r="C376" s="332" t="str">
        <f>'FR-16(7)(v)-1 Functional'!C376</f>
        <v>INTEGRITY MANAGEMENT EXPENSES</v>
      </c>
      <c r="D376" s="344" t="str">
        <f>'FR-16(7)(v)-1 Functional'!D376</f>
        <v>K203</v>
      </c>
      <c r="E376" s="196"/>
      <c r="F376" s="479">
        <f>'FR-16(7)(v)-8 TOT CLASS Alloc'!H376</f>
        <v>314564</v>
      </c>
      <c r="G376" s="548">
        <f>'FR-16(7)(v)-5 DISTR Dem Alloc'!H376</f>
        <v>314564</v>
      </c>
      <c r="H376" s="539">
        <f>'FR-16(7)(v)-3 PROD Comm Alloc'!H376</f>
        <v>0</v>
      </c>
      <c r="I376" s="540">
        <f>'FR-16(7)(v)-6 DISTR Cust Alloc'!H376</f>
        <v>0</v>
      </c>
      <c r="J376" s="347">
        <f t="shared" si="70"/>
        <v>314564</v>
      </c>
      <c r="K376" s="347">
        <f t="shared" si="71"/>
        <v>0</v>
      </c>
    </row>
    <row r="377" spans="1:11">
      <c r="A377" s="333">
        <v>32</v>
      </c>
      <c r="C377" s="359" t="str">
        <f>'FR-16(7)(v)-1 Functional'!C377</f>
        <v>OTHER DISTRIBUTION EXPENSES</v>
      </c>
      <c r="D377" s="344" t="str">
        <f>'FR-16(7)(v)-1 Functional'!D377</f>
        <v>K415</v>
      </c>
      <c r="E377" s="196"/>
      <c r="F377" s="479">
        <f>'FR-16(7)(v)-8 TOT CLASS Alloc'!H377</f>
        <v>637011</v>
      </c>
      <c r="G377" s="548">
        <f>'FR-16(7)(v)-5 DISTR Dem Alloc'!H377</f>
        <v>535089</v>
      </c>
      <c r="H377" s="539">
        <f>'FR-16(7)(v)-3 PROD Comm Alloc'!H377</f>
        <v>0</v>
      </c>
      <c r="I377" s="540">
        <f>'FR-16(7)(v)-6 DISTR Cust Alloc'!H377</f>
        <v>101922</v>
      </c>
      <c r="J377" s="347">
        <f t="shared" si="70"/>
        <v>637011</v>
      </c>
      <c r="K377" s="347">
        <f t="shared" si="71"/>
        <v>0</v>
      </c>
    </row>
    <row r="378" spans="1:11">
      <c r="A378" s="333">
        <v>33</v>
      </c>
      <c r="C378" s="332" t="str">
        <f>'FR-16(7)(v)-1 Functional'!C378</f>
        <v xml:space="preserve">  TOTAL DISTRIBUTION O &amp; M</v>
      </c>
      <c r="D378" s="344"/>
      <c r="E378" s="196" t="s">
        <v>343</v>
      </c>
      <c r="F378" s="348">
        <f t="shared" ref="F378:K378" si="72">SUM(F366:F377)</f>
        <v>3117070</v>
      </c>
      <c r="G378" s="549">
        <f t="shared" si="72"/>
        <v>2080822</v>
      </c>
      <c r="H378" s="541">
        <f t="shared" si="72"/>
        <v>0</v>
      </c>
      <c r="I378" s="542">
        <f t="shared" si="72"/>
        <v>1036248</v>
      </c>
      <c r="J378" s="348">
        <f t="shared" si="72"/>
        <v>3117070</v>
      </c>
      <c r="K378" s="348">
        <f t="shared" si="72"/>
        <v>0</v>
      </c>
    </row>
    <row r="379" spans="1:11">
      <c r="A379" s="333">
        <v>34</v>
      </c>
      <c r="C379" s="332" t="s">
        <v>343</v>
      </c>
      <c r="D379" s="344"/>
      <c r="E379" s="196"/>
      <c r="G379" s="547"/>
      <c r="H379" s="537"/>
      <c r="I379" s="538"/>
    </row>
    <row r="380" spans="1:11">
      <c r="A380" s="333">
        <v>35</v>
      </c>
      <c r="B380" s="332" t="s">
        <v>51</v>
      </c>
      <c r="D380" s="344"/>
      <c r="E380" s="196"/>
      <c r="F380" s="332" t="s">
        <v>343</v>
      </c>
      <c r="G380" s="547"/>
      <c r="H380" s="537"/>
      <c r="I380" s="538"/>
    </row>
    <row r="381" spans="1:11">
      <c r="A381" s="333">
        <v>36</v>
      </c>
      <c r="C381" s="332" t="str">
        <f>'FR-16(7)(v)-1 Functional'!C381</f>
        <v>SUPERVISION &amp; ENGINEERING</v>
      </c>
      <c r="D381" s="344" t="str">
        <f>'FR-16(7)(v)-1 Functional'!D381</f>
        <v>K405</v>
      </c>
      <c r="E381" s="196"/>
      <c r="F381" s="479">
        <f>'FR-16(7)(v)-8 TOT CLASS Alloc'!H381</f>
        <v>13111</v>
      </c>
      <c r="G381" s="548">
        <f>'FR-16(7)(v)-5 DISTR Dem Alloc'!H381</f>
        <v>0</v>
      </c>
      <c r="H381" s="539">
        <f>'FR-16(7)(v)-3 PROD Comm Alloc'!H381</f>
        <v>0</v>
      </c>
      <c r="I381" s="540">
        <f>'FR-16(7)(v)-6 DISTR Cust Alloc'!H381</f>
        <v>13111</v>
      </c>
      <c r="J381" s="347">
        <f t="shared" ref="J381:J388" si="73">SUM(G381:I381)</f>
        <v>13111</v>
      </c>
      <c r="K381" s="347">
        <f t="shared" ref="K381:K388" si="74">F381-J381</f>
        <v>0</v>
      </c>
    </row>
    <row r="382" spans="1:11">
      <c r="A382" s="333">
        <v>37</v>
      </c>
      <c r="C382" s="332" t="str">
        <f>'FR-16(7)(v)-1 Functional'!C382</f>
        <v>METER READING</v>
      </c>
      <c r="D382" s="344" t="str">
        <f>'FR-16(7)(v)-1 Functional'!D382</f>
        <v>K405</v>
      </c>
      <c r="E382" s="196"/>
      <c r="F382" s="479">
        <f>'FR-16(7)(v)-8 TOT CLASS Alloc'!H382</f>
        <v>1123</v>
      </c>
      <c r="G382" s="548">
        <f>'FR-16(7)(v)-5 DISTR Dem Alloc'!H382</f>
        <v>0</v>
      </c>
      <c r="H382" s="539">
        <f>'FR-16(7)(v)-3 PROD Comm Alloc'!H382</f>
        <v>0</v>
      </c>
      <c r="I382" s="540">
        <f>'FR-16(7)(v)-6 DISTR Cust Alloc'!H382</f>
        <v>1123</v>
      </c>
      <c r="J382" s="347">
        <f t="shared" si="73"/>
        <v>1123</v>
      </c>
      <c r="K382" s="347">
        <f t="shared" si="74"/>
        <v>0</v>
      </c>
    </row>
    <row r="383" spans="1:11">
      <c r="A383" s="333">
        <v>38</v>
      </c>
      <c r="C383" s="332" t="str">
        <f>'FR-16(7)(v)-1 Functional'!C383</f>
        <v>CUSTOMER BILLING &amp; COLLECTIONS</v>
      </c>
      <c r="D383" s="344" t="str">
        <f>'FR-16(7)(v)-1 Functional'!D383</f>
        <v>K405</v>
      </c>
      <c r="E383" s="196"/>
      <c r="F383" s="479">
        <f>'FR-16(7)(v)-8 TOT CLASS Alloc'!H383</f>
        <v>183068</v>
      </c>
      <c r="G383" s="548">
        <f>'FR-16(7)(v)-5 DISTR Dem Alloc'!H383</f>
        <v>0</v>
      </c>
      <c r="H383" s="539">
        <f>'FR-16(7)(v)-3 PROD Comm Alloc'!H383</f>
        <v>0</v>
      </c>
      <c r="I383" s="540">
        <f>'FR-16(7)(v)-6 DISTR Cust Alloc'!H383</f>
        <v>183068</v>
      </c>
      <c r="J383" s="347">
        <f t="shared" si="73"/>
        <v>183068</v>
      </c>
      <c r="K383" s="347">
        <f t="shared" si="74"/>
        <v>0</v>
      </c>
    </row>
    <row r="384" spans="1:11">
      <c r="A384" s="333">
        <v>39</v>
      </c>
      <c r="C384" s="332" t="str">
        <f>'FR-16(7)(v)-1 Functional'!C384</f>
        <v>UNCOLLECTIBLE EXP</v>
      </c>
      <c r="D384" s="344" t="str">
        <f>'FR-16(7)(v)-1 Functional'!D384</f>
        <v>K406</v>
      </c>
      <c r="E384" s="196"/>
      <c r="F384" s="479">
        <f>'FR-16(7)(v)-8 TOT CLASS Alloc'!H384</f>
        <v>-16217</v>
      </c>
      <c r="G384" s="548">
        <f>'FR-16(7)(v)-5 DISTR Dem Alloc'!H384</f>
        <v>0</v>
      </c>
      <c r="H384" s="539">
        <f>'FR-16(7)(v)-3 PROD Comm Alloc'!H384</f>
        <v>0</v>
      </c>
      <c r="I384" s="540">
        <f>'FR-16(7)(v)-6 DISTR Cust Alloc'!H384</f>
        <v>-16217</v>
      </c>
      <c r="J384" s="347">
        <f t="shared" si="73"/>
        <v>-16217</v>
      </c>
      <c r="K384" s="347">
        <f t="shared" si="74"/>
        <v>0</v>
      </c>
    </row>
    <row r="385" spans="1:11">
      <c r="A385" s="333">
        <v>40</v>
      </c>
      <c r="C385" s="332" t="str">
        <f>'FR-16(7)(v)-1 Functional'!C385</f>
        <v>ELIMINATE MISC EXPENSES</v>
      </c>
      <c r="D385" s="344" t="str">
        <f>'FR-16(7)(v)-1 Functional'!D385</f>
        <v>K406</v>
      </c>
      <c r="E385" s="196"/>
      <c r="F385" s="479">
        <f>'FR-16(7)(v)-8 TOT CLASS Alloc'!H385</f>
        <v>0</v>
      </c>
      <c r="G385" s="548">
        <f>'FR-16(7)(v)-5 DISTR Dem Alloc'!H385</f>
        <v>0</v>
      </c>
      <c r="H385" s="539">
        <f>'FR-16(7)(v)-3 PROD Comm Alloc'!H385</f>
        <v>0</v>
      </c>
      <c r="I385" s="540">
        <f>'FR-16(7)(v)-6 DISTR Cust Alloc'!H385</f>
        <v>0</v>
      </c>
      <c r="J385" s="347">
        <f t="shared" si="73"/>
        <v>0</v>
      </c>
      <c r="K385" s="347">
        <f t="shared" si="74"/>
        <v>0</v>
      </c>
    </row>
    <row r="386" spans="1:11">
      <c r="A386" s="333">
        <v>41</v>
      </c>
      <c r="C386" s="332" t="str">
        <f>'FR-16(7)(v)-1 Functional'!C386</f>
        <v>SALE OF A/R</v>
      </c>
      <c r="D386" s="344" t="str">
        <f>'FR-16(7)(v)-1 Functional'!D386</f>
        <v>K406</v>
      </c>
      <c r="E386" s="196"/>
      <c r="F386" s="479">
        <f>'FR-16(7)(v)-8 TOT CLASS Alloc'!H386</f>
        <v>7435</v>
      </c>
      <c r="G386" s="548">
        <f>'FR-16(7)(v)-5 DISTR Dem Alloc'!H386</f>
        <v>0</v>
      </c>
      <c r="H386" s="539">
        <f>'FR-16(7)(v)-3 PROD Comm Alloc'!H386</f>
        <v>0</v>
      </c>
      <c r="I386" s="540">
        <f>'FR-16(7)(v)-6 DISTR Cust Alloc'!H386</f>
        <v>7435</v>
      </c>
      <c r="J386" s="347">
        <f t="shared" si="73"/>
        <v>7435</v>
      </c>
      <c r="K386" s="347">
        <f t="shared" si="74"/>
        <v>0</v>
      </c>
    </row>
    <row r="387" spans="1:11">
      <c r="A387" s="333">
        <v>42</v>
      </c>
      <c r="C387" s="332" t="str">
        <f>'FR-16(7)(v)-1 Functional'!C387</f>
        <v>INTEREST ON CUSTOMER SERVICE DEPOSITS</v>
      </c>
      <c r="D387" s="344" t="str">
        <f>'FR-16(7)(v)-1 Functional'!D387</f>
        <v>K405</v>
      </c>
      <c r="E387" s="196"/>
      <c r="F387" s="479">
        <f>'FR-16(7)(v)-8 TOT CLASS Alloc'!H387</f>
        <v>0</v>
      </c>
      <c r="G387" s="548">
        <f>'FR-16(7)(v)-5 DISTR Dem Alloc'!H387</f>
        <v>0</v>
      </c>
      <c r="H387" s="539">
        <f>'FR-16(7)(v)-3 PROD Comm Alloc'!H387</f>
        <v>0</v>
      </c>
      <c r="I387" s="540">
        <f>'FR-16(7)(v)-6 DISTR Cust Alloc'!H387</f>
        <v>0</v>
      </c>
      <c r="J387" s="347">
        <f t="shared" si="73"/>
        <v>0</v>
      </c>
      <c r="K387" s="347">
        <f t="shared" si="74"/>
        <v>0</v>
      </c>
    </row>
    <row r="388" spans="1:11">
      <c r="A388" s="333">
        <v>43</v>
      </c>
      <c r="C388" s="359" t="str">
        <f>'FR-16(7)(v)-1 Functional'!C388</f>
        <v>ANNUALIZED UNCOLL EXP ON INCR</v>
      </c>
      <c r="D388" s="344" t="str">
        <f>'FR-16(7)(v)-1 Functional'!D388</f>
        <v>K406</v>
      </c>
      <c r="E388" s="196"/>
      <c r="F388" s="479">
        <f>'FR-16(7)(v)-8 TOT CLASS Alloc'!H388</f>
        <v>0</v>
      </c>
      <c r="G388" s="548">
        <f>'FR-16(7)(v)-5 DISTR Dem Alloc'!H388</f>
        <v>0</v>
      </c>
      <c r="H388" s="539">
        <f>'FR-16(7)(v)-3 PROD Comm Alloc'!H388</f>
        <v>0</v>
      </c>
      <c r="I388" s="540">
        <f>'FR-16(7)(v)-6 DISTR Cust Alloc'!H388</f>
        <v>0</v>
      </c>
      <c r="J388" s="347">
        <f t="shared" si="73"/>
        <v>0</v>
      </c>
      <c r="K388" s="347">
        <f t="shared" si="74"/>
        <v>0</v>
      </c>
    </row>
    <row r="389" spans="1:11">
      <c r="A389" s="333">
        <v>44</v>
      </c>
      <c r="C389" s="332" t="str">
        <f>'FR-16(7)(v)-1 Functional'!C389</f>
        <v xml:space="preserve">  TOTAL CUSTOMER ACCT EXPENSE</v>
      </c>
      <c r="D389" s="344"/>
      <c r="E389" s="196" t="s">
        <v>343</v>
      </c>
      <c r="F389" s="348">
        <f t="shared" ref="F389:K389" si="75">SUM(F380:F388)</f>
        <v>188520</v>
      </c>
      <c r="G389" s="557">
        <f t="shared" si="75"/>
        <v>0</v>
      </c>
      <c r="H389" s="558">
        <f t="shared" si="75"/>
        <v>0</v>
      </c>
      <c r="I389" s="559">
        <f t="shared" si="75"/>
        <v>188520</v>
      </c>
      <c r="J389" s="348">
        <f t="shared" si="75"/>
        <v>188520</v>
      </c>
      <c r="K389" s="348">
        <f t="shared" si="75"/>
        <v>0</v>
      </c>
    </row>
    <row r="390" spans="1:11">
      <c r="B390" s="343"/>
      <c r="C390" s="196"/>
      <c r="D390" s="344"/>
      <c r="E390" s="196"/>
      <c r="F390" s="196"/>
      <c r="G390" s="196"/>
      <c r="H390" s="196"/>
      <c r="I390" s="196"/>
      <c r="J390" s="196"/>
      <c r="K390" s="196"/>
    </row>
    <row r="391" spans="1:11">
      <c r="A391" s="343" t="str">
        <f>co_name</f>
        <v>DUKE ENERGY KENTUCKY, INC.</v>
      </c>
      <c r="C391" s="196"/>
      <c r="D391" s="344"/>
      <c r="E391" s="196"/>
      <c r="F391" s="196"/>
      <c r="G391" s="196"/>
      <c r="H391" s="196"/>
      <c r="I391" s="196"/>
      <c r="J391" s="196" t="str">
        <f>$J$1</f>
        <v>FR-16(7)(v)-10</v>
      </c>
      <c r="K391" s="196"/>
    </row>
    <row r="392" spans="1:11">
      <c r="A392" s="343" t="str">
        <f>$A$2</f>
        <v>GS CLASSIFIED - GAS COST OF SERVICE</v>
      </c>
      <c r="C392" s="196"/>
      <c r="D392" s="344"/>
      <c r="E392" s="196"/>
      <c r="F392" s="196"/>
      <c r="G392" s="196"/>
      <c r="H392" s="196"/>
      <c r="I392" s="196"/>
      <c r="J392" s="196" t="str">
        <f>$J$2</f>
        <v>WITNESS RESPONSIBLE:</v>
      </c>
      <c r="K392" s="196"/>
    </row>
    <row r="393" spans="1:11">
      <c r="A393" s="343" t="str">
        <f>case_name</f>
        <v>CASE NO: 2018-00261</v>
      </c>
      <c r="C393" s="196"/>
      <c r="D393" s="344"/>
      <c r="E393" s="196"/>
      <c r="F393" s="196"/>
      <c r="G393" s="196"/>
      <c r="H393" s="196"/>
      <c r="I393" s="196"/>
      <c r="J393" s="196" t="str">
        <f>Witness</f>
        <v>JAMES E. ZIOLKOWSKI</v>
      </c>
      <c r="K393" s="196"/>
    </row>
    <row r="394" spans="1:11">
      <c r="A394" s="343" t="str">
        <f>data_filing</f>
        <v>DATA: 12 MONTH FORECASTED PERIOD</v>
      </c>
      <c r="C394" s="196"/>
      <c r="D394" s="344"/>
      <c r="E394" s="196"/>
      <c r="F394" s="196"/>
      <c r="G394" s="196"/>
      <c r="H394" s="196"/>
      <c r="I394" s="196"/>
      <c r="J394" s="196" t="str">
        <f>"PAGE "&amp;Pages2-6&amp;" OF "&amp;Pages2</f>
        <v>PAGE 9 OF 15</v>
      </c>
      <c r="K394" s="196"/>
    </row>
    <row r="395" spans="1:11">
      <c r="A395" s="343" t="str">
        <f>type</f>
        <v xml:space="preserve">TYPE OF FILING: "X" ORIGINAL   UPDATED    REVISED  </v>
      </c>
      <c r="C395" s="196"/>
      <c r="D395" s="344"/>
      <c r="E395" s="196"/>
      <c r="F395" s="196"/>
      <c r="G395" s="196"/>
      <c r="H395" s="196"/>
      <c r="I395" s="196"/>
      <c r="J395" s="196"/>
      <c r="K395" s="196"/>
    </row>
    <row r="396" spans="1:11">
      <c r="B396" s="343"/>
      <c r="C396" s="196"/>
      <c r="D396" s="344"/>
      <c r="E396" s="196"/>
      <c r="F396" s="196"/>
      <c r="G396" s="196"/>
      <c r="H396" s="196"/>
      <c r="I396" s="196"/>
      <c r="J396" s="196"/>
      <c r="K396" s="196"/>
    </row>
    <row r="397" spans="1:11">
      <c r="B397" s="343"/>
      <c r="C397" s="196"/>
      <c r="D397" s="344"/>
      <c r="E397" s="196"/>
      <c r="F397" s="196"/>
      <c r="G397" s="196"/>
      <c r="H397" s="196"/>
      <c r="I397" s="196"/>
      <c r="J397" s="196"/>
      <c r="K397" s="196"/>
    </row>
    <row r="398" spans="1:11">
      <c r="A398" s="344" t="s">
        <v>914</v>
      </c>
      <c r="B398" s="196"/>
      <c r="C398" s="196"/>
      <c r="D398" s="344"/>
      <c r="E398" s="196"/>
      <c r="F398" s="344" t="s">
        <v>229</v>
      </c>
      <c r="G398" s="545" t="s">
        <v>1005</v>
      </c>
      <c r="H398" s="533"/>
      <c r="I398" s="534"/>
      <c r="J398" s="344" t="s">
        <v>229</v>
      </c>
      <c r="K398" s="344" t="s">
        <v>342</v>
      </c>
    </row>
    <row r="399" spans="1:11">
      <c r="A399" s="346" t="s">
        <v>915</v>
      </c>
      <c r="B399" s="345" t="s">
        <v>44</v>
      </c>
      <c r="C399" s="345"/>
      <c r="D399" s="346" t="s">
        <v>337</v>
      </c>
      <c r="E399" s="345"/>
      <c r="F399" s="346" t="str">
        <f>$F$9</f>
        <v>GS</v>
      </c>
      <c r="G399" s="546" t="s">
        <v>847</v>
      </c>
      <c r="H399" s="535" t="s">
        <v>848</v>
      </c>
      <c r="I399" s="536" t="s">
        <v>849</v>
      </c>
      <c r="J399" s="346" t="s">
        <v>341</v>
      </c>
      <c r="K399" s="346" t="s">
        <v>340</v>
      </c>
    </row>
    <row r="400" spans="1:11">
      <c r="C400" s="578" t="s">
        <v>560</v>
      </c>
      <c r="D400" s="344"/>
      <c r="E400" s="196"/>
      <c r="G400" s="800">
        <f>$G$10</f>
        <v>3</v>
      </c>
      <c r="H400" s="801">
        <f>$H$10</f>
        <v>4</v>
      </c>
      <c r="I400" s="802">
        <f>$I$10</f>
        <v>5</v>
      </c>
    </row>
    <row r="401" spans="1:11">
      <c r="A401" s="333">
        <v>1</v>
      </c>
      <c r="B401" s="332" t="s">
        <v>52</v>
      </c>
      <c r="D401" s="344"/>
      <c r="E401" s="196"/>
      <c r="G401" s="547"/>
      <c r="H401" s="537"/>
      <c r="I401" s="538"/>
    </row>
    <row r="402" spans="1:11">
      <c r="A402" s="333">
        <v>2</v>
      </c>
      <c r="C402" s="359" t="str">
        <f>'FR-16(7)(v)-1 Functional'!C402</f>
        <v>TOTAL CUST SERVICE &amp; INFO</v>
      </c>
      <c r="D402" s="344" t="str">
        <f>'FR-16(7)(v)-1 Functional'!D402</f>
        <v>K407</v>
      </c>
      <c r="E402" s="196"/>
      <c r="F402" s="479">
        <f>'FR-16(7)(v)-8 TOT CLASS Alloc'!H402</f>
        <v>28652</v>
      </c>
      <c r="G402" s="548">
        <f>'FR-16(7)(v)-5 DISTR Dem Alloc'!H402</f>
        <v>0</v>
      </c>
      <c r="H402" s="539">
        <f>'FR-16(7)(v)-3 PROD Comm Alloc'!H402</f>
        <v>0</v>
      </c>
      <c r="I402" s="540">
        <f>'FR-16(7)(v)-6 DISTR Cust Alloc'!H402</f>
        <v>28652</v>
      </c>
      <c r="J402" s="347">
        <f>SUM(G402:I402)</f>
        <v>28652</v>
      </c>
      <c r="K402" s="347">
        <f>F402-J402</f>
        <v>0</v>
      </c>
    </row>
    <row r="403" spans="1:11">
      <c r="A403" s="333">
        <v>3</v>
      </c>
      <c r="C403" s="332" t="str">
        <f>'FR-16(7)(v)-1 Functional'!C403</f>
        <v xml:space="preserve">  TOTAL CUSTOMER SERV. &amp; INFO.</v>
      </c>
      <c r="D403" s="344"/>
      <c r="E403" s="196" t="s">
        <v>343</v>
      </c>
      <c r="F403" s="348">
        <f t="shared" ref="F403:K403" si="76">SUM(F402:F402)</f>
        <v>28652</v>
      </c>
      <c r="G403" s="549">
        <f t="shared" si="76"/>
        <v>0</v>
      </c>
      <c r="H403" s="541">
        <f t="shared" si="76"/>
        <v>0</v>
      </c>
      <c r="I403" s="542">
        <f t="shared" si="76"/>
        <v>28652</v>
      </c>
      <c r="J403" s="348">
        <f t="shared" si="76"/>
        <v>28652</v>
      </c>
      <c r="K403" s="348">
        <f t="shared" si="76"/>
        <v>0</v>
      </c>
    </row>
    <row r="404" spans="1:11">
      <c r="A404" s="333">
        <v>4</v>
      </c>
      <c r="D404" s="344"/>
      <c r="E404" s="196"/>
      <c r="F404" s="347"/>
      <c r="G404" s="548"/>
      <c r="H404" s="539"/>
      <c r="I404" s="540"/>
      <c r="J404" s="347"/>
      <c r="K404" s="347"/>
    </row>
    <row r="405" spans="1:11">
      <c r="A405" s="333">
        <v>5</v>
      </c>
      <c r="B405" s="332" t="s">
        <v>53</v>
      </c>
      <c r="D405" s="344"/>
      <c r="E405" s="196"/>
      <c r="F405" s="347"/>
      <c r="G405" s="548"/>
      <c r="H405" s="539"/>
      <c r="I405" s="540"/>
      <c r="J405" s="347"/>
      <c r="K405" s="347"/>
    </row>
    <row r="406" spans="1:11">
      <c r="A406" s="333">
        <v>6</v>
      </c>
      <c r="C406" s="359" t="str">
        <f>'FR-16(7)(v)-1 Functional'!C406</f>
        <v>SALES EXPENSE</v>
      </c>
      <c r="D406" s="344" t="str">
        <f>'FR-16(7)(v)-1 Functional'!D406</f>
        <v>K408</v>
      </c>
      <c r="E406" s="196" t="s">
        <v>343</v>
      </c>
      <c r="F406" s="479">
        <f>'FR-16(7)(v)-8 TOT CLASS Alloc'!H406</f>
        <v>13680</v>
      </c>
      <c r="G406" s="548">
        <f>'FR-16(7)(v)-5 DISTR Dem Alloc'!H406</f>
        <v>0</v>
      </c>
      <c r="H406" s="539">
        <f>'FR-16(7)(v)-3 PROD Comm Alloc'!H406</f>
        <v>0</v>
      </c>
      <c r="I406" s="540">
        <f>'FR-16(7)(v)-6 DISTR Cust Alloc'!H406</f>
        <v>13680</v>
      </c>
      <c r="J406" s="347">
        <f>SUM(G406:I406)</f>
        <v>13680</v>
      </c>
      <c r="K406" s="347">
        <f>F406-J406</f>
        <v>0</v>
      </c>
    </row>
    <row r="407" spans="1:11">
      <c r="A407" s="333">
        <v>7</v>
      </c>
      <c r="C407" s="332" t="str">
        <f>'FR-16(7)(v)-1 Functional'!C407</f>
        <v xml:space="preserve">  TOTAL SALES EXPENSE</v>
      </c>
      <c r="D407" s="344"/>
      <c r="E407" s="196" t="s">
        <v>343</v>
      </c>
      <c r="F407" s="348">
        <f t="shared" ref="F407:K407" si="77">SUM(F405:F406)</f>
        <v>13680</v>
      </c>
      <c r="G407" s="549">
        <f t="shared" si="77"/>
        <v>0</v>
      </c>
      <c r="H407" s="541">
        <f t="shared" si="77"/>
        <v>0</v>
      </c>
      <c r="I407" s="542">
        <f t="shared" si="77"/>
        <v>13680</v>
      </c>
      <c r="J407" s="348">
        <f t="shared" si="77"/>
        <v>13680</v>
      </c>
      <c r="K407" s="348">
        <f t="shared" si="77"/>
        <v>0</v>
      </c>
    </row>
    <row r="408" spans="1:11">
      <c r="A408" s="333">
        <v>8</v>
      </c>
      <c r="D408" s="344"/>
      <c r="E408" s="196"/>
      <c r="G408" s="547"/>
      <c r="H408" s="537"/>
      <c r="I408" s="538"/>
    </row>
    <row r="409" spans="1:11">
      <c r="A409" s="333">
        <v>9</v>
      </c>
      <c r="B409" s="332" t="s">
        <v>54</v>
      </c>
      <c r="D409" s="344"/>
      <c r="E409" s="196"/>
      <c r="G409" s="547"/>
      <c r="H409" s="537"/>
      <c r="I409" s="538"/>
    </row>
    <row r="410" spans="1:11">
      <c r="A410" s="333">
        <v>10</v>
      </c>
      <c r="C410" s="332" t="str">
        <f>'FR-16(7)(v)-1 Functional'!C410</f>
        <v>PRODUCTION PLANT DEMAND</v>
      </c>
      <c r="D410" s="344" t="str">
        <f>'FR-16(7)(v)-1 Functional'!D410</f>
        <v>P349</v>
      </c>
      <c r="E410" s="196"/>
      <c r="F410" s="479">
        <f>'FR-16(7)(v)-8 TOT CLASS Alloc'!H410</f>
        <v>116198</v>
      </c>
      <c r="G410" s="548">
        <f>'FR-16(7)(v)-5 DISTR Dem Alloc'!H410</f>
        <v>0</v>
      </c>
      <c r="H410" s="539">
        <f>'FR-16(7)(v)-3 PROD Comm Alloc'!H410</f>
        <v>116198</v>
      </c>
      <c r="I410" s="540">
        <f>'FR-16(7)(v)-6 DISTR Cust Alloc'!H410</f>
        <v>0</v>
      </c>
      <c r="J410" s="347">
        <f t="shared" ref="J410:J415" si="78">SUM(G410:I410)</f>
        <v>116198</v>
      </c>
      <c r="K410" s="347">
        <f t="shared" ref="K410:K415" si="79">F410-J410</f>
        <v>0</v>
      </c>
    </row>
    <row r="411" spans="1:11">
      <c r="A411" s="333">
        <v>11</v>
      </c>
      <c r="C411" s="332" t="str">
        <f>'FR-16(7)(v)-1 Functional'!C411</f>
        <v>PRODUCTION PLANT COMMODITY</v>
      </c>
      <c r="D411" s="344" t="str">
        <f>'FR-16(7)(v)-1 Functional'!D411</f>
        <v>K301</v>
      </c>
      <c r="E411" s="196"/>
      <c r="F411" s="479">
        <f>'FR-16(7)(v)-8 TOT CLASS Alloc'!H411</f>
        <v>91201</v>
      </c>
      <c r="G411" s="548">
        <f>'FR-16(7)(v)-5 DISTR Dem Alloc'!H411</f>
        <v>0</v>
      </c>
      <c r="H411" s="539">
        <f>'FR-16(7)(v)-3 PROD Comm Alloc'!H411</f>
        <v>91201</v>
      </c>
      <c r="I411" s="540">
        <f>'FR-16(7)(v)-6 DISTR Cust Alloc'!H411</f>
        <v>0</v>
      </c>
      <c r="J411" s="347">
        <f t="shared" si="78"/>
        <v>91201</v>
      </c>
      <c r="K411" s="347">
        <f t="shared" si="79"/>
        <v>0</v>
      </c>
    </row>
    <row r="412" spans="1:11">
      <c r="A412" s="333">
        <v>12</v>
      </c>
      <c r="C412" s="332" t="str">
        <f>'FR-16(7)(v)-1 Functional'!C412</f>
        <v>DISTRIBUTION PLANT</v>
      </c>
      <c r="D412" s="344" t="str">
        <f>'FR-16(7)(v)-1 Functional'!D412</f>
        <v>D349</v>
      </c>
      <c r="E412" s="196"/>
      <c r="F412" s="479">
        <f>'FR-16(7)(v)-8 TOT CLASS Alloc'!H412</f>
        <v>1033393</v>
      </c>
      <c r="G412" s="548">
        <f>'FR-16(7)(v)-5 DISTR Dem Alloc'!H412</f>
        <v>689853</v>
      </c>
      <c r="H412" s="539">
        <f>'FR-16(7)(v)-3 PROD Comm Alloc'!H412</f>
        <v>0</v>
      </c>
      <c r="I412" s="540">
        <f>'FR-16(7)(v)-6 DISTR Cust Alloc'!H412</f>
        <v>343540</v>
      </c>
      <c r="J412" s="347">
        <f t="shared" si="78"/>
        <v>1033393</v>
      </c>
      <c r="K412" s="347">
        <f t="shared" si="79"/>
        <v>0</v>
      </c>
    </row>
    <row r="413" spans="1:11">
      <c r="A413" s="333">
        <v>13</v>
      </c>
      <c r="C413" s="332" t="str">
        <f>'FR-16(7)(v)-1 Functional'!C413</f>
        <v>CUSTOMER ACCOUNTING</v>
      </c>
      <c r="D413" s="344" t="str">
        <f>'FR-16(7)(v)-1 Functional'!D413</f>
        <v>CA19</v>
      </c>
      <c r="E413" s="196"/>
      <c r="F413" s="479">
        <f>'FR-16(7)(v)-8 TOT CLASS Alloc'!H413</f>
        <v>127489</v>
      </c>
      <c r="G413" s="548">
        <f>'FR-16(7)(v)-5 DISTR Dem Alloc'!H413</f>
        <v>0</v>
      </c>
      <c r="H413" s="539">
        <f>'FR-16(7)(v)-3 PROD Comm Alloc'!H413</f>
        <v>0</v>
      </c>
      <c r="I413" s="540">
        <f>'FR-16(7)(v)-6 DISTR Cust Alloc'!H413</f>
        <v>127489</v>
      </c>
      <c r="J413" s="347">
        <f t="shared" si="78"/>
        <v>127489</v>
      </c>
      <c r="K413" s="347">
        <f t="shared" si="79"/>
        <v>0</v>
      </c>
    </row>
    <row r="414" spans="1:11">
      <c r="A414" s="333">
        <v>14</v>
      </c>
      <c r="C414" s="332" t="str">
        <f>'FR-16(7)(v)-1 Functional'!C414</f>
        <v>CUSTOMER SERVICE &amp; INFORMATION</v>
      </c>
      <c r="D414" s="344" t="str">
        <f>'FR-16(7)(v)-1 Functional'!D414</f>
        <v>CS19</v>
      </c>
      <c r="E414" s="196"/>
      <c r="F414" s="479">
        <f>'FR-16(7)(v)-8 TOT CLASS Alloc'!H414</f>
        <v>11156</v>
      </c>
      <c r="G414" s="548">
        <f>'FR-16(7)(v)-5 DISTR Dem Alloc'!H414</f>
        <v>0</v>
      </c>
      <c r="H414" s="539">
        <f>'FR-16(7)(v)-3 PROD Comm Alloc'!H414</f>
        <v>0</v>
      </c>
      <c r="I414" s="540">
        <f>'FR-16(7)(v)-6 DISTR Cust Alloc'!H414</f>
        <v>11156</v>
      </c>
      <c r="J414" s="347">
        <f t="shared" si="78"/>
        <v>11156</v>
      </c>
      <c r="K414" s="347">
        <f t="shared" si="79"/>
        <v>0</v>
      </c>
    </row>
    <row r="415" spans="1:11">
      <c r="A415" s="333">
        <v>15</v>
      </c>
      <c r="C415" s="359" t="str">
        <f>'FR-16(7)(v)-1 Functional'!C415</f>
        <v>SALES</v>
      </c>
      <c r="D415" s="344" t="str">
        <f>'FR-16(7)(v)-1 Functional'!D415</f>
        <v>SE19</v>
      </c>
      <c r="E415" s="196"/>
      <c r="F415" s="479">
        <f>'FR-16(7)(v)-8 TOT CLASS Alloc'!H415</f>
        <v>0</v>
      </c>
      <c r="G415" s="548">
        <f>'FR-16(7)(v)-5 DISTR Dem Alloc'!H415</f>
        <v>0</v>
      </c>
      <c r="H415" s="539">
        <f>'FR-16(7)(v)-3 PROD Comm Alloc'!H415</f>
        <v>0</v>
      </c>
      <c r="I415" s="540">
        <f>'FR-16(7)(v)-6 DISTR Cust Alloc'!H415</f>
        <v>0</v>
      </c>
      <c r="J415" s="347">
        <f t="shared" si="78"/>
        <v>0</v>
      </c>
      <c r="K415" s="502">
        <f t="shared" si="79"/>
        <v>0</v>
      </c>
    </row>
    <row r="416" spans="1:11">
      <c r="A416" s="333">
        <v>16</v>
      </c>
      <c r="C416" s="332" t="str">
        <f>'FR-16(7)(v)-1 Functional'!C416</f>
        <v xml:space="preserve"> TOT ADMIN &amp; GEN LESS REG EXP</v>
      </c>
      <c r="D416" s="344" t="s">
        <v>343</v>
      </c>
      <c r="E416" s="196"/>
      <c r="F416" s="503">
        <f t="shared" ref="F416:K416" si="80">SUM(F410:F415)</f>
        <v>1379437</v>
      </c>
      <c r="G416" s="563">
        <f t="shared" si="80"/>
        <v>689853</v>
      </c>
      <c r="H416" s="564">
        <f t="shared" si="80"/>
        <v>207399</v>
      </c>
      <c r="I416" s="565">
        <f t="shared" si="80"/>
        <v>482185</v>
      </c>
      <c r="J416" s="1025">
        <f t="shared" si="80"/>
        <v>1379437</v>
      </c>
      <c r="K416" s="477">
        <f t="shared" si="80"/>
        <v>0</v>
      </c>
    </row>
    <row r="417" spans="1:11">
      <c r="A417" s="333">
        <v>17</v>
      </c>
      <c r="C417" s="332" t="str">
        <f>'FR-16(7)(v)-1 Functional'!C417</f>
        <v>AMORTIZATION RATE CASE EXPENSE</v>
      </c>
      <c r="D417" s="344" t="str">
        <f>'FR-16(7)(v)-1 Functional'!D417</f>
        <v>AG39</v>
      </c>
      <c r="E417" s="196"/>
      <c r="F417" s="479">
        <f>'FR-16(7)(v)-8 TOT CLASS Alloc'!H417</f>
        <v>22800</v>
      </c>
      <c r="G417" s="548">
        <f>'FR-16(7)(v)-5 DISTR Dem Alloc'!H417</f>
        <v>11402</v>
      </c>
      <c r="H417" s="539">
        <f>'FR-16(7)(v)-3 PROD Comm Alloc'!H417</f>
        <v>3428</v>
      </c>
      <c r="I417" s="540">
        <f>'FR-16(7)(v)-6 DISTR Cust Alloc'!H417</f>
        <v>7970</v>
      </c>
      <c r="J417" s="347">
        <f t="shared" ref="J417:J430" si="81">SUM(G417:I417)</f>
        <v>22800</v>
      </c>
      <c r="K417" s="347">
        <f t="shared" ref="K417:K430" si="82">F417-J417</f>
        <v>0</v>
      </c>
    </row>
    <row r="418" spans="1:11">
      <c r="A418" s="333">
        <v>18</v>
      </c>
      <c r="C418" s="332" t="str">
        <f>'FR-16(7)(v)-1 Functional'!C418</f>
        <v>INCENTIVE COMPENSATION</v>
      </c>
      <c r="D418" s="344" t="str">
        <f>'FR-16(7)(v)-1 Functional'!D418</f>
        <v>AG39</v>
      </c>
      <c r="E418" s="196"/>
      <c r="F418" s="479">
        <f>'FR-16(7)(v)-8 TOT CLASS Alloc'!H418</f>
        <v>-54924</v>
      </c>
      <c r="G418" s="548">
        <f>'FR-16(7)(v)-5 DISTR Dem Alloc'!H418</f>
        <v>-27467</v>
      </c>
      <c r="H418" s="539">
        <f>'FR-16(7)(v)-3 PROD Comm Alloc'!H418</f>
        <v>-8258</v>
      </c>
      <c r="I418" s="540">
        <f>'FR-16(7)(v)-6 DISTR Cust Alloc'!H418</f>
        <v>-19199</v>
      </c>
      <c r="J418" s="347">
        <f t="shared" si="81"/>
        <v>-54924</v>
      </c>
      <c r="K418" s="347">
        <f t="shared" si="82"/>
        <v>0</v>
      </c>
    </row>
    <row r="419" spans="1:11">
      <c r="A419" s="333">
        <v>19</v>
      </c>
      <c r="C419" s="332" t="str">
        <f>'FR-16(7)(v)-1 Functional'!C419</f>
        <v>ELIMINATE MISCELLANEOUS EXPENSES</v>
      </c>
      <c r="D419" s="344" t="str">
        <f>'FR-16(7)(v)-1 Functional'!D419</f>
        <v>AG39</v>
      </c>
      <c r="E419" s="196"/>
      <c r="F419" s="479">
        <f>'FR-16(7)(v)-8 TOT CLASS Alloc'!H419</f>
        <v>-63798</v>
      </c>
      <c r="G419" s="548">
        <f>'FR-16(7)(v)-5 DISTR Dem Alloc'!H419</f>
        <v>-31905</v>
      </c>
      <c r="H419" s="539">
        <f>'FR-16(7)(v)-3 PROD Comm Alloc'!H419</f>
        <v>-9592</v>
      </c>
      <c r="I419" s="540">
        <f>'FR-16(7)(v)-6 DISTR Cust Alloc'!H419</f>
        <v>-22301</v>
      </c>
      <c r="J419" s="347">
        <f t="shared" si="81"/>
        <v>-63798</v>
      </c>
      <c r="K419" s="347">
        <f t="shared" si="82"/>
        <v>0</v>
      </c>
    </row>
    <row r="420" spans="1:11">
      <c r="A420" s="333">
        <v>20</v>
      </c>
      <c r="C420" s="332" t="str">
        <f>'FR-16(7)(v)-1 Functional'!C420</f>
        <v>ELIMINATE NON-JURISDICTIONAL EXPENSES</v>
      </c>
      <c r="D420" s="344" t="str">
        <f>'FR-16(7)(v)-1 Functional'!D420</f>
        <v>NP29</v>
      </c>
      <c r="E420" s="196"/>
      <c r="F420" s="479">
        <f>'FR-16(7)(v)-8 TOT CLASS Alloc'!H420</f>
        <v>0</v>
      </c>
      <c r="G420" s="548">
        <f>'FR-16(7)(v)-5 DISTR Dem Alloc'!H420</f>
        <v>0</v>
      </c>
      <c r="H420" s="539">
        <f>'FR-16(7)(v)-3 PROD Comm Alloc'!H420</f>
        <v>0</v>
      </c>
      <c r="I420" s="540">
        <f>'FR-16(7)(v)-6 DISTR Cust Alloc'!H420</f>
        <v>0</v>
      </c>
      <c r="J420" s="347">
        <f t="shared" si="81"/>
        <v>0</v>
      </c>
      <c r="K420" s="347">
        <f t="shared" si="82"/>
        <v>0</v>
      </c>
    </row>
    <row r="421" spans="1:11">
      <c r="A421" s="333">
        <v>21</v>
      </c>
      <c r="C421" s="332" t="str">
        <f>'FR-16(7)(v)-1 Functional'!C421</f>
        <v xml:space="preserve">AMORTIZATION OF DEFERRED EXP </v>
      </c>
      <c r="D421" s="344" t="str">
        <f>'FR-16(7)(v)-1 Functional'!D421</f>
        <v>AG39</v>
      </c>
      <c r="E421" s="196"/>
      <c r="F421" s="479">
        <f>'FR-16(7)(v)-8 TOT CLASS Alloc'!H421</f>
        <v>107570</v>
      </c>
      <c r="G421" s="548">
        <f>'FR-16(7)(v)-5 DISTR Dem Alloc'!H421</f>
        <v>53794</v>
      </c>
      <c r="H421" s="539">
        <f>'FR-16(7)(v)-3 PROD Comm Alloc'!H421</f>
        <v>16174</v>
      </c>
      <c r="I421" s="540">
        <f>'FR-16(7)(v)-6 DISTR Cust Alloc'!H421</f>
        <v>37602</v>
      </c>
      <c r="J421" s="347">
        <f t="shared" si="81"/>
        <v>107570</v>
      </c>
      <c r="K421" s="347">
        <f t="shared" si="82"/>
        <v>0</v>
      </c>
    </row>
    <row r="422" spans="1:11">
      <c r="A422" s="333">
        <v>22</v>
      </c>
      <c r="C422" s="332" t="str">
        <f>'FR-16(7)(v)-1 Functional'!C422</f>
        <v>STATE REG COMMISSION EXPENSES</v>
      </c>
      <c r="D422" s="344" t="str">
        <f>'FR-16(7)(v)-1 Functional'!D422</f>
        <v>AG39</v>
      </c>
      <c r="E422" s="196"/>
      <c r="F422" s="479">
        <f>'FR-16(7)(v)-8 TOT CLASS Alloc'!H422</f>
        <v>0</v>
      </c>
      <c r="G422" s="548">
        <f>'FR-16(7)(v)-5 DISTR Dem Alloc'!H422</f>
        <v>0</v>
      </c>
      <c r="H422" s="539">
        <f>'FR-16(7)(v)-3 PROD Comm Alloc'!H422</f>
        <v>0</v>
      </c>
      <c r="I422" s="540">
        <f>'FR-16(7)(v)-6 DISTR Cust Alloc'!H422</f>
        <v>0</v>
      </c>
      <c r="J422" s="347">
        <f t="shared" si="81"/>
        <v>0</v>
      </c>
      <c r="K422" s="347">
        <f t="shared" si="82"/>
        <v>0</v>
      </c>
    </row>
    <row r="423" spans="1:11">
      <c r="A423" s="333">
        <v>23</v>
      </c>
      <c r="C423" s="332" t="str">
        <f>'FR-16(7)(v)-1 Functional'!C423</f>
        <v>STATE REG COM EXP ANN ADJ.</v>
      </c>
      <c r="D423" s="344" t="str">
        <f>'FR-16(7)(v)-1 Functional'!D423</f>
        <v>AG39</v>
      </c>
      <c r="E423" s="196"/>
      <c r="F423" s="479">
        <f>'FR-16(7)(v)-8 TOT CLASS Alloc'!H423</f>
        <v>0</v>
      </c>
      <c r="G423" s="548">
        <f>'FR-16(7)(v)-5 DISTR Dem Alloc'!H423</f>
        <v>0</v>
      </c>
      <c r="H423" s="539">
        <f>'FR-16(7)(v)-3 PROD Comm Alloc'!H423</f>
        <v>0</v>
      </c>
      <c r="I423" s="540">
        <f>'FR-16(7)(v)-6 DISTR Cust Alloc'!H423</f>
        <v>0</v>
      </c>
      <c r="J423" s="347">
        <f t="shared" si="81"/>
        <v>0</v>
      </c>
      <c r="K423" s="347">
        <f t="shared" si="82"/>
        <v>0</v>
      </c>
    </row>
    <row r="424" spans="1:11">
      <c r="A424" s="333">
        <v>24</v>
      </c>
      <c r="C424" s="332" t="str">
        <f>'FR-16(7)(v)-1 Functional'!C424</f>
        <v>AMORTIZE CAMERA WORK</v>
      </c>
      <c r="D424" s="344" t="str">
        <f>'FR-16(7)(v)-1 Functional'!D424</f>
        <v>AG39</v>
      </c>
      <c r="E424" s="196"/>
      <c r="F424" s="479">
        <f>'FR-16(7)(v)-8 TOT CLASS Alloc'!H424</f>
        <v>0</v>
      </c>
      <c r="G424" s="548">
        <f>'FR-16(7)(v)-5 DISTR Dem Alloc'!H424</f>
        <v>0</v>
      </c>
      <c r="H424" s="539">
        <f>'FR-16(7)(v)-3 PROD Comm Alloc'!H424</f>
        <v>0</v>
      </c>
      <c r="I424" s="540">
        <f>'FR-16(7)(v)-6 DISTR Cust Alloc'!H424</f>
        <v>0</v>
      </c>
      <c r="J424" s="347">
        <f t="shared" ref="J424:J429" si="83">SUM(G424:I424)</f>
        <v>0</v>
      </c>
      <c r="K424" s="347">
        <f t="shared" ref="K424:K429" si="84">F424-J424</f>
        <v>0</v>
      </c>
    </row>
    <row r="425" spans="1:11">
      <c r="A425" s="333">
        <v>25</v>
      </c>
      <c r="C425" s="332" t="str">
        <f>'FR-16(7)(v)-1 Functional'!C425</f>
        <v>ELIMINATE MERGER EXPENSE</v>
      </c>
      <c r="D425" s="344" t="str">
        <f>'FR-16(7)(v)-1 Functional'!D425</f>
        <v>AG39</v>
      </c>
      <c r="E425" s="196"/>
      <c r="F425" s="479">
        <f>'FR-16(7)(v)-8 TOT CLASS Alloc'!H425</f>
        <v>0</v>
      </c>
      <c r="G425" s="548">
        <f>'FR-16(7)(v)-5 DISTR Dem Alloc'!H425</f>
        <v>0</v>
      </c>
      <c r="H425" s="539">
        <f>'FR-16(7)(v)-3 PROD Comm Alloc'!H425</f>
        <v>0</v>
      </c>
      <c r="I425" s="540">
        <f>'FR-16(7)(v)-6 DISTR Cust Alloc'!H425</f>
        <v>0</v>
      </c>
      <c r="J425" s="347">
        <f t="shared" si="83"/>
        <v>0</v>
      </c>
      <c r="K425" s="347">
        <f t="shared" si="84"/>
        <v>0</v>
      </c>
    </row>
    <row r="426" spans="1:11">
      <c r="A426" s="333">
        <v>26</v>
      </c>
      <c r="C426" s="332" t="str">
        <f>'FR-16(7)(v)-1 Functional'!C426</f>
        <v>SMART GRID AMORTIZATION ADJUSTMENT</v>
      </c>
      <c r="D426" s="344" t="str">
        <f>'FR-16(7)(v)-1 Functional'!D426</f>
        <v>K413</v>
      </c>
      <c r="E426" s="196"/>
      <c r="F426" s="479">
        <f>'FR-16(7)(v)-8 TOT CLASS Alloc'!H426</f>
        <v>0</v>
      </c>
      <c r="G426" s="548">
        <f>'FR-16(7)(v)-5 DISTR Dem Alloc'!H426</f>
        <v>0</v>
      </c>
      <c r="H426" s="539">
        <f>'FR-16(7)(v)-3 PROD Comm Alloc'!H426</f>
        <v>0</v>
      </c>
      <c r="I426" s="540">
        <f>'FR-16(7)(v)-6 DISTR Cust Alloc'!H426</f>
        <v>0</v>
      </c>
      <c r="J426" s="347">
        <f t="shared" si="83"/>
        <v>0</v>
      </c>
      <c r="K426" s="347">
        <f t="shared" si="84"/>
        <v>0</v>
      </c>
    </row>
    <row r="427" spans="1:11">
      <c r="A427" s="333">
        <v>27</v>
      </c>
      <c r="C427" s="332" t="str">
        <f>'FR-16(7)(v)-1 Functional'!C427</f>
        <v>AMORTIZE 2011 SMART GRID DEFERRED O&amp;M</v>
      </c>
      <c r="D427" s="344" t="str">
        <f>'FR-16(7)(v)-1 Functional'!D427</f>
        <v>K413</v>
      </c>
      <c r="E427" s="196"/>
      <c r="F427" s="479">
        <f>'FR-16(7)(v)-8 TOT CLASS Alloc'!H427</f>
        <v>0</v>
      </c>
      <c r="G427" s="548">
        <f>'FR-16(7)(v)-5 DISTR Dem Alloc'!H427</f>
        <v>0</v>
      </c>
      <c r="H427" s="539">
        <f>'FR-16(7)(v)-3 PROD Comm Alloc'!H427</f>
        <v>0</v>
      </c>
      <c r="I427" s="540">
        <f>'FR-16(7)(v)-6 DISTR Cust Alloc'!H427</f>
        <v>0</v>
      </c>
      <c r="J427" s="347">
        <f t="shared" si="83"/>
        <v>0</v>
      </c>
      <c r="K427" s="347">
        <f t="shared" si="84"/>
        <v>0</v>
      </c>
    </row>
    <row r="428" spans="1:11">
      <c r="A428" s="333">
        <v>28</v>
      </c>
      <c r="C428" s="332" t="str">
        <f>'FR-16(7)(v)-1 Functional'!C428</f>
        <v>INCREASED MEDICAL COSTS</v>
      </c>
      <c r="D428" s="344" t="str">
        <f>'FR-16(7)(v)-1 Functional'!D428</f>
        <v>AG39</v>
      </c>
      <c r="E428" s="196"/>
      <c r="F428" s="479">
        <f>'FR-16(7)(v)-8 TOT CLASS Alloc'!H428</f>
        <v>0</v>
      </c>
      <c r="G428" s="548">
        <f>'FR-16(7)(v)-5 DISTR Dem Alloc'!H428</f>
        <v>0</v>
      </c>
      <c r="H428" s="539">
        <f>'FR-16(7)(v)-3 PROD Comm Alloc'!H428</f>
        <v>0</v>
      </c>
      <c r="I428" s="540">
        <f>'FR-16(7)(v)-6 DISTR Cust Alloc'!H428</f>
        <v>0</v>
      </c>
      <c r="J428" s="347">
        <f t="shared" si="83"/>
        <v>0</v>
      </c>
      <c r="K428" s="347">
        <f t="shared" si="84"/>
        <v>0</v>
      </c>
    </row>
    <row r="429" spans="1:11">
      <c r="A429" s="333">
        <v>29</v>
      </c>
      <c r="C429" s="332" t="str">
        <f>'FR-16(7)(v)-1 Functional'!C429</f>
        <v>AMORTIZE GAS FURNACE PROGRAM</v>
      </c>
      <c r="D429" s="344" t="str">
        <f>'FR-16(7)(v)-1 Functional'!D429</f>
        <v>NP29</v>
      </c>
      <c r="E429" s="196"/>
      <c r="F429" s="479">
        <f>'FR-16(7)(v)-8 TOT CLASS Alloc'!H429</f>
        <v>0</v>
      </c>
      <c r="G429" s="548">
        <f>'FR-16(7)(v)-5 DISTR Dem Alloc'!H429</f>
        <v>0</v>
      </c>
      <c r="H429" s="539">
        <f>'FR-16(7)(v)-3 PROD Comm Alloc'!H429</f>
        <v>0</v>
      </c>
      <c r="I429" s="540">
        <f>'FR-16(7)(v)-6 DISTR Cust Alloc'!H429</f>
        <v>0</v>
      </c>
      <c r="J429" s="347">
        <f t="shared" si="83"/>
        <v>0</v>
      </c>
      <c r="K429" s="347">
        <f t="shared" si="84"/>
        <v>0</v>
      </c>
    </row>
    <row r="430" spans="1:11">
      <c r="A430" s="333">
        <v>30</v>
      </c>
      <c r="C430" s="359" t="str">
        <f>'FR-16(7)(v)-1 Functional'!C430</f>
        <v>AMORTIZATION OF MGP DEFERRED EXP</v>
      </c>
      <c r="D430" s="344" t="str">
        <f>'FR-16(7)(v)-1 Functional'!D430</f>
        <v>NP29</v>
      </c>
      <c r="E430" s="196"/>
      <c r="F430" s="479">
        <f>'FR-16(7)(v)-8 TOT CLASS Alloc'!H430</f>
        <v>0</v>
      </c>
      <c r="G430" s="548">
        <f>'FR-16(7)(v)-5 DISTR Dem Alloc'!H430</f>
        <v>0</v>
      </c>
      <c r="H430" s="539">
        <f>'FR-16(7)(v)-3 PROD Comm Alloc'!H430</f>
        <v>0</v>
      </c>
      <c r="I430" s="540">
        <f>'FR-16(7)(v)-6 DISTR Cust Alloc'!H430</f>
        <v>0</v>
      </c>
      <c r="J430" s="347">
        <f t="shared" si="81"/>
        <v>0</v>
      </c>
      <c r="K430" s="347">
        <f t="shared" si="82"/>
        <v>0</v>
      </c>
    </row>
    <row r="431" spans="1:11">
      <c r="A431" s="333">
        <v>31</v>
      </c>
      <c r="C431" s="332" t="str">
        <f>'FR-16(7)(v)-1 Functional'!C431</f>
        <v xml:space="preserve">  TOTAL ADMIN. &amp; GENERAL</v>
      </c>
      <c r="D431" s="344"/>
      <c r="E431" s="196" t="s">
        <v>343</v>
      </c>
      <c r="F431" s="348">
        <f t="shared" ref="F431:K431" si="85">SUM(F416:F430)</f>
        <v>1391085</v>
      </c>
      <c r="G431" s="549">
        <f t="shared" si="85"/>
        <v>695677</v>
      </c>
      <c r="H431" s="541">
        <f t="shared" si="85"/>
        <v>209151</v>
      </c>
      <c r="I431" s="542">
        <f t="shared" si="85"/>
        <v>486257</v>
      </c>
      <c r="J431" s="348">
        <f t="shared" si="85"/>
        <v>1391085</v>
      </c>
      <c r="K431" s="348">
        <f t="shared" si="85"/>
        <v>0</v>
      </c>
    </row>
    <row r="432" spans="1:11">
      <c r="A432" s="333">
        <v>32</v>
      </c>
      <c r="D432" s="344"/>
      <c r="E432" s="196"/>
      <c r="F432" s="335"/>
      <c r="G432" s="548"/>
      <c r="H432" s="539"/>
      <c r="I432" s="540"/>
      <c r="J432" s="347"/>
      <c r="K432" s="347"/>
    </row>
    <row r="433" spans="1:11">
      <c r="A433" s="333">
        <v>33</v>
      </c>
      <c r="C433" s="332" t="str">
        <f>'FR-16(7)(v)-1 Functional'!C433</f>
        <v>TOTAL O &amp; M EXPENSE</v>
      </c>
      <c r="D433" s="344"/>
      <c r="E433" s="196"/>
      <c r="F433" s="347">
        <f t="shared" ref="F433:K433" si="86">F431+F407+F403+F389+F378+F364+F360</f>
        <v>15474188</v>
      </c>
      <c r="G433" s="550">
        <f t="shared" si="86"/>
        <v>2776499</v>
      </c>
      <c r="H433" s="543">
        <f t="shared" si="86"/>
        <v>10944332</v>
      </c>
      <c r="I433" s="544">
        <f t="shared" si="86"/>
        <v>1753357</v>
      </c>
      <c r="J433" s="347">
        <f t="shared" si="86"/>
        <v>15474188</v>
      </c>
      <c r="K433" s="347">
        <f t="shared" si="86"/>
        <v>0</v>
      </c>
    </row>
    <row r="434" spans="1:11">
      <c r="B434" s="343"/>
      <c r="C434" s="196"/>
      <c r="D434" s="344"/>
      <c r="E434" s="196"/>
      <c r="F434" s="196"/>
      <c r="G434" s="196"/>
      <c r="H434" s="196"/>
      <c r="I434" s="196"/>
      <c r="J434" s="196"/>
      <c r="K434" s="196"/>
    </row>
    <row r="435" spans="1:11">
      <c r="A435" s="343" t="str">
        <f>co_name</f>
        <v>DUKE ENERGY KENTUCKY, INC.</v>
      </c>
      <c r="C435" s="196"/>
      <c r="D435" s="344"/>
      <c r="E435" s="196"/>
      <c r="F435" s="196"/>
      <c r="G435" s="196"/>
      <c r="H435" s="196"/>
      <c r="I435" s="196"/>
      <c r="J435" s="196" t="str">
        <f>$J$1</f>
        <v>FR-16(7)(v)-10</v>
      </c>
      <c r="K435" s="196"/>
    </row>
    <row r="436" spans="1:11">
      <c r="A436" s="343" t="str">
        <f>$A$2</f>
        <v>GS CLASSIFIED - GAS COST OF SERVICE</v>
      </c>
      <c r="C436" s="196"/>
      <c r="D436" s="344"/>
      <c r="E436" s="196"/>
      <c r="F436" s="196"/>
      <c r="G436" s="196"/>
      <c r="H436" s="196"/>
      <c r="I436" s="196"/>
      <c r="J436" s="196" t="str">
        <f>$J$2</f>
        <v>WITNESS RESPONSIBLE:</v>
      </c>
      <c r="K436" s="196"/>
    </row>
    <row r="437" spans="1:11">
      <c r="A437" s="343" t="str">
        <f>case_name</f>
        <v>CASE NO: 2018-00261</v>
      </c>
      <c r="C437" s="196"/>
      <c r="D437" s="344"/>
      <c r="E437" s="196"/>
      <c r="F437" s="196"/>
      <c r="G437" s="196"/>
      <c r="H437" s="196"/>
      <c r="I437" s="196"/>
      <c r="J437" s="196" t="str">
        <f>Witness</f>
        <v>JAMES E. ZIOLKOWSKI</v>
      </c>
      <c r="K437" s="196"/>
    </row>
    <row r="438" spans="1:11">
      <c r="A438" s="343" t="str">
        <f>data_filing</f>
        <v>DATA: 12 MONTH FORECASTED PERIOD</v>
      </c>
      <c r="C438" s="196"/>
      <c r="D438" s="344"/>
      <c r="E438" s="196"/>
      <c r="F438" s="196"/>
      <c r="G438" s="196"/>
      <c r="H438" s="196"/>
      <c r="I438" s="196"/>
      <c r="J438" s="196" t="str">
        <f>"PAGE "&amp;Pages2-5&amp;" OF "&amp;Pages2</f>
        <v>PAGE 10 OF 15</v>
      </c>
      <c r="K438" s="196"/>
    </row>
    <row r="439" spans="1:11">
      <c r="A439" s="343" t="str">
        <f>type</f>
        <v xml:space="preserve">TYPE OF FILING: "X" ORIGINAL   UPDATED    REVISED  </v>
      </c>
      <c r="C439" s="196"/>
      <c r="D439" s="344"/>
      <c r="E439" s="196"/>
      <c r="F439" s="196"/>
      <c r="G439" s="196"/>
      <c r="H439" s="196"/>
      <c r="I439" s="196"/>
      <c r="J439" s="196"/>
      <c r="K439" s="196"/>
    </row>
    <row r="440" spans="1:11">
      <c r="B440" s="343"/>
      <c r="C440" s="196"/>
      <c r="D440" s="344"/>
      <c r="E440" s="196"/>
      <c r="F440" s="196"/>
      <c r="G440" s="196"/>
      <c r="H440" s="196"/>
      <c r="I440" s="196"/>
      <c r="J440" s="196"/>
      <c r="K440" s="196"/>
    </row>
    <row r="441" spans="1:11">
      <c r="B441" s="343"/>
      <c r="C441" s="196"/>
      <c r="D441" s="344"/>
      <c r="E441" s="196"/>
      <c r="F441" s="196"/>
      <c r="G441" s="196"/>
      <c r="H441" s="196"/>
      <c r="I441" s="196"/>
      <c r="J441" s="196"/>
      <c r="K441" s="196"/>
    </row>
    <row r="442" spans="1:11">
      <c r="A442" s="344" t="s">
        <v>914</v>
      </c>
      <c r="B442" s="196"/>
      <c r="C442" s="196"/>
      <c r="D442" s="344"/>
      <c r="E442" s="196"/>
      <c r="F442" s="344" t="s">
        <v>229</v>
      </c>
      <c r="G442" s="545" t="s">
        <v>1005</v>
      </c>
      <c r="H442" s="533"/>
      <c r="I442" s="534"/>
      <c r="J442" s="344" t="s">
        <v>229</v>
      </c>
      <c r="K442" s="344" t="s">
        <v>342</v>
      </c>
    </row>
    <row r="443" spans="1:11">
      <c r="A443" s="346" t="s">
        <v>915</v>
      </c>
      <c r="B443" s="345" t="s">
        <v>55</v>
      </c>
      <c r="C443" s="345"/>
      <c r="D443" s="346" t="s">
        <v>337</v>
      </c>
      <c r="E443" s="345"/>
      <c r="F443" s="346" t="str">
        <f>$F$9</f>
        <v>GS</v>
      </c>
      <c r="G443" s="546" t="s">
        <v>847</v>
      </c>
      <c r="H443" s="535" t="s">
        <v>848</v>
      </c>
      <c r="I443" s="536" t="s">
        <v>849</v>
      </c>
      <c r="J443" s="346" t="s">
        <v>341</v>
      </c>
      <c r="K443" s="346" t="s">
        <v>340</v>
      </c>
    </row>
    <row r="444" spans="1:11">
      <c r="C444" s="578" t="s">
        <v>349</v>
      </c>
      <c r="D444" s="344"/>
      <c r="E444" s="196"/>
      <c r="F444" s="510"/>
      <c r="G444" s="800">
        <f>$G$10</f>
        <v>3</v>
      </c>
      <c r="H444" s="801">
        <f>$H$10</f>
        <v>4</v>
      </c>
      <c r="I444" s="802">
        <f>$I$10</f>
        <v>5</v>
      </c>
      <c r="J444" s="510"/>
      <c r="K444" s="510"/>
    </row>
    <row r="445" spans="1:11">
      <c r="A445" s="333">
        <v>1</v>
      </c>
      <c r="B445" s="353" t="s">
        <v>56</v>
      </c>
      <c r="C445" s="353"/>
      <c r="D445" s="344"/>
      <c r="E445" s="196"/>
      <c r="G445" s="547"/>
      <c r="H445" s="537"/>
      <c r="I445" s="538"/>
    </row>
    <row r="446" spans="1:11">
      <c r="A446" s="333">
        <v>2</v>
      </c>
      <c r="B446" s="353"/>
      <c r="C446" s="511" t="str">
        <f>'FR-16(7)(v)-1 Functional'!C446</f>
        <v>PRODUCTION DEPRECIATION</v>
      </c>
      <c r="D446" s="344" t="str">
        <f>'FR-16(7)(v)-1 Functional'!D446</f>
        <v>P229</v>
      </c>
      <c r="E446" s="196"/>
      <c r="F446" s="479">
        <f>'FR-16(7)(v)-8 TOT CLASS Alloc'!H446</f>
        <v>66410</v>
      </c>
      <c r="G446" s="548">
        <f>'FR-16(7)(v)-5 DISTR Dem Alloc'!H446</f>
        <v>0</v>
      </c>
      <c r="H446" s="539">
        <f>'FR-16(7)(v)-3 PROD Comm Alloc'!H446</f>
        <v>66410</v>
      </c>
      <c r="I446" s="540">
        <f>'FR-16(7)(v)-6 DISTR Cust Alloc'!H446</f>
        <v>0</v>
      </c>
      <c r="J446" s="347">
        <f>SUM(G446:I446)</f>
        <v>66410</v>
      </c>
      <c r="K446" s="347">
        <f>F446-J446</f>
        <v>0</v>
      </c>
    </row>
    <row r="447" spans="1:11">
      <c r="A447" s="333">
        <v>3</v>
      </c>
      <c r="B447" s="353"/>
      <c r="C447" s="353" t="str">
        <f>'FR-16(7)(v)-1 Functional'!C447</f>
        <v xml:space="preserve">  TOTAL PRODUCTION DEPREC EXP.</v>
      </c>
      <c r="D447" s="344"/>
      <c r="E447" s="196"/>
      <c r="F447" s="348">
        <f t="shared" ref="F447:K447" si="87">SUM(F446:F446)</f>
        <v>66410</v>
      </c>
      <c r="G447" s="549">
        <f t="shared" si="87"/>
        <v>0</v>
      </c>
      <c r="H447" s="541">
        <f t="shared" si="87"/>
        <v>66410</v>
      </c>
      <c r="I447" s="542">
        <f t="shared" si="87"/>
        <v>0</v>
      </c>
      <c r="J447" s="348">
        <f t="shared" si="87"/>
        <v>66410</v>
      </c>
      <c r="K447" s="348">
        <f t="shared" si="87"/>
        <v>0</v>
      </c>
    </row>
    <row r="448" spans="1:11">
      <c r="A448" s="333">
        <v>4</v>
      </c>
      <c r="B448" s="353"/>
      <c r="C448" s="353"/>
      <c r="D448" s="344"/>
      <c r="E448" s="196"/>
      <c r="F448" s="353"/>
      <c r="G448" s="547"/>
      <c r="H448" s="537"/>
      <c r="I448" s="538"/>
    </row>
    <row r="449" spans="1:11">
      <c r="A449" s="333">
        <v>5</v>
      </c>
      <c r="B449" s="511" t="s">
        <v>57</v>
      </c>
      <c r="C449" s="511"/>
      <c r="D449" s="344"/>
      <c r="E449" s="196"/>
      <c r="F449" s="349"/>
      <c r="G449" s="548"/>
      <c r="H449" s="539"/>
      <c r="I449" s="540"/>
      <c r="J449" s="347"/>
      <c r="K449" s="347"/>
    </row>
    <row r="450" spans="1:11">
      <c r="A450" s="333">
        <v>6</v>
      </c>
      <c r="B450" s="353"/>
      <c r="C450" s="353" t="str">
        <f>'FR-16(7)(v)-1 Functional'!C450</f>
        <v xml:space="preserve">  TOTAL TRANSMISSION DEP. EXP.</v>
      </c>
      <c r="D450" s="344"/>
      <c r="E450" s="196"/>
      <c r="F450" s="348">
        <f t="shared" ref="F450:K450" si="88">SUM(F449)</f>
        <v>0</v>
      </c>
      <c r="G450" s="549">
        <f t="shared" si="88"/>
        <v>0</v>
      </c>
      <c r="H450" s="541">
        <f t="shared" si="88"/>
        <v>0</v>
      </c>
      <c r="I450" s="542">
        <f t="shared" si="88"/>
        <v>0</v>
      </c>
      <c r="J450" s="348">
        <f t="shared" si="88"/>
        <v>0</v>
      </c>
      <c r="K450" s="348">
        <f t="shared" si="88"/>
        <v>0</v>
      </c>
    </row>
    <row r="451" spans="1:11">
      <c r="A451" s="333">
        <v>7</v>
      </c>
      <c r="B451" s="353"/>
      <c r="C451" s="353"/>
      <c r="D451" s="344"/>
      <c r="E451" s="196"/>
      <c r="F451" s="353"/>
      <c r="G451" s="547"/>
      <c r="H451" s="537"/>
      <c r="I451" s="538"/>
    </row>
    <row r="452" spans="1:11">
      <c r="A452" s="333">
        <v>8</v>
      </c>
      <c r="B452" s="353" t="s">
        <v>58</v>
      </c>
      <c r="C452" s="353"/>
      <c r="D452" s="344"/>
      <c r="E452" s="196"/>
      <c r="F452" s="353"/>
      <c r="G452" s="547"/>
      <c r="H452" s="537"/>
      <c r="I452" s="538"/>
    </row>
    <row r="453" spans="1:11">
      <c r="A453" s="333">
        <v>9</v>
      </c>
      <c r="B453" s="353"/>
      <c r="C453" s="511" t="str">
        <f>'FR-16(7)(v)-1 Functional'!C453</f>
        <v>DISTRIBUTION DEPRECIATION</v>
      </c>
      <c r="D453" s="344" t="str">
        <f>'FR-16(7)(v)-1 Functional'!D453</f>
        <v>D249</v>
      </c>
      <c r="E453" s="196"/>
      <c r="F453" s="479">
        <f>'FR-16(7)(v)-8 TOT CLASS Alloc'!H453</f>
        <v>2734135</v>
      </c>
      <c r="G453" s="548">
        <f>'FR-16(7)(v)-5 DISTR Dem Alloc'!H453</f>
        <v>2019490</v>
      </c>
      <c r="H453" s="539">
        <f>'FR-16(7)(v)-3 PROD Comm Alloc'!H453</f>
        <v>0</v>
      </c>
      <c r="I453" s="540">
        <f>'FR-16(7)(v)-6 DISTR Cust Alloc'!H453</f>
        <v>714645</v>
      </c>
      <c r="J453" s="347">
        <f>SUM(G453:I453)</f>
        <v>2734135</v>
      </c>
      <c r="K453" s="347">
        <f>F453-J453</f>
        <v>0</v>
      </c>
    </row>
    <row r="454" spans="1:11">
      <c r="A454" s="333">
        <v>10</v>
      </c>
      <c r="B454" s="353"/>
      <c r="C454" s="353" t="str">
        <f>'FR-16(7)(v)-1 Functional'!C454</f>
        <v xml:space="preserve">  TOTAL DIST. DEPREC EXP.</v>
      </c>
      <c r="D454" s="344"/>
      <c r="E454" s="196"/>
      <c r="F454" s="348">
        <f t="shared" ref="F454:K454" si="89">SUM(F453:F453)</f>
        <v>2734135</v>
      </c>
      <c r="G454" s="549">
        <f t="shared" si="89"/>
        <v>2019490</v>
      </c>
      <c r="H454" s="541">
        <f t="shared" si="89"/>
        <v>0</v>
      </c>
      <c r="I454" s="542">
        <f t="shared" si="89"/>
        <v>714645</v>
      </c>
      <c r="J454" s="348">
        <f t="shared" si="89"/>
        <v>2734135</v>
      </c>
      <c r="K454" s="348">
        <f t="shared" si="89"/>
        <v>0</v>
      </c>
    </row>
    <row r="455" spans="1:11">
      <c r="A455" s="333">
        <v>11</v>
      </c>
      <c r="B455" s="353"/>
      <c r="C455" s="353"/>
      <c r="D455" s="344"/>
      <c r="E455" s="196"/>
      <c r="F455" s="353" t="s">
        <v>343</v>
      </c>
      <c r="G455" s="547"/>
      <c r="H455" s="537"/>
      <c r="I455" s="538"/>
    </row>
    <row r="456" spans="1:11">
      <c r="A456" s="333">
        <v>12</v>
      </c>
      <c r="B456" s="353" t="s">
        <v>59</v>
      </c>
      <c r="C456" s="353"/>
      <c r="D456" s="344"/>
      <c r="E456" s="196"/>
      <c r="F456" s="353"/>
      <c r="G456" s="547"/>
      <c r="H456" s="537"/>
      <c r="I456" s="538"/>
    </row>
    <row r="457" spans="1:11">
      <c r="A457" s="333">
        <v>13</v>
      </c>
      <c r="B457" s="353"/>
      <c r="C457" s="511" t="str">
        <f>'FR-16(7)(v)-1 Functional'!C457</f>
        <v>GENERAL DEPRECIATION</v>
      </c>
      <c r="D457" s="344" t="str">
        <f>'FR-16(7)(v)-1 Functional'!D457</f>
        <v>G229</v>
      </c>
      <c r="E457" s="196"/>
      <c r="F457" s="479">
        <f>'FR-16(7)(v)-8 TOT CLASS Alloc'!H457</f>
        <v>434829</v>
      </c>
      <c r="G457" s="548">
        <f>'FR-16(7)(v)-5 DISTR Dem Alloc'!H457</f>
        <v>217440</v>
      </c>
      <c r="H457" s="539">
        <f>'FR-16(7)(v)-3 PROD Comm Alloc'!H457</f>
        <v>65400</v>
      </c>
      <c r="I457" s="540">
        <f>'FR-16(7)(v)-6 DISTR Cust Alloc'!H457</f>
        <v>151989</v>
      </c>
      <c r="J457" s="347">
        <f>SUM(G457:I457)</f>
        <v>434829</v>
      </c>
      <c r="K457" s="347">
        <f>F457-J457</f>
        <v>0</v>
      </c>
    </row>
    <row r="458" spans="1:11">
      <c r="A458" s="333">
        <v>14</v>
      </c>
      <c r="B458" s="353"/>
      <c r="C458" s="353" t="str">
        <f>'FR-16(7)(v)-1 Functional'!C458</f>
        <v xml:space="preserve">  TOTAL GENERAL DEPREC EXP.</v>
      </c>
      <c r="D458" s="344"/>
      <c r="E458" s="196"/>
      <c r="F458" s="348">
        <f t="shared" ref="F458:K458" si="90">SUM(F457:F457)</f>
        <v>434829</v>
      </c>
      <c r="G458" s="549">
        <f t="shared" si="90"/>
        <v>217440</v>
      </c>
      <c r="H458" s="541">
        <f t="shared" si="90"/>
        <v>65400</v>
      </c>
      <c r="I458" s="542">
        <f t="shared" si="90"/>
        <v>151989</v>
      </c>
      <c r="J458" s="348">
        <f t="shared" si="90"/>
        <v>434829</v>
      </c>
      <c r="K458" s="348">
        <f t="shared" si="90"/>
        <v>0</v>
      </c>
    </row>
    <row r="459" spans="1:11">
      <c r="A459" s="333">
        <v>15</v>
      </c>
      <c r="B459" s="353"/>
      <c r="C459" s="353"/>
      <c r="D459" s="344"/>
      <c r="E459" s="196"/>
      <c r="F459" s="353"/>
      <c r="G459" s="547"/>
      <c r="H459" s="537"/>
      <c r="I459" s="538"/>
    </row>
    <row r="460" spans="1:11">
      <c r="A460" s="333">
        <v>16</v>
      </c>
      <c r="B460" s="353" t="s">
        <v>60</v>
      </c>
      <c r="C460" s="353"/>
      <c r="D460" s="344"/>
      <c r="E460" s="196"/>
      <c r="F460" s="476"/>
      <c r="G460" s="548"/>
      <c r="H460" s="539"/>
      <c r="I460" s="540"/>
      <c r="J460" s="347"/>
      <c r="K460" s="347"/>
    </row>
    <row r="461" spans="1:11">
      <c r="A461" s="333">
        <v>17</v>
      </c>
      <c r="B461" s="353"/>
      <c r="C461" s="511" t="str">
        <f>'FR-16(7)(v)-1 Functional'!C461</f>
        <v>COMMON DEPRECIATION</v>
      </c>
      <c r="D461" s="344" t="str">
        <f>'FR-16(7)(v)-1 Functional'!D461</f>
        <v>C229</v>
      </c>
      <c r="E461" s="196"/>
      <c r="F461" s="479">
        <f>'FR-16(7)(v)-8 TOT CLASS Alloc'!H461</f>
        <v>25243</v>
      </c>
      <c r="G461" s="548">
        <f>'FR-16(7)(v)-5 DISTR Dem Alloc'!H461</f>
        <v>12623</v>
      </c>
      <c r="H461" s="539">
        <f>'FR-16(7)(v)-3 PROD Comm Alloc'!H461</f>
        <v>3797</v>
      </c>
      <c r="I461" s="540">
        <f>'FR-16(7)(v)-6 DISTR Cust Alloc'!H461</f>
        <v>8823</v>
      </c>
      <c r="J461" s="347">
        <f>SUM(G461:I461)</f>
        <v>25243</v>
      </c>
      <c r="K461" s="347">
        <f>F461-J461</f>
        <v>0</v>
      </c>
    </row>
    <row r="462" spans="1:11">
      <c r="A462" s="333">
        <v>18</v>
      </c>
      <c r="B462" s="353"/>
      <c r="C462" s="353" t="str">
        <f>'FR-16(7)(v)-1 Functional'!C462</f>
        <v xml:space="preserve">  TOTAL COM &amp; OTHER DEPREC EXP.</v>
      </c>
      <c r="D462" s="344"/>
      <c r="E462" s="196"/>
      <c r="F462" s="348">
        <f t="shared" ref="F462:K462" si="91">SUM(F461:F461)</f>
        <v>25243</v>
      </c>
      <c r="G462" s="549">
        <f t="shared" si="91"/>
        <v>12623</v>
      </c>
      <c r="H462" s="541">
        <f t="shared" si="91"/>
        <v>3797</v>
      </c>
      <c r="I462" s="542">
        <f t="shared" si="91"/>
        <v>8823</v>
      </c>
      <c r="J462" s="348">
        <f t="shared" si="91"/>
        <v>25243</v>
      </c>
      <c r="K462" s="348">
        <f t="shared" si="91"/>
        <v>0</v>
      </c>
    </row>
    <row r="463" spans="1:11">
      <c r="A463" s="333">
        <v>19</v>
      </c>
      <c r="B463" s="353"/>
      <c r="C463" s="353"/>
      <c r="D463" s="344"/>
      <c r="E463" s="196"/>
      <c r="G463" s="547"/>
      <c r="H463" s="537"/>
      <c r="I463" s="538"/>
    </row>
    <row r="464" spans="1:11">
      <c r="A464" s="333">
        <v>20</v>
      </c>
      <c r="B464" s="353"/>
      <c r="C464" s="353"/>
      <c r="D464" s="344"/>
      <c r="E464" s="196"/>
      <c r="G464" s="547"/>
      <c r="H464" s="537"/>
      <c r="I464" s="538"/>
    </row>
    <row r="465" spans="1:12">
      <c r="A465" s="333">
        <v>21</v>
      </c>
      <c r="B465" s="353" t="s">
        <v>61</v>
      </c>
      <c r="C465" s="353"/>
      <c r="D465" s="344"/>
      <c r="E465" s="332" t="s">
        <v>343</v>
      </c>
      <c r="F465" s="347">
        <f t="shared" ref="F465:K465" si="92">F462+F458+F454+F450+F447</f>
        <v>3260617</v>
      </c>
      <c r="G465" s="550">
        <f t="shared" si="92"/>
        <v>2249553</v>
      </c>
      <c r="H465" s="543">
        <f t="shared" si="92"/>
        <v>135607</v>
      </c>
      <c r="I465" s="544">
        <f t="shared" si="92"/>
        <v>875457</v>
      </c>
      <c r="J465" s="347">
        <f t="shared" si="92"/>
        <v>3260617</v>
      </c>
      <c r="K465" s="347">
        <f t="shared" si="92"/>
        <v>0</v>
      </c>
    </row>
    <row r="466" spans="1:12">
      <c r="B466" s="343"/>
      <c r="C466" s="196"/>
      <c r="D466" s="344"/>
      <c r="E466" s="196"/>
      <c r="F466" s="196"/>
      <c r="G466" s="196"/>
      <c r="H466" s="196"/>
      <c r="I466" s="196"/>
      <c r="J466" s="196"/>
      <c r="K466" s="196"/>
    </row>
    <row r="467" spans="1:12">
      <c r="A467" s="343" t="str">
        <f>co_name</f>
        <v>DUKE ENERGY KENTUCKY, INC.</v>
      </c>
      <c r="C467" s="196"/>
      <c r="D467" s="344"/>
      <c r="E467" s="196"/>
      <c r="F467" s="196"/>
      <c r="G467" s="196"/>
      <c r="H467" s="196"/>
      <c r="I467" s="196"/>
      <c r="J467" s="196" t="str">
        <f>$J$1</f>
        <v>FR-16(7)(v)-10</v>
      </c>
      <c r="K467" s="196"/>
    </row>
    <row r="468" spans="1:12">
      <c r="A468" s="343" t="str">
        <f>$A$2</f>
        <v>GS CLASSIFIED - GAS COST OF SERVICE</v>
      </c>
      <c r="C468" s="196"/>
      <c r="D468" s="344"/>
      <c r="E468" s="196"/>
      <c r="F468" s="196"/>
      <c r="G468" s="196"/>
      <c r="H468" s="196"/>
      <c r="I468" s="196"/>
      <c r="J468" s="196" t="str">
        <f>$J$2</f>
        <v>WITNESS RESPONSIBLE:</v>
      </c>
      <c r="K468" s="196"/>
    </row>
    <row r="469" spans="1:12">
      <c r="A469" s="343" t="str">
        <f>case_name</f>
        <v>CASE NO: 2018-00261</v>
      </c>
      <c r="C469" s="196"/>
      <c r="D469" s="344"/>
      <c r="E469" s="196"/>
      <c r="F469" s="196"/>
      <c r="G469" s="196"/>
      <c r="H469" s="196"/>
      <c r="I469" s="196"/>
      <c r="J469" s="196" t="str">
        <f>Witness</f>
        <v>JAMES E. ZIOLKOWSKI</v>
      </c>
      <c r="K469" s="196"/>
    </row>
    <row r="470" spans="1:12">
      <c r="A470" s="343" t="str">
        <f>data_filing</f>
        <v>DATA: 12 MONTH FORECASTED PERIOD</v>
      </c>
      <c r="C470" s="196"/>
      <c r="D470" s="344"/>
      <c r="E470" s="196"/>
      <c r="F470" s="196"/>
      <c r="G470" s="196"/>
      <c r="H470" s="196"/>
      <c r="I470" s="196"/>
      <c r="J470" s="196" t="str">
        <f>"PAGE "&amp;Pages2-4&amp;" OF "&amp;Pages2</f>
        <v>PAGE 11 OF 15</v>
      </c>
      <c r="K470" s="196"/>
    </row>
    <row r="471" spans="1:12">
      <c r="A471" s="343" t="str">
        <f>type</f>
        <v xml:space="preserve">TYPE OF FILING: "X" ORIGINAL   UPDATED    REVISED  </v>
      </c>
      <c r="C471" s="196"/>
      <c r="D471" s="344"/>
      <c r="E471" s="196"/>
      <c r="F471" s="196"/>
      <c r="G471" s="196"/>
      <c r="H471" s="196"/>
      <c r="I471" s="196"/>
      <c r="J471" s="196"/>
      <c r="K471" s="196"/>
    </row>
    <row r="472" spans="1:12">
      <c r="B472" s="343"/>
      <c r="C472" s="196"/>
      <c r="D472" s="344"/>
      <c r="E472" s="196"/>
      <c r="F472" s="196"/>
      <c r="G472" s="196"/>
      <c r="H472" s="196"/>
      <c r="I472" s="196"/>
      <c r="J472" s="196"/>
      <c r="K472" s="196"/>
    </row>
    <row r="473" spans="1:12">
      <c r="B473" s="343"/>
      <c r="C473" s="196"/>
      <c r="D473" s="344"/>
      <c r="E473" s="196"/>
      <c r="F473" s="196"/>
      <c r="G473" s="196"/>
      <c r="H473" s="196"/>
      <c r="I473" s="196"/>
      <c r="J473" s="196"/>
      <c r="K473" s="196"/>
    </row>
    <row r="474" spans="1:12">
      <c r="A474" s="344" t="s">
        <v>914</v>
      </c>
      <c r="B474" s="196"/>
      <c r="C474" s="196"/>
      <c r="D474" s="344"/>
      <c r="E474" s="196"/>
      <c r="F474" s="344" t="s">
        <v>229</v>
      </c>
      <c r="G474" s="545" t="s">
        <v>1005</v>
      </c>
      <c r="H474" s="533"/>
      <c r="I474" s="534"/>
      <c r="J474" s="344" t="s">
        <v>229</v>
      </c>
      <c r="K474" s="344" t="s">
        <v>342</v>
      </c>
    </row>
    <row r="475" spans="1:12">
      <c r="A475" s="346" t="s">
        <v>915</v>
      </c>
      <c r="B475" s="345" t="s">
        <v>62</v>
      </c>
      <c r="C475" s="345"/>
      <c r="D475" s="346" t="s">
        <v>337</v>
      </c>
      <c r="E475" s="345"/>
      <c r="F475" s="346" t="str">
        <f>$F$9</f>
        <v>GS</v>
      </c>
      <c r="G475" s="546" t="s">
        <v>847</v>
      </c>
      <c r="H475" s="535" t="s">
        <v>848</v>
      </c>
      <c r="I475" s="536" t="s">
        <v>849</v>
      </c>
      <c r="J475" s="346" t="s">
        <v>341</v>
      </c>
      <c r="K475" s="346" t="s">
        <v>340</v>
      </c>
      <c r="L475" s="365"/>
    </row>
    <row r="476" spans="1:12">
      <c r="C476" s="578" t="s">
        <v>350</v>
      </c>
      <c r="D476" s="344"/>
      <c r="E476" s="196"/>
      <c r="F476" s="510"/>
      <c r="G476" s="800">
        <f>$G$10</f>
        <v>3</v>
      </c>
      <c r="H476" s="801">
        <f>$H$10</f>
        <v>4</v>
      </c>
      <c r="I476" s="802">
        <f>$I$10</f>
        <v>5</v>
      </c>
      <c r="J476" s="510"/>
      <c r="K476" s="510"/>
    </row>
    <row r="477" spans="1:12">
      <c r="A477" s="333">
        <v>1</v>
      </c>
      <c r="B477" s="332" t="s">
        <v>63</v>
      </c>
      <c r="D477" s="344"/>
      <c r="E477" s="196"/>
      <c r="G477" s="547"/>
      <c r="H477" s="537"/>
      <c r="I477" s="538"/>
    </row>
    <row r="478" spans="1:12">
      <c r="A478" s="333">
        <v>2</v>
      </c>
      <c r="B478" s="332" t="s">
        <v>64</v>
      </c>
      <c r="D478" s="344"/>
      <c r="E478" s="196"/>
      <c r="G478" s="547"/>
      <c r="H478" s="537"/>
      <c r="I478" s="538"/>
    </row>
    <row r="479" spans="1:12">
      <c r="A479" s="333">
        <v>3</v>
      </c>
      <c r="C479" s="332" t="str">
        <f>'FR-16(7)(v)-1 Functional'!C479</f>
        <v>REAL ESTATE &amp; PROPERTY TAX</v>
      </c>
      <c r="D479" s="344" t="str">
        <f>'FR-16(7)(v)-1 Functional'!D479</f>
        <v>NP29</v>
      </c>
      <c r="E479" s="196"/>
      <c r="F479" s="479">
        <f>'FR-16(7)(v)-8 TOT CLASS Alloc'!H479</f>
        <v>763939</v>
      </c>
      <c r="G479" s="548">
        <f>'FR-16(7)(v)-5 DISTR Dem Alloc'!$H$479</f>
        <v>555151</v>
      </c>
      <c r="H479" s="539">
        <f>'FR-16(7)(v)-3 PROD Comm Alloc'!$H$479</f>
        <v>7353</v>
      </c>
      <c r="I479" s="540">
        <f>'FR-16(7)(v)-6 DISTR Cust Alloc'!$H$479</f>
        <v>201435</v>
      </c>
      <c r="J479" s="347">
        <f>SUM($G$479:$I$479)</f>
        <v>763939</v>
      </c>
      <c r="K479" s="347">
        <f>F479-$J$479</f>
        <v>0</v>
      </c>
    </row>
    <row r="480" spans="1:12">
      <c r="A480" s="333">
        <v>4</v>
      </c>
      <c r="C480" s="359" t="str">
        <f>'FR-16(7)(v)-1 Functional'!C480</f>
        <v>ANNUALIZE PROPERTY TAX</v>
      </c>
      <c r="D480" s="344" t="str">
        <f>'FR-16(7)(v)-1 Functional'!D480</f>
        <v>NP29</v>
      </c>
      <c r="E480" s="196" t="s">
        <v>343</v>
      </c>
      <c r="F480" s="479">
        <f>'FR-16(7)(v)-8 TOT CLASS Alloc'!H480</f>
        <v>0</v>
      </c>
      <c r="G480" s="548">
        <f>'FR-16(7)(v)-5 DISTR Dem Alloc'!$H$480</f>
        <v>0</v>
      </c>
      <c r="H480" s="539">
        <f>'FR-16(7)(v)-3 PROD Comm Alloc'!$H$480</f>
        <v>0</v>
      </c>
      <c r="I480" s="540">
        <f>'FR-16(7)(v)-6 DISTR Cust Alloc'!$H$480</f>
        <v>0</v>
      </c>
      <c r="J480" s="347">
        <f>SUM($G$480:$I$480)</f>
        <v>0</v>
      </c>
      <c r="K480" s="347">
        <f>F480-$J$480</f>
        <v>0</v>
      </c>
    </row>
    <row r="481" spans="1:11">
      <c r="A481" s="333">
        <v>5</v>
      </c>
      <c r="C481" s="332" t="str">
        <f>'FR-16(7)(v)-1 Functional'!C481</f>
        <v xml:space="preserve">  TOTAL REAL ESTATE &amp; PROPERTY TAX</v>
      </c>
      <c r="D481" s="344"/>
      <c r="E481" s="196"/>
      <c r="F481" s="348">
        <f>SUM(F479:F480)</f>
        <v>763939</v>
      </c>
      <c r="G481" s="549">
        <f>SUM($G$479:$G$480)</f>
        <v>555151</v>
      </c>
      <c r="H481" s="541">
        <f>SUM($H$479:$H$480)</f>
        <v>7353</v>
      </c>
      <c r="I481" s="542">
        <f>SUM($I$479:$I$480)</f>
        <v>201435</v>
      </c>
      <c r="J481" s="348">
        <f>SUM($J$479:$J$480)</f>
        <v>763939</v>
      </c>
      <c r="K481" s="348">
        <f>SUM($K$479:$K$480)</f>
        <v>0</v>
      </c>
    </row>
    <row r="482" spans="1:11">
      <c r="A482" s="333">
        <v>6</v>
      </c>
      <c r="D482" s="344"/>
      <c r="E482" s="196"/>
      <c r="F482" s="353"/>
      <c r="G482" s="547"/>
      <c r="H482" s="537"/>
      <c r="I482" s="538"/>
    </row>
    <row r="483" spans="1:11">
      <c r="A483" s="333">
        <v>7</v>
      </c>
      <c r="B483" s="332" t="s">
        <v>65</v>
      </c>
      <c r="D483" s="344"/>
      <c r="E483" s="196"/>
      <c r="F483" s="353"/>
      <c r="G483" s="547"/>
      <c r="H483" s="537"/>
      <c r="I483" s="538"/>
    </row>
    <row r="484" spans="1:11">
      <c r="A484" s="333">
        <v>8</v>
      </c>
      <c r="C484" s="332" t="str">
        <f>'FR-16(7)(v)-1 Functional'!C484</f>
        <v>PAYROLL &amp; HIGHWAY</v>
      </c>
      <c r="D484" s="344" t="str">
        <f>'FR-16(7)(v)-1 Functional'!D484</f>
        <v>AG39</v>
      </c>
      <c r="E484" s="196"/>
      <c r="F484" s="479">
        <f>'FR-16(7)(v)-8 TOT CLASS Alloc'!H484</f>
        <v>140437</v>
      </c>
      <c r="G484" s="548">
        <f>'FR-16(7)(v)-5 DISTR Dem Alloc'!$H$484</f>
        <v>70231</v>
      </c>
      <c r="H484" s="539">
        <f>'FR-16(7)(v)-3 PROD Comm Alloc'!$H$484</f>
        <v>21115</v>
      </c>
      <c r="I484" s="540">
        <f>'FR-16(7)(v)-6 DISTR Cust Alloc'!$H$484</f>
        <v>49091</v>
      </c>
      <c r="J484" s="347">
        <f>SUM($G$484:$I$484)</f>
        <v>140437</v>
      </c>
      <c r="K484" s="347">
        <f>F484-$J$484</f>
        <v>0</v>
      </c>
    </row>
    <row r="485" spans="1:11">
      <c r="A485" s="333">
        <v>9</v>
      </c>
      <c r="C485" s="332" t="str">
        <f>'FR-16(7)(v)-1 Functional'!C485</f>
        <v>UNEMPLOYMENT COMPENSATION</v>
      </c>
      <c r="D485" s="344" t="str">
        <f>'FR-16(7)(v)-1 Functional'!D485</f>
        <v>AG39</v>
      </c>
      <c r="E485" s="196"/>
      <c r="F485" s="479">
        <f>'FR-16(7)(v)-8 TOT CLASS Alloc'!H485</f>
        <v>0</v>
      </c>
      <c r="G485" s="548">
        <f>'FR-16(7)(v)-5 DISTR Dem Alloc'!$H$485</f>
        <v>0</v>
      </c>
      <c r="H485" s="539">
        <f>'FR-16(7)(v)-3 PROD Comm Alloc'!$H$485</f>
        <v>0</v>
      </c>
      <c r="I485" s="540">
        <f>'FR-16(7)(v)-6 DISTR Cust Alloc'!$H$485</f>
        <v>0</v>
      </c>
      <c r="J485" s="347">
        <f>SUM($G$485:$I$485)</f>
        <v>0</v>
      </c>
      <c r="K485" s="347">
        <f>F485-$J$485</f>
        <v>0</v>
      </c>
    </row>
    <row r="486" spans="1:11">
      <c r="A486" s="333">
        <v>10</v>
      </c>
      <c r="C486" s="332" t="str">
        <f>'FR-16(7)(v)-1 Functional'!C486</f>
        <v>OHIO EXCISE TAX</v>
      </c>
      <c r="D486" s="354" t="str">
        <f>'FR-16(7)(v)-1 Functional'!D486</f>
        <v>OM39</v>
      </c>
      <c r="E486" s="196"/>
      <c r="F486" s="479">
        <f>'FR-16(7)(v)-8 TOT CLASS Alloc'!H486</f>
        <v>0</v>
      </c>
      <c r="G486" s="548">
        <f>'FR-16(7)(v)-5 DISTR Dem Alloc'!$H$486</f>
        <v>0</v>
      </c>
      <c r="H486" s="539">
        <f>'FR-16(7)(v)-3 PROD Comm Alloc'!$H$486</f>
        <v>0</v>
      </c>
      <c r="I486" s="540">
        <f>'FR-16(7)(v)-6 DISTR Cust Alloc'!$H$486</f>
        <v>0</v>
      </c>
      <c r="J486" s="347">
        <f>SUM($G$486:$I$486)</f>
        <v>0</v>
      </c>
      <c r="K486" s="347">
        <f>F486-$J$486</f>
        <v>0</v>
      </c>
    </row>
    <row r="487" spans="1:11">
      <c r="A487" s="333">
        <v>11</v>
      </c>
      <c r="C487" s="359" t="str">
        <f>'FR-16(7)(v)-1 Functional'!C487</f>
        <v>STATE TAX RIDER</v>
      </c>
      <c r="D487" s="354" t="str">
        <f>'FR-16(7)(v)-1 Functional'!D487</f>
        <v>OM39</v>
      </c>
      <c r="E487" s="196"/>
      <c r="F487" s="479">
        <f>'FR-16(7)(v)-8 TOT CLASS Alloc'!H487</f>
        <v>0</v>
      </c>
      <c r="G487" s="548">
        <f>'FR-16(7)(v)-5 DISTR Dem Alloc'!$H$487</f>
        <v>0</v>
      </c>
      <c r="H487" s="539">
        <f>'FR-16(7)(v)-3 PROD Comm Alloc'!$H$487</f>
        <v>0</v>
      </c>
      <c r="I487" s="540">
        <f>'FR-16(7)(v)-6 DISTR Cust Alloc'!$H$487</f>
        <v>0</v>
      </c>
      <c r="J487" s="347">
        <f>SUM($G$487:$I$487)</f>
        <v>0</v>
      </c>
      <c r="K487" s="347">
        <f>F487-$J$487</f>
        <v>0</v>
      </c>
    </row>
    <row r="488" spans="1:11">
      <c r="A488" s="333">
        <v>12</v>
      </c>
      <c r="C488" s="332" t="str">
        <f>'FR-16(7)(v)-1 Functional'!C488</f>
        <v xml:space="preserve">  TOTAL MISCELLANEOUS TAXES</v>
      </c>
      <c r="D488" s="344"/>
      <c r="E488" s="196"/>
      <c r="F488" s="348">
        <f>SUM(F484:F487)</f>
        <v>140437</v>
      </c>
      <c r="G488" s="549">
        <f>SUM($G$484:$G$487)</f>
        <v>70231</v>
      </c>
      <c r="H488" s="541">
        <f>SUM($H$484:$H$487)</f>
        <v>21115</v>
      </c>
      <c r="I488" s="542">
        <f>SUM($I$484:$I$487)</f>
        <v>49091</v>
      </c>
      <c r="J488" s="348">
        <f>SUM($J$484:$J$487)</f>
        <v>140437</v>
      </c>
      <c r="K488" s="348">
        <f>SUM($K$484:$K$487)</f>
        <v>0</v>
      </c>
    </row>
    <row r="489" spans="1:11">
      <c r="A489" s="333">
        <v>13</v>
      </c>
      <c r="D489" s="344"/>
      <c r="E489" s="196"/>
      <c r="F489" s="353"/>
      <c r="G489" s="547"/>
      <c r="H489" s="537"/>
      <c r="I489" s="538"/>
    </row>
    <row r="490" spans="1:11">
      <c r="A490" s="333">
        <v>14</v>
      </c>
      <c r="B490" s="332" t="s">
        <v>66</v>
      </c>
      <c r="D490" s="344"/>
      <c r="E490" s="196"/>
      <c r="F490" s="353"/>
      <c r="G490" s="547"/>
      <c r="H490" s="537"/>
      <c r="I490" s="538"/>
    </row>
    <row r="491" spans="1:11">
      <c r="A491" s="333">
        <v>15</v>
      </c>
      <c r="C491" s="332" t="str">
        <f>'FR-16(7)(v)-1 Functional'!C491</f>
        <v>PSC MAINT. EXP ON INCREASE</v>
      </c>
      <c r="D491" s="344" t="str">
        <f>'FR-16(7)(v)-1 Functional'!D491</f>
        <v>AG39</v>
      </c>
      <c r="E491" s="196"/>
      <c r="F491" s="479">
        <f>'FR-16(7)(v)-8 TOT CLASS Alloc'!H491</f>
        <v>4177</v>
      </c>
      <c r="G491" s="548">
        <f>'FR-16(7)(v)-5 DISTR Dem Alloc'!$H$491</f>
        <v>2089</v>
      </c>
      <c r="H491" s="539">
        <f>'FR-16(7)(v)-3 PROD Comm Alloc'!$H$491</f>
        <v>628</v>
      </c>
      <c r="I491" s="540">
        <f>'FR-16(7)(v)-6 DISTR Cust Alloc'!$H$491</f>
        <v>1460</v>
      </c>
      <c r="J491" s="347">
        <f>SUM($G$491:$I$491)</f>
        <v>4177</v>
      </c>
      <c r="K491" s="347">
        <f>F491-$J$491</f>
        <v>0</v>
      </c>
    </row>
    <row r="492" spans="1:11">
      <c r="A492" s="333">
        <v>16</v>
      </c>
      <c r="C492" s="359" t="str">
        <f>'FR-16(7)(v)-1 Functional'!C492</f>
        <v>RESERVED FOR FUTURE USE</v>
      </c>
      <c r="D492" s="344" t="str">
        <f>'FR-16(7)(v)-1 Functional'!D492</f>
        <v>AG39</v>
      </c>
      <c r="E492" s="196"/>
      <c r="F492" s="479">
        <f>'FR-16(7)(v)-8 TOT CLASS Alloc'!H492</f>
        <v>0</v>
      </c>
      <c r="G492" s="548">
        <f>'FR-16(7)(v)-5 DISTR Dem Alloc'!$H$492</f>
        <v>0</v>
      </c>
      <c r="H492" s="539">
        <f>'FR-16(7)(v)-3 PROD Comm Alloc'!$H$492</f>
        <v>0</v>
      </c>
      <c r="I492" s="540">
        <f>'FR-16(7)(v)-6 DISTR Cust Alloc'!$H$492</f>
        <v>0</v>
      </c>
      <c r="J492" s="347">
        <f>SUM($G$492:$I$492)</f>
        <v>0</v>
      </c>
      <c r="K492" s="347">
        <f>F492-$J$492</f>
        <v>0</v>
      </c>
    </row>
    <row r="493" spans="1:11">
      <c r="A493" s="333">
        <v>17</v>
      </c>
      <c r="C493" s="332" t="str">
        <f>'FR-16(7)(v)-1 Functional'!C493</f>
        <v xml:space="preserve">  TOTAL MISCELLANEOUS EXPENSES</v>
      </c>
      <c r="D493" s="344"/>
      <c r="E493" s="196"/>
      <c r="F493" s="480">
        <f>SUM(F491:F492)</f>
        <v>4177</v>
      </c>
      <c r="G493" s="549">
        <f>SUM($G$491:$G$492)</f>
        <v>2089</v>
      </c>
      <c r="H493" s="541">
        <f>SUM($H$491:$H$492)</f>
        <v>628</v>
      </c>
      <c r="I493" s="542">
        <f>SUM($I$491:$I$492)</f>
        <v>1460</v>
      </c>
      <c r="J493" s="348">
        <f>SUM($J$491:$J$492)</f>
        <v>4177</v>
      </c>
      <c r="K493" s="348">
        <f>SUM($K$491:$K$492)</f>
        <v>0</v>
      </c>
    </row>
    <row r="494" spans="1:11">
      <c r="A494" s="333">
        <v>18</v>
      </c>
      <c r="D494" s="344"/>
      <c r="E494" s="196"/>
      <c r="G494" s="547"/>
      <c r="H494" s="537"/>
      <c r="I494" s="538"/>
    </row>
    <row r="495" spans="1:11">
      <c r="A495" s="333">
        <v>19</v>
      </c>
      <c r="B495" s="332" t="s">
        <v>67</v>
      </c>
      <c r="D495" s="344"/>
      <c r="E495" s="196" t="s">
        <v>343</v>
      </c>
      <c r="F495" s="347">
        <f>F488+F481+F493</f>
        <v>908553</v>
      </c>
      <c r="G495" s="548">
        <f>$G$488+$G$481+$G$493</f>
        <v>627471</v>
      </c>
      <c r="H495" s="539">
        <f>$H$488+$H$481+$H$493</f>
        <v>29096</v>
      </c>
      <c r="I495" s="540">
        <f>$I$488+$I$481+$I$493</f>
        <v>251986</v>
      </c>
      <c r="J495" s="347">
        <f>$J$488+$J$481+$J$493</f>
        <v>908553</v>
      </c>
      <c r="K495" s="347">
        <f>$K$488+$K$481+$K$493</f>
        <v>0</v>
      </c>
    </row>
    <row r="496" spans="1:11">
      <c r="A496" s="333">
        <v>20</v>
      </c>
      <c r="D496" s="344"/>
      <c r="E496" s="196"/>
      <c r="G496" s="547"/>
      <c r="H496" s="537"/>
      <c r="I496" s="538"/>
    </row>
    <row r="497" spans="1:11">
      <c r="A497" s="333">
        <v>21</v>
      </c>
      <c r="B497" s="332" t="s">
        <v>40</v>
      </c>
      <c r="D497" s="344"/>
      <c r="E497" s="196"/>
      <c r="G497" s="547"/>
      <c r="H497" s="537"/>
      <c r="I497" s="538"/>
    </row>
    <row r="498" spans="1:11">
      <c r="A498" s="333">
        <v>22</v>
      </c>
      <c r="C498" s="332" t="str">
        <f>'FR-16(7)(v)-1 Functional'!C498</f>
        <v>TOTAL O&amp;M EXPENSE</v>
      </c>
      <c r="D498" s="344"/>
      <c r="E498" s="196"/>
      <c r="F498" s="347">
        <f t="shared" ref="F498:K498" si="93">F433</f>
        <v>15474188</v>
      </c>
      <c r="G498" s="548">
        <f t="shared" si="93"/>
        <v>2776499</v>
      </c>
      <c r="H498" s="539">
        <f t="shared" si="93"/>
        <v>10944332</v>
      </c>
      <c r="I498" s="540">
        <f t="shared" si="93"/>
        <v>1753357</v>
      </c>
      <c r="J498" s="347">
        <f t="shared" si="93"/>
        <v>15474188</v>
      </c>
      <c r="K498" s="347">
        <f t="shared" si="93"/>
        <v>0</v>
      </c>
    </row>
    <row r="499" spans="1:11">
      <c r="A499" s="333">
        <v>23</v>
      </c>
      <c r="C499" s="332" t="str">
        <f>'FR-16(7)(v)-1 Functional'!C499</f>
        <v>TOTAL DEPRECIATION EXPENSE</v>
      </c>
      <c r="D499" s="344"/>
      <c r="E499" s="196"/>
      <c r="F499" s="347">
        <f t="shared" ref="F499:K499" si="94">F465</f>
        <v>3260617</v>
      </c>
      <c r="G499" s="548">
        <f t="shared" si="94"/>
        <v>2249553</v>
      </c>
      <c r="H499" s="539">
        <f t="shared" si="94"/>
        <v>135607</v>
      </c>
      <c r="I499" s="540">
        <f t="shared" si="94"/>
        <v>875457</v>
      </c>
      <c r="J499" s="347">
        <f t="shared" si="94"/>
        <v>3260617</v>
      </c>
      <c r="K499" s="347">
        <f t="shared" si="94"/>
        <v>0</v>
      </c>
    </row>
    <row r="500" spans="1:11">
      <c r="A500" s="333">
        <v>24</v>
      </c>
      <c r="C500" s="359" t="str">
        <f>'FR-16(7)(v)-1 Functional'!C500</f>
        <v>TOTAL OTHER TAX &amp; MISC EXPENSE</v>
      </c>
      <c r="D500" s="344"/>
      <c r="E500" s="196"/>
      <c r="F500" s="347">
        <f>F495</f>
        <v>908553</v>
      </c>
      <c r="G500" s="548">
        <f>$G$495</f>
        <v>627471</v>
      </c>
      <c r="H500" s="539">
        <f>$H$495</f>
        <v>29096</v>
      </c>
      <c r="I500" s="540">
        <f>$I$495</f>
        <v>251986</v>
      </c>
      <c r="J500" s="347">
        <f>$J$495</f>
        <v>908553</v>
      </c>
      <c r="K500" s="347">
        <f>$K$495</f>
        <v>0</v>
      </c>
    </row>
    <row r="501" spans="1:11">
      <c r="A501" s="333">
        <v>25</v>
      </c>
      <c r="C501" s="332" t="str">
        <f>'FR-16(7)(v)-1 Functional'!C501</f>
        <v xml:space="preserve">  TOTAL OPER EXP EXCL INCOME &amp; REV TAX</v>
      </c>
      <c r="D501" s="344"/>
      <c r="E501" s="196"/>
      <c r="F501" s="348">
        <f>SUM(F498:F500)</f>
        <v>19643358</v>
      </c>
      <c r="G501" s="557">
        <f>SUM($G$498:$G$500)</f>
        <v>5653523</v>
      </c>
      <c r="H501" s="558">
        <f>SUM($H$498:$H$500)</f>
        <v>11109035</v>
      </c>
      <c r="I501" s="559">
        <f>SUM($I$498:$I$500)</f>
        <v>2880800</v>
      </c>
      <c r="J501" s="348">
        <f>SUM($J$498:$J$500)</f>
        <v>19643358</v>
      </c>
      <c r="K501" s="348">
        <f>SUM($K$498:$K$500)</f>
        <v>0</v>
      </c>
    </row>
    <row r="502" spans="1:11">
      <c r="B502" s="343"/>
      <c r="C502" s="196"/>
      <c r="D502" s="344"/>
      <c r="E502" s="196"/>
      <c r="F502" s="196"/>
      <c r="G502" s="196"/>
      <c r="H502" s="196"/>
      <c r="I502" s="196"/>
      <c r="J502" s="196"/>
      <c r="K502" s="196"/>
    </row>
    <row r="503" spans="1:11">
      <c r="A503" s="343" t="str">
        <f>co_name</f>
        <v>DUKE ENERGY KENTUCKY, INC.</v>
      </c>
      <c r="C503" s="196"/>
      <c r="D503" s="344"/>
      <c r="E503" s="196"/>
      <c r="F503" s="196"/>
      <c r="G503" s="196"/>
      <c r="H503" s="196"/>
      <c r="I503" s="196"/>
      <c r="J503" s="196" t="str">
        <f>$J$1</f>
        <v>FR-16(7)(v)-10</v>
      </c>
      <c r="K503" s="196"/>
    </row>
    <row r="504" spans="1:11">
      <c r="A504" s="343" t="str">
        <f>$A$2</f>
        <v>GS CLASSIFIED - GAS COST OF SERVICE</v>
      </c>
      <c r="C504" s="196"/>
      <c r="D504" s="344"/>
      <c r="E504" s="196"/>
      <c r="F504" s="196"/>
      <c r="G504" s="196"/>
      <c r="H504" s="196"/>
      <c r="I504" s="196"/>
      <c r="J504" s="196" t="str">
        <f>$J$2</f>
        <v>WITNESS RESPONSIBLE:</v>
      </c>
      <c r="K504" s="196"/>
    </row>
    <row r="505" spans="1:11">
      <c r="A505" s="343" t="str">
        <f>case_name</f>
        <v>CASE NO: 2018-00261</v>
      </c>
      <c r="C505" s="196"/>
      <c r="D505" s="344"/>
      <c r="E505" s="196"/>
      <c r="F505" s="196"/>
      <c r="G505" s="196"/>
      <c r="H505" s="196"/>
      <c r="I505" s="196"/>
      <c r="J505" s="196" t="str">
        <f>Witness</f>
        <v>JAMES E. ZIOLKOWSKI</v>
      </c>
      <c r="K505" s="196"/>
    </row>
    <row r="506" spans="1:11">
      <c r="A506" s="343" t="str">
        <f>data_filing</f>
        <v>DATA: 12 MONTH FORECASTED PERIOD</v>
      </c>
      <c r="C506" s="196"/>
      <c r="D506" s="344"/>
      <c r="E506" s="196"/>
      <c r="F506" s="196"/>
      <c r="G506" s="196"/>
      <c r="H506" s="196"/>
      <c r="I506" s="196"/>
      <c r="J506" s="196" t="str">
        <f>"PAGE "&amp;Pages2-3&amp;" OF "&amp;Pages2</f>
        <v>PAGE 12 OF 15</v>
      </c>
      <c r="K506" s="196"/>
    </row>
    <row r="507" spans="1:11">
      <c r="A507" s="343" t="str">
        <f>type</f>
        <v xml:space="preserve">TYPE OF FILING: "X" ORIGINAL   UPDATED    REVISED  </v>
      </c>
      <c r="C507" s="196"/>
      <c r="D507" s="344"/>
      <c r="E507" s="196"/>
      <c r="F507" s="196"/>
      <c r="G507" s="196"/>
      <c r="H507" s="196"/>
      <c r="I507" s="196"/>
      <c r="J507" s="196"/>
      <c r="K507" s="196"/>
    </row>
    <row r="508" spans="1:11">
      <c r="B508" s="343"/>
      <c r="C508" s="196"/>
      <c r="D508" s="344"/>
      <c r="E508" s="196"/>
      <c r="F508" s="196"/>
      <c r="G508" s="196"/>
      <c r="H508" s="196"/>
      <c r="I508" s="196"/>
      <c r="J508" s="196"/>
      <c r="K508" s="196"/>
    </row>
    <row r="509" spans="1:11">
      <c r="B509" s="343"/>
      <c r="C509" s="196"/>
      <c r="D509" s="344"/>
      <c r="E509" s="196"/>
      <c r="F509" s="196"/>
      <c r="G509" s="196"/>
      <c r="H509" s="196"/>
      <c r="I509" s="196"/>
      <c r="J509" s="196"/>
      <c r="K509" s="196"/>
    </row>
    <row r="510" spans="1:11">
      <c r="A510" s="344" t="s">
        <v>914</v>
      </c>
      <c r="B510" s="196"/>
      <c r="C510" s="196"/>
      <c r="D510" s="344"/>
      <c r="E510" s="196"/>
      <c r="F510" s="344" t="s">
        <v>229</v>
      </c>
      <c r="G510" s="545" t="s">
        <v>1005</v>
      </c>
      <c r="H510" s="533"/>
      <c r="I510" s="534"/>
      <c r="J510" s="344" t="s">
        <v>229</v>
      </c>
      <c r="K510" s="344" t="s">
        <v>342</v>
      </c>
    </row>
    <row r="511" spans="1:11">
      <c r="A511" s="346" t="s">
        <v>915</v>
      </c>
      <c r="B511" s="345" t="str">
        <f>'FR-16(7)(v)-1 Functional'!B511</f>
        <v>FEDERAL INCOME TAX BASED ON RETURN</v>
      </c>
      <c r="C511" s="345"/>
      <c r="D511" s="346" t="s">
        <v>337</v>
      </c>
      <c r="E511" s="345"/>
      <c r="F511" s="346" t="str">
        <f>$F$9</f>
        <v>GS</v>
      </c>
      <c r="G511" s="546" t="s">
        <v>847</v>
      </c>
      <c r="H511" s="535" t="s">
        <v>848</v>
      </c>
      <c r="I511" s="536" t="s">
        <v>849</v>
      </c>
      <c r="J511" s="346" t="s">
        <v>341</v>
      </c>
      <c r="K511" s="346" t="s">
        <v>340</v>
      </c>
    </row>
    <row r="512" spans="1:11">
      <c r="C512" s="578" t="s">
        <v>351</v>
      </c>
      <c r="D512" s="344"/>
      <c r="E512" s="196"/>
      <c r="G512" s="800">
        <f>$G$10</f>
        <v>3</v>
      </c>
      <c r="H512" s="801">
        <f>$H$10</f>
        <v>4</v>
      </c>
      <c r="I512" s="802">
        <f>$I$10</f>
        <v>5</v>
      </c>
    </row>
    <row r="513" spans="1:11">
      <c r="A513" s="333">
        <v>1</v>
      </c>
      <c r="B513" s="332" t="s">
        <v>69</v>
      </c>
      <c r="D513" s="344"/>
      <c r="E513" s="196"/>
      <c r="G513" s="547"/>
      <c r="H513" s="537"/>
      <c r="I513" s="538"/>
    </row>
    <row r="514" spans="1:11">
      <c r="A514" s="333">
        <v>2</v>
      </c>
      <c r="B514" s="332" t="s">
        <v>70</v>
      </c>
      <c r="D514" s="344"/>
      <c r="E514" s="196"/>
      <c r="F514" s="332" t="s">
        <v>343</v>
      </c>
      <c r="G514" s="547"/>
      <c r="H514" s="537"/>
      <c r="I514" s="538"/>
    </row>
    <row r="515" spans="1:11">
      <c r="A515" s="333">
        <v>3</v>
      </c>
      <c r="C515" s="359" t="str">
        <f>'FR-16(7)(v)-1 Functional'!C515</f>
        <v>AUTO PROC INTEREST DED</v>
      </c>
      <c r="D515" s="344" t="str">
        <f>'FR-16(7)(v)-1 Functional'!D515</f>
        <v>RB99</v>
      </c>
      <c r="E515" s="196"/>
      <c r="F515" s="479">
        <f>'FR-16(7)(v)-8 TOT CLASS Alloc'!H515</f>
        <v>1538255</v>
      </c>
      <c r="G515" s="548">
        <f>'FR-16(7)(v)-5 DISTR Dem Alloc'!$H$515</f>
        <v>1107799</v>
      </c>
      <c r="H515" s="539">
        <f>'FR-16(7)(v)-3 PROD Comm Alloc'!$H$515</f>
        <v>41212</v>
      </c>
      <c r="I515" s="540">
        <f>'FR-16(7)(v)-6 DISTR Cust Alloc'!$H$515</f>
        <v>389244</v>
      </c>
      <c r="J515" s="347">
        <f>SUM($G$515:$I$515)</f>
        <v>1538255</v>
      </c>
      <c r="K515" s="347">
        <f>F515-$J$515</f>
        <v>0</v>
      </c>
    </row>
    <row r="516" spans="1:11">
      <c r="A516" s="333">
        <v>4</v>
      </c>
      <c r="C516" s="332" t="str">
        <f>'FR-16(7)(v)-1 Functional'!C516</f>
        <v xml:space="preserve">  TOTAL INTEREST EXPENSE</v>
      </c>
      <c r="D516" s="344"/>
      <c r="E516" s="196"/>
      <c r="F516" s="348">
        <f>F515</f>
        <v>1538255</v>
      </c>
      <c r="G516" s="549">
        <f>$G$515</f>
        <v>1107799</v>
      </c>
      <c r="H516" s="541">
        <f>$H$515</f>
        <v>41212</v>
      </c>
      <c r="I516" s="542">
        <f>$I$515</f>
        <v>389244</v>
      </c>
      <c r="J516" s="348">
        <f>$J$515</f>
        <v>1538255</v>
      </c>
      <c r="K516" s="348">
        <f>$K$515</f>
        <v>0</v>
      </c>
    </row>
    <row r="517" spans="1:11">
      <c r="A517" s="333">
        <v>5</v>
      </c>
      <c r="D517" s="344"/>
      <c r="E517" s="196"/>
      <c r="F517" s="353"/>
      <c r="G517" s="547"/>
      <c r="H517" s="537"/>
      <c r="I517" s="538"/>
    </row>
    <row r="518" spans="1:11">
      <c r="A518" s="333">
        <v>6</v>
      </c>
      <c r="B518" s="332" t="s">
        <v>71</v>
      </c>
      <c r="D518" s="344"/>
      <c r="E518" s="196"/>
      <c r="F518" s="353"/>
      <c r="G518" s="547"/>
      <c r="H518" s="537"/>
      <c r="I518" s="538"/>
    </row>
    <row r="519" spans="1:11">
      <c r="A519" s="333">
        <v>7</v>
      </c>
      <c r="C519" s="332" t="str">
        <f>'FR-16(7)(v)-1 Functional'!C519</f>
        <v>DEPREC EXCESS TAX-BOOK</v>
      </c>
      <c r="D519" s="344" t="str">
        <f>'FR-16(7)(v)-1 Functional'!D519</f>
        <v>DE49</v>
      </c>
      <c r="E519" s="196"/>
      <c r="F519" s="479">
        <f>'FR-16(7)(v)-8 TOT CLASS Alloc'!H519</f>
        <v>1442585</v>
      </c>
      <c r="G519" s="548">
        <f>'FR-16(7)(v)-5 DISTR Dem Alloc'!$H$519</f>
        <v>995253</v>
      </c>
      <c r="H519" s="539">
        <f>'FR-16(7)(v)-3 PROD Comm Alloc'!$H$519</f>
        <v>59995</v>
      </c>
      <c r="I519" s="540">
        <f>'FR-16(7)(v)-6 DISTR Cust Alloc'!$H$519</f>
        <v>387337</v>
      </c>
      <c r="J519" s="347">
        <f>SUM($G$519:$I$519)</f>
        <v>1442585</v>
      </c>
      <c r="K519" s="347">
        <f>F519-$J$519</f>
        <v>0</v>
      </c>
    </row>
    <row r="520" spans="1:11">
      <c r="A520" s="333">
        <v>8</v>
      </c>
      <c r="C520" s="332" t="str">
        <f>'FR-16(7)(v)-1 Functional'!C520</f>
        <v>PERMANENT DIFFERENCES</v>
      </c>
      <c r="D520" s="344" t="str">
        <f>'FR-16(7)(v)-1 Functional'!D520</f>
        <v>AG39</v>
      </c>
      <c r="E520" s="196"/>
      <c r="F520" s="479">
        <f>'FR-16(7)(v)-8 TOT CLASS Alloc'!H520</f>
        <v>-19739</v>
      </c>
      <c r="G520" s="548">
        <f>'FR-16(7)(v)-5 DISTR Dem Alloc'!$H$520</f>
        <v>-9871</v>
      </c>
      <c r="H520" s="539">
        <f>'FR-16(7)(v)-3 PROD Comm Alloc'!$H$520</f>
        <v>-2968</v>
      </c>
      <c r="I520" s="540">
        <f>'FR-16(7)(v)-6 DISTR Cust Alloc'!$H$520</f>
        <v>-6900</v>
      </c>
      <c r="J520" s="347">
        <f>SUM($G$520:$I$520)</f>
        <v>-19739</v>
      </c>
      <c r="K520" s="347">
        <f>F520-$J$520</f>
        <v>0</v>
      </c>
    </row>
    <row r="521" spans="1:11">
      <c r="A521" s="333">
        <v>9</v>
      </c>
      <c r="C521" s="359" t="str">
        <f>'FR-16(7)(v)-1 Functional'!C521</f>
        <v>TEMPORARY DIFFERENCES</v>
      </c>
      <c r="D521" s="344" t="str">
        <f>'FR-16(7)(v)-1 Functional'!D521</f>
        <v>DE49</v>
      </c>
      <c r="E521" s="196"/>
      <c r="F521" s="479">
        <f>'FR-16(7)(v)-8 TOT CLASS Alloc'!H521</f>
        <v>52327</v>
      </c>
      <c r="G521" s="548">
        <f>'FR-16(7)(v)-5 DISTR Dem Alloc'!$H$521</f>
        <v>36101</v>
      </c>
      <c r="H521" s="539">
        <f>'FR-16(7)(v)-3 PROD Comm Alloc'!$H$521</f>
        <v>2176</v>
      </c>
      <c r="I521" s="540">
        <f>'FR-16(7)(v)-6 DISTR Cust Alloc'!$H$521</f>
        <v>14050</v>
      </c>
      <c r="J521" s="347">
        <f>SUM($G$521:$I$521)</f>
        <v>52327</v>
      </c>
      <c r="K521" s="347">
        <f>F521-$J$521</f>
        <v>0</v>
      </c>
    </row>
    <row r="522" spans="1:11">
      <c r="A522" s="333">
        <v>10</v>
      </c>
      <c r="C522" s="332" t="str">
        <f>'FR-16(7)(v)-1 Functional'!C522</f>
        <v xml:space="preserve">  TOTAL OTHER DEDUCTIONS</v>
      </c>
      <c r="D522" s="344"/>
      <c r="E522" s="196"/>
      <c r="F522" s="348">
        <f>SUM(F519:F521)</f>
        <v>1475173</v>
      </c>
      <c r="G522" s="549">
        <f>SUM($G$519:$G$521)</f>
        <v>1021483</v>
      </c>
      <c r="H522" s="541">
        <f>SUM($H$519:$H$521)</f>
        <v>59203</v>
      </c>
      <c r="I522" s="542">
        <f>SUM($I$519:$I$521)</f>
        <v>394487</v>
      </c>
      <c r="J522" s="348">
        <f>SUM($J$519:$J$521)</f>
        <v>1475173</v>
      </c>
      <c r="K522" s="348">
        <f>SUM($K$519:$K$521)</f>
        <v>0</v>
      </c>
    </row>
    <row r="523" spans="1:11">
      <c r="A523" s="333">
        <v>11</v>
      </c>
      <c r="D523" s="344"/>
      <c r="E523" s="196"/>
      <c r="F523" s="353"/>
      <c r="G523" s="547"/>
      <c r="H523" s="537"/>
      <c r="I523" s="538"/>
    </row>
    <row r="524" spans="1:11">
      <c r="A524" s="333">
        <v>12</v>
      </c>
      <c r="B524" s="332" t="s">
        <v>72</v>
      </c>
      <c r="D524" s="344"/>
      <c r="E524" s="196"/>
      <c r="F524" s="349">
        <f>F522+F516</f>
        <v>3013428</v>
      </c>
      <c r="G524" s="548">
        <f>$G$522+$G$516</f>
        <v>2129282</v>
      </c>
      <c r="H524" s="539">
        <f>$H$522+$H$516</f>
        <v>100415</v>
      </c>
      <c r="I524" s="540">
        <f>$I$522+$I$516</f>
        <v>783731</v>
      </c>
      <c r="J524" s="347">
        <f>$J$522+$J$516</f>
        <v>3013428</v>
      </c>
      <c r="K524" s="347">
        <f>$K$522+$K$516</f>
        <v>0</v>
      </c>
    </row>
    <row r="525" spans="1:11">
      <c r="A525" s="333">
        <v>13</v>
      </c>
      <c r="D525" s="344"/>
      <c r="E525" s="196"/>
      <c r="F525" s="353"/>
      <c r="G525" s="547"/>
      <c r="H525" s="537"/>
      <c r="I525" s="538"/>
    </row>
    <row r="526" spans="1:11">
      <c r="A526" s="333">
        <v>14</v>
      </c>
      <c r="B526" s="340" t="s">
        <v>544</v>
      </c>
      <c r="D526" s="344"/>
      <c r="E526" s="196"/>
      <c r="F526" s="353"/>
      <c r="G526" s="547"/>
      <c r="H526" s="537"/>
      <c r="I526" s="538"/>
    </row>
    <row r="527" spans="1:11">
      <c r="A527" s="333">
        <v>15</v>
      </c>
      <c r="C527" s="332" t="str">
        <f>'FR-16(7)(v)-1 Functional'!C527</f>
        <v>DEFERRED INCOME TAXES - NET</v>
      </c>
      <c r="D527" s="344" t="str">
        <f>'FR-16(7)(v)-1 Functional'!D527</f>
        <v>OM39</v>
      </c>
      <c r="E527" s="196"/>
      <c r="F527" s="479">
        <f>'FR-16(7)(v)-8 TOT CLASS Alloc'!H527</f>
        <v>326825</v>
      </c>
      <c r="G527" s="548">
        <f>'FR-16(7)(v)-5 DISTR Dem Alloc'!$H$527</f>
        <v>58641</v>
      </c>
      <c r="H527" s="539">
        <f>'FR-16(7)(v)-3 PROD Comm Alloc'!$H$527</f>
        <v>231152</v>
      </c>
      <c r="I527" s="540">
        <f>'FR-16(7)(v)-6 DISTR Cust Alloc'!$H$527</f>
        <v>37032</v>
      </c>
      <c r="J527" s="347">
        <f>SUM($G$527:$I$527)</f>
        <v>326825</v>
      </c>
      <c r="K527" s="347">
        <f>F527-$J$527</f>
        <v>0</v>
      </c>
    </row>
    <row r="528" spans="1:11">
      <c r="A528" s="333">
        <v>16</v>
      </c>
      <c r="C528" s="332" t="str">
        <f>'FR-16(7)(v)-1 Functional'!C528</f>
        <v>AMORT OF DEFERRED MERGER COST</v>
      </c>
      <c r="D528" s="344" t="str">
        <f>'FR-16(7)(v)-1 Functional'!D528</f>
        <v>AG39</v>
      </c>
      <c r="E528" s="196"/>
      <c r="F528" s="479">
        <f>'FR-16(7)(v)-8 TOT CLASS Alloc'!H528</f>
        <v>0</v>
      </c>
      <c r="G528" s="548">
        <f>'FR-16(7)(v)-5 DISTR Dem Alloc'!$H$528</f>
        <v>0</v>
      </c>
      <c r="H528" s="539">
        <f>'FR-16(7)(v)-3 PROD Comm Alloc'!$H$528</f>
        <v>0</v>
      </c>
      <c r="I528" s="540">
        <f>'FR-16(7)(v)-6 DISTR Cust Alloc'!$H$528</f>
        <v>0</v>
      </c>
      <c r="J528" s="347">
        <f>SUM($G$528:$I$528)</f>
        <v>0</v>
      </c>
      <c r="K528" s="347">
        <f>F528-$J$528</f>
        <v>0</v>
      </c>
    </row>
    <row r="529" spans="1:11">
      <c r="A529" s="333">
        <v>17</v>
      </c>
      <c r="C529" s="618" t="str">
        <f>'FR-16(7)(v)-1 Functional'!C529</f>
        <v>DIT ADJUSTMENT - S/L DEPRECIATION</v>
      </c>
      <c r="D529" s="344" t="str">
        <f>'FR-16(7)(v)-1 Functional'!D529</f>
        <v>DE49</v>
      </c>
      <c r="E529" s="196"/>
      <c r="F529" s="479">
        <f>'FR-16(7)(v)-8 TOT CLASS Alloc'!H529</f>
        <v>0</v>
      </c>
      <c r="G529" s="548">
        <f>'FR-16(7)(v)-5 DISTR Dem Alloc'!$H$529</f>
        <v>0</v>
      </c>
      <c r="H529" s="539">
        <f>'FR-16(7)(v)-3 PROD Comm Alloc'!$H$529</f>
        <v>0</v>
      </c>
      <c r="I529" s="540">
        <f>'FR-16(7)(v)-6 DISTR Cust Alloc'!$H$529</f>
        <v>0</v>
      </c>
      <c r="J529" s="347">
        <f>SUM($G$529:$I$529)</f>
        <v>0</v>
      </c>
      <c r="K529" s="347">
        <f>F529-$J$529</f>
        <v>0</v>
      </c>
    </row>
    <row r="530" spans="1:11">
      <c r="A530" s="333">
        <v>18</v>
      </c>
      <c r="C530" s="332" t="str">
        <f>'FR-16(7)(v)-1 Functional'!C530</f>
        <v>DIT ADJUSTMENT - ARAM</v>
      </c>
      <c r="D530" s="344" t="str">
        <f>'FR-16(7)(v)-1 Functional'!D530</f>
        <v>K201</v>
      </c>
      <c r="E530" s="196"/>
      <c r="F530" s="479">
        <f>'FR-16(7)(v)-8 TOT CLASS Alloc'!H530</f>
        <v>-4774</v>
      </c>
      <c r="G530" s="548">
        <f>'FR-16(7)(v)-5 DISTR Dem Alloc'!$H$530</f>
        <v>0</v>
      </c>
      <c r="H530" s="539">
        <f>'FR-16(7)(v)-3 PROD Comm Alloc'!$H$530</f>
        <v>-4774</v>
      </c>
      <c r="I530" s="540">
        <f>'FR-16(7)(v)-6 DISTR Cust Alloc'!$H$530</f>
        <v>0</v>
      </c>
      <c r="J530" s="347">
        <f>SUM($G$530:$I$530)</f>
        <v>-4774</v>
      </c>
      <c r="K530" s="347">
        <f>F530-$J$530</f>
        <v>0</v>
      </c>
    </row>
    <row r="531" spans="1:11">
      <c r="A531" s="333">
        <v>19</v>
      </c>
      <c r="C531" s="359" t="s">
        <v>1495</v>
      </c>
      <c r="D531" s="344" t="str">
        <f>'FR-16(7)(v)-1 Functional'!D531</f>
        <v>AG39</v>
      </c>
      <c r="E531" s="196"/>
      <c r="F531" s="479">
        <f>'FR-16(7)(v)-8 TOT CLASS Alloc'!H531</f>
        <v>-116070</v>
      </c>
      <c r="G531" s="548">
        <f>'FR-16(7)(v)-5 DISTR Dem Alloc'!$H$531</f>
        <v>-58045</v>
      </c>
      <c r="H531" s="539">
        <f>'FR-16(7)(v)-3 PROD Comm Alloc'!$H$531</f>
        <v>-17452</v>
      </c>
      <c r="I531" s="540">
        <f>'FR-16(7)(v)-6 DISTR Cust Alloc'!$H$531</f>
        <v>-40573</v>
      </c>
      <c r="J531" s="347">
        <f>SUM($G$531:$I$531)</f>
        <v>-116070</v>
      </c>
      <c r="K531" s="347">
        <f>F531-$J$531</f>
        <v>0</v>
      </c>
    </row>
    <row r="532" spans="1:11">
      <c r="A532" s="333">
        <v>20</v>
      </c>
      <c r="C532" s="332" t="str">
        <f>'FR-16(7)(v)-1 Functional'!C532</f>
        <v xml:space="preserve">  TOTAL FED DEF IT (410 &amp; 411)</v>
      </c>
      <c r="D532" s="344"/>
      <c r="E532" s="196"/>
      <c r="F532" s="348">
        <f>SUM(F527:F531)</f>
        <v>205981</v>
      </c>
      <c r="G532" s="549">
        <f>SUM($G$527:$G$531)</f>
        <v>596</v>
      </c>
      <c r="H532" s="541">
        <f>SUM($H$527:$H$531)</f>
        <v>208926</v>
      </c>
      <c r="I532" s="542">
        <f>SUM($I$527:$I$531)</f>
        <v>-3541</v>
      </c>
      <c r="J532" s="348">
        <f>SUM($J$527:$J$531)</f>
        <v>205981</v>
      </c>
      <c r="K532" s="348">
        <f>SUM($K$527:$K$531)</f>
        <v>0</v>
      </c>
    </row>
    <row r="533" spans="1:11">
      <c r="A533" s="333">
        <v>21</v>
      </c>
      <c r="D533" s="344"/>
      <c r="E533" s="196"/>
      <c r="F533" s="353"/>
      <c r="G533" s="547"/>
      <c r="H533" s="537"/>
      <c r="I533" s="538"/>
    </row>
    <row r="534" spans="1:11">
      <c r="A534" s="333">
        <v>22</v>
      </c>
      <c r="B534" s="332" t="s">
        <v>419</v>
      </c>
      <c r="D534" s="344"/>
      <c r="E534" s="196"/>
      <c r="F534" s="353"/>
      <c r="G534" s="547"/>
      <c r="H534" s="537"/>
      <c r="I534" s="538"/>
    </row>
    <row r="535" spans="1:11">
      <c r="A535" s="333">
        <v>23</v>
      </c>
      <c r="C535" s="359" t="str">
        <f>'FR-16(7)(v)-1 Functional'!C535</f>
        <v>AMORTIZE ITC</v>
      </c>
      <c r="D535" s="344" t="str">
        <f>'FR-16(7)(v)-1 Functional'!D535</f>
        <v>NP29</v>
      </c>
      <c r="E535" s="196"/>
      <c r="F535" s="479">
        <f>'FR-16(7)(v)-8 TOT CLASS Alloc'!H535</f>
        <v>14890</v>
      </c>
      <c r="G535" s="548">
        <f>'FR-16(7)(v)-5 DISTR Dem Alloc'!$H$535</f>
        <v>10821</v>
      </c>
      <c r="H535" s="539">
        <f>'FR-16(7)(v)-3 PROD Comm Alloc'!$H$535</f>
        <v>143</v>
      </c>
      <c r="I535" s="540">
        <f>'FR-16(7)(v)-6 DISTR Cust Alloc'!$H$535</f>
        <v>3926</v>
      </c>
      <c r="J535" s="347">
        <f>SUM($G$535:$I$535)</f>
        <v>14890</v>
      </c>
      <c r="K535" s="512">
        <f>F535-$J$535</f>
        <v>0</v>
      </c>
    </row>
    <row r="536" spans="1:11">
      <c r="A536" s="333">
        <v>24</v>
      </c>
      <c r="C536" s="332" t="str">
        <f>'FR-16(7)(v)-1 Functional'!C536</f>
        <v xml:space="preserve">  TOTAL AMORTIZED ITC</v>
      </c>
      <c r="D536" s="344"/>
      <c r="E536" s="196"/>
      <c r="F536" s="348">
        <f>SUM(F535:F535)</f>
        <v>14890</v>
      </c>
      <c r="G536" s="549">
        <f>SUM($G$535:$G$535)</f>
        <v>10821</v>
      </c>
      <c r="H536" s="541">
        <f>SUM($H$535:$H$535)</f>
        <v>143</v>
      </c>
      <c r="I536" s="542">
        <f>SUM($I$535:$I$535)</f>
        <v>3926</v>
      </c>
      <c r="J536" s="348">
        <f>SUM($J$535:$J$535)</f>
        <v>14890</v>
      </c>
      <c r="K536" s="348">
        <f>SUM($K$535:$K$535)</f>
        <v>0</v>
      </c>
    </row>
    <row r="537" spans="1:11">
      <c r="A537" s="333">
        <v>25</v>
      </c>
      <c r="D537" s="344"/>
      <c r="E537" s="196"/>
      <c r="F537" s="510"/>
      <c r="G537" s="572"/>
      <c r="H537" s="573"/>
      <c r="I537" s="574"/>
      <c r="J537" s="510"/>
      <c r="K537" s="510"/>
    </row>
    <row r="538" spans="1:11" ht="15.75">
      <c r="A538" s="333">
        <v>26</v>
      </c>
      <c r="B538" s="332" t="s">
        <v>73</v>
      </c>
      <c r="D538" s="735"/>
      <c r="E538" s="1"/>
      <c r="F538" s="510"/>
      <c r="G538" s="572"/>
      <c r="H538" s="573"/>
      <c r="I538" s="574"/>
      <c r="J538" s="510"/>
      <c r="K538" s="510"/>
    </row>
    <row r="539" spans="1:11">
      <c r="A539" s="333">
        <v>27</v>
      </c>
      <c r="C539" s="332" t="str">
        <f>'FR-16(7)(v)-1 Functional'!C539</f>
        <v>PROV INVEST TAX CREDIT</v>
      </c>
      <c r="D539" s="344" t="s">
        <v>315</v>
      </c>
      <c r="F539" s="479">
        <f>'FR-16(7)(v)-8 TOT CLASS Alloc'!H539</f>
        <v>0</v>
      </c>
      <c r="G539" s="548">
        <f>'FR-16(7)(v)-5 DISTR Dem Alloc'!$H$539</f>
        <v>0</v>
      </c>
      <c r="H539" s="539">
        <f>'FR-16(7)(v)-3 PROD Comm Alloc'!$H$539</f>
        <v>0</v>
      </c>
      <c r="I539" s="540">
        <f>'FR-16(7)(v)-6 DISTR Cust Alloc'!$H$539</f>
        <v>0</v>
      </c>
      <c r="J539" s="347">
        <f>SUM($G$539:$I$539)</f>
        <v>0</v>
      </c>
      <c r="K539" s="347">
        <f>F539-$J$539</f>
        <v>0</v>
      </c>
    </row>
    <row r="540" spans="1:11" ht="15.75">
      <c r="A540" s="333">
        <v>28</v>
      </c>
      <c r="C540" s="339" t="str">
        <f>'FR-16(7)(v)-1 Functional'!C540</f>
        <v xml:space="preserve">  TEST YEAR INV TAX CREDIT</v>
      </c>
      <c r="D540" s="735"/>
      <c r="E540" s="1"/>
      <c r="F540" s="348">
        <f>SUM(F539:F539)</f>
        <v>0</v>
      </c>
      <c r="G540" s="549">
        <f>SUM($G$539:$G$539)</f>
        <v>0</v>
      </c>
      <c r="H540" s="541">
        <f>SUM($H$539:$H$539)</f>
        <v>0</v>
      </c>
      <c r="I540" s="542">
        <f>SUM($I$539:$I$539)</f>
        <v>0</v>
      </c>
      <c r="J540" s="348">
        <f>SUM($J$539:$J$539)</f>
        <v>0</v>
      </c>
      <c r="K540" s="348">
        <f>SUM($K$539:$K$539)</f>
        <v>0</v>
      </c>
    </row>
    <row r="541" spans="1:11" ht="15.75">
      <c r="A541" s="333">
        <v>29</v>
      </c>
      <c r="B541" s="193"/>
      <c r="C541" s="193"/>
      <c r="D541" s="735"/>
      <c r="E541" s="1"/>
      <c r="F541" s="510"/>
      <c r="G541" s="572"/>
      <c r="H541" s="573"/>
      <c r="I541" s="574"/>
      <c r="J541" s="510"/>
      <c r="K541" s="510"/>
    </row>
    <row r="542" spans="1:11" ht="15.75">
      <c r="A542" s="333">
        <v>30</v>
      </c>
      <c r="B542" s="332" t="s">
        <v>40</v>
      </c>
      <c r="C542" s="193"/>
      <c r="D542" s="735"/>
      <c r="E542" s="1"/>
      <c r="F542" s="510"/>
      <c r="G542" s="572"/>
      <c r="H542" s="573"/>
      <c r="I542" s="574"/>
      <c r="J542" s="510"/>
      <c r="K542" s="510"/>
    </row>
    <row r="543" spans="1:11">
      <c r="A543" s="333">
        <v>31</v>
      </c>
      <c r="C543" s="332" t="str">
        <f>'FR-16(7)(v)-1 Functional'!C543</f>
        <v>TOTAL FED DEF IT (410 &amp; 411)</v>
      </c>
      <c r="D543" s="344"/>
      <c r="E543" s="196"/>
      <c r="F543" s="349">
        <f>F532</f>
        <v>205981</v>
      </c>
      <c r="G543" s="548">
        <f>$G$532</f>
        <v>596</v>
      </c>
      <c r="H543" s="539">
        <f>$H$532</f>
        <v>208926</v>
      </c>
      <c r="I543" s="540">
        <f>$I$532</f>
        <v>-3541</v>
      </c>
      <c r="J543" s="347">
        <f>$J$532</f>
        <v>205981</v>
      </c>
      <c r="K543" s="347">
        <f>$K$532</f>
        <v>0</v>
      </c>
    </row>
    <row r="544" spans="1:11">
      <c r="A544" s="333">
        <v>32</v>
      </c>
      <c r="C544" s="359" t="str">
        <f>'FR-16(7)(v)-1 Functional'!C544</f>
        <v>TOTAL AMORTIZED ITC</v>
      </c>
      <c r="D544" s="344"/>
      <c r="E544" s="196"/>
      <c r="F544" s="349">
        <f>-F536</f>
        <v>-14890</v>
      </c>
      <c r="G544" s="548">
        <f>-$G$536</f>
        <v>-10821</v>
      </c>
      <c r="H544" s="539">
        <f>-$H$536</f>
        <v>-143</v>
      </c>
      <c r="I544" s="540">
        <f>-$I$536</f>
        <v>-3926</v>
      </c>
      <c r="J544" s="347">
        <f>-$J$536</f>
        <v>-14890</v>
      </c>
      <c r="K544" s="347">
        <f>-$K$536</f>
        <v>0</v>
      </c>
    </row>
    <row r="545" spans="1:11">
      <c r="A545" s="333">
        <v>33</v>
      </c>
      <c r="C545" s="332" t="str">
        <f>'FR-16(7)(v)-1 Functional'!C545</f>
        <v xml:space="preserve">  TOTAL FEDERAL TAX ADJUSTMENTS</v>
      </c>
      <c r="D545" s="344"/>
      <c r="E545" s="196"/>
      <c r="F545" s="348">
        <f>SUM(F543:F544)</f>
        <v>191091</v>
      </c>
      <c r="G545" s="549">
        <f>SUM($G$543:$G$544)</f>
        <v>-10225</v>
      </c>
      <c r="H545" s="541">
        <f>SUM($H$543:$H$544)</f>
        <v>208783</v>
      </c>
      <c r="I545" s="542">
        <f>SUM($I$543:$I$544)</f>
        <v>-7467</v>
      </c>
      <c r="J545" s="348">
        <f>SUM($J$543:$J$544)</f>
        <v>191091</v>
      </c>
      <c r="K545" s="348">
        <f>SUM($K$543:$K$544)</f>
        <v>0</v>
      </c>
    </row>
    <row r="546" spans="1:11">
      <c r="A546" s="333">
        <v>34</v>
      </c>
      <c r="D546" s="344"/>
      <c r="E546" s="196"/>
      <c r="F546" s="353"/>
      <c r="G546" s="547"/>
      <c r="H546" s="537"/>
      <c r="I546" s="538"/>
    </row>
    <row r="547" spans="1:11">
      <c r="A547" s="333">
        <v>35</v>
      </c>
      <c r="B547" s="332" t="s">
        <v>74</v>
      </c>
      <c r="D547" s="344"/>
      <c r="E547" s="196"/>
      <c r="F547" s="353"/>
      <c r="G547" s="547"/>
      <c r="H547" s="537"/>
      <c r="I547" s="538"/>
    </row>
    <row r="548" spans="1:11">
      <c r="A548" s="333">
        <v>36</v>
      </c>
      <c r="C548" s="332" t="str">
        <f>'FR-16(7)(v)-1 Functional'!C548</f>
        <v>RETURN ON RATE BASE</v>
      </c>
      <c r="D548" s="344"/>
      <c r="E548" s="196"/>
      <c r="F548" s="349">
        <f t="shared" ref="F548:K548" si="95">F334</f>
        <v>5124462</v>
      </c>
      <c r="G548" s="548">
        <f t="shared" si="95"/>
        <v>3690419</v>
      </c>
      <c r="H548" s="539">
        <f t="shared" si="95"/>
        <v>137305</v>
      </c>
      <c r="I548" s="540">
        <f t="shared" si="95"/>
        <v>1296738</v>
      </c>
      <c r="J548" s="347">
        <f t="shared" si="95"/>
        <v>5124462</v>
      </c>
      <c r="K548" s="347">
        <f t="shared" si="95"/>
        <v>0</v>
      </c>
    </row>
    <row r="549" spans="1:11">
      <c r="A549" s="333">
        <v>37</v>
      </c>
      <c r="C549" s="332" t="str">
        <f>'FR-16(7)(v)-1 Functional'!C549</f>
        <v>NET DEDUCTIONS AND ADDITIONS</v>
      </c>
      <c r="D549" s="344"/>
      <c r="E549" s="196"/>
      <c r="F549" s="349">
        <f>-F524</f>
        <v>-3013428</v>
      </c>
      <c r="G549" s="548">
        <f>-$G$524</f>
        <v>-2129282</v>
      </c>
      <c r="H549" s="539">
        <f>-$H$524</f>
        <v>-100415</v>
      </c>
      <c r="I549" s="540">
        <f>-$I$524</f>
        <v>-783731</v>
      </c>
      <c r="J549" s="347">
        <f>-$J$524</f>
        <v>-3013428</v>
      </c>
      <c r="K549" s="347">
        <f>-$K$524</f>
        <v>0</v>
      </c>
    </row>
    <row r="550" spans="1:11">
      <c r="A550" s="333">
        <v>38</v>
      </c>
      <c r="C550" s="332" t="s">
        <v>1496</v>
      </c>
      <c r="D550" s="344"/>
      <c r="E550" s="196"/>
      <c r="F550" s="349">
        <f t="shared" ref="F550:K550" si="96">F591</f>
        <v>101662</v>
      </c>
      <c r="G550" s="548">
        <f t="shared" si="96"/>
        <v>748</v>
      </c>
      <c r="H550" s="539">
        <f t="shared" si="96"/>
        <v>0</v>
      </c>
      <c r="I550" s="540">
        <f t="shared" si="96"/>
        <v>100914</v>
      </c>
      <c r="J550" s="347">
        <f t="shared" si="96"/>
        <v>101662</v>
      </c>
      <c r="K550" s="347">
        <f t="shared" si="96"/>
        <v>0</v>
      </c>
    </row>
    <row r="551" spans="1:11">
      <c r="A551" s="333">
        <v>39</v>
      </c>
      <c r="C551" s="359" t="str">
        <f>'FR-16(7)(v)-1 Functional'!C551</f>
        <v>TOTAL FEDERAL TAX ADJUSTMENTS</v>
      </c>
      <c r="D551" s="344"/>
      <c r="E551" s="196"/>
      <c r="F551" s="349">
        <f>F545</f>
        <v>191091</v>
      </c>
      <c r="G551" s="548">
        <f>$G$545</f>
        <v>-10225</v>
      </c>
      <c r="H551" s="539">
        <f>$H$545</f>
        <v>208783</v>
      </c>
      <c r="I551" s="540">
        <f>$I$545</f>
        <v>-7467</v>
      </c>
      <c r="J551" s="347">
        <f>$J$545</f>
        <v>191091</v>
      </c>
      <c r="K551" s="347">
        <f>$K$545</f>
        <v>0</v>
      </c>
    </row>
    <row r="552" spans="1:11">
      <c r="A552" s="333">
        <v>40</v>
      </c>
      <c r="C552" s="332" t="str">
        <f>'FR-16(7)(v)-1 Functional'!C552</f>
        <v xml:space="preserve">  BASE FOR FIT COMPUATION</v>
      </c>
      <c r="D552" s="344"/>
      <c r="E552" s="196"/>
      <c r="F552" s="348">
        <f>SUM(F548:F551)</f>
        <v>2403787</v>
      </c>
      <c r="G552" s="549">
        <f>SUM($G$548:$G$551)</f>
        <v>1551660</v>
      </c>
      <c r="H552" s="541">
        <f>SUM($H$548:$H$551)</f>
        <v>245673</v>
      </c>
      <c r="I552" s="542">
        <f>SUM($I$548:$I$551)</f>
        <v>606454</v>
      </c>
      <c r="J552" s="348">
        <f>SUM($J$548:$J$551)</f>
        <v>2403787</v>
      </c>
      <c r="K552" s="348">
        <f>SUM($K$548:$K$551)</f>
        <v>0</v>
      </c>
    </row>
    <row r="553" spans="1:11">
      <c r="A553" s="333">
        <v>41</v>
      </c>
      <c r="D553" s="344"/>
      <c r="E553" s="196"/>
      <c r="F553" s="353"/>
      <c r="G553" s="547"/>
      <c r="H553" s="537"/>
      <c r="I553" s="538"/>
    </row>
    <row r="554" spans="1:11">
      <c r="A554" s="333">
        <v>42</v>
      </c>
      <c r="C554" s="332" t="str">
        <f>'FR-16(7)(v)-1 Functional'!C554</f>
        <v>FIT FACTOR K190/(1-K190)</v>
      </c>
      <c r="D554" s="344"/>
      <c r="E554" s="196"/>
      <c r="F554" s="356">
        <f>ROUND(F692/(1-F692),9)</f>
        <v>0.26582278500000001</v>
      </c>
      <c r="G554" s="566">
        <f>ROUND(G692/(1-G692),9)</f>
        <v>0.26582278500000001</v>
      </c>
      <c r="H554" s="567">
        <f>ROUND(H692/(1-H692),9)</f>
        <v>0.26582278500000001</v>
      </c>
      <c r="I554" s="568">
        <f>ROUND(I692/(1-I692),9)</f>
        <v>0.26582278500000001</v>
      </c>
      <c r="J554" s="350"/>
      <c r="K554" s="350">
        <f>ROUND(K692/(1-K692),9)</f>
        <v>0.26582278500000001</v>
      </c>
    </row>
    <row r="555" spans="1:11">
      <c r="A555" s="333">
        <v>43</v>
      </c>
      <c r="C555" s="332" t="str">
        <f>'FR-16(7)(v)-1 Functional'!C555</f>
        <v>PRELIM FED INCOME TAX</v>
      </c>
      <c r="D555" s="344"/>
      <c r="E555" s="196"/>
      <c r="F555" s="349">
        <f>ROUND(F554*F552,0)</f>
        <v>638981</v>
      </c>
      <c r="G555" s="560">
        <f>ROUND($G$552*$G$554,0)</f>
        <v>412467</v>
      </c>
      <c r="H555" s="561">
        <f>ROUND($H$552*$H$554,0)</f>
        <v>65305</v>
      </c>
      <c r="I555" s="562">
        <f>ROUND($I$552*$I$554,0)</f>
        <v>161209</v>
      </c>
      <c r="J555" s="347">
        <f>SUM($G$555:$I$555)</f>
        <v>638981</v>
      </c>
      <c r="K555" s="347">
        <f>ROUND($K$552*$K$554,0)</f>
        <v>0</v>
      </c>
    </row>
    <row r="556" spans="1:11">
      <c r="A556" s="333">
        <v>44</v>
      </c>
      <c r="C556" s="359" t="str">
        <f>'FR-16(7)(v)-1 Functional'!C556</f>
        <v>TOTAL FEDERAL TAX ADJUSTMENTS</v>
      </c>
      <c r="D556" s="344"/>
      <c r="E556" s="196"/>
      <c r="F556" s="349">
        <f>F545</f>
        <v>191091</v>
      </c>
      <c r="G556" s="548">
        <f>$G$545</f>
        <v>-10225</v>
      </c>
      <c r="H556" s="539">
        <f>$H$545</f>
        <v>208783</v>
      </c>
      <c r="I556" s="540">
        <f>$I$545</f>
        <v>-7467</v>
      </c>
      <c r="J556" s="347">
        <f>$J$545</f>
        <v>191091</v>
      </c>
      <c r="K556" s="347">
        <f>$K$545</f>
        <v>0</v>
      </c>
    </row>
    <row r="557" spans="1:11">
      <c r="A557" s="333">
        <v>45</v>
      </c>
      <c r="C557" s="353" t="str">
        <f>'FR-16(7)(v)-1 Functional'!C557</f>
        <v xml:space="preserve">  NET FED INCOME TAX ALLOWABLE</v>
      </c>
      <c r="D557" s="344"/>
      <c r="E557" s="196"/>
      <c r="F557" s="348">
        <f>SUM(F555:F556)</f>
        <v>830072</v>
      </c>
      <c r="G557" s="549">
        <f>SUM($G$555:$G$556)</f>
        <v>402242</v>
      </c>
      <c r="H557" s="541">
        <f>SUM($H$555:$H$556)</f>
        <v>274088</v>
      </c>
      <c r="I557" s="542">
        <f>SUM($I$555:$I$556)</f>
        <v>153742</v>
      </c>
      <c r="J557" s="348">
        <f>SUM($J$555:$J$556)</f>
        <v>830072</v>
      </c>
      <c r="K557" s="348">
        <f>SUM($K$555:$K$556)</f>
        <v>0</v>
      </c>
    </row>
    <row r="558" spans="1:11">
      <c r="A558" s="333">
        <v>46</v>
      </c>
      <c r="D558" s="344"/>
      <c r="E558" s="196"/>
      <c r="F558" s="353"/>
      <c r="G558" s="547"/>
      <c r="H558" s="537"/>
      <c r="I558" s="538"/>
    </row>
    <row r="559" spans="1:11">
      <c r="A559" s="333">
        <v>47</v>
      </c>
      <c r="B559" s="332" t="s">
        <v>68</v>
      </c>
      <c r="D559" s="344"/>
      <c r="E559" s="196"/>
      <c r="F559" s="353"/>
      <c r="G559" s="547"/>
      <c r="H559" s="537"/>
      <c r="I559" s="538"/>
    </row>
    <row r="560" spans="1:11">
      <c r="A560" s="333">
        <v>48</v>
      </c>
      <c r="B560" s="332" t="s">
        <v>75</v>
      </c>
      <c r="D560" s="344"/>
      <c r="E560" s="196"/>
      <c r="F560" s="353"/>
      <c r="G560" s="547"/>
      <c r="H560" s="537"/>
      <c r="I560" s="538"/>
    </row>
    <row r="561" spans="1:11">
      <c r="A561" s="333">
        <v>49</v>
      </c>
      <c r="C561" s="332" t="str">
        <f>'FR-16(7)(v)-1 Functional'!C561</f>
        <v>PRELIM FEDERAL INCOME TAX</v>
      </c>
      <c r="D561" s="344"/>
      <c r="E561" s="196"/>
      <c r="F561" s="349">
        <f>F555</f>
        <v>638981</v>
      </c>
      <c r="G561" s="548">
        <f>$G$555</f>
        <v>412467</v>
      </c>
      <c r="H561" s="539">
        <f>$H$555</f>
        <v>65305</v>
      </c>
      <c r="I561" s="540">
        <f>$I$555</f>
        <v>161209</v>
      </c>
      <c r="J561" s="347">
        <f>$J$555</f>
        <v>638981</v>
      </c>
      <c r="K561" s="347">
        <f>$K$555</f>
        <v>0</v>
      </c>
    </row>
    <row r="562" spans="1:11">
      <c r="A562" s="333">
        <v>50</v>
      </c>
      <c r="C562" s="359" t="str">
        <f>'FR-16(7)(v)-1 Functional'!C562</f>
        <v>TEST YEAR INV TAX CREDIT</v>
      </c>
      <c r="D562" s="344"/>
      <c r="E562" s="196"/>
      <c r="F562" s="347">
        <f>-F540</f>
        <v>0</v>
      </c>
      <c r="G562" s="550">
        <f>-$G$540</f>
        <v>0</v>
      </c>
      <c r="H562" s="543">
        <f>-$H$540</f>
        <v>0</v>
      </c>
      <c r="I562" s="544">
        <f>-$I$540</f>
        <v>0</v>
      </c>
      <c r="J562" s="347">
        <f>-$J$540</f>
        <v>0</v>
      </c>
      <c r="K562" s="347">
        <f>-$K$540</f>
        <v>0</v>
      </c>
    </row>
    <row r="563" spans="1:11">
      <c r="A563" s="333">
        <v>51</v>
      </c>
      <c r="C563" s="332" t="str">
        <f>'FR-16(7)(v)-1 Functional'!C563</f>
        <v xml:space="preserve">  NET FED INCOME TAX PAYABLE</v>
      </c>
      <c r="D563" s="344"/>
      <c r="E563" s="196"/>
      <c r="F563" s="348">
        <f>SUM(F560:F562)</f>
        <v>638981</v>
      </c>
      <c r="G563" s="549">
        <f>SUM($G$560:$G$562)</f>
        <v>412467</v>
      </c>
      <c r="H563" s="541">
        <f>SUM($H$560:$H$562)</f>
        <v>65305</v>
      </c>
      <c r="I563" s="542">
        <f>SUM($I$560:$I$562)</f>
        <v>161209</v>
      </c>
      <c r="J563" s="348">
        <f>SUM($J$560:$J$562)</f>
        <v>638981</v>
      </c>
      <c r="K563" s="348">
        <f>SUM($K$560:$K$562)</f>
        <v>0</v>
      </c>
    </row>
    <row r="564" spans="1:11">
      <c r="A564" s="333">
        <v>52</v>
      </c>
      <c r="D564" s="344"/>
      <c r="E564" s="196"/>
      <c r="G564" s="547"/>
      <c r="H564" s="537"/>
      <c r="I564" s="538"/>
    </row>
    <row r="565" spans="1:11">
      <c r="A565" s="333">
        <v>53</v>
      </c>
      <c r="B565" s="332" t="s">
        <v>76</v>
      </c>
      <c r="D565" s="344"/>
      <c r="E565" s="196"/>
      <c r="F565" s="332">
        <f>ROUND((F693*(1-F692))+((1-F693)*(1-F692)*F694)+F692,5)</f>
        <v>0.24925</v>
      </c>
      <c r="G565" s="569">
        <f>ROUND((G693*(1-G692))+((1-G693)*(1-G692)*G694)+G692,5)</f>
        <v>0.24925</v>
      </c>
      <c r="H565" s="570">
        <f>ROUND((H693*(1-H692))+((1-H693)*(1-H692)*H694)+H692,5)</f>
        <v>0.24925</v>
      </c>
      <c r="I565" s="571">
        <f>ROUND((I693*(1-I692))+((1-I693)*(1-I692)*I694)+I692,5)</f>
        <v>0.24925</v>
      </c>
      <c r="K565" s="332">
        <f>ROUND((K693*(1-K692))+((1-K693)*(1-K692)*K694)+K692,5)</f>
        <v>0.24925</v>
      </c>
    </row>
    <row r="566" spans="1:11">
      <c r="B566" s="343"/>
      <c r="C566" s="196"/>
      <c r="D566" s="344"/>
      <c r="E566" s="196"/>
      <c r="F566" s="196"/>
      <c r="G566" s="196"/>
      <c r="H566" s="196"/>
      <c r="I566" s="196"/>
      <c r="J566" s="196"/>
      <c r="K566" s="196"/>
    </row>
    <row r="567" spans="1:11">
      <c r="A567" s="343" t="str">
        <f>co_name</f>
        <v>DUKE ENERGY KENTUCKY, INC.</v>
      </c>
      <c r="C567" s="196"/>
      <c r="D567" s="344"/>
      <c r="E567" s="196"/>
      <c r="F567" s="196"/>
      <c r="G567" s="196"/>
      <c r="H567" s="196"/>
      <c r="I567" s="196"/>
      <c r="J567" s="196" t="str">
        <f>$J$1</f>
        <v>FR-16(7)(v)-10</v>
      </c>
      <c r="K567" s="196"/>
    </row>
    <row r="568" spans="1:11">
      <c r="A568" s="343" t="str">
        <f>$A$2</f>
        <v>GS CLASSIFIED - GAS COST OF SERVICE</v>
      </c>
      <c r="C568" s="196"/>
      <c r="D568" s="344"/>
      <c r="E568" s="196"/>
      <c r="F568" s="196"/>
      <c r="G568" s="196"/>
      <c r="H568" s="196"/>
      <c r="I568" s="196"/>
      <c r="J568" s="196" t="str">
        <f>$J$2</f>
        <v>WITNESS RESPONSIBLE:</v>
      </c>
      <c r="K568" s="196"/>
    </row>
    <row r="569" spans="1:11">
      <c r="A569" s="343" t="str">
        <f>case_name</f>
        <v>CASE NO: 2018-00261</v>
      </c>
      <c r="C569" s="196"/>
      <c r="D569" s="344"/>
      <c r="E569" s="196"/>
      <c r="F569" s="196"/>
      <c r="G569" s="196"/>
      <c r="H569" s="196"/>
      <c r="I569" s="196"/>
      <c r="J569" s="196" t="str">
        <f>Witness</f>
        <v>JAMES E. ZIOLKOWSKI</v>
      </c>
      <c r="K569" s="196"/>
    </row>
    <row r="570" spans="1:11">
      <c r="A570" s="343" t="str">
        <f>data_filing</f>
        <v>DATA: 12 MONTH FORECASTED PERIOD</v>
      </c>
      <c r="C570" s="196"/>
      <c r="D570" s="344"/>
      <c r="E570" s="196"/>
      <c r="F570" s="196"/>
      <c r="G570" s="196"/>
      <c r="H570" s="196"/>
      <c r="I570" s="196"/>
      <c r="J570" s="196" t="str">
        <f>"PAGE "&amp;Pages2-2&amp;" OF "&amp;Pages2</f>
        <v>PAGE 13 OF 15</v>
      </c>
      <c r="K570" s="196"/>
    </row>
    <row r="571" spans="1:11">
      <c r="A571" s="343" t="str">
        <f>type</f>
        <v xml:space="preserve">TYPE OF FILING: "X" ORIGINAL   UPDATED    REVISED  </v>
      </c>
      <c r="C571" s="196"/>
      <c r="D571" s="344"/>
      <c r="E571" s="196"/>
      <c r="F571" s="196"/>
      <c r="G571" s="196"/>
      <c r="H571" s="196"/>
      <c r="I571" s="196"/>
      <c r="J571" s="196"/>
      <c r="K571" s="196"/>
    </row>
    <row r="574" spans="1:11">
      <c r="A574" s="344" t="s">
        <v>914</v>
      </c>
      <c r="B574" s="1392"/>
      <c r="C574" s="1091"/>
      <c r="D574" s="1091"/>
      <c r="E574" s="342"/>
      <c r="F574" s="354" t="s">
        <v>229</v>
      </c>
      <c r="G574" s="545" t="s">
        <v>1005</v>
      </c>
      <c r="H574" s="533"/>
      <c r="I574" s="534"/>
      <c r="J574" s="344" t="s">
        <v>229</v>
      </c>
      <c r="K574" s="344" t="s">
        <v>342</v>
      </c>
    </row>
    <row r="575" spans="1:11">
      <c r="A575" s="346" t="s">
        <v>915</v>
      </c>
      <c r="B575" s="1394" t="s">
        <v>1453</v>
      </c>
      <c r="C575" s="1395"/>
      <c r="D575" s="1396" t="s">
        <v>1454</v>
      </c>
      <c r="E575" s="1397"/>
      <c r="F575" s="355" t="str">
        <f>$F$9</f>
        <v>GS</v>
      </c>
      <c r="G575" s="546" t="s">
        <v>847</v>
      </c>
      <c r="H575" s="535" t="s">
        <v>848</v>
      </c>
      <c r="I575" s="536" t="s">
        <v>849</v>
      </c>
      <c r="J575" s="346" t="s">
        <v>341</v>
      </c>
      <c r="K575" s="346" t="s">
        <v>340</v>
      </c>
    </row>
    <row r="576" spans="1:11" ht="15">
      <c r="A576" s="1398"/>
      <c r="B576" s="1399"/>
      <c r="C576" s="1400" t="s">
        <v>1455</v>
      </c>
      <c r="D576" s="1401"/>
      <c r="E576" s="342"/>
      <c r="F576" s="353"/>
      <c r="G576" s="1447">
        <f>$G$10</f>
        <v>3</v>
      </c>
      <c r="H576" s="1448">
        <f>$H$10</f>
        <v>4</v>
      </c>
      <c r="I576" s="1449">
        <f>$I$10</f>
        <v>5</v>
      </c>
    </row>
    <row r="577" spans="1:11">
      <c r="A577" s="968">
        <v>1</v>
      </c>
      <c r="B577" s="1405" t="s">
        <v>1456</v>
      </c>
      <c r="C577" s="1392"/>
      <c r="D577" s="1392"/>
      <c r="E577" s="342"/>
      <c r="F577" s="342"/>
      <c r="G577" s="1450"/>
      <c r="H577" s="1451"/>
      <c r="I577" s="1452"/>
      <c r="J577" s="196"/>
      <c r="K577" s="196"/>
    </row>
    <row r="578" spans="1:11">
      <c r="A578" s="968">
        <v>2</v>
      </c>
      <c r="B578" s="1409" t="s">
        <v>1457</v>
      </c>
      <c r="C578" s="1392"/>
      <c r="D578" s="1410" t="s">
        <v>315</v>
      </c>
      <c r="E578" s="342"/>
      <c r="F578" s="479">
        <f>'FR-16(7)(v)-8 TOT CLASS Alloc'!H578</f>
        <v>1280720</v>
      </c>
      <c r="G578" s="548">
        <f>ROUND(F578*VLOOKUP(D578,AllocTable_Functional,$G$10,FALSE),0)</f>
        <v>9426</v>
      </c>
      <c r="H578" s="539">
        <f>ROUND(F578*VLOOKUP(D578,AllocTable_Functional,$H$10,FALSE),0)</f>
        <v>0</v>
      </c>
      <c r="I578" s="540">
        <f>ROUND(F578*VLOOKUP(D578,AllocTable_Functional,$I$10,FALSE),0)</f>
        <v>1271294</v>
      </c>
      <c r="J578" s="347">
        <f>SUM(G578:I578)</f>
        <v>1280720</v>
      </c>
      <c r="K578" s="347">
        <f>F578-J578</f>
        <v>0</v>
      </c>
    </row>
    <row r="579" spans="1:11">
      <c r="A579" s="968">
        <v>3</v>
      </c>
      <c r="B579" s="1409" t="s">
        <v>1171</v>
      </c>
      <c r="C579" s="1411"/>
      <c r="D579" s="1410" t="s">
        <v>315</v>
      </c>
      <c r="E579" s="342"/>
      <c r="F579" s="1412">
        <f>'FR-16(7)(v)-8 TOT CLASS Alloc'!H579</f>
        <v>0</v>
      </c>
      <c r="G579" s="550">
        <f>ROUND(F579*VLOOKUP(D579,AllocTable_Functional,$G$10,FALSE),0)</f>
        <v>0</v>
      </c>
      <c r="H579" s="543">
        <f>ROUND(F579*VLOOKUP(D579,AllocTable_Functional,$H$10,FALSE),0)</f>
        <v>0</v>
      </c>
      <c r="I579" s="544">
        <f>ROUND(F579*VLOOKUP(D579,AllocTable_Functional,$I$10,FALSE),0)</f>
        <v>0</v>
      </c>
      <c r="J579" s="502">
        <f>SUM(G579:I579)</f>
        <v>0</v>
      </c>
      <c r="K579" s="502">
        <f>F579-J579</f>
        <v>0</v>
      </c>
    </row>
    <row r="580" spans="1:11">
      <c r="A580" s="968">
        <v>4</v>
      </c>
      <c r="B580" s="1413" t="s">
        <v>1458</v>
      </c>
      <c r="C580" s="1392"/>
      <c r="D580" s="1414"/>
      <c r="E580" s="342"/>
      <c r="F580" s="1291">
        <f t="shared" ref="F580:K580" si="97">SUM(F578:F579)</f>
        <v>1280720</v>
      </c>
      <c r="G580" s="1453">
        <f t="shared" si="97"/>
        <v>9426</v>
      </c>
      <c r="H580" s="1454">
        <f t="shared" si="97"/>
        <v>0</v>
      </c>
      <c r="I580" s="1455">
        <f t="shared" si="97"/>
        <v>1271294</v>
      </c>
      <c r="J580" s="335">
        <f t="shared" si="97"/>
        <v>1280720</v>
      </c>
      <c r="K580" s="335">
        <f t="shared" si="97"/>
        <v>0</v>
      </c>
    </row>
    <row r="581" spans="1:11" ht="15">
      <c r="A581" s="968">
        <v>5</v>
      </c>
      <c r="B581" s="1398"/>
      <c r="C581" s="1401"/>
      <c r="D581" s="1415"/>
      <c r="E581" s="342"/>
      <c r="F581" s="353"/>
      <c r="G581" s="547"/>
      <c r="H581" s="537"/>
      <c r="I581" s="538"/>
    </row>
    <row r="582" spans="1:11">
      <c r="A582" s="968">
        <v>6</v>
      </c>
      <c r="B582" s="1416" t="s">
        <v>1459</v>
      </c>
      <c r="C582" s="1392"/>
      <c r="D582" s="1414"/>
      <c r="E582" s="342"/>
      <c r="F582" s="353"/>
      <c r="G582" s="547"/>
      <c r="H582" s="537"/>
      <c r="I582" s="538"/>
    </row>
    <row r="583" spans="1:11">
      <c r="A583" s="968">
        <v>7</v>
      </c>
      <c r="B583" s="1417" t="s">
        <v>1460</v>
      </c>
      <c r="C583" s="1392"/>
      <c r="D583" s="1414"/>
      <c r="E583" s="342"/>
      <c r="F583" s="353"/>
      <c r="G583" s="547"/>
      <c r="H583" s="537"/>
      <c r="I583" s="538"/>
    </row>
    <row r="584" spans="1:11">
      <c r="A584" s="968">
        <v>8</v>
      </c>
      <c r="B584" s="1418" t="s">
        <v>1461</v>
      </c>
      <c r="C584" s="1411"/>
      <c r="D584" s="1410" t="s">
        <v>315</v>
      </c>
      <c r="E584" s="342"/>
      <c r="F584" s="1471">
        <f>'FR-16(7)(v)-8 TOT CLASS Alloc'!H584</f>
        <v>101662</v>
      </c>
      <c r="G584" s="550">
        <f>F584-SUM(H584:I584)</f>
        <v>748</v>
      </c>
      <c r="H584" s="543">
        <f>ROUND(F584*VLOOKUP(D584,AllocTable_Functional,$H$10,FALSE),0)</f>
        <v>0</v>
      </c>
      <c r="I584" s="544">
        <f>ROUND(F584*VLOOKUP(D584,AllocTable_Functional,$I$10,FALSE),0)</f>
        <v>100914</v>
      </c>
      <c r="J584" s="502">
        <f>SUM(G584:I584)</f>
        <v>101662</v>
      </c>
      <c r="K584" s="502">
        <f>F584-J584</f>
        <v>0</v>
      </c>
    </row>
    <row r="585" spans="1:11">
      <c r="A585" s="968">
        <v>9</v>
      </c>
      <c r="B585" s="1413" t="s">
        <v>1463</v>
      </c>
      <c r="C585" s="1392"/>
      <c r="D585" s="1414"/>
      <c r="E585" s="342"/>
      <c r="F585" s="1291">
        <f t="shared" ref="F585:K585" si="98">SUM(F584)</f>
        <v>101662</v>
      </c>
      <c r="G585" s="1453">
        <f t="shared" si="98"/>
        <v>748</v>
      </c>
      <c r="H585" s="1454">
        <f t="shared" si="98"/>
        <v>0</v>
      </c>
      <c r="I585" s="1455">
        <f t="shared" si="98"/>
        <v>100914</v>
      </c>
      <c r="J585" s="335">
        <f t="shared" si="98"/>
        <v>101662</v>
      </c>
      <c r="K585" s="335">
        <f t="shared" si="98"/>
        <v>0</v>
      </c>
    </row>
    <row r="586" spans="1:11">
      <c r="A586" s="968">
        <v>10</v>
      </c>
      <c r="B586" s="1090"/>
      <c r="C586" s="1392"/>
      <c r="D586" s="1414"/>
      <c r="E586" s="342"/>
      <c r="F586" s="353"/>
      <c r="G586" s="547"/>
      <c r="H586" s="537"/>
      <c r="I586" s="538"/>
    </row>
    <row r="587" spans="1:11">
      <c r="A587" s="968">
        <v>11</v>
      </c>
      <c r="B587" s="1419" t="s">
        <v>1464</v>
      </c>
      <c r="C587" s="1420"/>
      <c r="D587" s="1421"/>
      <c r="E587" s="342"/>
      <c r="F587" s="353"/>
      <c r="G587" s="547"/>
      <c r="H587" s="537"/>
      <c r="I587" s="538"/>
    </row>
    <row r="588" spans="1:11">
      <c r="A588" s="968">
        <v>12</v>
      </c>
      <c r="B588" s="1409" t="s">
        <v>1465</v>
      </c>
      <c r="C588" s="1411"/>
      <c r="D588" s="1410" t="s">
        <v>315</v>
      </c>
      <c r="E588" s="342"/>
      <c r="F588" s="1471">
        <f>'FR-16(7)(v)-8 TOT CLASS Alloc'!H588</f>
        <v>0</v>
      </c>
      <c r="G588" s="550">
        <f>ROUND(F588*VLOOKUP(D588,AllocTable_Functional,$G$10,FALSE),0)</f>
        <v>0</v>
      </c>
      <c r="H588" s="543">
        <f>ROUND(F588*VLOOKUP(D588,AllocTable_Functional,$H$10,FALSE),0)</f>
        <v>0</v>
      </c>
      <c r="I588" s="544">
        <f>ROUND(F588*VLOOKUP(D588,AllocTable_Functional,$I$10,FALSE),0)</f>
        <v>0</v>
      </c>
      <c r="J588" s="502">
        <f>SUM(G588:I588)</f>
        <v>0</v>
      </c>
      <c r="K588" s="502">
        <f>F588-J588</f>
        <v>0</v>
      </c>
    </row>
    <row r="589" spans="1:11">
      <c r="A589" s="968">
        <v>13</v>
      </c>
      <c r="B589" s="1413" t="s">
        <v>1466</v>
      </c>
      <c r="C589" s="1392"/>
      <c r="D589" s="1414"/>
      <c r="E589" s="342"/>
      <c r="F589" s="1291">
        <f t="shared" ref="F589:K589" si="99">SUM(F588)</f>
        <v>0</v>
      </c>
      <c r="G589" s="1453">
        <f t="shared" si="99"/>
        <v>0</v>
      </c>
      <c r="H589" s="1454">
        <f t="shared" si="99"/>
        <v>0</v>
      </c>
      <c r="I589" s="1455">
        <f t="shared" si="99"/>
        <v>0</v>
      </c>
      <c r="J589" s="335">
        <f t="shared" si="99"/>
        <v>0</v>
      </c>
      <c r="K589" s="335">
        <f t="shared" si="99"/>
        <v>0</v>
      </c>
    </row>
    <row r="590" spans="1:11">
      <c r="A590" s="968">
        <v>14</v>
      </c>
      <c r="B590" s="1392"/>
      <c r="C590" s="1392"/>
      <c r="D590" s="1414"/>
      <c r="E590" s="342"/>
      <c r="F590" s="353"/>
      <c r="G590" s="547"/>
      <c r="H590" s="537"/>
      <c r="I590" s="538"/>
    </row>
    <row r="591" spans="1:11">
      <c r="A591" s="968">
        <v>15</v>
      </c>
      <c r="B591" s="1392" t="s">
        <v>1467</v>
      </c>
      <c r="C591" s="1392"/>
      <c r="D591" s="1414"/>
      <c r="E591" s="342"/>
      <c r="F591" s="1291">
        <f>F589+F585</f>
        <v>101662</v>
      </c>
      <c r="G591" s="1453">
        <f t="shared" ref="G591:K591" si="100">G589+G585</f>
        <v>748</v>
      </c>
      <c r="H591" s="1454">
        <f t="shared" si="100"/>
        <v>0</v>
      </c>
      <c r="I591" s="1455">
        <f t="shared" si="100"/>
        <v>100914</v>
      </c>
      <c r="J591" s="335">
        <f t="shared" si="100"/>
        <v>101662</v>
      </c>
      <c r="K591" s="335">
        <f t="shared" si="100"/>
        <v>0</v>
      </c>
    </row>
    <row r="592" spans="1:11">
      <c r="A592" s="968">
        <v>16</v>
      </c>
      <c r="B592" s="1392"/>
      <c r="C592" s="1392"/>
      <c r="D592" s="1414"/>
      <c r="E592" s="342"/>
      <c r="F592" s="353"/>
      <c r="G592" s="547"/>
      <c r="H592" s="537"/>
      <c r="I592" s="538"/>
    </row>
    <row r="593" spans="1:11">
      <c r="A593" s="968">
        <v>17</v>
      </c>
      <c r="B593" s="1422" t="s">
        <v>68</v>
      </c>
      <c r="C593" s="1423"/>
      <c r="D593" s="968"/>
      <c r="E593" s="342"/>
      <c r="F593" s="353"/>
      <c r="G593" s="547"/>
      <c r="H593" s="537"/>
      <c r="I593" s="538"/>
    </row>
    <row r="594" spans="1:11">
      <c r="A594" s="968">
        <v>18</v>
      </c>
      <c r="B594" s="1417" t="s">
        <v>1468</v>
      </c>
      <c r="C594" s="1392"/>
      <c r="D594" s="1414"/>
      <c r="E594" s="342"/>
      <c r="F594" s="353"/>
      <c r="G594" s="547"/>
      <c r="H594" s="537"/>
      <c r="I594" s="538"/>
    </row>
    <row r="595" spans="1:11">
      <c r="A595" s="968">
        <v>19</v>
      </c>
      <c r="B595" s="1392" t="s">
        <v>43</v>
      </c>
      <c r="C595" s="1392"/>
      <c r="D595" s="1414"/>
      <c r="E595" s="342"/>
      <c r="F595" s="1291">
        <f>F334</f>
        <v>5124462</v>
      </c>
      <c r="G595" s="1453">
        <f>G334</f>
        <v>3690419</v>
      </c>
      <c r="H595" s="1454">
        <f>H334</f>
        <v>137305</v>
      </c>
      <c r="I595" s="1455">
        <f>I334</f>
        <v>1296738</v>
      </c>
      <c r="J595" s="1291">
        <f>J334</f>
        <v>5124462</v>
      </c>
      <c r="K595" s="1291">
        <f t="shared" ref="K595" si="101">K316</f>
        <v>0</v>
      </c>
    </row>
    <row r="596" spans="1:11">
      <c r="A596" s="968">
        <v>20</v>
      </c>
      <c r="B596" s="1392" t="s">
        <v>199</v>
      </c>
      <c r="C596" s="1392"/>
      <c r="D596" s="1414"/>
      <c r="E596" s="342"/>
      <c r="F596" s="1291">
        <f t="shared" ref="F596:K596" si="102">F557</f>
        <v>830072</v>
      </c>
      <c r="G596" s="1453">
        <f t="shared" si="102"/>
        <v>402242</v>
      </c>
      <c r="H596" s="1454">
        <f t="shared" si="102"/>
        <v>274088</v>
      </c>
      <c r="I596" s="1455">
        <f t="shared" si="102"/>
        <v>153742</v>
      </c>
      <c r="J596" s="335">
        <f t="shared" si="102"/>
        <v>830072</v>
      </c>
      <c r="K596" s="335">
        <f t="shared" si="102"/>
        <v>0</v>
      </c>
    </row>
    <row r="597" spans="1:11">
      <c r="A597" s="968">
        <v>21</v>
      </c>
      <c r="B597" s="1392" t="s">
        <v>1469</v>
      </c>
      <c r="C597" s="1392"/>
      <c r="D597" s="1414"/>
      <c r="E597" s="342"/>
      <c r="F597" s="1291">
        <f>-F524</f>
        <v>-3013428</v>
      </c>
      <c r="G597" s="1453">
        <f t="shared" ref="G597:K597" si="103">-G524</f>
        <v>-2129282</v>
      </c>
      <c r="H597" s="1454">
        <f t="shared" si="103"/>
        <v>-100415</v>
      </c>
      <c r="I597" s="1455">
        <f t="shared" si="103"/>
        <v>-783731</v>
      </c>
      <c r="J597" s="335">
        <f t="shared" si="103"/>
        <v>-3013428</v>
      </c>
      <c r="K597" s="335">
        <f t="shared" si="103"/>
        <v>0</v>
      </c>
    </row>
    <row r="598" spans="1:11">
      <c r="A598" s="968">
        <v>22</v>
      </c>
      <c r="B598" s="1392" t="s">
        <v>1470</v>
      </c>
      <c r="C598" s="1392"/>
      <c r="D598" s="1414"/>
      <c r="E598" s="342"/>
      <c r="F598" s="1291">
        <f t="shared" ref="F598:K598" si="104">-F580</f>
        <v>-1280720</v>
      </c>
      <c r="G598" s="1453">
        <f t="shared" si="104"/>
        <v>-9426</v>
      </c>
      <c r="H598" s="1454">
        <f t="shared" si="104"/>
        <v>0</v>
      </c>
      <c r="I598" s="1455">
        <f t="shared" si="104"/>
        <v>-1271294</v>
      </c>
      <c r="J598" s="335">
        <f t="shared" si="104"/>
        <v>-1280720</v>
      </c>
      <c r="K598" s="335">
        <f t="shared" si="104"/>
        <v>0</v>
      </c>
    </row>
    <row r="599" spans="1:11">
      <c r="A599" s="968">
        <v>23</v>
      </c>
      <c r="B599" s="1411" t="s">
        <v>1471</v>
      </c>
      <c r="C599" s="1411"/>
      <c r="D599" s="1414"/>
      <c r="E599" s="342"/>
      <c r="F599" s="1424">
        <f t="shared" ref="F599:K599" si="105">F591</f>
        <v>101662</v>
      </c>
      <c r="G599" s="1456">
        <f t="shared" si="105"/>
        <v>748</v>
      </c>
      <c r="H599" s="1457">
        <f t="shared" si="105"/>
        <v>0</v>
      </c>
      <c r="I599" s="1458">
        <f t="shared" si="105"/>
        <v>100914</v>
      </c>
      <c r="J599" s="1428">
        <f t="shared" si="105"/>
        <v>101662</v>
      </c>
      <c r="K599" s="1428">
        <f t="shared" si="105"/>
        <v>0</v>
      </c>
    </row>
    <row r="600" spans="1:11">
      <c r="A600" s="968">
        <v>24</v>
      </c>
      <c r="B600" s="1090" t="s">
        <v>1472</v>
      </c>
      <c r="C600" s="1392"/>
      <c r="D600" s="1414"/>
      <c r="E600" s="342"/>
      <c r="F600" s="1291">
        <f t="shared" ref="F600:K600" si="106">SUM(F595:F599)</f>
        <v>1762048</v>
      </c>
      <c r="G600" s="1453">
        <f t="shared" si="106"/>
        <v>1954701</v>
      </c>
      <c r="H600" s="1454">
        <f t="shared" si="106"/>
        <v>310978</v>
      </c>
      <c r="I600" s="1455">
        <f t="shared" si="106"/>
        <v>-503631</v>
      </c>
      <c r="J600" s="335">
        <f t="shared" si="106"/>
        <v>1762048</v>
      </c>
      <c r="K600" s="335">
        <f t="shared" si="106"/>
        <v>0</v>
      </c>
    </row>
    <row r="601" spans="1:11">
      <c r="A601" s="968">
        <v>25</v>
      </c>
      <c r="B601" s="1392"/>
      <c r="C601" s="1392"/>
      <c r="D601" s="1414"/>
      <c r="E601" s="342"/>
      <c r="F601" s="353"/>
      <c r="G601" s="547"/>
      <c r="H601" s="537"/>
      <c r="I601" s="538"/>
    </row>
    <row r="602" spans="1:11">
      <c r="A602" s="968">
        <v>26</v>
      </c>
      <c r="B602" s="1392" t="s">
        <v>1473</v>
      </c>
      <c r="C602" s="1392"/>
      <c r="D602" s="1414"/>
      <c r="E602" s="342"/>
      <c r="F602" s="1429">
        <f>ROUND(SIT/(1-SIT),8)</f>
        <v>5.2282660000000002E-2</v>
      </c>
      <c r="G602" s="1459">
        <f t="shared" ref="G602:K602" si="107">ROUND(SIT/(1-SIT),8)</f>
        <v>5.2282660000000002E-2</v>
      </c>
      <c r="H602" s="1460">
        <f t="shared" si="107"/>
        <v>5.2282660000000002E-2</v>
      </c>
      <c r="I602" s="1461">
        <f t="shared" si="107"/>
        <v>5.2282660000000002E-2</v>
      </c>
      <c r="J602" s="1429">
        <f t="shared" si="107"/>
        <v>5.2282660000000002E-2</v>
      </c>
      <c r="K602" s="1429">
        <f t="shared" si="107"/>
        <v>5.2282660000000002E-2</v>
      </c>
    </row>
    <row r="603" spans="1:11">
      <c r="A603" s="968">
        <v>27</v>
      </c>
      <c r="B603" s="1392" t="s">
        <v>1474</v>
      </c>
      <c r="C603" s="1392"/>
      <c r="D603" s="1433" t="s">
        <v>1475</v>
      </c>
      <c r="E603" s="342"/>
      <c r="F603" s="1434">
        <f>ROUND(F600*F602,0)</f>
        <v>92125</v>
      </c>
      <c r="G603" s="1454">
        <f>ROUND(G600*G602,0)</f>
        <v>102197</v>
      </c>
      <c r="H603" s="1454">
        <f>ROUND(H600*H602,0)</f>
        <v>16259</v>
      </c>
      <c r="I603" s="1455">
        <f>ROUND(I600*I602,0)</f>
        <v>-26331</v>
      </c>
      <c r="J603" s="347">
        <f>SUM(G603:I603)</f>
        <v>92125</v>
      </c>
      <c r="K603" s="347">
        <f>F603-J603</f>
        <v>0</v>
      </c>
    </row>
    <row r="604" spans="1:11">
      <c r="A604" s="968">
        <v>28</v>
      </c>
      <c r="B604" s="1411" t="s">
        <v>1476</v>
      </c>
      <c r="C604" s="1411"/>
      <c r="D604" s="1414"/>
      <c r="E604" s="1435"/>
      <c r="F604" s="1434">
        <f>F591</f>
        <v>101662</v>
      </c>
      <c r="G604" s="1462">
        <f>G591</f>
        <v>748</v>
      </c>
      <c r="H604" s="1463">
        <f>H591</f>
        <v>0</v>
      </c>
      <c r="I604" s="1464">
        <f>I591</f>
        <v>100914</v>
      </c>
      <c r="J604" s="347">
        <f>SUM(G604:I604)</f>
        <v>101662</v>
      </c>
      <c r="K604" s="347">
        <f>F604-J604</f>
        <v>0</v>
      </c>
    </row>
    <row r="605" spans="1:11">
      <c r="A605" s="968">
        <v>29</v>
      </c>
      <c r="B605" s="1090" t="s">
        <v>1477</v>
      </c>
      <c r="C605" s="1392"/>
      <c r="D605" s="1414"/>
      <c r="E605" s="342"/>
      <c r="F605" s="1439">
        <f t="shared" ref="F605:K605" si="108">F604+F603</f>
        <v>193787</v>
      </c>
      <c r="G605" s="1465">
        <f t="shared" si="108"/>
        <v>102945</v>
      </c>
      <c r="H605" s="1466">
        <f t="shared" si="108"/>
        <v>16259</v>
      </c>
      <c r="I605" s="1467">
        <f t="shared" si="108"/>
        <v>74583</v>
      </c>
      <c r="J605" s="1439">
        <f t="shared" si="108"/>
        <v>193787</v>
      </c>
      <c r="K605" s="1439">
        <f t="shared" si="108"/>
        <v>0</v>
      </c>
    </row>
    <row r="606" spans="1:11">
      <c r="A606" s="968">
        <v>30</v>
      </c>
      <c r="B606" s="1392"/>
      <c r="C606" s="1392"/>
      <c r="D606" s="1414"/>
      <c r="E606" s="342"/>
      <c r="F606" s="353"/>
      <c r="G606" s="547"/>
      <c r="H606" s="537"/>
      <c r="I606" s="538"/>
    </row>
    <row r="607" spans="1:11">
      <c r="A607" s="968">
        <v>31</v>
      </c>
      <c r="B607" s="1392" t="s">
        <v>1478</v>
      </c>
      <c r="C607" s="1392"/>
      <c r="D607" s="1414"/>
      <c r="E607" s="342"/>
      <c r="F607" s="353"/>
      <c r="G607" s="547"/>
      <c r="H607" s="537"/>
      <c r="I607" s="538"/>
    </row>
    <row r="608" spans="1:11">
      <c r="A608" s="968">
        <v>32</v>
      </c>
      <c r="B608" s="1392" t="s">
        <v>1474</v>
      </c>
      <c r="C608" s="1392"/>
      <c r="D608" s="1414"/>
      <c r="E608" s="342"/>
      <c r="F608" s="1434">
        <f t="shared" ref="F608:K608" si="109">F603</f>
        <v>92125</v>
      </c>
      <c r="G608" s="1462">
        <f t="shared" si="109"/>
        <v>102197</v>
      </c>
      <c r="H608" s="1463">
        <f t="shared" si="109"/>
        <v>16259</v>
      </c>
      <c r="I608" s="1464">
        <f t="shared" si="109"/>
        <v>-26331</v>
      </c>
      <c r="J608" s="1434">
        <f t="shared" si="109"/>
        <v>92125</v>
      </c>
      <c r="K608" s="1434">
        <f t="shared" si="109"/>
        <v>0</v>
      </c>
    </row>
    <row r="609" spans="1:11">
      <c r="A609" s="968">
        <v>33</v>
      </c>
      <c r="B609" s="1411" t="s">
        <v>1464</v>
      </c>
      <c r="C609" s="1411"/>
      <c r="D609" s="1414"/>
      <c r="E609" s="342"/>
      <c r="F609" s="1434">
        <f t="shared" ref="F609:K609" si="110">F589</f>
        <v>0</v>
      </c>
      <c r="G609" s="1462">
        <f t="shared" si="110"/>
        <v>0</v>
      </c>
      <c r="H609" s="1463">
        <f t="shared" si="110"/>
        <v>0</v>
      </c>
      <c r="I609" s="1464">
        <f t="shared" si="110"/>
        <v>0</v>
      </c>
      <c r="J609" s="1434">
        <f t="shared" si="110"/>
        <v>0</v>
      </c>
      <c r="K609" s="1434">
        <f t="shared" si="110"/>
        <v>0</v>
      </c>
    </row>
    <row r="610" spans="1:11">
      <c r="A610" s="968">
        <v>34</v>
      </c>
      <c r="B610" s="1090" t="s">
        <v>1479</v>
      </c>
      <c r="C610" s="1392"/>
      <c r="D610" s="1414"/>
      <c r="E610" s="342"/>
      <c r="F610" s="1439">
        <f t="shared" ref="F610:K610" si="111">F608+F609</f>
        <v>92125</v>
      </c>
      <c r="G610" s="1465">
        <f t="shared" si="111"/>
        <v>102197</v>
      </c>
      <c r="H610" s="1466">
        <f t="shared" si="111"/>
        <v>16259</v>
      </c>
      <c r="I610" s="1467">
        <f t="shared" si="111"/>
        <v>-26331</v>
      </c>
      <c r="J610" s="1439">
        <f t="shared" si="111"/>
        <v>92125</v>
      </c>
      <c r="K610" s="1439">
        <f t="shared" si="111"/>
        <v>0</v>
      </c>
    </row>
    <row r="611" spans="1:11">
      <c r="A611" s="968">
        <v>35</v>
      </c>
      <c r="B611" s="1392"/>
      <c r="C611" s="1392"/>
      <c r="D611" s="1392"/>
      <c r="E611" s="342"/>
      <c r="F611" s="1434"/>
      <c r="G611" s="1462"/>
      <c r="H611" s="1463"/>
      <c r="I611" s="1464"/>
      <c r="J611" s="1434"/>
      <c r="K611" s="1434"/>
    </row>
    <row r="612" spans="1:11">
      <c r="A612" s="968">
        <v>36</v>
      </c>
      <c r="B612" s="1392" t="s">
        <v>76</v>
      </c>
      <c r="C612" s="1392"/>
      <c r="D612" s="1392"/>
      <c r="E612" s="342"/>
      <c r="F612" s="1443">
        <f t="shared" ref="F612:K612" si="112">(SIT*(1-FIT))+((1-SIT)*(1-FIT)*RevTax)+FIT</f>
        <v>0.24925115</v>
      </c>
      <c r="G612" s="1468">
        <f t="shared" si="112"/>
        <v>0.24925115</v>
      </c>
      <c r="H612" s="1469">
        <f t="shared" si="112"/>
        <v>0.24925115</v>
      </c>
      <c r="I612" s="1470">
        <f t="shared" si="112"/>
        <v>0.24925115</v>
      </c>
      <c r="J612" s="1443">
        <f t="shared" si="112"/>
        <v>0.24925115</v>
      </c>
      <c r="K612" s="1443">
        <f t="shared" si="112"/>
        <v>0.24925115</v>
      </c>
    </row>
    <row r="614" spans="1:11">
      <c r="A614" s="343" t="str">
        <f>co_name</f>
        <v>DUKE ENERGY KENTUCKY, INC.</v>
      </c>
      <c r="C614" s="196"/>
      <c r="D614" s="344"/>
      <c r="E614" s="196"/>
      <c r="F614" s="196"/>
      <c r="G614" s="196"/>
      <c r="H614" s="196"/>
      <c r="I614" s="196"/>
      <c r="J614" s="196" t="str">
        <f>$J$1</f>
        <v>FR-16(7)(v)-10</v>
      </c>
      <c r="K614" s="196"/>
    </row>
    <row r="615" spans="1:11">
      <c r="A615" s="343" t="str">
        <f>$A$2</f>
        <v>GS CLASSIFIED - GAS COST OF SERVICE</v>
      </c>
      <c r="C615" s="196"/>
      <c r="D615" s="344"/>
      <c r="E615" s="196"/>
      <c r="F615" s="196"/>
      <c r="G615" s="196"/>
      <c r="H615" s="196"/>
      <c r="I615" s="196"/>
      <c r="J615" s="196" t="str">
        <f>$J$2</f>
        <v>WITNESS RESPONSIBLE:</v>
      </c>
      <c r="K615" s="196"/>
    </row>
    <row r="616" spans="1:11">
      <c r="A616" s="343" t="str">
        <f>case_name</f>
        <v>CASE NO: 2018-00261</v>
      </c>
      <c r="C616" s="196"/>
      <c r="D616" s="344"/>
      <c r="E616" s="196"/>
      <c r="F616" s="196"/>
      <c r="G616" s="196"/>
      <c r="H616" s="196"/>
      <c r="I616" s="196"/>
      <c r="J616" s="196" t="str">
        <f>Witness</f>
        <v>JAMES E. ZIOLKOWSKI</v>
      </c>
      <c r="K616" s="196"/>
    </row>
    <row r="617" spans="1:11">
      <c r="A617" s="343" t="str">
        <f>data_filing</f>
        <v>DATA: 12 MONTH FORECASTED PERIOD</v>
      </c>
      <c r="C617" s="196"/>
      <c r="D617" s="344"/>
      <c r="E617" s="196"/>
      <c r="F617" s="196"/>
      <c r="G617" s="196"/>
      <c r="H617" s="196"/>
      <c r="I617" s="196"/>
      <c r="J617" s="196" t="str">
        <f>"PAGE "&amp;Pages2-1&amp;" OF "&amp;Pages2</f>
        <v>PAGE 14 OF 15</v>
      </c>
      <c r="K617" s="196"/>
    </row>
    <row r="618" spans="1:11">
      <c r="A618" s="343" t="str">
        <f>type</f>
        <v xml:space="preserve">TYPE OF FILING: "X" ORIGINAL   UPDATED    REVISED  </v>
      </c>
      <c r="C618" s="196"/>
      <c r="D618" s="344"/>
      <c r="E618" s="196"/>
      <c r="F618" s="196"/>
      <c r="G618" s="196"/>
      <c r="H618" s="196"/>
      <c r="I618" s="196"/>
      <c r="J618" s="196"/>
      <c r="K618" s="196"/>
    </row>
    <row r="619" spans="1:11">
      <c r="B619" s="343"/>
      <c r="C619" s="196"/>
      <c r="D619" s="344"/>
      <c r="E619" s="196"/>
      <c r="F619" s="196"/>
      <c r="G619" s="196"/>
      <c r="H619" s="196"/>
      <c r="I619" s="196"/>
      <c r="J619" s="196"/>
      <c r="K619" s="196"/>
    </row>
    <row r="620" spans="1:11">
      <c r="B620" s="343"/>
      <c r="C620" s="196"/>
      <c r="D620" s="344"/>
      <c r="E620" s="196"/>
      <c r="F620" s="196"/>
      <c r="G620" s="196"/>
      <c r="H620" s="196"/>
      <c r="I620" s="196"/>
      <c r="J620" s="196"/>
      <c r="K620" s="196"/>
    </row>
    <row r="621" spans="1:11">
      <c r="A621" s="344" t="s">
        <v>914</v>
      </c>
      <c r="B621" s="196"/>
      <c r="C621" s="196"/>
      <c r="D621" s="344"/>
      <c r="E621" s="196"/>
      <c r="F621" s="344" t="s">
        <v>229</v>
      </c>
      <c r="G621" s="545" t="s">
        <v>1005</v>
      </c>
      <c r="H621" s="533"/>
      <c r="I621" s="534"/>
      <c r="J621" s="344" t="s">
        <v>229</v>
      </c>
      <c r="K621" s="344" t="s">
        <v>342</v>
      </c>
    </row>
    <row r="622" spans="1:11">
      <c r="A622" s="346" t="s">
        <v>915</v>
      </c>
      <c r="B622" s="345" t="s">
        <v>77</v>
      </c>
      <c r="C622" s="345"/>
      <c r="D622" s="346" t="s">
        <v>337</v>
      </c>
      <c r="E622" s="345"/>
      <c r="F622" s="346" t="str">
        <f>$F$9</f>
        <v>GS</v>
      </c>
      <c r="G622" s="546" t="s">
        <v>847</v>
      </c>
      <c r="H622" s="535" t="s">
        <v>848</v>
      </c>
      <c r="I622" s="536" t="s">
        <v>849</v>
      </c>
      <c r="J622" s="346" t="s">
        <v>341</v>
      </c>
      <c r="K622" s="346" t="s">
        <v>340</v>
      </c>
    </row>
    <row r="623" spans="1:11">
      <c r="C623" s="578" t="s">
        <v>352</v>
      </c>
      <c r="D623" s="344"/>
      <c r="E623" s="196"/>
      <c r="G623" s="800">
        <f>$G$10</f>
        <v>3</v>
      </c>
      <c r="H623" s="801">
        <f>$H$10</f>
        <v>4</v>
      </c>
      <c r="I623" s="802">
        <f>$I$10</f>
        <v>5</v>
      </c>
    </row>
    <row r="624" spans="1:11">
      <c r="A624" s="333">
        <v>1</v>
      </c>
      <c r="B624" s="332" t="s">
        <v>78</v>
      </c>
      <c r="D624" s="344"/>
      <c r="E624" s="196"/>
      <c r="G624" s="547"/>
      <c r="H624" s="537"/>
      <c r="I624" s="538"/>
    </row>
    <row r="625" spans="1:11">
      <c r="A625" s="333">
        <v>2</v>
      </c>
      <c r="C625" s="332" t="str">
        <f>'FR-16(7)(v)-1 Functional'!C625</f>
        <v>MISC SERVICE REVENUE</v>
      </c>
      <c r="D625" s="344" t="str">
        <f>'FR-16(7)(v)-1 Functional'!D625</f>
        <v>K401</v>
      </c>
      <c r="E625" s="196"/>
      <c r="F625" s="479">
        <f>'FR-16(7)(v)-8 TOT CLASS Alloc'!H625</f>
        <v>3534</v>
      </c>
      <c r="G625" s="548">
        <f>'FR-16(7)(v)-5 DISTR Dem Alloc'!$H$625</f>
        <v>0</v>
      </c>
      <c r="H625" s="539">
        <f>'FR-16(7)(v)-3 PROD Comm Alloc'!$H$625</f>
        <v>0</v>
      </c>
      <c r="I625" s="540">
        <f>'FR-16(7)(v)-6 DISTR Cust Alloc'!$H$625</f>
        <v>3534</v>
      </c>
      <c r="J625" s="347">
        <f>SUM($G$625:$I$625)</f>
        <v>3534</v>
      </c>
      <c r="K625" s="347">
        <f>F625-$J$625</f>
        <v>0</v>
      </c>
    </row>
    <row r="626" spans="1:11">
      <c r="A626" s="333">
        <v>3</v>
      </c>
      <c r="C626" s="332" t="str">
        <f>'FR-16(7)(v)-1 Functional'!C626</f>
        <v>INTERDEPARTMENTAL</v>
      </c>
      <c r="D626" s="344" t="str">
        <f>'FR-16(7)(v)-1 Functional'!D626</f>
        <v>AG39</v>
      </c>
      <c r="E626" s="196"/>
      <c r="F626" s="479">
        <f>'FR-16(7)(v)-8 TOT CLASS Alloc'!H626</f>
        <v>5500</v>
      </c>
      <c r="G626" s="548">
        <f>'FR-16(7)(v)-5 DISTR Dem Alloc'!$H$626</f>
        <v>2750</v>
      </c>
      <c r="H626" s="539">
        <f>'FR-16(7)(v)-3 PROD Comm Alloc'!$H$626</f>
        <v>827</v>
      </c>
      <c r="I626" s="540">
        <f>'FR-16(7)(v)-6 DISTR Cust Alloc'!$H$626</f>
        <v>1923</v>
      </c>
      <c r="J626" s="347">
        <f>SUM($G$626:$I$626)</f>
        <v>5500</v>
      </c>
      <c r="K626" s="347">
        <f>F626-$J$626</f>
        <v>0</v>
      </c>
    </row>
    <row r="627" spans="1:11">
      <c r="A627" s="333">
        <v>4</v>
      </c>
      <c r="C627" s="332" t="str">
        <f>'FR-16(7)(v)-1 Functional'!C627</f>
        <v>OTH MISC REVENUE</v>
      </c>
      <c r="D627" s="344" t="str">
        <f>'FR-16(7)(v)-1 Functional'!D627</f>
        <v>K401</v>
      </c>
      <c r="E627" s="196"/>
      <c r="F627" s="479">
        <f>'FR-16(7)(v)-8 TOT CLASS Alloc'!H627</f>
        <v>134</v>
      </c>
      <c r="G627" s="548">
        <f>'FR-16(7)(v)-5 DISTR Dem Alloc'!$H$627</f>
        <v>0</v>
      </c>
      <c r="H627" s="539">
        <f>'FR-16(7)(v)-3 PROD Comm Alloc'!$H$627</f>
        <v>0</v>
      </c>
      <c r="I627" s="540">
        <f>'FR-16(7)(v)-6 DISTR Cust Alloc'!$H$627</f>
        <v>134</v>
      </c>
      <c r="J627" s="347">
        <f>SUM($G$627:$I$627)</f>
        <v>134</v>
      </c>
      <c r="K627" s="347">
        <f>F627-$J$627</f>
        <v>0</v>
      </c>
    </row>
    <row r="628" spans="1:11">
      <c r="A628" s="333">
        <v>5</v>
      </c>
      <c r="C628" s="332" t="str">
        <f>'FR-16(7)(v)-1 Functional'!C628</f>
        <v>RENTS</v>
      </c>
      <c r="D628" s="344" t="str">
        <f>'FR-16(7)(v)-1 Functional'!D628</f>
        <v>D249</v>
      </c>
      <c r="E628" s="196"/>
      <c r="F628" s="479">
        <f>'FR-16(7)(v)-8 TOT CLASS Alloc'!H628</f>
        <v>3282</v>
      </c>
      <c r="G628" s="548">
        <f>'FR-16(7)(v)-5 DISTR Dem Alloc'!$H$628</f>
        <v>2424</v>
      </c>
      <c r="H628" s="539">
        <f>'FR-16(7)(v)-3 PROD Comm Alloc'!$H$628</f>
        <v>0</v>
      </c>
      <c r="I628" s="540">
        <f>'FR-16(7)(v)-6 DISTR Cust Alloc'!$H$628</f>
        <v>858</v>
      </c>
      <c r="J628" s="347">
        <f>SUM($G$628:$I$628)</f>
        <v>3282</v>
      </c>
      <c r="K628" s="347">
        <f>F628-$J$628</f>
        <v>0</v>
      </c>
    </row>
    <row r="629" spans="1:11">
      <c r="A629" s="333">
        <v>6</v>
      </c>
      <c r="C629" s="359" t="str">
        <f>'FR-16(7)(v)-1 Functional'!C629</f>
        <v>IT TRANSPORT SPECIAL CONTRACTS</v>
      </c>
      <c r="D629" s="344" t="str">
        <f>'FR-16(7)(v)-1 Functional'!D629</f>
        <v>AG39</v>
      </c>
      <c r="E629" s="196"/>
      <c r="F629" s="479">
        <f>'FR-16(7)(v)-8 TOT CLASS Alloc'!H629</f>
        <v>0</v>
      </c>
      <c r="G629" s="548">
        <f>'FR-16(7)(v)-5 DISTR Dem Alloc'!$H$629</f>
        <v>0</v>
      </c>
      <c r="H629" s="539">
        <f>'FR-16(7)(v)-3 PROD Comm Alloc'!$H$629</f>
        <v>0</v>
      </c>
      <c r="I629" s="540">
        <f>'FR-16(7)(v)-6 DISTR Cust Alloc'!$H$629</f>
        <v>0</v>
      </c>
      <c r="J629" s="347">
        <f>SUM($G$629:$I$629)</f>
        <v>0</v>
      </c>
      <c r="K629" s="347">
        <f>F629-$J$629</f>
        <v>0</v>
      </c>
    </row>
    <row r="630" spans="1:11">
      <c r="A630" s="333">
        <v>7</v>
      </c>
      <c r="C630" s="332" t="str">
        <f>'FR-16(7)(v)-1 Functional'!C630</f>
        <v xml:space="preserve">  TOTAL OTHER OPERATING REVS</v>
      </c>
      <c r="D630" s="344"/>
      <c r="E630" s="196"/>
      <c r="F630" s="348">
        <f>SUM(F625:F629)</f>
        <v>12450</v>
      </c>
      <c r="G630" s="549">
        <f>SUM($G$625:$G$629)</f>
        <v>5174</v>
      </c>
      <c r="H630" s="541">
        <f>SUM($H$625:$H$629)</f>
        <v>827</v>
      </c>
      <c r="I630" s="542">
        <f>SUM($I$625:$I$629)</f>
        <v>6449</v>
      </c>
      <c r="J630" s="348">
        <f>SUM($J$625:$J$629)</f>
        <v>12450</v>
      </c>
      <c r="K630" s="348">
        <f>SUM($K$625:$K$629)</f>
        <v>0</v>
      </c>
    </row>
    <row r="631" spans="1:11">
      <c r="A631" s="333">
        <v>8</v>
      </c>
      <c r="D631" s="344"/>
      <c r="E631" s="196"/>
      <c r="G631" s="547"/>
      <c r="H631" s="537"/>
      <c r="I631" s="538"/>
    </row>
    <row r="632" spans="1:11">
      <c r="A632" s="333">
        <v>9</v>
      </c>
      <c r="B632" s="332" t="s">
        <v>77</v>
      </c>
      <c r="D632" s="344"/>
      <c r="E632" s="196"/>
      <c r="G632" s="547"/>
      <c r="H632" s="537"/>
      <c r="I632" s="538"/>
    </row>
    <row r="633" spans="1:11">
      <c r="A633" s="333">
        <v>10</v>
      </c>
      <c r="C633" s="332" t="str">
        <f>'FR-16(7)(v)-1 Functional'!C633</f>
        <v>TOTAL OP EXP EXC INC &amp; REV TAX</v>
      </c>
      <c r="D633" s="344"/>
      <c r="E633" s="196"/>
      <c r="F633" s="347">
        <f>F501</f>
        <v>19643358</v>
      </c>
      <c r="G633" s="548">
        <f>$G$501</f>
        <v>5653523</v>
      </c>
      <c r="H633" s="539">
        <f>$H$501</f>
        <v>11109035</v>
      </c>
      <c r="I633" s="540">
        <f>$I$501</f>
        <v>2880800</v>
      </c>
      <c r="J633" s="347">
        <f>$J$501</f>
        <v>19643358</v>
      </c>
      <c r="K633" s="347">
        <f>F633-J633</f>
        <v>0</v>
      </c>
    </row>
    <row r="634" spans="1:11">
      <c r="A634" s="333">
        <v>11</v>
      </c>
      <c r="C634" s="332" t="str">
        <f>'FR-16(7)(v)-1 Functional'!C634</f>
        <v>RETURN ON RATE BASE</v>
      </c>
      <c r="D634" s="344"/>
      <c r="E634" s="196"/>
      <c r="F634" s="347">
        <f>F334</f>
        <v>5124462</v>
      </c>
      <c r="G634" s="548">
        <f>G334</f>
        <v>3690419</v>
      </c>
      <c r="H634" s="539">
        <f>H334</f>
        <v>137305</v>
      </c>
      <c r="I634" s="540">
        <f>I334</f>
        <v>1296738</v>
      </c>
      <c r="J634" s="347">
        <f>J334</f>
        <v>5124462</v>
      </c>
      <c r="K634" s="347">
        <f>F634-J634</f>
        <v>0</v>
      </c>
    </row>
    <row r="635" spans="1:11">
      <c r="A635" s="333">
        <v>12</v>
      </c>
      <c r="C635" s="332" t="str">
        <f>'FR-16(7)(v)-1 Functional'!C635</f>
        <v>NET FED INCOME TAX ALLOWABLE</v>
      </c>
      <c r="D635" s="344"/>
      <c r="E635" s="196"/>
      <c r="F635" s="347">
        <f>F557</f>
        <v>830072</v>
      </c>
      <c r="G635" s="548">
        <f>$G$557</f>
        <v>402242</v>
      </c>
      <c r="H635" s="539">
        <f>$H$557</f>
        <v>274088</v>
      </c>
      <c r="I635" s="540">
        <f>$I$557</f>
        <v>153742</v>
      </c>
      <c r="J635" s="347">
        <f>$J$557</f>
        <v>830072</v>
      </c>
      <c r="K635" s="347">
        <f>F635-J635</f>
        <v>0</v>
      </c>
    </row>
    <row r="636" spans="1:11">
      <c r="A636" s="333">
        <v>13</v>
      </c>
      <c r="C636" s="359" t="str">
        <f>'FR-16(7)(v)-1 Functional'!C636</f>
        <v>TOTAL OTHER OPERATING REVENUES</v>
      </c>
      <c r="D636" s="344"/>
      <c r="E636" s="196"/>
      <c r="F636" s="347">
        <f>-F630</f>
        <v>-12450</v>
      </c>
      <c r="G636" s="548">
        <f>-$G$630</f>
        <v>-5174</v>
      </c>
      <c r="H636" s="539">
        <f>-$H$630</f>
        <v>-827</v>
      </c>
      <c r="I636" s="540">
        <f>-$I$630</f>
        <v>-6449</v>
      </c>
      <c r="J636" s="347">
        <f>-$J$630</f>
        <v>-12450</v>
      </c>
      <c r="K636" s="347">
        <f>F636-J636</f>
        <v>0</v>
      </c>
    </row>
    <row r="637" spans="1:11">
      <c r="A637" s="333">
        <v>14</v>
      </c>
      <c r="C637" s="332" t="str">
        <f>'FR-16(7)(v)-1 Functional'!C637</f>
        <v xml:space="preserve">  SUBTOTAL B</v>
      </c>
      <c r="D637" s="344"/>
      <c r="E637" s="196"/>
      <c r="F637" s="348">
        <f>SUM(F632:F636)</f>
        <v>25585442</v>
      </c>
      <c r="G637" s="549">
        <f>SUM($G$632:$G$636)</f>
        <v>9741010</v>
      </c>
      <c r="H637" s="541">
        <f>SUM($H$632:$H$636)</f>
        <v>11519601</v>
      </c>
      <c r="I637" s="542">
        <f>SUM($I$632:$I$636)</f>
        <v>4324831</v>
      </c>
      <c r="J637" s="348">
        <f>SUM($J$632:$J$636)</f>
        <v>25585442</v>
      </c>
      <c r="K637" s="764">
        <f>F637-J637</f>
        <v>0</v>
      </c>
    </row>
    <row r="638" spans="1:11">
      <c r="A638" s="333">
        <v>15</v>
      </c>
      <c r="D638" s="344"/>
      <c r="E638" s="196"/>
      <c r="G638" s="547"/>
      <c r="H638" s="537"/>
      <c r="I638" s="538"/>
    </row>
    <row r="639" spans="1:11">
      <c r="A639" s="333">
        <v>16</v>
      </c>
      <c r="C639" s="332" t="str">
        <f>'FR-16(7)(v)-1 Functional'!C639</f>
        <v>TOTAL OTHER OPERATING REVENUES</v>
      </c>
      <c r="D639" s="344"/>
      <c r="E639" s="196"/>
      <c r="F639" s="347">
        <f>-F636</f>
        <v>12450</v>
      </c>
      <c r="G639" s="548">
        <f>-$G$636</f>
        <v>5174</v>
      </c>
      <c r="H639" s="539">
        <f>-$H$636</f>
        <v>827</v>
      </c>
      <c r="I639" s="540">
        <f>-$I$636</f>
        <v>6449</v>
      </c>
      <c r="J639" s="347">
        <f>-$J$636</f>
        <v>12450</v>
      </c>
      <c r="K639" s="347">
        <f>-$K$636</f>
        <v>0</v>
      </c>
    </row>
    <row r="640" spans="1:11">
      <c r="A640" s="333">
        <v>17</v>
      </c>
      <c r="C640" s="359" t="str">
        <f>'FR-16(7)(v)-1 Functional'!C640</f>
        <v>LESS: REVS EXCL FROM REV TAX CALC</v>
      </c>
      <c r="D640" s="344"/>
      <c r="E640" s="196"/>
      <c r="F640" s="479">
        <f>'FR-16(7)(v)-8 TOT CLASS Alloc'!H640</f>
        <v>0</v>
      </c>
      <c r="G640" s="548">
        <f>'FR-16(7)(v)-5 DISTR Dem Alloc'!H640</f>
        <v>0</v>
      </c>
      <c r="H640" s="539">
        <f>'FR-16(7)(v)-3 PROD Comm Alloc'!H640</f>
        <v>0</v>
      </c>
      <c r="I640" s="540">
        <f>'FR-16(7)(v)-6 DISTR Cust Alloc'!H640</f>
        <v>0</v>
      </c>
      <c r="J640" s="347">
        <f>SUM(G640:I640)</f>
        <v>0</v>
      </c>
      <c r="K640" s="347">
        <f>'FR-16(7)(v)-3 PROD Comm Alloc'!L855</f>
        <v>0</v>
      </c>
    </row>
    <row r="641" spans="1:11">
      <c r="A641" s="333">
        <v>18</v>
      </c>
      <c r="C641" s="332" t="str">
        <f>'FR-16(7)(v)-1 Functional'!C641</f>
        <v>OTHER OPERATING REVS TO BE TAXED</v>
      </c>
      <c r="D641" s="344"/>
      <c r="E641" s="196"/>
      <c r="F641" s="348">
        <f>F639-F640</f>
        <v>12450</v>
      </c>
      <c r="G641" s="549">
        <f>$G$639-G640</f>
        <v>5174</v>
      </c>
      <c r="H641" s="541">
        <f>$H$639-H640</f>
        <v>827</v>
      </c>
      <c r="I641" s="542">
        <f>$I$639-I640</f>
        <v>6449</v>
      </c>
      <c r="J641" s="348">
        <f>$J$639-J640</f>
        <v>12450</v>
      </c>
      <c r="K641" s="348">
        <f>$K$639-K640</f>
        <v>0</v>
      </c>
    </row>
    <row r="642" spans="1:11">
      <c r="A642" s="333">
        <v>19</v>
      </c>
      <c r="D642" s="344"/>
      <c r="E642" s="196"/>
      <c r="G642" s="547"/>
      <c r="H642" s="537"/>
      <c r="I642" s="538"/>
    </row>
    <row r="643" spans="1:11">
      <c r="A643" s="333">
        <v>20</v>
      </c>
      <c r="C643" s="332" t="str">
        <f>'FR-16(7)(v)-1 Functional'!C643</f>
        <v>REVENUE TAX FACTOR</v>
      </c>
      <c r="D643" s="344"/>
      <c r="E643" s="196"/>
      <c r="F643" s="350">
        <f t="shared" ref="F643:K643" si="113">ROUND(F694/(1-F694),8)</f>
        <v>0</v>
      </c>
      <c r="G643" s="566">
        <f t="shared" si="113"/>
        <v>0</v>
      </c>
      <c r="H643" s="567">
        <f t="shared" si="113"/>
        <v>0</v>
      </c>
      <c r="I643" s="568">
        <f t="shared" si="113"/>
        <v>0</v>
      </c>
      <c r="J643" s="1256">
        <f t="shared" si="113"/>
        <v>0</v>
      </c>
      <c r="K643" s="1256">
        <f t="shared" si="113"/>
        <v>0</v>
      </c>
    </row>
    <row r="644" spans="1:11">
      <c r="A644" s="333">
        <v>21</v>
      </c>
      <c r="C644" s="332" t="str">
        <f>'FR-16(7)(v)-1 Functional'!C644</f>
        <v>REVENUE TAX ON OTHER OPER. REVS</v>
      </c>
      <c r="D644" s="344"/>
      <c r="E644" s="196"/>
      <c r="F644" s="347">
        <f>ROUND(F643*F641,0)</f>
        <v>0</v>
      </c>
      <c r="G644" s="548">
        <f>ROUND(G643*G641,0)</f>
        <v>0</v>
      </c>
      <c r="H644" s="539">
        <f>ROUND(H643*H641,0)</f>
        <v>0</v>
      </c>
      <c r="I644" s="540">
        <f>ROUND(I643*I641,0)</f>
        <v>0</v>
      </c>
      <c r="J644" s="347">
        <f>SUM(G644:I644)</f>
        <v>0</v>
      </c>
      <c r="K644" s="512">
        <f>F644-J644</f>
        <v>0</v>
      </c>
    </row>
    <row r="645" spans="1:11">
      <c r="A645" s="333">
        <v>22</v>
      </c>
      <c r="C645" s="332" t="str">
        <f>'FR-16(7)(v)-1 Functional'!C645</f>
        <v>REVENUE TAX ON COST OF SERVICE</v>
      </c>
      <c r="D645" s="344"/>
      <c r="E645" s="196"/>
      <c r="F645" s="512">
        <f>ROUND(F643*F637,0)</f>
        <v>0</v>
      </c>
      <c r="G645" s="548">
        <f>ROUND(G643*$G$637,0)</f>
        <v>0</v>
      </c>
      <c r="H645" s="539">
        <f>ROUND(H643*$H$637,0)</f>
        <v>0</v>
      </c>
      <c r="I645" s="540">
        <f>ROUND(I643*$I$637,0)</f>
        <v>0</v>
      </c>
      <c r="J645" s="512">
        <f>SUM(G645:I645)</f>
        <v>0</v>
      </c>
      <c r="K645" s="512">
        <f>F645-J645</f>
        <v>0</v>
      </c>
    </row>
    <row r="646" spans="1:11">
      <c r="A646" s="333">
        <v>23</v>
      </c>
      <c r="C646" s="359" t="str">
        <f>'FR-16(7)(v)-1 Functional'!C646</f>
        <v>TOTAL REVENUE TAX</v>
      </c>
      <c r="D646" s="344"/>
      <c r="E646" s="196"/>
      <c r="F646" s="510">
        <f t="shared" ref="F646:J646" si="114">F645+F644</f>
        <v>0</v>
      </c>
      <c r="G646" s="572">
        <f t="shared" si="114"/>
        <v>0</v>
      </c>
      <c r="H646" s="573">
        <f t="shared" si="114"/>
        <v>0</v>
      </c>
      <c r="I646" s="574">
        <f t="shared" si="114"/>
        <v>0</v>
      </c>
      <c r="J646" s="510">
        <f t="shared" si="114"/>
        <v>0</v>
      </c>
      <c r="K646" s="512">
        <f>F646-J646</f>
        <v>0</v>
      </c>
    </row>
    <row r="647" spans="1:11">
      <c r="A647" s="333">
        <v>24</v>
      </c>
      <c r="C647" s="332" t="str">
        <f>'FR-16(7)(v)-1 Functional'!C647</f>
        <v xml:space="preserve">  TOTAL GAS COST OF SERVICE</v>
      </c>
      <c r="D647" s="344"/>
      <c r="E647" s="196"/>
      <c r="F647" s="348">
        <f>F646+F637</f>
        <v>25585442</v>
      </c>
      <c r="G647" s="549">
        <f>G646+$G$637</f>
        <v>9741010</v>
      </c>
      <c r="H647" s="541">
        <f>H646+$H$637</f>
        <v>11519601</v>
      </c>
      <c r="I647" s="542">
        <f>I646+$I$637</f>
        <v>4324831</v>
      </c>
      <c r="J647" s="348">
        <f>J646+$J$637</f>
        <v>25585442</v>
      </c>
      <c r="K647" s="764">
        <f>F647-J647</f>
        <v>0</v>
      </c>
    </row>
    <row r="648" spans="1:11">
      <c r="A648" s="333">
        <v>25</v>
      </c>
      <c r="D648" s="344"/>
      <c r="E648" s="196"/>
      <c r="G648" s="547"/>
      <c r="H648" s="537"/>
      <c r="I648" s="538"/>
    </row>
    <row r="649" spans="1:11">
      <c r="A649" s="333">
        <v>26</v>
      </c>
      <c r="B649" s="332" t="s">
        <v>1194</v>
      </c>
      <c r="D649" s="344"/>
      <c r="E649" s="196"/>
      <c r="F649" s="479">
        <f>'FR-16(7)(v)-8 TOT CLASS Alloc'!H649</f>
        <v>23198248</v>
      </c>
      <c r="G649" s="548">
        <f>'FR-16(7)(v)-5 DISTR Dem Alloc'!H649</f>
        <v>7350779</v>
      </c>
      <c r="H649" s="539">
        <f>'FR-16(7)(v)-3 PROD Comm Alloc'!H649</f>
        <v>8842940</v>
      </c>
      <c r="I649" s="540">
        <f>'FR-16(7)(v)-6 DISTR Cust Alloc'!H649</f>
        <v>7004529</v>
      </c>
      <c r="J649" s="347">
        <f>SUM(G649:I649)</f>
        <v>23198248</v>
      </c>
      <c r="K649" s="347">
        <f>F649-J649</f>
        <v>0</v>
      </c>
    </row>
    <row r="650" spans="1:11">
      <c r="A650" s="333">
        <v>27</v>
      </c>
      <c r="B650" s="332" t="s">
        <v>79</v>
      </c>
      <c r="D650" s="344"/>
      <c r="E650" s="196"/>
      <c r="F650" s="347">
        <f t="shared" ref="F650:K650" si="115">-F647</f>
        <v>-25585442</v>
      </c>
      <c r="G650" s="548">
        <f t="shared" si="115"/>
        <v>-9741010</v>
      </c>
      <c r="H650" s="539">
        <f t="shared" si="115"/>
        <v>-11519601</v>
      </c>
      <c r="I650" s="540">
        <f t="shared" si="115"/>
        <v>-4324831</v>
      </c>
      <c r="J650" s="347">
        <f t="shared" si="115"/>
        <v>-25585442</v>
      </c>
      <c r="K650" s="347">
        <f t="shared" si="115"/>
        <v>0</v>
      </c>
    </row>
    <row r="651" spans="1:11">
      <c r="A651" s="333">
        <v>28</v>
      </c>
      <c r="B651" s="332" t="s">
        <v>80</v>
      </c>
      <c r="D651" s="344"/>
      <c r="E651" s="196"/>
      <c r="F651" s="347">
        <f>F650+F649</f>
        <v>-2387194</v>
      </c>
      <c r="G651" s="548">
        <f>G650+G649</f>
        <v>-2390231</v>
      </c>
      <c r="H651" s="539">
        <f>H650+H649</f>
        <v>-2676661</v>
      </c>
      <c r="I651" s="540">
        <f>I650+I649</f>
        <v>2679698</v>
      </c>
      <c r="J651" s="347">
        <f>SUM(G651:I651)</f>
        <v>-2387194</v>
      </c>
      <c r="K651" s="347">
        <f>K650+K649</f>
        <v>0</v>
      </c>
    </row>
    <row r="652" spans="1:11">
      <c r="A652" s="333">
        <v>29</v>
      </c>
      <c r="B652" s="332" t="s">
        <v>76</v>
      </c>
      <c r="D652" s="344"/>
      <c r="E652" s="196"/>
      <c r="F652" s="350">
        <f>F565</f>
        <v>0.24925</v>
      </c>
      <c r="G652" s="566">
        <f>$G$565</f>
        <v>0.24925</v>
      </c>
      <c r="H652" s="567">
        <f>$H$565</f>
        <v>0.24925</v>
      </c>
      <c r="I652" s="568">
        <f>$I$565</f>
        <v>0.24925</v>
      </c>
      <c r="J652" s="350">
        <f>$K$565</f>
        <v>0.24925</v>
      </c>
      <c r="K652" s="350">
        <f>$K$565</f>
        <v>0.24925</v>
      </c>
    </row>
    <row r="653" spans="1:11">
      <c r="A653" s="333">
        <v>30</v>
      </c>
      <c r="B653" s="332" t="s">
        <v>81</v>
      </c>
      <c r="D653" s="344"/>
      <c r="E653" s="196"/>
      <c r="F653" s="347">
        <f>ROUND(F652*F651,0)</f>
        <v>-595008</v>
      </c>
      <c r="G653" s="548">
        <f>ROUND(F652*F651,0)-H653-I653</f>
        <v>-595765</v>
      </c>
      <c r="H653" s="539">
        <f>ROUND(H652*H651,0)</f>
        <v>-667158</v>
      </c>
      <c r="I653" s="540">
        <f>ROUND(I652*I651,0)</f>
        <v>667915</v>
      </c>
      <c r="J653" s="347">
        <f>SUM(G653:I653)</f>
        <v>-595008</v>
      </c>
      <c r="K653" s="512">
        <f t="shared" ref="K653:K654" si="116">F653-J653</f>
        <v>0</v>
      </c>
    </row>
    <row r="654" spans="1:11">
      <c r="A654" s="333">
        <v>31</v>
      </c>
      <c r="B654" s="332" t="s">
        <v>82</v>
      </c>
      <c r="D654" s="344"/>
      <c r="E654" s="196"/>
      <c r="F654" s="347">
        <f>F651-F653</f>
        <v>-1792186</v>
      </c>
      <c r="G654" s="550">
        <f>G651-G653</f>
        <v>-1794466</v>
      </c>
      <c r="H654" s="543">
        <f>H651-H653</f>
        <v>-2009503</v>
      </c>
      <c r="I654" s="544">
        <f>I651-I653</f>
        <v>2011783</v>
      </c>
      <c r="J654" s="347">
        <f>SUM(G654:I654)</f>
        <v>-1792186</v>
      </c>
      <c r="K654" s="512">
        <f t="shared" si="116"/>
        <v>0</v>
      </c>
    </row>
    <row r="655" spans="1:11">
      <c r="A655" s="532"/>
      <c r="B655" s="584"/>
      <c r="C655" s="584"/>
      <c r="D655" s="736"/>
      <c r="E655" s="584"/>
      <c r="F655" s="532"/>
      <c r="G655" s="532"/>
      <c r="H655" s="532"/>
      <c r="I655" s="532"/>
      <c r="J655" s="532"/>
      <c r="K655" s="532"/>
    </row>
    <row r="656" spans="1:11">
      <c r="A656" s="343" t="str">
        <f>co_name</f>
        <v>DUKE ENERGY KENTUCKY, INC.</v>
      </c>
      <c r="C656" s="196"/>
      <c r="D656" s="344"/>
      <c r="E656" s="196"/>
      <c r="F656" s="196"/>
      <c r="G656" s="196"/>
      <c r="H656" s="196"/>
      <c r="I656" s="196"/>
      <c r="J656" s="196" t="str">
        <f>$J$1</f>
        <v>FR-16(7)(v)-10</v>
      </c>
      <c r="K656" s="196"/>
    </row>
    <row r="657" spans="1:11">
      <c r="A657" s="343" t="str">
        <f>$A$2</f>
        <v>GS CLASSIFIED - GAS COST OF SERVICE</v>
      </c>
      <c r="C657" s="196"/>
      <c r="D657" s="344"/>
      <c r="E657" s="196"/>
      <c r="F657" s="196"/>
      <c r="G657" s="196"/>
      <c r="H657" s="196"/>
      <c r="I657" s="196"/>
      <c r="J657" s="196" t="str">
        <f>$J$2</f>
        <v>WITNESS RESPONSIBLE:</v>
      </c>
      <c r="K657" s="196"/>
    </row>
    <row r="658" spans="1:11">
      <c r="A658" s="343" t="str">
        <f>case_name</f>
        <v>CASE NO: 2018-00261</v>
      </c>
      <c r="C658" s="196"/>
      <c r="D658" s="344"/>
      <c r="E658" s="196"/>
      <c r="F658" s="196"/>
      <c r="G658" s="196"/>
      <c r="H658" s="196"/>
      <c r="I658" s="196"/>
      <c r="J658" s="196" t="str">
        <f>Witness</f>
        <v>JAMES E. ZIOLKOWSKI</v>
      </c>
      <c r="K658" s="196"/>
    </row>
    <row r="659" spans="1:11">
      <c r="A659" s="343" t="str">
        <f>data_filing</f>
        <v>DATA: 12 MONTH FORECASTED PERIOD</v>
      </c>
      <c r="C659" s="196"/>
      <c r="D659" s="344"/>
      <c r="E659" s="196"/>
      <c r="F659" s="196"/>
      <c r="G659" s="196"/>
      <c r="H659" s="196"/>
      <c r="I659" s="196"/>
      <c r="J659" s="196" t="str">
        <f>"PAGE "&amp;Pages2&amp;" OF "&amp;Pages2</f>
        <v>PAGE 15 OF 15</v>
      </c>
      <c r="K659" s="196"/>
    </row>
    <row r="660" spans="1:11">
      <c r="A660" s="343" t="str">
        <f>type</f>
        <v xml:space="preserve">TYPE OF FILING: "X" ORIGINAL   UPDATED    REVISED  </v>
      </c>
      <c r="C660" s="196"/>
      <c r="D660" s="344"/>
      <c r="E660" s="196"/>
      <c r="F660" s="196"/>
      <c r="G660" s="196"/>
      <c r="H660" s="196"/>
      <c r="I660" s="196"/>
      <c r="J660" s="196"/>
      <c r="K660" s="196"/>
    </row>
    <row r="661" spans="1:11">
      <c r="B661" s="343"/>
      <c r="C661" s="196"/>
      <c r="D661" s="344"/>
      <c r="E661" s="196"/>
      <c r="F661" s="196"/>
      <c r="G661" s="196"/>
      <c r="H661" s="196"/>
      <c r="I661" s="196"/>
      <c r="J661" s="196"/>
      <c r="K661" s="196"/>
    </row>
    <row r="662" spans="1:11">
      <c r="B662" s="343"/>
      <c r="C662" s="196"/>
      <c r="D662" s="344"/>
      <c r="E662" s="196"/>
      <c r="F662" s="196"/>
      <c r="G662" s="196"/>
      <c r="H662" s="196"/>
      <c r="I662" s="196"/>
      <c r="J662" s="196"/>
      <c r="K662" s="196"/>
    </row>
    <row r="663" spans="1:11">
      <c r="A663" s="344" t="s">
        <v>914</v>
      </c>
      <c r="B663" s="196"/>
      <c r="C663" s="196"/>
      <c r="D663" s="344"/>
      <c r="E663" s="196"/>
      <c r="F663" s="344" t="s">
        <v>229</v>
      </c>
      <c r="G663" s="545" t="s">
        <v>1005</v>
      </c>
      <c r="H663" s="533"/>
      <c r="I663" s="534"/>
      <c r="J663" s="344" t="s">
        <v>229</v>
      </c>
      <c r="K663" s="344" t="s">
        <v>342</v>
      </c>
    </row>
    <row r="664" spans="1:11">
      <c r="A664" s="346" t="s">
        <v>915</v>
      </c>
      <c r="B664" s="345" t="s">
        <v>83</v>
      </c>
      <c r="C664" s="345"/>
      <c r="D664" s="346" t="s">
        <v>337</v>
      </c>
      <c r="E664" s="345"/>
      <c r="F664" s="346" t="str">
        <f>$F$9</f>
        <v>GS</v>
      </c>
      <c r="G664" s="546" t="s">
        <v>847</v>
      </c>
      <c r="H664" s="535" t="s">
        <v>848</v>
      </c>
      <c r="I664" s="536" t="s">
        <v>849</v>
      </c>
      <c r="J664" s="346" t="s">
        <v>341</v>
      </c>
      <c r="K664" s="346" t="s">
        <v>340</v>
      </c>
    </row>
    <row r="665" spans="1:11">
      <c r="C665" s="578" t="s">
        <v>353</v>
      </c>
      <c r="D665" s="344"/>
      <c r="E665" s="196"/>
      <c r="G665" s="824">
        <f>$G$10</f>
        <v>3</v>
      </c>
      <c r="H665" s="824">
        <f>$H$10</f>
        <v>4</v>
      </c>
      <c r="I665" s="824">
        <f>$I$10</f>
        <v>5</v>
      </c>
    </row>
    <row r="666" spans="1:11">
      <c r="A666" s="333">
        <v>1</v>
      </c>
      <c r="B666" s="332" t="s">
        <v>84</v>
      </c>
      <c r="D666" s="344"/>
      <c r="E666" s="196"/>
    </row>
    <row r="667" spans="1:11">
      <c r="A667" s="333">
        <v>2</v>
      </c>
      <c r="B667" s="332" t="s">
        <v>85</v>
      </c>
      <c r="D667" s="344"/>
      <c r="E667" s="196"/>
      <c r="G667" s="519" t="s">
        <v>339</v>
      </c>
    </row>
    <row r="668" spans="1:11">
      <c r="A668" s="333">
        <v>3</v>
      </c>
      <c r="C668" s="332" t="str">
        <f>'FR-16(7)(v)-1 Functional'!C668</f>
        <v>LONG TERM DEBT</v>
      </c>
      <c r="D668" s="344"/>
      <c r="E668" s="196"/>
      <c r="F668" s="479">
        <f>'FR-16(7)(v)-1 Functional'!$F$668</f>
        <v>518128763</v>
      </c>
      <c r="G668" s="350">
        <f>IF($F$673=0,0,ROUND(F668/$F$673,5))</f>
        <v>0.42338999999999999</v>
      </c>
    </row>
    <row r="669" spans="1:11">
      <c r="A669" s="333">
        <v>4</v>
      </c>
      <c r="C669" s="332" t="str">
        <f>'FR-16(7)(v)-1 Functional'!C669</f>
        <v>PREFERRED STOCK</v>
      </c>
      <c r="D669" s="344"/>
      <c r="E669" s="196"/>
      <c r="F669" s="479">
        <f>'FR-16(7)(v)-1 Functional'!$F$669</f>
        <v>0</v>
      </c>
      <c r="G669" s="350">
        <f>IF($F$673=0,0,ROUND(F669/$F$673,5))</f>
        <v>0</v>
      </c>
    </row>
    <row r="670" spans="1:11">
      <c r="A670" s="333">
        <v>5</v>
      </c>
      <c r="C670" s="332" t="str">
        <f>'FR-16(7)(v)-1 Functional'!C670</f>
        <v>COMMON STOCK</v>
      </c>
      <c r="D670" s="344"/>
      <c r="E670" s="196"/>
      <c r="F670" s="479">
        <f>'FR-16(7)(v)-1 Functional'!$F$670</f>
        <v>621113054</v>
      </c>
      <c r="G670" s="350">
        <f>1-G668-G669-G671-G672</f>
        <v>0.50755000000000006</v>
      </c>
    </row>
    <row r="671" spans="1:11">
      <c r="A671" s="333">
        <v>6</v>
      </c>
      <c r="C671" s="332" t="str">
        <f>'FR-16(7)(v)-1 Functional'!C671</f>
        <v>SHORT TERM DEBT</v>
      </c>
      <c r="D671" s="344"/>
      <c r="E671" s="196"/>
      <c r="F671" s="479">
        <f>'FR-16(7)(v)-1 Functional'!$F$671</f>
        <v>84508435</v>
      </c>
      <c r="G671" s="350">
        <f>IF($F$673=0,0,ROUND(F671/$F$673,5))</f>
        <v>6.9059999999999996E-2</v>
      </c>
    </row>
    <row r="672" spans="1:11">
      <c r="A672" s="333">
        <v>7</v>
      </c>
      <c r="C672" s="332" t="str">
        <f>'FR-16(7)(v)-1 Functional'!C672</f>
        <v>UNAMORTIZED DISCOUNT</v>
      </c>
      <c r="D672" s="344"/>
      <c r="E672" s="196"/>
      <c r="F672" s="479">
        <f>'FR-16(7)(v)-1 Functional'!$F$672</f>
        <v>0</v>
      </c>
      <c r="G672" s="350">
        <f>IF($F$673=0,0,ROUND(F672/$F$673,5))</f>
        <v>0</v>
      </c>
    </row>
    <row r="673" spans="1:9">
      <c r="A673" s="333">
        <v>8</v>
      </c>
      <c r="C673" s="332" t="str">
        <f>'FR-16(7)(v)-1 Functional'!C673</f>
        <v xml:space="preserve">  TOTAL</v>
      </c>
      <c r="D673" s="344"/>
      <c r="E673" s="196"/>
      <c r="F673" s="480">
        <f>SUM(F667:F672)</f>
        <v>1223750252</v>
      </c>
      <c r="G673" s="521">
        <f>SUM(G668:G672)</f>
        <v>1</v>
      </c>
    </row>
    <row r="674" spans="1:9">
      <c r="A674" s="333">
        <v>9</v>
      </c>
      <c r="D674" s="344"/>
      <c r="E674" s="196"/>
    </row>
    <row r="675" spans="1:9">
      <c r="A675" s="333">
        <v>10</v>
      </c>
      <c r="B675" s="332" t="s">
        <v>86</v>
      </c>
      <c r="D675" s="344"/>
      <c r="E675" s="196"/>
    </row>
    <row r="676" spans="1:9">
      <c r="A676" s="333">
        <v>11</v>
      </c>
      <c r="C676" s="332" t="str">
        <f>'FR-16(7)(v)-1 Functional'!C676</f>
        <v>LONG TERM DEBT</v>
      </c>
      <c r="D676" s="344"/>
      <c r="E676" s="196"/>
      <c r="F676" s="586">
        <f>'FR-16(7)(v)-1 Functional'!$F$676</f>
        <v>4.3979999999999998E-2</v>
      </c>
      <c r="G676" s="522"/>
      <c r="H676" s="522"/>
      <c r="I676" s="522"/>
    </row>
    <row r="677" spans="1:9">
      <c r="A677" s="333">
        <v>12</v>
      </c>
      <c r="C677" s="332" t="str">
        <f>'FR-16(7)(v)-1 Functional'!C677</f>
        <v>PREFERRED STOCK</v>
      </c>
      <c r="D677" s="344"/>
      <c r="E677" s="196"/>
      <c r="F677" s="586">
        <f>'FR-16(7)(v)-1 Functional'!$F$677</f>
        <v>0</v>
      </c>
      <c r="G677" s="522"/>
      <c r="H677" s="522"/>
      <c r="I677" s="522"/>
    </row>
    <row r="678" spans="1:9">
      <c r="A678" s="333">
        <v>13</v>
      </c>
      <c r="C678" s="332" t="str">
        <f>'FR-16(7)(v)-1 Functional'!C678</f>
        <v>COMMON STOCK</v>
      </c>
      <c r="D678" s="344"/>
      <c r="E678" s="196"/>
      <c r="F678" s="586">
        <f>'FR-16(7)(v)-1 Functional'!$F$678</f>
        <v>9.9000000000000005E-2</v>
      </c>
      <c r="G678" s="522"/>
      <c r="H678" s="522"/>
      <c r="I678" s="522"/>
    </row>
    <row r="679" spans="1:9">
      <c r="A679" s="333">
        <v>14</v>
      </c>
      <c r="C679" s="332" t="str">
        <f>'FR-16(7)(v)-1 Functional'!C679</f>
        <v>SHORT TERM DEBT</v>
      </c>
      <c r="D679" s="344"/>
      <c r="E679" s="196"/>
      <c r="F679" s="586">
        <f>'FR-16(7)(v)-1 Functional'!$F$679</f>
        <v>4.2500000000000003E-2</v>
      </c>
      <c r="G679" s="522"/>
      <c r="H679" s="522"/>
      <c r="I679" s="522"/>
    </row>
    <row r="680" spans="1:9">
      <c r="A680" s="333">
        <v>15</v>
      </c>
      <c r="C680" s="332" t="str">
        <f>'FR-16(7)(v)-1 Functional'!C680</f>
        <v>UNAMORTIZED DISCOUNT</v>
      </c>
      <c r="D680" s="344"/>
      <c r="E680" s="196"/>
      <c r="F680" s="586">
        <f>'FR-16(7)(v)-1 Functional'!$F$680</f>
        <v>0</v>
      </c>
      <c r="G680" s="522"/>
      <c r="H680" s="522"/>
      <c r="I680" s="522"/>
    </row>
    <row r="681" spans="1:9">
      <c r="A681" s="333">
        <v>16</v>
      </c>
      <c r="D681" s="344"/>
      <c r="E681" s="196"/>
    </row>
    <row r="682" spans="1:9">
      <c r="A682" s="333">
        <v>17</v>
      </c>
      <c r="B682" s="332" t="s">
        <v>87</v>
      </c>
      <c r="D682" s="344"/>
      <c r="E682" s="196"/>
    </row>
    <row r="683" spans="1:9">
      <c r="A683" s="333">
        <v>18</v>
      </c>
      <c r="C683" s="332" t="str">
        <f>'FR-16(7)(v)-1 Functional'!C683</f>
        <v>LONG TERM DEBT</v>
      </c>
      <c r="D683" s="344"/>
      <c r="E683" s="196"/>
      <c r="F683" s="350">
        <f>ROUND(G668*F676,5)</f>
        <v>1.8620000000000001E-2</v>
      </c>
      <c r="G683" s="520"/>
      <c r="H683" s="520"/>
      <c r="I683" s="520"/>
    </row>
    <row r="684" spans="1:9">
      <c r="A684" s="333">
        <v>19</v>
      </c>
      <c r="C684" s="332" t="str">
        <f>'FR-16(7)(v)-1 Functional'!C684</f>
        <v>PREFERRED STOCK</v>
      </c>
      <c r="D684" s="344"/>
      <c r="E684" s="196"/>
      <c r="F684" s="350">
        <f>ROUND(G669*F677,5)</f>
        <v>0</v>
      </c>
      <c r="G684" s="520"/>
      <c r="H684" s="520"/>
      <c r="I684" s="520"/>
    </row>
    <row r="685" spans="1:9">
      <c r="A685" s="333">
        <v>20</v>
      </c>
      <c r="C685" s="332" t="str">
        <f>'FR-16(7)(v)-1 Functional'!C685</f>
        <v>COMMON STOCK</v>
      </c>
      <c r="D685" s="344"/>
      <c r="E685" s="196"/>
      <c r="F685" s="350">
        <f>ROUND(G670*F678,5)</f>
        <v>5.0250000000000003E-2</v>
      </c>
      <c r="G685" s="520"/>
      <c r="H685" s="520"/>
      <c r="I685" s="520"/>
    </row>
    <row r="686" spans="1:9">
      <c r="A686" s="333">
        <v>21</v>
      </c>
      <c r="C686" s="332" t="str">
        <f>'FR-16(7)(v)-1 Functional'!C686</f>
        <v>SHORT TERM DEBT</v>
      </c>
      <c r="D686" s="344"/>
      <c r="E686" s="196"/>
      <c r="F686" s="350">
        <f>ROUND(G671*F679,5)</f>
        <v>2.9399999999999999E-3</v>
      </c>
      <c r="G686" s="520"/>
      <c r="H686" s="520"/>
      <c r="I686" s="520"/>
    </row>
    <row r="687" spans="1:9">
      <c r="A687" s="333">
        <v>22</v>
      </c>
      <c r="C687" s="332" t="str">
        <f>'FR-16(7)(v)-1 Functional'!C687</f>
        <v>UNAMORTIZED DISCOUNT</v>
      </c>
      <c r="D687" s="344"/>
      <c r="E687" s="196"/>
      <c r="F687" s="350">
        <f>ROUND(G672*F680,5)</f>
        <v>0</v>
      </c>
      <c r="G687" s="520"/>
      <c r="H687" s="520"/>
      <c r="I687" s="520"/>
    </row>
    <row r="688" spans="1:9">
      <c r="A688" s="333">
        <v>23</v>
      </c>
      <c r="C688" s="332" t="str">
        <f>'FR-16(7)(v)-1 Functional'!C688</f>
        <v xml:space="preserve">  TOT RATE OF RETURN ALLOWABLE</v>
      </c>
      <c r="D688" s="344"/>
      <c r="E688" s="196"/>
      <c r="F688" s="1487">
        <f>SUM(F683:F687)</f>
        <v>7.1809999999999999E-2</v>
      </c>
      <c r="G688" s="524"/>
      <c r="H688" s="524"/>
      <c r="I688" s="524"/>
    </row>
    <row r="689" spans="1:11">
      <c r="A689" s="333">
        <v>24</v>
      </c>
      <c r="D689" s="344"/>
      <c r="E689" s="196"/>
    </row>
    <row r="690" spans="1:11">
      <c r="A690" s="333">
        <v>25</v>
      </c>
      <c r="B690" s="332" t="s">
        <v>88</v>
      </c>
      <c r="D690" s="344"/>
      <c r="E690" s="196"/>
      <c r="F690" s="365"/>
    </row>
    <row r="691" spans="1:11">
      <c r="A691" s="333">
        <v>26</v>
      </c>
      <c r="C691" s="332" t="str">
        <f>'FR-16(7)(v)-1 Functional'!C691</f>
        <v>SHORT TERM DEBT COST</v>
      </c>
      <c r="D691" s="344"/>
      <c r="E691" s="196"/>
      <c r="F691" s="766">
        <v>0</v>
      </c>
      <c r="G691" s="525">
        <f>$F$691</f>
        <v>0</v>
      </c>
      <c r="H691" s="525">
        <f>$F$691</f>
        <v>0</v>
      </c>
      <c r="I691" s="525">
        <f>$F$691</f>
        <v>0</v>
      </c>
      <c r="J691" s="525">
        <f>$F$691</f>
        <v>0</v>
      </c>
      <c r="K691" s="525">
        <f>$F$691</f>
        <v>0</v>
      </c>
    </row>
    <row r="692" spans="1:11">
      <c r="A692" s="333">
        <v>27</v>
      </c>
      <c r="C692" s="332" t="str">
        <f>'FR-16(7)(v)-1 Functional'!C692</f>
        <v>FEDERAL INCOME TAX RATE</v>
      </c>
      <c r="D692" s="344"/>
      <c r="E692" s="196"/>
      <c r="F692" s="525">
        <f t="shared" ref="F692:K692" si="117">FIT</f>
        <v>0.21</v>
      </c>
      <c r="G692" s="525">
        <f t="shared" si="117"/>
        <v>0.21</v>
      </c>
      <c r="H692" s="525">
        <f t="shared" si="117"/>
        <v>0.21</v>
      </c>
      <c r="I692" s="525">
        <f t="shared" si="117"/>
        <v>0.21</v>
      </c>
      <c r="J692" s="525">
        <f t="shared" si="117"/>
        <v>0.21</v>
      </c>
      <c r="K692" s="525">
        <f t="shared" si="117"/>
        <v>0.21</v>
      </c>
    </row>
    <row r="693" spans="1:11">
      <c r="A693" s="333">
        <v>28</v>
      </c>
      <c r="C693" s="332" t="str">
        <f>'FR-16(7)(v)-1 Functional'!C693</f>
        <v>STATE INCOME TAX RATE</v>
      </c>
      <c r="D693" s="344"/>
      <c r="E693" s="196"/>
      <c r="F693" s="525">
        <f t="shared" ref="F693:K693" si="118">SIT</f>
        <v>4.9685000000000007E-2</v>
      </c>
      <c r="G693" s="525">
        <f t="shared" si="118"/>
        <v>4.9685000000000007E-2</v>
      </c>
      <c r="H693" s="525">
        <f t="shared" si="118"/>
        <v>4.9685000000000007E-2</v>
      </c>
      <c r="I693" s="525">
        <f t="shared" si="118"/>
        <v>4.9685000000000007E-2</v>
      </c>
      <c r="J693" s="525">
        <f t="shared" si="118"/>
        <v>4.9685000000000007E-2</v>
      </c>
      <c r="K693" s="525">
        <f t="shared" si="118"/>
        <v>4.9685000000000007E-2</v>
      </c>
    </row>
    <row r="694" spans="1:11">
      <c r="A694" s="333">
        <v>29</v>
      </c>
      <c r="C694" s="332" t="str">
        <f>'FR-16(7)(v)-1 Functional'!C694</f>
        <v>REVENUE TAX RATE</v>
      </c>
      <c r="D694" s="344"/>
      <c r="E694" s="196"/>
      <c r="F694" s="522">
        <v>0</v>
      </c>
      <c r="G694" s="525">
        <f>RevTax</f>
        <v>0</v>
      </c>
      <c r="H694" s="525">
        <f>RevTax</f>
        <v>0</v>
      </c>
      <c r="I694" s="525">
        <f>RevTax</f>
        <v>0</v>
      </c>
      <c r="J694" s="525">
        <f>RevTax</f>
        <v>0</v>
      </c>
      <c r="K694" s="525">
        <f>RevTax</f>
        <v>0</v>
      </c>
    </row>
    <row r="696" spans="1:11">
      <c r="A696" s="343"/>
      <c r="C696" s="196"/>
      <c r="D696" s="344"/>
      <c r="E696" s="196"/>
      <c r="F696" s="196"/>
      <c r="G696" s="196"/>
      <c r="H696" s="196"/>
      <c r="I696" s="196"/>
      <c r="J696" s="196"/>
      <c r="K696" s="196"/>
    </row>
    <row r="697" spans="1:11">
      <c r="A697" s="343"/>
      <c r="C697" s="196"/>
      <c r="D697" s="344"/>
      <c r="E697" s="196"/>
      <c r="F697" s="196"/>
      <c r="G697" s="196"/>
      <c r="H697" s="196"/>
      <c r="I697" s="196"/>
      <c r="J697" s="196"/>
      <c r="K697" s="196"/>
    </row>
    <row r="698" spans="1:11">
      <c r="A698" s="343"/>
      <c r="C698" s="196"/>
      <c r="D698" s="344"/>
      <c r="E698" s="196"/>
      <c r="F698" s="196"/>
      <c r="G698" s="196"/>
      <c r="H698" s="196"/>
      <c r="I698" s="196"/>
      <c r="J698" s="196"/>
      <c r="K698" s="196"/>
    </row>
    <row r="699" spans="1:11">
      <c r="A699" s="343"/>
      <c r="C699" s="196"/>
      <c r="D699" s="344"/>
      <c r="E699" s="196"/>
      <c r="F699" s="196"/>
      <c r="G699" s="196"/>
      <c r="H699" s="196"/>
      <c r="I699" s="196"/>
      <c r="J699" s="196"/>
      <c r="K699" s="196"/>
    </row>
    <row r="700" spans="1:11">
      <c r="A700" s="343"/>
      <c r="C700" s="196"/>
      <c r="D700" s="344"/>
      <c r="E700" s="196"/>
      <c r="F700" s="196"/>
      <c r="G700" s="196"/>
      <c r="H700" s="196"/>
      <c r="I700" s="196"/>
      <c r="J700" s="196"/>
      <c r="K700" s="196"/>
    </row>
    <row r="747" spans="1:11">
      <c r="A747" s="343"/>
      <c r="C747" s="196"/>
      <c r="D747" s="344"/>
      <c r="E747" s="196"/>
      <c r="F747" s="196"/>
      <c r="G747" s="196"/>
      <c r="H747" s="196"/>
      <c r="I747" s="196"/>
      <c r="J747" s="196"/>
      <c r="K747" s="196"/>
    </row>
    <row r="748" spans="1:11">
      <c r="A748" s="343"/>
      <c r="C748" s="196"/>
      <c r="D748" s="344"/>
      <c r="E748" s="196"/>
      <c r="F748" s="196"/>
      <c r="G748" s="196"/>
      <c r="H748" s="196"/>
      <c r="I748" s="196"/>
      <c r="J748" s="196"/>
      <c r="K748" s="196"/>
    </row>
    <row r="749" spans="1:11">
      <c r="A749" s="343"/>
      <c r="C749" s="196"/>
      <c r="D749" s="344"/>
      <c r="E749" s="196"/>
      <c r="F749" s="196"/>
      <c r="G749" s="196"/>
      <c r="H749" s="196"/>
      <c r="I749" s="196"/>
      <c r="J749" s="196"/>
      <c r="K749" s="196"/>
    </row>
    <row r="750" spans="1:11">
      <c r="A750" s="343"/>
      <c r="C750" s="196"/>
      <c r="D750" s="344"/>
      <c r="E750" s="196"/>
      <c r="F750" s="196"/>
      <c r="G750" s="196"/>
      <c r="H750" s="196"/>
      <c r="I750" s="196"/>
      <c r="J750" s="196"/>
      <c r="K750" s="196"/>
    </row>
    <row r="751" spans="1:11">
      <c r="A751" s="343"/>
      <c r="C751" s="196"/>
      <c r="D751" s="344"/>
      <c r="E751" s="196"/>
      <c r="F751" s="196"/>
      <c r="G751" s="196"/>
      <c r="H751" s="196"/>
      <c r="I751" s="196"/>
      <c r="J751" s="196"/>
      <c r="K751" s="196"/>
    </row>
    <row r="805" spans="1:11">
      <c r="A805" s="343"/>
      <c r="C805" s="196"/>
      <c r="D805" s="344"/>
      <c r="E805" s="196"/>
      <c r="F805" s="196"/>
      <c r="G805" s="196"/>
      <c r="H805" s="196"/>
      <c r="I805" s="196"/>
      <c r="J805" s="196"/>
      <c r="K805" s="196"/>
    </row>
    <row r="806" spans="1:11">
      <c r="A806" s="343"/>
      <c r="C806" s="196"/>
      <c r="D806" s="344"/>
      <c r="E806" s="196"/>
      <c r="F806" s="196"/>
      <c r="G806" s="196"/>
      <c r="H806" s="196"/>
      <c r="I806" s="196"/>
      <c r="J806" s="196"/>
      <c r="K806" s="196"/>
    </row>
    <row r="807" spans="1:11">
      <c r="A807" s="343"/>
      <c r="C807" s="196"/>
      <c r="D807" s="344"/>
      <c r="E807" s="196"/>
      <c r="F807" s="196"/>
      <c r="G807" s="196"/>
      <c r="H807" s="196"/>
      <c r="I807" s="196"/>
      <c r="J807" s="196"/>
      <c r="K807" s="196"/>
    </row>
    <row r="808" spans="1:11">
      <c r="A808" s="343"/>
      <c r="C808" s="196"/>
      <c r="D808" s="344"/>
      <c r="E808" s="196"/>
      <c r="F808" s="196"/>
      <c r="G808" s="196"/>
      <c r="H808" s="196"/>
      <c r="I808" s="196"/>
      <c r="J808" s="196"/>
      <c r="K808" s="196"/>
    </row>
    <row r="809" spans="1:11">
      <c r="A809" s="343"/>
      <c r="C809" s="196"/>
      <c r="D809" s="344"/>
      <c r="E809" s="196"/>
      <c r="F809" s="196"/>
      <c r="G809" s="196"/>
      <c r="H809" s="196"/>
      <c r="I809" s="196"/>
      <c r="J809" s="196"/>
      <c r="K809" s="196"/>
    </row>
    <row r="861" spans="1:11" ht="20.25">
      <c r="A861" s="1192" t="s">
        <v>1215</v>
      </c>
    </row>
    <row r="863" spans="1:11">
      <c r="A863" s="344" t="s">
        <v>914</v>
      </c>
      <c r="B863" s="196"/>
      <c r="C863" s="196"/>
      <c r="D863" s="344"/>
      <c r="E863" s="196"/>
      <c r="F863" s="344" t="s">
        <v>229</v>
      </c>
      <c r="G863" s="545" t="s">
        <v>1005</v>
      </c>
      <c r="H863" s="533"/>
      <c r="I863" s="534"/>
      <c r="J863" s="344" t="s">
        <v>229</v>
      </c>
      <c r="K863" s="344" t="s">
        <v>342</v>
      </c>
    </row>
    <row r="864" spans="1:11">
      <c r="A864" s="346" t="s">
        <v>915</v>
      </c>
      <c r="B864" s="345" t="s">
        <v>99</v>
      </c>
      <c r="C864" s="345"/>
      <c r="D864" s="346" t="s">
        <v>337</v>
      </c>
      <c r="E864" s="345"/>
      <c r="F864" s="346" t="str">
        <f>$F$9</f>
        <v>GS</v>
      </c>
      <c r="G864" s="546" t="s">
        <v>847</v>
      </c>
      <c r="H864" s="535" t="s">
        <v>848</v>
      </c>
      <c r="I864" s="536" t="s">
        <v>849</v>
      </c>
      <c r="J864" s="346" t="s">
        <v>341</v>
      </c>
      <c r="K864" s="346" t="s">
        <v>340</v>
      </c>
    </row>
    <row r="865" spans="1:11">
      <c r="B865" s="196"/>
      <c r="C865" s="578" t="s">
        <v>4</v>
      </c>
      <c r="D865" s="344"/>
      <c r="E865" s="196"/>
      <c r="G865" s="800">
        <f>$G$10</f>
        <v>3</v>
      </c>
      <c r="H865" s="801">
        <f>$H$10</f>
        <v>4</v>
      </c>
      <c r="I865" s="802">
        <f>$I$10</f>
        <v>5</v>
      </c>
    </row>
    <row r="866" spans="1:11">
      <c r="A866" s="333">
        <v>1</v>
      </c>
      <c r="B866" s="332" t="s">
        <v>100</v>
      </c>
      <c r="D866" s="344"/>
      <c r="E866" s="196"/>
      <c r="G866" s="547"/>
      <c r="H866" s="537"/>
      <c r="I866" s="538"/>
    </row>
    <row r="867" spans="1:11">
      <c r="A867" s="333">
        <v>2</v>
      </c>
      <c r="C867" s="332" t="str">
        <f>'FR-16(7)(v)-1 Functional'!C867</f>
        <v>TOTAL GAS COST OF SERVICE</v>
      </c>
      <c r="D867" s="344"/>
      <c r="E867" s="196"/>
      <c r="F867" s="347">
        <f t="shared" ref="F867:K867" si="119">F647</f>
        <v>25585442</v>
      </c>
      <c r="G867" s="548">
        <f t="shared" si="119"/>
        <v>9741010</v>
      </c>
      <c r="H867" s="539">
        <f t="shared" si="119"/>
        <v>11519601</v>
      </c>
      <c r="I867" s="540">
        <f t="shared" si="119"/>
        <v>4324831</v>
      </c>
      <c r="J867" s="347">
        <f t="shared" si="119"/>
        <v>25585442</v>
      </c>
      <c r="K867" s="347">
        <f t="shared" si="119"/>
        <v>0</v>
      </c>
    </row>
    <row r="868" spans="1:11">
      <c r="A868" s="333">
        <v>3</v>
      </c>
      <c r="C868" s="359" t="str">
        <f>'FR-16(7)(v)-1 Functional'!C868</f>
        <v>TOTAL OTHER OPERATING REVENUES</v>
      </c>
      <c r="D868" s="344"/>
      <c r="E868" s="196"/>
      <c r="F868" s="347">
        <f>F630</f>
        <v>12450</v>
      </c>
      <c r="G868" s="548">
        <f>$G$630</f>
        <v>5174</v>
      </c>
      <c r="H868" s="539">
        <f>$H$630</f>
        <v>827</v>
      </c>
      <c r="I868" s="540">
        <f>$I$630</f>
        <v>6449</v>
      </c>
      <c r="J868" s="347">
        <f>$J$630</f>
        <v>12450</v>
      </c>
      <c r="K868" s="347">
        <f>$K$630</f>
        <v>0</v>
      </c>
    </row>
    <row r="869" spans="1:11">
      <c r="A869" s="333">
        <v>4</v>
      </c>
      <c r="C869" s="332" t="str">
        <f>'FR-16(7)(v)-1 Functional'!C869</f>
        <v xml:space="preserve">  TOTAL GAS REVENUE</v>
      </c>
      <c r="D869" s="344"/>
      <c r="E869" s="196"/>
      <c r="F869" s="348">
        <f t="shared" ref="F869:K869" si="120">SUM(F866:F868)</f>
        <v>25597892</v>
      </c>
      <c r="G869" s="549">
        <f t="shared" si="120"/>
        <v>9746184</v>
      </c>
      <c r="H869" s="541">
        <f t="shared" si="120"/>
        <v>11520428</v>
      </c>
      <c r="I869" s="542">
        <f t="shared" si="120"/>
        <v>4331280</v>
      </c>
      <c r="J869" s="348">
        <f t="shared" si="120"/>
        <v>25597892</v>
      </c>
      <c r="K869" s="348">
        <f t="shared" si="120"/>
        <v>0</v>
      </c>
    </row>
    <row r="870" spans="1:11">
      <c r="A870" s="333">
        <v>5</v>
      </c>
      <c r="C870" s="332" t="str">
        <f>'FR-16(7)(v)-1 Functional'!C870</f>
        <v>TOTAL OP EXP EX INC &amp; REV TAX</v>
      </c>
      <c r="D870" s="344"/>
      <c r="E870" s="196"/>
      <c r="F870" s="347">
        <f>-F501</f>
        <v>-19643358</v>
      </c>
      <c r="G870" s="548">
        <f>-$G$501</f>
        <v>-5653523</v>
      </c>
      <c r="H870" s="539">
        <f>-$H$501</f>
        <v>-11109035</v>
      </c>
      <c r="I870" s="540">
        <f>-$I$501</f>
        <v>-2880800</v>
      </c>
      <c r="J870" s="512">
        <f>-$J$501</f>
        <v>-19643358</v>
      </c>
      <c r="K870" s="347">
        <f>-$K$501</f>
        <v>0</v>
      </c>
    </row>
    <row r="871" spans="1:11">
      <c r="A871" s="333">
        <v>6</v>
      </c>
      <c r="C871" s="359" t="str">
        <f>'FR-16(7)(v)-1 Functional'!C871</f>
        <v>FIRM SERVICE REVENUE TAX</v>
      </c>
      <c r="D871" s="344"/>
      <c r="E871" s="196"/>
      <c r="F871" s="347">
        <f>-ROUND(F694*F867,0)</f>
        <v>0</v>
      </c>
      <c r="G871" s="548">
        <f>-ROUND(G694*G867,0)</f>
        <v>0</v>
      </c>
      <c r="H871" s="539">
        <f>-ROUND(H694*H867,0)</f>
        <v>0</v>
      </c>
      <c r="I871" s="540">
        <f>-ROUND(I694*I867,0)</f>
        <v>0</v>
      </c>
      <c r="J871" s="510">
        <f>SUM(G871:I871)</f>
        <v>0</v>
      </c>
      <c r="K871" s="347">
        <f>-ROUND('FR-16(7)(v)-1 Functional'!K694*K867,0)</f>
        <v>0</v>
      </c>
    </row>
    <row r="872" spans="1:11">
      <c r="A872" s="333">
        <v>7</v>
      </c>
      <c r="C872" s="332" t="str">
        <f>'FR-16(7)(v)-1 Functional'!C872</f>
        <v xml:space="preserve">  NET INCOME</v>
      </c>
      <c r="D872" s="344"/>
      <c r="E872" s="196"/>
      <c r="F872" s="348">
        <f>SUM(F869:F871)</f>
        <v>5954534</v>
      </c>
      <c r="G872" s="549">
        <f>SUM(G869:G871)</f>
        <v>4092661</v>
      </c>
      <c r="H872" s="541">
        <f>SUM(H869:H871)</f>
        <v>411393</v>
      </c>
      <c r="I872" s="542">
        <f>SUM(I869:I871)</f>
        <v>1450480</v>
      </c>
      <c r="J872" s="348">
        <f>SUM(G872:I872)</f>
        <v>5954534</v>
      </c>
      <c r="K872" s="348">
        <f>SUM(K869:K871)</f>
        <v>0</v>
      </c>
    </row>
    <row r="873" spans="1:11">
      <c r="A873" s="333">
        <v>8</v>
      </c>
      <c r="D873" s="344"/>
      <c r="E873" s="196"/>
      <c r="G873" s="547"/>
      <c r="H873" s="537"/>
      <c r="I873" s="538"/>
    </row>
    <row r="874" spans="1:11">
      <c r="A874" s="333">
        <v>9</v>
      </c>
      <c r="B874" s="332" t="s">
        <v>101</v>
      </c>
      <c r="D874" s="344"/>
      <c r="E874" s="196"/>
      <c r="G874" s="547"/>
      <c r="H874" s="537"/>
      <c r="I874" s="538"/>
    </row>
    <row r="875" spans="1:11">
      <c r="A875" s="333">
        <v>10</v>
      </c>
      <c r="C875" s="332" t="str">
        <f>'FR-16(7)(v)-1 Functional'!C875</f>
        <v>TOTAL INTEREST EXPENSE</v>
      </c>
      <c r="D875" s="344"/>
      <c r="E875" s="196"/>
      <c r="F875" s="347">
        <f>-F516</f>
        <v>-1538255</v>
      </c>
      <c r="G875" s="548">
        <f>-$G$516</f>
        <v>-1107799</v>
      </c>
      <c r="H875" s="539">
        <f>-$H$516</f>
        <v>-41212</v>
      </c>
      <c r="I875" s="540">
        <f>-$I$516</f>
        <v>-389244</v>
      </c>
      <c r="J875" s="347">
        <f>-$J$516</f>
        <v>-1538255</v>
      </c>
      <c r="K875" s="347">
        <f>-$K$516</f>
        <v>0</v>
      </c>
    </row>
    <row r="876" spans="1:11">
      <c r="A876" s="333">
        <v>11</v>
      </c>
      <c r="C876" s="359" t="str">
        <f>'FR-16(7)(v)-1 Functional'!C876</f>
        <v>TOTAL OTHER DEDUCTIONS</v>
      </c>
      <c r="D876" s="344"/>
      <c r="E876" s="196"/>
      <c r="F876" s="347">
        <f>-F522</f>
        <v>-1475173</v>
      </c>
      <c r="G876" s="548">
        <f>-$G$522</f>
        <v>-1021483</v>
      </c>
      <c r="H876" s="539">
        <f>-$H$522</f>
        <v>-59203</v>
      </c>
      <c r="I876" s="540">
        <f>-$I$522</f>
        <v>-394487</v>
      </c>
      <c r="J876" s="347">
        <f>-$J$522</f>
        <v>-1475173</v>
      </c>
      <c r="K876" s="347">
        <f>-$K$522</f>
        <v>0</v>
      </c>
    </row>
    <row r="877" spans="1:11">
      <c r="A877" s="333">
        <v>12</v>
      </c>
      <c r="C877" s="332" t="str">
        <f>'FR-16(7)(v)-1 Functional'!C877</f>
        <v xml:space="preserve">  PRELIMINARY TAXABLE INCOME</v>
      </c>
      <c r="D877" s="344"/>
      <c r="E877" s="196"/>
      <c r="F877" s="348">
        <f>SUM(F874:F876)+F872</f>
        <v>2941106</v>
      </c>
      <c r="G877" s="549">
        <f>SUM(G874:G876)+G872</f>
        <v>1963379</v>
      </c>
      <c r="H877" s="541">
        <f>SUM(H874:H876)+H872</f>
        <v>310978</v>
      </c>
      <c r="I877" s="542">
        <f>SUM(I874:I876)+I872</f>
        <v>666749</v>
      </c>
      <c r="J877" s="348">
        <f>SUM(G877:I877)</f>
        <v>2941106</v>
      </c>
      <c r="K877" s="348">
        <f>SUM(K874:K876)+K872</f>
        <v>0</v>
      </c>
    </row>
    <row r="878" spans="1:11">
      <c r="A878" s="333">
        <v>13</v>
      </c>
      <c r="D878" s="344"/>
      <c r="E878" s="196"/>
      <c r="G878" s="547"/>
      <c r="H878" s="537"/>
      <c r="I878" s="538"/>
    </row>
    <row r="879" spans="1:11">
      <c r="A879" s="333">
        <v>14</v>
      </c>
      <c r="B879" s="332" t="s">
        <v>99</v>
      </c>
      <c r="D879" s="344"/>
      <c r="E879" s="196"/>
      <c r="G879" s="547"/>
      <c r="H879" s="537"/>
      <c r="I879" s="538"/>
    </row>
    <row r="880" spans="1:11">
      <c r="A880" s="333">
        <v>15</v>
      </c>
      <c r="B880" s="332" t="s">
        <v>74</v>
      </c>
      <c r="D880" s="344"/>
      <c r="E880" s="196"/>
      <c r="G880" s="547"/>
      <c r="H880" s="537"/>
      <c r="I880" s="538"/>
    </row>
    <row r="881" spans="1:11">
      <c r="A881" s="333">
        <v>16</v>
      </c>
      <c r="C881" s="332" t="str">
        <f>'FR-16(7)(v)-1 Functional'!C881</f>
        <v>PRELIMINARY TAXABLE INCOME</v>
      </c>
      <c r="D881" s="344"/>
      <c r="E881" s="196"/>
      <c r="F881" s="347">
        <f t="shared" ref="F881:K881" si="121">F877</f>
        <v>2941106</v>
      </c>
      <c r="G881" s="548">
        <f t="shared" si="121"/>
        <v>1963379</v>
      </c>
      <c r="H881" s="539">
        <f t="shared" si="121"/>
        <v>310978</v>
      </c>
      <c r="I881" s="540">
        <f t="shared" si="121"/>
        <v>666749</v>
      </c>
      <c r="J881" s="347">
        <f t="shared" si="121"/>
        <v>2941106</v>
      </c>
      <c r="K881" s="347">
        <f t="shared" si="121"/>
        <v>0</v>
      </c>
    </row>
    <row r="882" spans="1:11">
      <c r="A882" s="333">
        <v>17</v>
      </c>
      <c r="C882" s="332" t="str">
        <f>'FR-16(7)(v)-1 Functional'!C882</f>
        <v xml:space="preserve">  NET FEDERAL TAXABLE INCOME</v>
      </c>
      <c r="D882" s="344"/>
      <c r="E882" s="196"/>
      <c r="F882" s="347">
        <f t="shared" ref="F882:K882" si="122">SUM(F881:F881)</f>
        <v>2941106</v>
      </c>
      <c r="G882" s="548">
        <f t="shared" si="122"/>
        <v>1963379</v>
      </c>
      <c r="H882" s="539">
        <f t="shared" si="122"/>
        <v>310978</v>
      </c>
      <c r="I882" s="540">
        <f t="shared" si="122"/>
        <v>666749</v>
      </c>
      <c r="J882" s="347">
        <f t="shared" si="122"/>
        <v>2941106</v>
      </c>
      <c r="K882" s="347">
        <f t="shared" si="122"/>
        <v>0</v>
      </c>
    </row>
    <row r="883" spans="1:11">
      <c r="A883" s="333">
        <v>18</v>
      </c>
      <c r="C883" s="332" t="str">
        <f>'FR-16(7)(v)-1 Functional'!C883</f>
        <v xml:space="preserve">  FEDERAL INCOME TAX RATE</v>
      </c>
      <c r="D883" s="344"/>
      <c r="E883" s="196"/>
      <c r="F883" s="350">
        <f>F692</f>
        <v>0.21</v>
      </c>
      <c r="G883" s="566">
        <f>G692</f>
        <v>0.21</v>
      </c>
      <c r="H883" s="567">
        <f>H692</f>
        <v>0.21</v>
      </c>
      <c r="I883" s="568">
        <f>I692</f>
        <v>0.21</v>
      </c>
      <c r="J883" s="350"/>
      <c r="K883" s="350">
        <f>'FR-16(7)(v)-1 Functional'!K692</f>
        <v>0.21</v>
      </c>
    </row>
    <row r="884" spans="1:11">
      <c r="A884" s="333">
        <v>19</v>
      </c>
      <c r="C884" s="332" t="str">
        <f>'FR-16(7)(v)-1 Functional'!C884</f>
        <v>PRELIMINARY FIT = FI01 * K190</v>
      </c>
      <c r="D884" s="344"/>
      <c r="E884" s="196"/>
      <c r="F884" s="347">
        <f>ROUND(F883*F882,0)</f>
        <v>617632</v>
      </c>
      <c r="G884" s="548">
        <f>ROUND(G883*G882,0)</f>
        <v>412310</v>
      </c>
      <c r="H884" s="539">
        <f>ROUND(H883*H882,0)</f>
        <v>65305</v>
      </c>
      <c r="I884" s="540">
        <f>ROUND(I883*I882,0)</f>
        <v>140017</v>
      </c>
      <c r="J884" s="347">
        <f>SUM(G884:I884)</f>
        <v>617632</v>
      </c>
      <c r="K884" s="347">
        <f>ROUND(K883*K882,0)</f>
        <v>0</v>
      </c>
    </row>
    <row r="885" spans="1:11">
      <c r="A885" s="333">
        <v>20</v>
      </c>
      <c r="C885" s="332" t="str">
        <f>'FR-16(7)(v)-1 Functional'!C885</f>
        <v>TOTAL FED DEF IT (410 &amp; 411)</v>
      </c>
      <c r="D885" s="344"/>
      <c r="E885" s="196"/>
      <c r="F885" s="347">
        <f>F532</f>
        <v>205981</v>
      </c>
      <c r="G885" s="548">
        <f>$G$532</f>
        <v>596</v>
      </c>
      <c r="H885" s="539">
        <f>$H$532</f>
        <v>208926</v>
      </c>
      <c r="I885" s="540">
        <f>$I$532</f>
        <v>-3541</v>
      </c>
      <c r="J885" s="347">
        <f>$J$532</f>
        <v>205981</v>
      </c>
      <c r="K885" s="347">
        <f>$K$532</f>
        <v>0</v>
      </c>
    </row>
    <row r="886" spans="1:11">
      <c r="A886" s="333">
        <v>21</v>
      </c>
      <c r="C886" s="359" t="str">
        <f>'FR-16(7)(v)-1 Functional'!C886</f>
        <v>TOTAL AMORTIZED ITC</v>
      </c>
      <c r="D886" s="344"/>
      <c r="E886" s="196"/>
      <c r="F886" s="347">
        <f>-F536</f>
        <v>-14890</v>
      </c>
      <c r="G886" s="548">
        <f>-$G$536</f>
        <v>-10821</v>
      </c>
      <c r="H886" s="539">
        <f>-$H$536</f>
        <v>-143</v>
      </c>
      <c r="I886" s="540">
        <f>-$I$536</f>
        <v>-3926</v>
      </c>
      <c r="J886" s="347">
        <f>-$J$536</f>
        <v>-14890</v>
      </c>
      <c r="K886" s="347">
        <f>-$K$536</f>
        <v>0</v>
      </c>
    </row>
    <row r="887" spans="1:11">
      <c r="A887" s="333">
        <v>22</v>
      </c>
      <c r="C887" s="332" t="str">
        <f>'FR-16(7)(v)-1 Functional'!C887</f>
        <v xml:space="preserve">  NET FED INC TAX ALLOWABLE</v>
      </c>
      <c r="D887" s="344"/>
      <c r="E887" s="196"/>
      <c r="F887" s="348">
        <f t="shared" ref="F887:K887" si="123">SUM(F884:F886)</f>
        <v>808723</v>
      </c>
      <c r="G887" s="549">
        <f t="shared" si="123"/>
        <v>402085</v>
      </c>
      <c r="H887" s="541">
        <f t="shared" si="123"/>
        <v>274088</v>
      </c>
      <c r="I887" s="542">
        <f t="shared" si="123"/>
        <v>132550</v>
      </c>
      <c r="J887" s="348">
        <f t="shared" si="123"/>
        <v>808723</v>
      </c>
      <c r="K887" s="348">
        <f t="shared" si="123"/>
        <v>0</v>
      </c>
    </row>
    <row r="888" spans="1:11">
      <c r="A888" s="333">
        <v>23</v>
      </c>
      <c r="D888" s="344"/>
      <c r="E888" s="196"/>
      <c r="G888" s="547"/>
      <c r="H888" s="537"/>
      <c r="I888" s="538"/>
    </row>
    <row r="889" spans="1:11">
      <c r="A889" s="333">
        <v>24</v>
      </c>
      <c r="B889" s="332" t="s">
        <v>75</v>
      </c>
      <c r="D889" s="344"/>
      <c r="E889" s="196"/>
      <c r="G889" s="547"/>
      <c r="H889" s="537"/>
      <c r="I889" s="538"/>
    </row>
    <row r="890" spans="1:11">
      <c r="A890" s="333">
        <v>25</v>
      </c>
      <c r="C890" s="332" t="str">
        <f>'FR-16(7)(v)-1 Functional'!C890</f>
        <v>PRELIM FIT</v>
      </c>
      <c r="D890" s="344"/>
      <c r="E890" s="196"/>
      <c r="F890" s="347">
        <f t="shared" ref="F890:K890" si="124">F884</f>
        <v>617632</v>
      </c>
      <c r="G890" s="548">
        <f t="shared" si="124"/>
        <v>412310</v>
      </c>
      <c r="H890" s="539">
        <f t="shared" si="124"/>
        <v>65305</v>
      </c>
      <c r="I890" s="540">
        <f t="shared" si="124"/>
        <v>140017</v>
      </c>
      <c r="J890" s="347">
        <f t="shared" si="124"/>
        <v>617632</v>
      </c>
      <c r="K890" s="347">
        <f t="shared" si="124"/>
        <v>0</v>
      </c>
    </row>
    <row r="891" spans="1:11">
      <c r="A891" s="333">
        <v>26</v>
      </c>
      <c r="C891" s="359" t="str">
        <f>'FR-16(7)(v)-1 Functional'!C891</f>
        <v>TEST YEAR INV TAX CREDIT</v>
      </c>
      <c r="D891" s="344"/>
      <c r="E891" s="196"/>
      <c r="F891" s="347">
        <f>-F540</f>
        <v>0</v>
      </c>
      <c r="G891" s="550">
        <f>-$G$540</f>
        <v>0</v>
      </c>
      <c r="H891" s="543">
        <f>-$H$540</f>
        <v>0</v>
      </c>
      <c r="I891" s="544">
        <f>-$I$540</f>
        <v>0</v>
      </c>
      <c r="J891" s="347">
        <f>-$J$540</f>
        <v>0</v>
      </c>
      <c r="K891" s="347">
        <f>-$K$540</f>
        <v>0</v>
      </c>
    </row>
    <row r="892" spans="1:11">
      <c r="A892" s="333">
        <v>27</v>
      </c>
      <c r="C892" s="332" t="str">
        <f>'FR-16(7)(v)-1 Functional'!C892</f>
        <v xml:space="preserve">  FED INC TAX PAYABLE</v>
      </c>
      <c r="D892" s="344"/>
      <c r="E892" s="196"/>
      <c r="F892" s="348">
        <f t="shared" ref="F892:K892" si="125">SUM(F889:F891)</f>
        <v>617632</v>
      </c>
      <c r="G892" s="549">
        <f t="shared" si="125"/>
        <v>412310</v>
      </c>
      <c r="H892" s="541">
        <f t="shared" si="125"/>
        <v>65305</v>
      </c>
      <c r="I892" s="542">
        <f t="shared" si="125"/>
        <v>140017</v>
      </c>
      <c r="J892" s="348">
        <f t="shared" si="125"/>
        <v>617632</v>
      </c>
      <c r="K892" s="348">
        <f t="shared" si="125"/>
        <v>0</v>
      </c>
    </row>
    <row r="893" spans="1:11">
      <c r="A893" s="333">
        <v>28</v>
      </c>
      <c r="D893" s="344"/>
      <c r="E893" s="196"/>
      <c r="G893" s="547"/>
      <c r="H893" s="537"/>
      <c r="I893" s="538"/>
    </row>
    <row r="894" spans="1:11">
      <c r="A894" s="333">
        <v>29</v>
      </c>
      <c r="B894" s="332" t="s">
        <v>40</v>
      </c>
      <c r="D894" s="344"/>
      <c r="E894" s="196"/>
      <c r="G894" s="547"/>
      <c r="H894" s="537"/>
      <c r="I894" s="538"/>
    </row>
    <row r="895" spans="1:11">
      <c r="A895" s="333">
        <v>30</v>
      </c>
      <c r="C895" s="332" t="str">
        <f>'FR-16(7)(v)-1 Functional'!C895</f>
        <v>NET INCOME</v>
      </c>
      <c r="D895" s="344"/>
      <c r="E895" s="196"/>
      <c r="F895" s="347">
        <f t="shared" ref="F895:K895" si="126">F872</f>
        <v>5954534</v>
      </c>
      <c r="G895" s="548">
        <f t="shared" si="126"/>
        <v>4092661</v>
      </c>
      <c r="H895" s="539">
        <f t="shared" si="126"/>
        <v>411393</v>
      </c>
      <c r="I895" s="540">
        <f t="shared" si="126"/>
        <v>1450480</v>
      </c>
      <c r="J895" s="347">
        <f t="shared" si="126"/>
        <v>5954534</v>
      </c>
      <c r="K895" s="347">
        <f t="shared" si="126"/>
        <v>0</v>
      </c>
    </row>
    <row r="896" spans="1:11">
      <c r="A896" s="333">
        <v>31</v>
      </c>
      <c r="C896" s="359" t="str">
        <f>'FR-16(7)(v)-1 Functional'!C896</f>
        <v>NET FED INC TAX ALLOWABLE</v>
      </c>
      <c r="D896" s="344"/>
      <c r="E896" s="196"/>
      <c r="F896" s="347">
        <f t="shared" ref="F896:K896" si="127">-F887</f>
        <v>-808723</v>
      </c>
      <c r="G896" s="548">
        <f t="shared" si="127"/>
        <v>-402085</v>
      </c>
      <c r="H896" s="539">
        <f t="shared" si="127"/>
        <v>-274088</v>
      </c>
      <c r="I896" s="540">
        <f t="shared" si="127"/>
        <v>-132550</v>
      </c>
      <c r="J896" s="347">
        <f t="shared" si="127"/>
        <v>-808723</v>
      </c>
      <c r="K896" s="347">
        <f t="shared" si="127"/>
        <v>0</v>
      </c>
    </row>
    <row r="897" spans="1:11">
      <c r="A897" s="333">
        <v>32</v>
      </c>
      <c r="C897" s="332" t="str">
        <f>'FR-16(7)(v)-1 Functional'!C897</f>
        <v xml:space="preserve">  OVERALL RETURN EARNED</v>
      </c>
      <c r="D897" s="344"/>
      <c r="E897" s="196"/>
      <c r="F897" s="348">
        <f t="shared" ref="F897:K897" si="128">SUM(F894:F896)</f>
        <v>5145811</v>
      </c>
      <c r="G897" s="549">
        <f t="shared" si="128"/>
        <v>3690576</v>
      </c>
      <c r="H897" s="541">
        <f t="shared" si="128"/>
        <v>137305</v>
      </c>
      <c r="I897" s="542">
        <f t="shared" si="128"/>
        <v>1317930</v>
      </c>
      <c r="J897" s="348">
        <f t="shared" si="128"/>
        <v>5145811</v>
      </c>
      <c r="K897" s="348">
        <f t="shared" si="128"/>
        <v>0</v>
      </c>
    </row>
    <row r="898" spans="1:11">
      <c r="A898" s="333">
        <v>33</v>
      </c>
      <c r="D898" s="344"/>
      <c r="E898" s="196"/>
      <c r="G898" s="547"/>
      <c r="H898" s="537"/>
      <c r="I898" s="538"/>
    </row>
    <row r="899" spans="1:11">
      <c r="A899" s="333">
        <v>34</v>
      </c>
      <c r="C899" s="332" t="str">
        <f>'FR-16(7)(v)-1 Functional'!C899</f>
        <v xml:space="preserve">  RATE OF RETURN EARNED</v>
      </c>
      <c r="D899" s="344"/>
      <c r="E899" s="196"/>
      <c r="F899" s="350">
        <f t="shared" ref="F899:K899" si="129">IF(F331=0,0,ROUND(F897/F331,5))</f>
        <v>7.2109999999999994E-2</v>
      </c>
      <c r="G899" s="575">
        <f t="shared" si="129"/>
        <v>7.1809999999999999E-2</v>
      </c>
      <c r="H899" s="576">
        <f t="shared" si="129"/>
        <v>7.1809999999999999E-2</v>
      </c>
      <c r="I899" s="577">
        <f t="shared" si="129"/>
        <v>7.2980000000000003E-2</v>
      </c>
      <c r="J899" s="350">
        <f t="shared" si="129"/>
        <v>7.2109999999999994E-2</v>
      </c>
      <c r="K899" s="350">
        <f t="shared" si="129"/>
        <v>0</v>
      </c>
    </row>
  </sheetData>
  <pageMargins left="1" right="1" top="1" bottom="1" header="1" footer="0.5"/>
  <pageSetup scale="66" orientation="landscape" blackAndWhite="1" r:id="rId1"/>
  <headerFooter alignWithMargins="0"/>
  <rowBreaks count="13" manualBreakCount="13">
    <brk id="44" max="10" man="1"/>
    <brk id="101" max="10" man="1"/>
    <brk id="151" max="10" man="1"/>
    <brk id="191" max="10" man="1"/>
    <brk id="238" max="10" man="1"/>
    <brk id="283" max="10" man="1"/>
    <brk id="334" max="10" man="1"/>
    <brk id="389" max="10" man="1"/>
    <brk id="433" max="10" man="1"/>
    <brk id="465" max="10" man="1"/>
    <brk id="501" max="10" man="1"/>
    <brk id="565" max="10" man="1"/>
    <brk id="654" max="10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>
    <tabColor rgb="FFFFFF00"/>
    <pageSetUpPr fitToPage="1"/>
  </sheetPr>
  <dimension ref="A1:N899"/>
  <sheetViews>
    <sheetView topLeftCell="A653" zoomScale="80" zoomScaleNormal="80" zoomScaleSheetLayoutView="80" workbookViewId="0">
      <selection activeCell="A656" sqref="A656:K694"/>
    </sheetView>
  </sheetViews>
  <sheetFormatPr defaultColWidth="8.77734375" defaultRowHeight="12.75"/>
  <cols>
    <col min="1" max="1" width="6.44140625" style="332" customWidth="1"/>
    <col min="2" max="2" width="3.5546875" style="332" customWidth="1"/>
    <col min="3" max="3" width="41.6640625" style="332" customWidth="1"/>
    <col min="4" max="4" width="8.33203125" style="333" customWidth="1"/>
    <col min="5" max="5" width="8.77734375" style="332" customWidth="1"/>
    <col min="6" max="6" width="14" style="332" customWidth="1"/>
    <col min="7" max="8" width="11.88671875" style="332" customWidth="1"/>
    <col min="9" max="9" width="13.77734375" style="332" customWidth="1"/>
    <col min="10" max="11" width="11.88671875" style="332" customWidth="1"/>
    <col min="12" max="16384" width="8.77734375" style="332"/>
  </cols>
  <sheetData>
    <row r="1" spans="1:11">
      <c r="A1" s="343" t="str">
        <f>co_name</f>
        <v>DUKE ENERGY KENTUCKY, INC.</v>
      </c>
      <c r="C1" s="196"/>
      <c r="D1" s="344"/>
      <c r="E1" s="196"/>
      <c r="F1" s="196"/>
      <c r="G1" s="196"/>
      <c r="H1" s="196"/>
      <c r="I1" s="196"/>
      <c r="J1" s="583" t="s">
        <v>1548</v>
      </c>
      <c r="K1" s="196"/>
    </row>
    <row r="2" spans="1:11">
      <c r="A2" s="583" t="s">
        <v>1285</v>
      </c>
      <c r="C2" s="196"/>
      <c r="D2" s="344"/>
      <c r="E2" s="196"/>
      <c r="F2" s="196"/>
      <c r="G2" s="196"/>
      <c r="H2" s="196"/>
      <c r="I2" s="196"/>
      <c r="J2" s="583" t="s">
        <v>437</v>
      </c>
      <c r="K2" s="196"/>
    </row>
    <row r="3" spans="1:11">
      <c r="A3" s="343" t="str">
        <f>case_name</f>
        <v>CASE NO: 2018-00261</v>
      </c>
      <c r="C3" s="196"/>
      <c r="D3" s="344"/>
      <c r="E3" s="196"/>
      <c r="F3" s="196"/>
      <c r="G3" s="196"/>
      <c r="H3" s="196"/>
      <c r="I3" s="196"/>
      <c r="J3" s="196" t="str">
        <f>Witness</f>
        <v>JAMES E. ZIOLKOWSKI</v>
      </c>
      <c r="K3" s="196"/>
    </row>
    <row r="4" spans="1:11">
      <c r="A4" s="343" t="str">
        <f>data_filing</f>
        <v>DATA: 12 MONTH FORECASTED PERIOD</v>
      </c>
      <c r="C4" s="196"/>
      <c r="D4" s="344"/>
      <c r="E4" s="196"/>
      <c r="F4" s="196"/>
      <c r="G4" s="196"/>
      <c r="H4" s="196"/>
      <c r="I4" s="196"/>
      <c r="J4" s="196" t="str">
        <f>"PAGE "&amp;Pages2-14&amp;" OF "&amp;Pages2</f>
        <v>PAGE 1 OF 15</v>
      </c>
      <c r="K4" s="196"/>
    </row>
    <row r="5" spans="1:11">
      <c r="A5" s="343" t="str">
        <f>type</f>
        <v xml:space="preserve">TYPE OF FILING: "X" ORIGINAL   UPDATED    REVISED  </v>
      </c>
      <c r="C5" s="196"/>
      <c r="D5" s="344"/>
      <c r="E5" s="196"/>
      <c r="F5" s="196"/>
      <c r="G5" s="196"/>
      <c r="H5" s="196"/>
      <c r="I5" s="196"/>
      <c r="J5" s="196"/>
      <c r="K5" s="196"/>
    </row>
    <row r="6" spans="1:11">
      <c r="A6" s="343"/>
      <c r="C6" s="196"/>
      <c r="D6" s="344"/>
      <c r="E6" s="196"/>
      <c r="F6" s="196"/>
      <c r="G6" s="196"/>
      <c r="H6" s="196"/>
      <c r="I6" s="196"/>
      <c r="J6" s="196"/>
      <c r="K6" s="196"/>
    </row>
    <row r="7" spans="1:11">
      <c r="A7" s="343"/>
      <c r="C7" s="196"/>
      <c r="D7" s="344"/>
      <c r="E7" s="196"/>
      <c r="F7" s="196"/>
      <c r="G7" s="196"/>
      <c r="H7" s="196"/>
      <c r="I7" s="196"/>
      <c r="J7" s="196"/>
      <c r="K7" s="196"/>
    </row>
    <row r="8" spans="1:11">
      <c r="A8" s="344" t="s">
        <v>914</v>
      </c>
      <c r="B8" s="196"/>
      <c r="C8" s="196"/>
      <c r="D8" s="344"/>
      <c r="E8" s="196"/>
      <c r="F8" s="344" t="s">
        <v>229</v>
      </c>
      <c r="G8" s="545" t="s">
        <v>1005</v>
      </c>
      <c r="H8" s="533"/>
      <c r="I8" s="534"/>
      <c r="J8" s="344" t="s">
        <v>229</v>
      </c>
      <c r="K8" s="344" t="s">
        <v>342</v>
      </c>
    </row>
    <row r="9" spans="1:11">
      <c r="A9" s="346" t="s">
        <v>915</v>
      </c>
      <c r="B9" s="345" t="s">
        <v>102</v>
      </c>
      <c r="C9" s="345"/>
      <c r="D9" s="346" t="s">
        <v>337</v>
      </c>
      <c r="E9" s="345"/>
      <c r="F9" s="829" t="s">
        <v>984</v>
      </c>
      <c r="G9" s="546" t="s">
        <v>847</v>
      </c>
      <c r="H9" s="535" t="s">
        <v>848</v>
      </c>
      <c r="I9" s="536" t="s">
        <v>849</v>
      </c>
      <c r="J9" s="346" t="s">
        <v>341</v>
      </c>
      <c r="K9" s="346" t="s">
        <v>340</v>
      </c>
    </row>
    <row r="10" spans="1:11">
      <c r="C10" s="578" t="s">
        <v>354</v>
      </c>
      <c r="D10" s="344"/>
      <c r="E10" s="196"/>
      <c r="G10" s="785">
        <v>3</v>
      </c>
      <c r="H10" s="786">
        <v>4</v>
      </c>
      <c r="I10" s="787">
        <v>5</v>
      </c>
    </row>
    <row r="11" spans="1:11">
      <c r="A11" s="333">
        <v>1</v>
      </c>
      <c r="B11" s="332" t="s">
        <v>100</v>
      </c>
      <c r="D11" s="344"/>
      <c r="E11" s="196"/>
      <c r="G11" s="547"/>
      <c r="H11" s="537"/>
      <c r="I11" s="538"/>
    </row>
    <row r="12" spans="1:11">
      <c r="A12" s="333">
        <v>2</v>
      </c>
      <c r="C12" s="332" t="str">
        <f>'FR-16(7)(v)-1 Functional'!C12</f>
        <v>GROSS GAS PLANT IN SERVICE</v>
      </c>
      <c r="D12" s="344"/>
      <c r="E12" s="196"/>
      <c r="F12" s="347">
        <f>F101</f>
        <v>36724321</v>
      </c>
      <c r="G12" s="548">
        <f>G101</f>
        <v>34679409</v>
      </c>
      <c r="H12" s="539">
        <f>H101</f>
        <v>1100820</v>
      </c>
      <c r="I12" s="540">
        <f>I101</f>
        <v>944092</v>
      </c>
      <c r="J12" s="347">
        <f>J101</f>
        <v>36724321</v>
      </c>
      <c r="K12" s="347">
        <f>F12-J12</f>
        <v>0</v>
      </c>
    </row>
    <row r="13" spans="1:11">
      <c r="A13" s="333">
        <v>3</v>
      </c>
      <c r="C13" s="332" t="str">
        <f>'FR-16(7)(v)-1 Functional'!C13</f>
        <v>TOTAL DEPRECIATION RESERVE</v>
      </c>
      <c r="D13" s="344"/>
      <c r="E13" s="196"/>
      <c r="F13" s="347">
        <f>-F151</f>
        <v>-12138011</v>
      </c>
      <c r="G13" s="548">
        <f>-G151</f>
        <v>-11252348</v>
      </c>
      <c r="H13" s="539">
        <f>-H151</f>
        <v>-605738</v>
      </c>
      <c r="I13" s="540">
        <f>-I151</f>
        <v>-279925</v>
      </c>
      <c r="J13" s="347">
        <f>-J151</f>
        <v>-12138011</v>
      </c>
      <c r="K13" s="347">
        <f>F13-J13</f>
        <v>0</v>
      </c>
    </row>
    <row r="14" spans="1:11">
      <c r="A14" s="333">
        <v>4</v>
      </c>
      <c r="C14" s="359" t="str">
        <f>'FR-16(7)(v)-1 Functional'!C14</f>
        <v>TOTAL RATE BASE ADJUSTMENTS</v>
      </c>
      <c r="D14" s="344"/>
      <c r="E14" s="196"/>
      <c r="F14" s="347">
        <f>F326</f>
        <v>-4513178</v>
      </c>
      <c r="G14" s="548">
        <f>G326</f>
        <v>-5089840</v>
      </c>
      <c r="H14" s="539">
        <f>H326</f>
        <v>762404</v>
      </c>
      <c r="I14" s="540">
        <f>I326</f>
        <v>-185742</v>
      </c>
      <c r="J14" s="347">
        <f>J326</f>
        <v>-4513178</v>
      </c>
      <c r="K14" s="347">
        <f>F14-J14</f>
        <v>0</v>
      </c>
    </row>
    <row r="15" spans="1:11">
      <c r="A15" s="333">
        <v>5</v>
      </c>
      <c r="C15" s="332" t="str">
        <f>'FR-16(7)(v)-1 Functional'!C15</f>
        <v xml:space="preserve">  TOTAL RATE BASE</v>
      </c>
      <c r="D15" s="344"/>
      <c r="E15" s="196"/>
      <c r="F15" s="348">
        <f t="shared" ref="F15:K15" si="0">SUM(F12:F14)</f>
        <v>20073132</v>
      </c>
      <c r="G15" s="549">
        <f t="shared" si="0"/>
        <v>18337221</v>
      </c>
      <c r="H15" s="541">
        <f t="shared" si="0"/>
        <v>1257486</v>
      </c>
      <c r="I15" s="542">
        <f t="shared" si="0"/>
        <v>478425</v>
      </c>
      <c r="J15" s="348">
        <f t="shared" si="0"/>
        <v>20073132</v>
      </c>
      <c r="K15" s="348">
        <f t="shared" si="0"/>
        <v>0</v>
      </c>
    </row>
    <row r="16" spans="1:11">
      <c r="A16" s="333">
        <v>6</v>
      </c>
      <c r="D16" s="344"/>
      <c r="E16" s="196"/>
      <c r="G16" s="547"/>
      <c r="H16" s="537"/>
      <c r="I16" s="538"/>
    </row>
    <row r="17" spans="1:11">
      <c r="A17" s="333">
        <v>7</v>
      </c>
      <c r="B17" s="332" t="s">
        <v>98</v>
      </c>
      <c r="D17" s="344"/>
      <c r="E17" s="196"/>
      <c r="G17" s="547"/>
      <c r="H17" s="537"/>
      <c r="I17" s="538"/>
    </row>
    <row r="18" spans="1:11">
      <c r="A18" s="333">
        <v>8</v>
      </c>
      <c r="C18" s="332" t="str">
        <f>'FR-16(7)(v)-1 Functional'!C18</f>
        <v>TOTAL O&amp;M EXPENSE</v>
      </c>
      <c r="D18" s="344"/>
      <c r="E18" s="196"/>
      <c r="F18" s="347">
        <f>F433</f>
        <v>8824202</v>
      </c>
      <c r="G18" s="548">
        <f>G433</f>
        <v>920064</v>
      </c>
      <c r="H18" s="539">
        <f>H433</f>
        <v>7748449</v>
      </c>
      <c r="I18" s="540">
        <f>I433</f>
        <v>155689</v>
      </c>
      <c r="J18" s="347">
        <f>J433</f>
        <v>8824202</v>
      </c>
      <c r="K18" s="347">
        <f t="shared" ref="K18:K24" si="1">F18-J18</f>
        <v>0</v>
      </c>
    </row>
    <row r="19" spans="1:11">
      <c r="A19" s="333">
        <v>9</v>
      </c>
      <c r="C19" s="332" t="str">
        <f>'FR-16(7)(v)-1 Functional'!C19</f>
        <v>TOTAL DEPRECIATION EXPENSE</v>
      </c>
      <c r="D19" s="344"/>
      <c r="E19" s="196"/>
      <c r="F19" s="347">
        <f>F465</f>
        <v>901967</v>
      </c>
      <c r="G19" s="548">
        <f>G465</f>
        <v>797623</v>
      </c>
      <c r="H19" s="539">
        <f>H465</f>
        <v>73357</v>
      </c>
      <c r="I19" s="540">
        <f>I465</f>
        <v>30987</v>
      </c>
      <c r="J19" s="347">
        <f>J465</f>
        <v>901967</v>
      </c>
      <c r="K19" s="347">
        <f t="shared" si="1"/>
        <v>0</v>
      </c>
    </row>
    <row r="20" spans="1:11">
      <c r="A20" s="333">
        <v>10</v>
      </c>
      <c r="C20" s="359" t="str">
        <f>'FR-16(7)(v)-1 Functional'!C20</f>
        <v>TOTAL OTHER TAX &amp; MISC EXPENSE</v>
      </c>
      <c r="D20" s="344"/>
      <c r="E20" s="196"/>
      <c r="F20" s="347">
        <f>F495</f>
        <v>251215</v>
      </c>
      <c r="G20" s="548">
        <f>$G$495</f>
        <v>221906</v>
      </c>
      <c r="H20" s="539">
        <f>$H$495</f>
        <v>19577</v>
      </c>
      <c r="I20" s="540">
        <f>$I$495</f>
        <v>9732</v>
      </c>
      <c r="J20" s="347">
        <f>$J$495</f>
        <v>251215</v>
      </c>
      <c r="K20" s="347">
        <f t="shared" si="1"/>
        <v>0</v>
      </c>
    </row>
    <row r="21" spans="1:11">
      <c r="A21" s="333">
        <v>11</v>
      </c>
      <c r="C21" s="332" t="str">
        <f>'FR-16(7)(v)-1 Functional'!C21</f>
        <v xml:space="preserve">  TOTAL OP EXP EXCLUDING INC &amp; REV TAX</v>
      </c>
      <c r="D21" s="344"/>
      <c r="E21" s="196"/>
      <c r="F21" s="348">
        <f>SUM(F17:F20)</f>
        <v>9977384</v>
      </c>
      <c r="G21" s="549">
        <f>SUM(G17:G20)</f>
        <v>1939593</v>
      </c>
      <c r="H21" s="541">
        <f>SUM(H17:H20)</f>
        <v>7841383</v>
      </c>
      <c r="I21" s="542">
        <f>SUM(I17:I20)</f>
        <v>196408</v>
      </c>
      <c r="J21" s="348">
        <f>SUM(J17:J20)</f>
        <v>9977384</v>
      </c>
      <c r="K21" s="348">
        <f t="shared" si="1"/>
        <v>0</v>
      </c>
    </row>
    <row r="22" spans="1:11">
      <c r="A22" s="333">
        <v>12</v>
      </c>
      <c r="C22" s="332" t="str">
        <f>'FR-16(7)(v)-1 Functional'!C22</f>
        <v>NET FED INCOME TAX EXP ALLOWABLE</v>
      </c>
      <c r="D22" s="344"/>
      <c r="E22" s="196"/>
      <c r="F22" s="347">
        <f ca="1">F557</f>
        <v>349462</v>
      </c>
      <c r="G22" s="548">
        <f ca="1">$G$557</f>
        <v>144043</v>
      </c>
      <c r="H22" s="539">
        <f ca="1">$H$557</f>
        <v>195549</v>
      </c>
      <c r="I22" s="540">
        <f ca="1">$I$557</f>
        <v>9870</v>
      </c>
      <c r="J22" s="347">
        <f ca="1">$J$557</f>
        <v>349462</v>
      </c>
      <c r="K22" s="347">
        <f t="shared" ca="1" si="1"/>
        <v>0</v>
      </c>
    </row>
    <row r="23" spans="1:11">
      <c r="A23" s="333">
        <v>13</v>
      </c>
      <c r="C23" s="359" t="str">
        <f>'FR-16(7)(v)-1 Functional'!C23</f>
        <v>NET STATE INCOME TAX EXP ALLOWABLE</v>
      </c>
      <c r="D23" s="344"/>
      <c r="E23" s="196"/>
      <c r="F23" s="347">
        <f ca="1">F605</f>
        <v>60548</v>
      </c>
      <c r="G23" s="548">
        <f ca="1">G605</f>
        <v>36841</v>
      </c>
      <c r="H23" s="539">
        <f ca="1">H605</f>
        <v>11879</v>
      </c>
      <c r="I23" s="540">
        <f ca="1">I605</f>
        <v>11826</v>
      </c>
      <c r="J23" s="347">
        <f ca="1">J605</f>
        <v>60546</v>
      </c>
      <c r="K23" s="347">
        <f t="shared" ca="1" si="1"/>
        <v>2</v>
      </c>
    </row>
    <row r="24" spans="1:11">
      <c r="A24" s="333">
        <v>14</v>
      </c>
      <c r="C24" s="332" t="str">
        <f>'FR-16(7)(v)-1 Functional'!C24</f>
        <v xml:space="preserve">  TOTAL OPERATING EXPENSE</v>
      </c>
      <c r="D24" s="344"/>
      <c r="E24" s="196"/>
      <c r="F24" s="348">
        <f ca="1">SUM(F21:F23)</f>
        <v>10387394</v>
      </c>
      <c r="G24" s="549">
        <f ca="1">SUM(G21:G23)</f>
        <v>2120477</v>
      </c>
      <c r="H24" s="541">
        <f ca="1">SUM(H21:H23)</f>
        <v>8048811</v>
      </c>
      <c r="I24" s="542">
        <f ca="1">SUM(I21:I23)</f>
        <v>218104</v>
      </c>
      <c r="J24" s="348">
        <f ca="1">SUM(J21:J23)</f>
        <v>10387392</v>
      </c>
      <c r="K24" s="348">
        <f t="shared" ca="1" si="1"/>
        <v>2</v>
      </c>
    </row>
    <row r="25" spans="1:11">
      <c r="A25" s="333">
        <v>15</v>
      </c>
      <c r="D25" s="344"/>
      <c r="E25" s="196"/>
      <c r="G25" s="547"/>
      <c r="H25" s="537"/>
      <c r="I25" s="538"/>
    </row>
    <row r="26" spans="1:11">
      <c r="A26" s="333">
        <v>16</v>
      </c>
      <c r="B26" s="332" t="s">
        <v>43</v>
      </c>
      <c r="D26" s="344"/>
      <c r="E26" s="196"/>
      <c r="F26" s="347">
        <f>F334</f>
        <v>1441452</v>
      </c>
      <c r="G26" s="548">
        <f>G334</f>
        <v>1316796</v>
      </c>
      <c r="H26" s="539">
        <f>H334</f>
        <v>90300</v>
      </c>
      <c r="I26" s="540">
        <f>I334</f>
        <v>34356</v>
      </c>
      <c r="J26" s="347">
        <f>J334</f>
        <v>1441452</v>
      </c>
      <c r="K26" s="347">
        <f t="shared" ref="K26:K31" si="2">F26-J26</f>
        <v>0</v>
      </c>
    </row>
    <row r="27" spans="1:11">
      <c r="A27" s="333">
        <v>17</v>
      </c>
      <c r="B27" s="359" t="s">
        <v>103</v>
      </c>
      <c r="C27" s="359"/>
      <c r="D27" s="344"/>
      <c r="E27" s="196"/>
      <c r="F27" s="347">
        <f>-F630</f>
        <v>-2592</v>
      </c>
      <c r="G27" s="548">
        <f>-$G$630</f>
        <v>-1777</v>
      </c>
      <c r="H27" s="539">
        <f>-$H$630</f>
        <v>-586</v>
      </c>
      <c r="I27" s="540">
        <f>-$I$630</f>
        <v>-229</v>
      </c>
      <c r="J27" s="347">
        <f>-$J$630</f>
        <v>-2592</v>
      </c>
      <c r="K27" s="347">
        <f t="shared" si="2"/>
        <v>0</v>
      </c>
    </row>
    <row r="28" spans="1:11">
      <c r="A28" s="333">
        <v>18</v>
      </c>
      <c r="C28" s="332" t="str">
        <f>'FR-16(7)(v)-1 Functional'!C28</f>
        <v>TOTAL GAS COST OF SERVICE</v>
      </c>
      <c r="D28" s="344"/>
      <c r="E28" s="196"/>
      <c r="F28" s="348">
        <f ca="1">SUM(F24:F27)</f>
        <v>11826254</v>
      </c>
      <c r="G28" s="557">
        <f ca="1">SUM(G24:G27)</f>
        <v>3435496</v>
      </c>
      <c r="H28" s="558">
        <f ca="1">SUM(H24:H27)</f>
        <v>8138525</v>
      </c>
      <c r="I28" s="559">
        <f ca="1">SUM(I24:I27)</f>
        <v>252231</v>
      </c>
      <c r="J28" s="348">
        <f ca="1">SUM(J24:J27)</f>
        <v>11826252</v>
      </c>
      <c r="K28" s="348">
        <f t="shared" ca="1" si="2"/>
        <v>2</v>
      </c>
    </row>
    <row r="29" spans="1:11">
      <c r="A29" s="1112">
        <v>19</v>
      </c>
      <c r="B29" s="1113" t="s">
        <v>1206</v>
      </c>
      <c r="C29" s="1114"/>
      <c r="D29" s="1115">
        <f>1-'WP FR-16(7)(v)Rate Incr (15.0%)'!I11</f>
        <v>0.85</v>
      </c>
      <c r="E29" s="1116"/>
      <c r="F29" s="1114"/>
      <c r="G29" s="1118"/>
      <c r="H29" s="1114"/>
      <c r="I29" s="1119"/>
      <c r="J29" s="1114"/>
      <c r="K29" s="1120">
        <f t="shared" si="2"/>
        <v>0</v>
      </c>
    </row>
    <row r="30" spans="1:11">
      <c r="A30" s="1112">
        <v>20</v>
      </c>
      <c r="B30" s="1121" t="s">
        <v>1207</v>
      </c>
      <c r="C30" s="1024"/>
      <c r="D30" s="1122"/>
      <c r="E30" s="1116"/>
      <c r="F30" s="1123">
        <f t="shared" ref="F30:K30" ca="1" si="3">F28+F29</f>
        <v>11826254</v>
      </c>
      <c r="G30" s="1182">
        <f t="shared" ca="1" si="3"/>
        <v>3435496</v>
      </c>
      <c r="H30" s="1180">
        <f t="shared" ca="1" si="3"/>
        <v>8138525</v>
      </c>
      <c r="I30" s="1181">
        <f t="shared" ca="1" si="3"/>
        <v>252231</v>
      </c>
      <c r="J30" s="1123">
        <f t="shared" ca="1" si="3"/>
        <v>11826252</v>
      </c>
      <c r="K30" s="1123">
        <f t="shared" ca="1" si="3"/>
        <v>2</v>
      </c>
    </row>
    <row r="31" spans="1:11">
      <c r="A31" s="1112">
        <v>21</v>
      </c>
      <c r="B31" s="1128" t="s">
        <v>850</v>
      </c>
      <c r="C31" s="1114"/>
      <c r="D31" s="1122"/>
      <c r="E31" s="1116"/>
      <c r="F31" s="1148">
        <f>'FR-16(7)(v)-8 TOT CLASS Alloc'!I31</f>
        <v>5042683</v>
      </c>
      <c r="G31" s="1124">
        <f>'FR-16(7)(v)-5 DISTR Dem Alloc'!I31</f>
        <v>1597864</v>
      </c>
      <c r="H31" s="1125">
        <f>'FR-16(7)(v)-3 PROD Comm Alloc'!I31</f>
        <v>1922220</v>
      </c>
      <c r="I31" s="1126">
        <f>'FR-16(7)(v)-6 DISTR Cust Alloc'!I31</f>
        <v>1522599</v>
      </c>
      <c r="J31" s="1127">
        <f>SUM(G31:I31)</f>
        <v>5042683</v>
      </c>
      <c r="K31" s="1127">
        <f t="shared" si="2"/>
        <v>0</v>
      </c>
    </row>
    <row r="32" spans="1:11">
      <c r="A32" s="1112">
        <v>22</v>
      </c>
      <c r="B32" s="1129" t="s">
        <v>1208</v>
      </c>
      <c r="C32" s="1024"/>
      <c r="D32" s="1122"/>
      <c r="E32" s="1116"/>
      <c r="F32" s="1132">
        <f t="shared" ref="F32:K32" ca="1" si="4">F30-F31</f>
        <v>6783571</v>
      </c>
      <c r="G32" s="1151">
        <f t="shared" ca="1" si="4"/>
        <v>1837632</v>
      </c>
      <c r="H32" s="1169">
        <f t="shared" ca="1" si="4"/>
        <v>6216305</v>
      </c>
      <c r="I32" s="1152">
        <f t="shared" ca="1" si="4"/>
        <v>-1270368</v>
      </c>
      <c r="J32" s="1132">
        <f t="shared" ca="1" si="4"/>
        <v>6783569</v>
      </c>
      <c r="K32" s="1132">
        <f t="shared" ca="1" si="4"/>
        <v>2</v>
      </c>
    </row>
    <row r="33" spans="1:14">
      <c r="A33" s="1112">
        <v>23</v>
      </c>
      <c r="B33" s="1024"/>
      <c r="C33" s="1024"/>
      <c r="D33" s="1122"/>
      <c r="E33" s="1116"/>
      <c r="F33" s="1024"/>
      <c r="G33" s="1134"/>
      <c r="H33" s="1135"/>
      <c r="I33" s="1136"/>
      <c r="J33" s="1024"/>
      <c r="K33" s="1024"/>
    </row>
    <row r="34" spans="1:14">
      <c r="A34" s="1112">
        <v>24</v>
      </c>
      <c r="B34" s="1024" t="s">
        <v>104</v>
      </c>
      <c r="C34" s="1024"/>
      <c r="D34" s="1122"/>
      <c r="E34" s="1116"/>
      <c r="F34" s="1127">
        <f ca="1">F654+F26</f>
        <v>-3605858</v>
      </c>
      <c r="G34" s="1124">
        <f ca="1">G654+G26</f>
        <v>-35148</v>
      </c>
      <c r="H34" s="1125">
        <f ca="1">H654+H26</f>
        <v>-4567673</v>
      </c>
      <c r="I34" s="1126">
        <f ca="1">I654+I26</f>
        <v>996963</v>
      </c>
      <c r="J34" s="1127">
        <f ca="1">J654+J26</f>
        <v>-3605858</v>
      </c>
      <c r="K34" s="1127">
        <f ca="1">F34-J34</f>
        <v>0</v>
      </c>
    </row>
    <row r="35" spans="1:14">
      <c r="A35" s="1112">
        <v>25</v>
      </c>
      <c r="B35" s="1024" t="s">
        <v>105</v>
      </c>
      <c r="C35" s="1024"/>
      <c r="D35" s="1122"/>
      <c r="E35" s="1116"/>
      <c r="F35" s="1137">
        <f t="shared" ref="F35:K35" ca="1" si="5">IF(F331=0,0,ROUND(F34/F331,5))</f>
        <v>-0.17963999999999999</v>
      </c>
      <c r="G35" s="1138">
        <f t="shared" ca="1" si="5"/>
        <v>-1.92E-3</v>
      </c>
      <c r="H35" s="1139">
        <f t="shared" ca="1" si="5"/>
        <v>-3.6323799999999999</v>
      </c>
      <c r="I35" s="1140">
        <f t="shared" ca="1" si="5"/>
        <v>2.0838399999999999</v>
      </c>
      <c r="J35" s="1137">
        <f t="shared" ca="1" si="5"/>
        <v>-0.17963999999999999</v>
      </c>
      <c r="K35" s="1137">
        <f t="shared" si="5"/>
        <v>0</v>
      </c>
    </row>
    <row r="36" spans="1:14">
      <c r="A36" s="1112">
        <v>26</v>
      </c>
      <c r="B36" s="1024" t="s">
        <v>42</v>
      </c>
      <c r="C36" s="1024"/>
      <c r="D36" s="1122"/>
      <c r="E36" s="1116"/>
      <c r="F36" s="1137">
        <f>$F$688</f>
        <v>7.1809999999999999E-2</v>
      </c>
      <c r="G36" s="1138">
        <f>F688</f>
        <v>7.1809999999999999E-2</v>
      </c>
      <c r="H36" s="1139">
        <f>F688</f>
        <v>7.1809999999999999E-2</v>
      </c>
      <c r="I36" s="1140">
        <f>F688</f>
        <v>7.1809999999999999E-2</v>
      </c>
      <c r="J36" s="1137">
        <f>$F$688</f>
        <v>7.1809999999999999E-2</v>
      </c>
      <c r="K36" s="1137">
        <f>IF(K35=0,0,$F$688)</f>
        <v>0</v>
      </c>
      <c r="N36" s="659" t="s">
        <v>1210</v>
      </c>
    </row>
    <row r="37" spans="1:14">
      <c r="A37" s="1112">
        <v>27</v>
      </c>
      <c r="B37" s="1024" t="s">
        <v>106</v>
      </c>
      <c r="C37" s="1024"/>
      <c r="D37" s="1122"/>
      <c r="E37" s="1116"/>
      <c r="F37" s="1137">
        <f ca="1">IF(F670=0,0,(F35-$F$683-$F$684-$F$686)*$F$673/$F$670)</f>
        <v>-0.39641503123584326</v>
      </c>
      <c r="G37" s="1138">
        <f ca="1">IF(F670=0,0,(G35-F683-F684-F686)*F673/F670)</f>
        <v>-4.6261555335077538E-2</v>
      </c>
      <c r="H37" s="1139">
        <f ca="1">IF(F670=0,0,(H35-F683-F684-F686)*F673/F670)</f>
        <v>-7.1991885647808012</v>
      </c>
      <c r="I37" s="1140">
        <f ca="1">IF(F670=0,0,(I35-F683-F684-F686)*F673/F670)</f>
        <v>4.0632146650947059</v>
      </c>
      <c r="J37" s="1137">
        <f ca="1">IF(F670=0,0,(J35-F683-F684-F686)*F673/F670)</f>
        <v>-0.39641503123584326</v>
      </c>
      <c r="K37" s="1137">
        <f>IF(OR(E670=0,K35=0)=TRUE,0,(K35-E683-E684-E686)*E673/E670)</f>
        <v>0</v>
      </c>
      <c r="N37" s="659" t="s">
        <v>1211</v>
      </c>
    </row>
    <row r="38" spans="1:14">
      <c r="A38" s="1112">
        <v>28</v>
      </c>
      <c r="B38" s="1024" t="s">
        <v>107</v>
      </c>
      <c r="C38" s="1024"/>
      <c r="D38" s="1122"/>
      <c r="E38" s="1116"/>
      <c r="F38" s="1137">
        <f>IF(F670=0,0,(F36-$F$683-$F$684-$F$686)*$F$673/$F$670)</f>
        <v>9.9005245127242167E-2</v>
      </c>
      <c r="G38" s="1138">
        <f>IF(F670=0,0,(G36-F683-F684-F686)*F673/F670)</f>
        <v>9.9005245127242167E-2</v>
      </c>
      <c r="H38" s="1139">
        <f>IF(F670=0,0,(H36-F683-F684-F686)*F673/F670)</f>
        <v>9.9005245127242167E-2</v>
      </c>
      <c r="I38" s="1140">
        <f>IF(F670=0,0,(I36-F683-F684-F686)*F673/F670)</f>
        <v>9.9005245127242167E-2</v>
      </c>
      <c r="J38" s="1137">
        <f>IF($F$670=0,0,(J36-$F$683-$F$684-$F$686)*$F$673/$F$670)</f>
        <v>9.9005245127242167E-2</v>
      </c>
      <c r="K38" s="1137">
        <f>IF(OR($F$670=0,K36=0)=TRUE,0,(K36-$F$683-$F$684-$F$686)*$F$673/$F$670)</f>
        <v>0</v>
      </c>
    </row>
    <row r="39" spans="1:14">
      <c r="A39" s="1112">
        <v>29</v>
      </c>
      <c r="B39" s="1024"/>
      <c r="C39" s="1024"/>
      <c r="D39" s="1122"/>
      <c r="E39" s="1116"/>
      <c r="F39" s="1024" t="s">
        <v>343</v>
      </c>
      <c r="G39" s="1134"/>
      <c r="H39" s="1135"/>
      <c r="I39" s="1136"/>
      <c r="J39" s="1024"/>
      <c r="K39" s="1024"/>
    </row>
    <row r="40" spans="1:14">
      <c r="A40" s="1112">
        <v>30</v>
      </c>
      <c r="B40" s="1024" t="s">
        <v>108</v>
      </c>
      <c r="C40" s="1024"/>
      <c r="D40" s="1122"/>
      <c r="E40" s="1116"/>
      <c r="F40" s="1148">
        <f>'FR-16(7)(v)-8 TOT CLASS Alloc'!I40</f>
        <v>5042683</v>
      </c>
      <c r="G40" s="1124">
        <f>'FR-16(7)(v)-5 DISTR Dem Alloc'!I40</f>
        <v>1597864</v>
      </c>
      <c r="H40" s="1125">
        <f>'FR-16(7)(v)-3 PROD Comm Alloc'!I40</f>
        <v>1922220</v>
      </c>
      <c r="I40" s="1126">
        <f>'FR-16(7)(v)-6 DISTR Cust Alloc'!I40</f>
        <v>1522599</v>
      </c>
      <c r="J40" s="1127">
        <f>SUM(G40:I40)</f>
        <v>5042683</v>
      </c>
      <c r="K40" s="1127">
        <f>F40-J40</f>
        <v>0</v>
      </c>
    </row>
    <row r="41" spans="1:14">
      <c r="A41" s="1112">
        <v>31</v>
      </c>
      <c r="B41" s="1024" t="s">
        <v>109</v>
      </c>
      <c r="C41" s="1024"/>
      <c r="D41" s="1122"/>
      <c r="E41" s="1116"/>
      <c r="F41" s="1127">
        <f t="shared" ref="F41:K41" ca="1" si="6">F28-F40</f>
        <v>6783571</v>
      </c>
      <c r="G41" s="1124">
        <f t="shared" ca="1" si="6"/>
        <v>1837632</v>
      </c>
      <c r="H41" s="1125">
        <f t="shared" ca="1" si="6"/>
        <v>6216305</v>
      </c>
      <c r="I41" s="1126">
        <f t="shared" ca="1" si="6"/>
        <v>-1270368</v>
      </c>
      <c r="J41" s="1127">
        <f t="shared" ca="1" si="6"/>
        <v>6783569</v>
      </c>
      <c r="K41" s="1127">
        <f t="shared" ca="1" si="6"/>
        <v>2</v>
      </c>
    </row>
    <row r="42" spans="1:14">
      <c r="A42" s="1112">
        <v>32</v>
      </c>
      <c r="B42" s="1024"/>
      <c r="C42" s="1024" t="s">
        <v>283</v>
      </c>
      <c r="D42" s="1122"/>
      <c r="E42" s="1116"/>
      <c r="F42" s="1141">
        <f t="shared" ref="F42:K42" ca="1" si="7">IF(F40=0,0,ROUND(F41/F40,5))</f>
        <v>1.3452299999999999</v>
      </c>
      <c r="G42" s="1142">
        <f t="shared" ca="1" si="7"/>
        <v>1.1500600000000001</v>
      </c>
      <c r="H42" s="1143">
        <f t="shared" ca="1" si="7"/>
        <v>3.2339199999999999</v>
      </c>
      <c r="I42" s="1144">
        <f t="shared" ca="1" si="7"/>
        <v>-0.83433999999999997</v>
      </c>
      <c r="J42" s="1141">
        <f t="shared" ca="1" si="7"/>
        <v>1.3452299999999999</v>
      </c>
      <c r="K42" s="1127">
        <f t="shared" si="7"/>
        <v>0</v>
      </c>
    </row>
    <row r="43" spans="1:14">
      <c r="A43" s="1112">
        <v>33</v>
      </c>
      <c r="B43" s="1024" t="s">
        <v>110</v>
      </c>
      <c r="C43" s="1024"/>
      <c r="D43" s="1122"/>
      <c r="E43" s="1116"/>
      <c r="F43" s="1127">
        <f t="shared" ref="F43:K43" si="8">F31-F40</f>
        <v>0</v>
      </c>
      <c r="G43" s="1124">
        <f t="shared" si="8"/>
        <v>0</v>
      </c>
      <c r="H43" s="1125">
        <f t="shared" si="8"/>
        <v>0</v>
      </c>
      <c r="I43" s="1126">
        <f t="shared" si="8"/>
        <v>0</v>
      </c>
      <c r="J43" s="1127">
        <f t="shared" si="8"/>
        <v>0</v>
      </c>
      <c r="K43" s="1127">
        <f t="shared" si="8"/>
        <v>0</v>
      </c>
    </row>
    <row r="44" spans="1:14">
      <c r="A44" s="1112">
        <v>34</v>
      </c>
      <c r="B44" s="1024"/>
      <c r="C44" s="1024" t="s">
        <v>283</v>
      </c>
      <c r="D44" s="1122"/>
      <c r="E44" s="1116"/>
      <c r="F44" s="1141">
        <f t="shared" ref="F44:K44" si="9">IF(F40=0,0,ROUND(F43/F40,5))</f>
        <v>0</v>
      </c>
      <c r="G44" s="1145">
        <f t="shared" si="9"/>
        <v>0</v>
      </c>
      <c r="H44" s="1146">
        <f t="shared" si="9"/>
        <v>0</v>
      </c>
      <c r="I44" s="1147">
        <f t="shared" si="9"/>
        <v>0</v>
      </c>
      <c r="J44" s="1141">
        <f t="shared" si="9"/>
        <v>0</v>
      </c>
      <c r="K44" s="1127">
        <f t="shared" si="9"/>
        <v>0</v>
      </c>
    </row>
    <row r="45" spans="1:14">
      <c r="A45" s="343"/>
      <c r="C45" s="196"/>
      <c r="D45" s="344"/>
      <c r="E45" s="196"/>
      <c r="F45" s="196"/>
      <c r="G45" s="196"/>
      <c r="H45" s="196"/>
      <c r="I45" s="196"/>
      <c r="J45" s="196"/>
      <c r="K45" s="196"/>
    </row>
    <row r="46" spans="1:14">
      <c r="A46" s="343" t="str">
        <f>co_name</f>
        <v>DUKE ENERGY KENTUCKY, INC.</v>
      </c>
      <c r="C46" s="196"/>
      <c r="D46" s="344"/>
      <c r="E46" s="196"/>
      <c r="F46" s="196"/>
      <c r="G46" s="196"/>
      <c r="H46" s="196"/>
      <c r="I46" s="196"/>
      <c r="J46" s="196" t="str">
        <f>$J$1</f>
        <v>FR-16(7)(v)-11</v>
      </c>
      <c r="K46" s="196"/>
    </row>
    <row r="47" spans="1:14">
      <c r="A47" s="343" t="str">
        <f>$A$2</f>
        <v>FT-L CLASSIFIED - GAS COST OF SERVICE</v>
      </c>
      <c r="C47" s="196"/>
      <c r="D47" s="344"/>
      <c r="E47" s="196"/>
      <c r="F47" s="196"/>
      <c r="G47" s="196"/>
      <c r="H47" s="196"/>
      <c r="I47" s="196"/>
      <c r="J47" s="196" t="str">
        <f>$J$2</f>
        <v>WITNESS RESPONSIBLE:</v>
      </c>
      <c r="K47" s="196"/>
    </row>
    <row r="48" spans="1:14">
      <c r="A48" s="343" t="str">
        <f>case_name</f>
        <v>CASE NO: 2018-00261</v>
      </c>
      <c r="C48" s="196"/>
      <c r="D48" s="344"/>
      <c r="E48" s="196"/>
      <c r="F48" s="196"/>
      <c r="G48" s="196"/>
      <c r="H48" s="196"/>
      <c r="I48" s="196"/>
      <c r="J48" s="196" t="str">
        <f>Witness</f>
        <v>JAMES E. ZIOLKOWSKI</v>
      </c>
      <c r="K48" s="196"/>
    </row>
    <row r="49" spans="1:11">
      <c r="A49" s="343" t="str">
        <f>data_filing</f>
        <v>DATA: 12 MONTH FORECASTED PERIOD</v>
      </c>
      <c r="C49" s="196"/>
      <c r="D49" s="344"/>
      <c r="E49" s="196"/>
      <c r="F49" s="196"/>
      <c r="G49" s="196"/>
      <c r="H49" s="196"/>
      <c r="I49" s="196"/>
      <c r="J49" s="196" t="str">
        <f>"PAGE "&amp;Pages2-13&amp;" OF "&amp;Pages2</f>
        <v>PAGE 2 OF 15</v>
      </c>
      <c r="K49" s="196"/>
    </row>
    <row r="50" spans="1:11">
      <c r="A50" s="343" t="str">
        <f>type</f>
        <v xml:space="preserve">TYPE OF FILING: "X" ORIGINAL   UPDATED    REVISED  </v>
      </c>
      <c r="C50" s="196"/>
      <c r="D50" s="344"/>
      <c r="E50" s="196"/>
      <c r="F50" s="196"/>
      <c r="G50" s="196"/>
      <c r="H50" s="196"/>
      <c r="I50" s="196"/>
      <c r="J50" s="196"/>
      <c r="K50" s="196"/>
    </row>
    <row r="51" spans="1:11">
      <c r="A51" s="343"/>
      <c r="C51" s="196"/>
      <c r="D51" s="344"/>
      <c r="E51" s="196"/>
      <c r="F51" s="196"/>
      <c r="G51" s="196"/>
      <c r="H51" s="196"/>
      <c r="I51" s="196"/>
      <c r="J51" s="196"/>
      <c r="K51" s="196"/>
    </row>
    <row r="52" spans="1:11">
      <c r="A52" s="343"/>
      <c r="C52" s="196"/>
      <c r="D52" s="344"/>
      <c r="E52" s="196"/>
      <c r="F52" s="196"/>
      <c r="G52" s="196"/>
      <c r="H52" s="196"/>
      <c r="I52" s="196"/>
      <c r="J52" s="196"/>
      <c r="K52" s="196"/>
    </row>
    <row r="53" spans="1:11">
      <c r="A53" s="344" t="s">
        <v>914</v>
      </c>
      <c r="B53" s="196"/>
      <c r="C53" s="196"/>
      <c r="D53" s="344"/>
      <c r="E53" s="196"/>
      <c r="F53" s="344" t="s">
        <v>229</v>
      </c>
      <c r="G53" s="545" t="s">
        <v>1005</v>
      </c>
      <c r="H53" s="533"/>
      <c r="I53" s="534"/>
      <c r="J53" s="344" t="s">
        <v>229</v>
      </c>
      <c r="K53" s="344" t="s">
        <v>342</v>
      </c>
    </row>
    <row r="54" spans="1:11">
      <c r="A54" s="346" t="s">
        <v>915</v>
      </c>
      <c r="B54" s="345" t="s">
        <v>95</v>
      </c>
      <c r="C54" s="345"/>
      <c r="D54" s="346" t="s">
        <v>337</v>
      </c>
      <c r="E54" s="345"/>
      <c r="F54" s="346" t="str">
        <f>$F$9</f>
        <v>FT-L</v>
      </c>
      <c r="G54" s="546" t="s">
        <v>847</v>
      </c>
      <c r="H54" s="535" t="s">
        <v>848</v>
      </c>
      <c r="I54" s="536" t="s">
        <v>849</v>
      </c>
      <c r="J54" s="346" t="s">
        <v>341</v>
      </c>
      <c r="K54" s="346" t="s">
        <v>340</v>
      </c>
    </row>
    <row r="55" spans="1:11">
      <c r="C55" s="578" t="s">
        <v>344</v>
      </c>
      <c r="D55" s="344"/>
      <c r="E55" s="196"/>
      <c r="G55" s="800">
        <f>$G$10</f>
        <v>3</v>
      </c>
      <c r="H55" s="801">
        <f>$H$10</f>
        <v>4</v>
      </c>
      <c r="I55" s="802">
        <f>$I$10</f>
        <v>5</v>
      </c>
      <c r="K55" s="332" t="s">
        <v>343</v>
      </c>
    </row>
    <row r="56" spans="1:11">
      <c r="A56" s="333">
        <v>1</v>
      </c>
      <c r="B56" s="332" t="s">
        <v>14</v>
      </c>
      <c r="E56" s="196"/>
      <c r="G56" s="547"/>
      <c r="H56" s="537"/>
      <c r="I56" s="538"/>
    </row>
    <row r="57" spans="1:11">
      <c r="A57" s="333">
        <v>2</v>
      </c>
      <c r="C57" s="365" t="str">
        <f>'FR-16(7)(v)-1 Functional'!C57</f>
        <v>PRODUCTION PLANT</v>
      </c>
      <c r="D57" s="344" t="str">
        <f>'FR-16(7)(v)-1 Functional'!D57</f>
        <v>K205</v>
      </c>
      <c r="E57" s="196"/>
      <c r="F57" s="479">
        <f>'FR-16(7)(v)-8 TOT CLASS Alloc'!I57</f>
        <v>313080</v>
      </c>
      <c r="G57" s="548">
        <f>'FR-16(7)(v)-5 DISTR Dem Alloc'!$I$57</f>
        <v>0</v>
      </c>
      <c r="H57" s="539">
        <f>'FR-16(7)(v)-3 PROD Comm Alloc'!$I$57</f>
        <v>313080</v>
      </c>
      <c r="I57" s="540">
        <f>'FR-16(7)(v)-6 DISTR Cust Alloc'!$I$57</f>
        <v>0</v>
      </c>
      <c r="J57" s="347">
        <f>SUM($G$57:$I$57)</f>
        <v>313080</v>
      </c>
      <c r="K57" s="347">
        <f>F57-$J$57</f>
        <v>0</v>
      </c>
    </row>
    <row r="58" spans="1:11">
      <c r="A58" s="333">
        <v>3</v>
      </c>
      <c r="C58" s="359" t="str">
        <f>'FR-16(7)(v)-1 Functional'!C58</f>
        <v>GAS PRODUCTION -CPMPL NOT CLASS</v>
      </c>
      <c r="D58" s="344" t="str">
        <f>'FR-16(7)(v)-1 Functional'!D58</f>
        <v>K205</v>
      </c>
      <c r="E58" s="196"/>
      <c r="F58" s="479">
        <f>'FR-16(7)(v)-8 TOT CLASS Alloc'!I58</f>
        <v>0</v>
      </c>
      <c r="G58" s="548">
        <f>'FR-16(7)(v)-5 DISTR Dem Alloc'!$I$58</f>
        <v>0</v>
      </c>
      <c r="H58" s="539">
        <f>'FR-16(7)(v)-3 PROD Comm Alloc'!$I$58</f>
        <v>0</v>
      </c>
      <c r="I58" s="540">
        <f>'FR-16(7)(v)-6 DISTR Cust Alloc'!$I$58</f>
        <v>0</v>
      </c>
      <c r="J58" s="347">
        <f>SUM($G$58:$I$58)</f>
        <v>0</v>
      </c>
      <c r="K58" s="347">
        <f>F58-$J$58</f>
        <v>0</v>
      </c>
    </row>
    <row r="59" spans="1:11">
      <c r="A59" s="333">
        <v>4</v>
      </c>
      <c r="C59" s="332" t="str">
        <f>'FR-16(7)(v)-1 Functional'!C59</f>
        <v xml:space="preserve">  PRODUCTION PLANT IN SERVICE</v>
      </c>
      <c r="D59" s="344"/>
      <c r="E59" s="196"/>
      <c r="F59" s="348">
        <f>SUM(F57:F58)</f>
        <v>313080</v>
      </c>
      <c r="G59" s="549">
        <f>SUM($G$57:$G$58)</f>
        <v>0</v>
      </c>
      <c r="H59" s="541">
        <f>SUM($H$57:$H$58)</f>
        <v>313080</v>
      </c>
      <c r="I59" s="542">
        <f>SUM($I$57:$I$58)</f>
        <v>0</v>
      </c>
      <c r="J59" s="348">
        <f>SUM($J$57:$J$58)</f>
        <v>313080</v>
      </c>
      <c r="K59" s="348">
        <f>SUM($K$57:$K$58)</f>
        <v>0</v>
      </c>
    </row>
    <row r="60" spans="1:11">
      <c r="A60" s="333">
        <v>5</v>
      </c>
      <c r="D60" s="344"/>
      <c r="E60" s="196"/>
      <c r="G60" s="547"/>
      <c r="H60" s="537"/>
      <c r="I60" s="538"/>
    </row>
    <row r="61" spans="1:11">
      <c r="A61" s="333">
        <v>6</v>
      </c>
      <c r="B61" s="332" t="s">
        <v>15</v>
      </c>
      <c r="D61" s="344"/>
      <c r="E61" s="196"/>
      <c r="G61" s="547"/>
      <c r="H61" s="537"/>
      <c r="I61" s="538"/>
    </row>
    <row r="62" spans="1:11">
      <c r="A62" s="333">
        <v>7</v>
      </c>
      <c r="C62" s="359" t="str">
        <f>'FR-16(7)(v)-1 Functional'!C62</f>
        <v>TRANSMISSION PLANT</v>
      </c>
      <c r="D62" s="344" t="s">
        <v>343</v>
      </c>
      <c r="E62" s="196"/>
      <c r="F62" s="477"/>
      <c r="G62" s="548"/>
      <c r="H62" s="539"/>
      <c r="I62" s="540"/>
      <c r="J62" s="347"/>
      <c r="K62" s="347"/>
    </row>
    <row r="63" spans="1:11">
      <c r="A63" s="333">
        <v>8</v>
      </c>
      <c r="C63" s="332" t="str">
        <f>'FR-16(7)(v)-1 Functional'!C63</f>
        <v xml:space="preserve">  TRANSMISSION PLANT IN SERVICE</v>
      </c>
      <c r="D63" s="344"/>
      <c r="E63" s="196"/>
      <c r="F63" s="348">
        <f>SUM(F62)</f>
        <v>0</v>
      </c>
      <c r="G63" s="549">
        <f>SUM($G$62)</f>
        <v>0</v>
      </c>
      <c r="H63" s="541">
        <f>SUM($H$62)</f>
        <v>0</v>
      </c>
      <c r="I63" s="542">
        <f>SUM($I$62)</f>
        <v>0</v>
      </c>
      <c r="J63" s="348">
        <f>SUM($J$62)</f>
        <v>0</v>
      </c>
      <c r="K63" s="348">
        <f>SUM($K$62)</f>
        <v>0</v>
      </c>
    </row>
    <row r="64" spans="1:11">
      <c r="A64" s="333">
        <v>9</v>
      </c>
      <c r="D64" s="344"/>
      <c r="E64" s="196"/>
      <c r="G64" s="547"/>
      <c r="H64" s="537"/>
      <c r="I64" s="538"/>
    </row>
    <row r="65" spans="1:11">
      <c r="A65" s="333">
        <v>10</v>
      </c>
      <c r="B65" s="332" t="s">
        <v>16</v>
      </c>
      <c r="D65" s="344"/>
      <c r="E65" s="196"/>
      <c r="F65" s="347">
        <f>F63+F59</f>
        <v>313080</v>
      </c>
      <c r="G65" s="548">
        <f>$G$63+$G$59</f>
        <v>0</v>
      </c>
      <c r="H65" s="539">
        <f>$H$63+$H$59</f>
        <v>313080</v>
      </c>
      <c r="I65" s="540">
        <f>$I$63+$I$59</f>
        <v>0</v>
      </c>
      <c r="J65" s="347">
        <f>$J$63+$J$59</f>
        <v>313080</v>
      </c>
      <c r="K65" s="347">
        <f>$K$63+$K$59</f>
        <v>0</v>
      </c>
    </row>
    <row r="66" spans="1:11">
      <c r="A66" s="333">
        <v>11</v>
      </c>
      <c r="D66" s="344"/>
      <c r="E66" s="196"/>
      <c r="G66" s="547"/>
      <c r="H66" s="537"/>
      <c r="I66" s="538"/>
    </row>
    <row r="67" spans="1:11">
      <c r="A67" s="333">
        <v>12</v>
      </c>
      <c r="B67" s="332" t="s">
        <v>17</v>
      </c>
      <c r="D67" s="344"/>
      <c r="E67" s="196"/>
      <c r="G67" s="547"/>
      <c r="H67" s="537"/>
      <c r="I67" s="538"/>
    </row>
    <row r="68" spans="1:11">
      <c r="A68" s="333">
        <v>13</v>
      </c>
      <c r="C68" s="332" t="str">
        <f>'FR-16(7)(v)-1 Functional'!C68</f>
        <v>SYSTEM M&amp;R - (2780, 2781)</v>
      </c>
      <c r="D68" s="344" t="str">
        <f>'FR-16(7)(v)-1 Functional'!D68</f>
        <v>K203</v>
      </c>
      <c r="E68" s="196"/>
      <c r="F68" s="479">
        <f>'FR-16(7)(v)-8 TOT CLASS Alloc'!I68</f>
        <v>894311</v>
      </c>
      <c r="G68" s="548">
        <f>'FR-16(7)(v)-5 DISTR Dem Alloc'!I68</f>
        <v>894311</v>
      </c>
      <c r="H68" s="539">
        <f>'FR-16(7)(v)-3 PROD Comm Alloc'!I68</f>
        <v>0</v>
      </c>
      <c r="I68" s="540">
        <f>'FR-16(7)(v)-6 DISTR Cust Alloc'!I68</f>
        <v>0</v>
      </c>
      <c r="J68" s="347">
        <f t="shared" ref="J68:J77" si="10">SUM(G68:I68)</f>
        <v>894311</v>
      </c>
      <c r="K68" s="347">
        <f t="shared" ref="K68:K77" si="11">F68-J68</f>
        <v>0</v>
      </c>
    </row>
    <row r="69" spans="1:11">
      <c r="A69" s="333">
        <v>14</v>
      </c>
      <c r="C69" s="332" t="str">
        <f>'FR-16(7)(v)-1 Functional'!C69</f>
        <v xml:space="preserve">DIST REG EQUIP &amp; CITY GATE M&amp;R- (2782, 2790) </v>
      </c>
      <c r="D69" s="344" t="str">
        <f>'FR-16(7)(v)-1 Functional'!D69</f>
        <v>K203</v>
      </c>
      <c r="E69" s="196"/>
      <c r="F69" s="479">
        <f>'FR-16(7)(v)-8 TOT CLASS Alloc'!I69</f>
        <v>264005</v>
      </c>
      <c r="G69" s="548">
        <f>'FR-16(7)(v)-5 DISTR Dem Alloc'!I69</f>
        <v>264005</v>
      </c>
      <c r="H69" s="539">
        <f>'FR-16(7)(v)-3 PROD Comm Alloc'!I69</f>
        <v>0</v>
      </c>
      <c r="I69" s="540">
        <f>'FR-16(7)(v)-6 DISTR Cust Alloc'!I69</f>
        <v>0</v>
      </c>
      <c r="J69" s="347">
        <f t="shared" si="10"/>
        <v>264005</v>
      </c>
      <c r="K69" s="347">
        <f t="shared" si="11"/>
        <v>0</v>
      </c>
    </row>
    <row r="70" spans="1:11">
      <c r="A70" s="333">
        <v>15</v>
      </c>
      <c r="C70" s="332" t="str">
        <f>'FR-16(7)(v)-1 Functional'!C70</f>
        <v>LARGE IND M&amp;R - (2850, 2851)</v>
      </c>
      <c r="D70" s="344" t="str">
        <f>'FR-16(7)(v)-1 Functional'!D70</f>
        <v>K595</v>
      </c>
      <c r="E70" s="196"/>
      <c r="F70" s="479">
        <f>'FR-16(7)(v)-8 TOT CLASS Alloc'!I70</f>
        <v>302084</v>
      </c>
      <c r="G70" s="548">
        <f>'FR-16(7)(v)-5 DISTR Dem Alloc'!I70</f>
        <v>302084</v>
      </c>
      <c r="H70" s="539">
        <f>'FR-16(7)(v)-3 PROD Comm Alloc'!I70</f>
        <v>0</v>
      </c>
      <c r="I70" s="540">
        <f>'FR-16(7)(v)-6 DISTR Cust Alloc'!I70</f>
        <v>0</v>
      </c>
      <c r="J70" s="347">
        <f t="shared" si="10"/>
        <v>302084</v>
      </c>
      <c r="K70" s="347">
        <f t="shared" si="11"/>
        <v>0</v>
      </c>
    </row>
    <row r="71" spans="1:11">
      <c r="A71" s="333">
        <v>16</v>
      </c>
      <c r="C71" s="332" t="str">
        <f>'FR-16(7)(v)-1 Functional'!C71</f>
        <v>MAINS - (2761, 2762, 2763, 2765)</v>
      </c>
      <c r="D71" s="344" t="str">
        <f>'FR-16(7)(v)-1 Functional'!D71</f>
        <v>K415</v>
      </c>
      <c r="E71" s="196"/>
      <c r="F71" s="479">
        <f>'FR-16(7)(v)-8 TOT CLASS Alloc'!I71</f>
        <v>26027319</v>
      </c>
      <c r="G71" s="548">
        <f>'FR-16(7)(v)-5 DISTR Dem Alloc'!I71</f>
        <v>25983328</v>
      </c>
      <c r="H71" s="539">
        <f>'FR-16(7)(v)-3 PROD Comm Alloc'!I71</f>
        <v>0</v>
      </c>
      <c r="I71" s="540">
        <f>'FR-16(7)(v)-6 DISTR Cust Alloc'!I71</f>
        <v>43991</v>
      </c>
      <c r="J71" s="347">
        <f t="shared" si="10"/>
        <v>26027319</v>
      </c>
      <c r="K71" s="347">
        <f t="shared" si="11"/>
        <v>0</v>
      </c>
    </row>
    <row r="72" spans="1:11">
      <c r="A72" s="333">
        <v>17</v>
      </c>
      <c r="C72" s="332" t="str">
        <f>'FR-16(7)(v)-1 Functional'!C72</f>
        <v>SERVICES - (2801, 2802, 2803)</v>
      </c>
      <c r="D72" s="344" t="str">
        <f>'FR-16(7)(v)-1 Functional'!D72</f>
        <v>K403</v>
      </c>
      <c r="E72" s="196"/>
      <c r="F72" s="479">
        <f>'FR-16(7)(v)-8 TOT CLASS Alloc'!I72</f>
        <v>399420</v>
      </c>
      <c r="G72" s="548">
        <f>'FR-16(7)(v)-5 DISTR Dem Alloc'!I72</f>
        <v>0</v>
      </c>
      <c r="H72" s="539">
        <f>'FR-16(7)(v)-3 PROD Comm Alloc'!I72</f>
        <v>0</v>
      </c>
      <c r="I72" s="540">
        <f>'FR-16(7)(v)-6 DISTR Cust Alloc'!I72</f>
        <v>399420</v>
      </c>
      <c r="J72" s="347">
        <f t="shared" si="10"/>
        <v>399420</v>
      </c>
      <c r="K72" s="347">
        <f t="shared" si="11"/>
        <v>0</v>
      </c>
    </row>
    <row r="73" spans="1:11">
      <c r="A73" s="333">
        <v>18</v>
      </c>
      <c r="C73" s="332" t="str">
        <f>'FR-16(7)(v)-1 Functional'!C73</f>
        <v>MTRS &amp; MTR INST (2810, 2811, 2820, 2821)</v>
      </c>
      <c r="D73" s="344" t="str">
        <f>'FR-16(7)(v)-1 Functional'!D73</f>
        <v>K413</v>
      </c>
      <c r="E73" s="196"/>
      <c r="F73" s="479">
        <f>'FR-16(7)(v)-8 TOT CLASS Alloc'!I73</f>
        <v>187686</v>
      </c>
      <c r="G73" s="548">
        <f>'FR-16(7)(v)-5 DISTR Dem Alloc'!I73</f>
        <v>0</v>
      </c>
      <c r="H73" s="539">
        <f>'FR-16(7)(v)-3 PROD Comm Alloc'!I73</f>
        <v>0</v>
      </c>
      <c r="I73" s="540">
        <f>'FR-16(7)(v)-6 DISTR Cust Alloc'!I73</f>
        <v>187686</v>
      </c>
      <c r="J73" s="347">
        <f t="shared" si="10"/>
        <v>187686</v>
      </c>
      <c r="K73" s="347">
        <f t="shared" si="11"/>
        <v>0</v>
      </c>
    </row>
    <row r="74" spans="1:11">
      <c r="A74" s="333">
        <v>19</v>
      </c>
      <c r="C74" s="332" t="str">
        <f>'FR-16(7)(v)-1 Functional'!C74</f>
        <v>LAND, R OF W, STRUCT &amp; IMPROV</v>
      </c>
      <c r="D74" s="344" t="str">
        <f>'FR-16(7)(v)-1 Functional'!D74</f>
        <v>K203</v>
      </c>
      <c r="E74" s="196"/>
      <c r="F74" s="479">
        <f>'FR-16(7)(v)-8 TOT CLASS Alloc'!I74</f>
        <v>159373</v>
      </c>
      <c r="G74" s="548">
        <f>'FR-16(7)(v)-5 DISTR Dem Alloc'!I74</f>
        <v>159373</v>
      </c>
      <c r="H74" s="539">
        <f>'FR-16(7)(v)-3 PROD Comm Alloc'!I74</f>
        <v>0</v>
      </c>
      <c r="I74" s="540">
        <f>'FR-16(7)(v)-6 DISTR Cust Alloc'!I74</f>
        <v>0</v>
      </c>
      <c r="J74" s="347">
        <f t="shared" si="10"/>
        <v>159373</v>
      </c>
      <c r="K74" s="347">
        <f t="shared" si="11"/>
        <v>0</v>
      </c>
    </row>
    <row r="75" spans="1:11">
      <c r="A75" s="333">
        <v>20</v>
      </c>
      <c r="C75" s="332" t="str">
        <f>'FR-16(7)(v)-1 Functional'!C75</f>
        <v>HOUSE REG &amp; INSTALL (2830, 2840)</v>
      </c>
      <c r="D75" s="344" t="str">
        <f>'FR-16(7)(v)-1 Functional'!D75</f>
        <v>K417</v>
      </c>
      <c r="E75" s="196"/>
      <c r="F75" s="479">
        <f>'FR-16(7)(v)-8 TOT CLASS Alloc'!I75</f>
        <v>102101</v>
      </c>
      <c r="G75" s="548">
        <f>'FR-16(7)(v)-5 DISTR Dem Alloc'!I75</f>
        <v>0</v>
      </c>
      <c r="H75" s="539">
        <f>'FR-16(7)(v)-3 PROD Comm Alloc'!I75</f>
        <v>0</v>
      </c>
      <c r="I75" s="540">
        <f>'FR-16(7)(v)-6 DISTR Cust Alloc'!I75</f>
        <v>102101</v>
      </c>
      <c r="J75" s="347">
        <f t="shared" si="10"/>
        <v>102101</v>
      </c>
      <c r="K75" s="347">
        <f t="shared" si="11"/>
        <v>0</v>
      </c>
    </row>
    <row r="76" spans="1:11">
      <c r="A76" s="333">
        <v>21</v>
      </c>
      <c r="C76" s="365" t="str">
        <f>'FR-16(7)(v)-1 Functional'!C76</f>
        <v>STREET LIGHTING EQUIPMENT &amp; OTH</v>
      </c>
      <c r="D76" s="344" t="str">
        <f>'FR-16(7)(v)-1 Functional'!D76</f>
        <v>K597</v>
      </c>
      <c r="E76" s="196"/>
      <c r="F76" s="479">
        <f>'FR-16(7)(v)-8 TOT CLASS Alloc'!I76</f>
        <v>0</v>
      </c>
      <c r="G76" s="548">
        <f>'FR-16(7)(v)-5 DISTR Dem Alloc'!I76</f>
        <v>0</v>
      </c>
      <c r="H76" s="539">
        <f>'FR-16(7)(v)-3 PROD Comm Alloc'!I76</f>
        <v>0</v>
      </c>
      <c r="I76" s="540">
        <f>'FR-16(7)(v)-6 DISTR Cust Alloc'!I76</f>
        <v>0</v>
      </c>
      <c r="J76" s="347">
        <f t="shared" si="10"/>
        <v>0</v>
      </c>
      <c r="K76" s="347">
        <f t="shared" si="11"/>
        <v>0</v>
      </c>
    </row>
    <row r="77" spans="1:11">
      <c r="A77" s="333">
        <v>22</v>
      </c>
      <c r="C77" s="332" t="str">
        <f>'FR-16(7)(v)-1 Functional'!C77</f>
        <v>ASSET RETIREMENT COST FOR DISTRIBUTION PLANT</v>
      </c>
      <c r="D77" s="344" t="str">
        <f>'FR-16(7)(v)-1 Functional'!D77</f>
        <v>K203</v>
      </c>
      <c r="E77" s="196"/>
      <c r="F77" s="479">
        <f>'FR-16(7)(v)-8 TOT CLASS Alloc'!I77</f>
        <v>5850485</v>
      </c>
      <c r="G77" s="548">
        <f>'FR-16(7)(v)-5 DISTR Dem Alloc'!I77</f>
        <v>5850485</v>
      </c>
      <c r="H77" s="539">
        <f>'FR-16(7)(v)-3 PROD Comm Alloc'!I77</f>
        <v>0</v>
      </c>
      <c r="I77" s="540">
        <f>'FR-16(7)(v)-6 DISTR Cust Alloc'!I77</f>
        <v>0</v>
      </c>
      <c r="J77" s="347">
        <f t="shared" si="10"/>
        <v>5850485</v>
      </c>
      <c r="K77" s="347">
        <f t="shared" si="11"/>
        <v>0</v>
      </c>
    </row>
    <row r="78" spans="1:11">
      <c r="A78" s="333">
        <v>23</v>
      </c>
      <c r="C78" s="339" t="str">
        <f>'FR-16(7)(v)-1 Functional'!C78</f>
        <v xml:space="preserve">  DISTRIBUTION PLANT IN SERVICE</v>
      </c>
      <c r="D78" s="344"/>
      <c r="E78" s="196"/>
      <c r="F78" s="348">
        <f t="shared" ref="F78:K78" si="12">SUM(F68:F77)</f>
        <v>34186784</v>
      </c>
      <c r="G78" s="549">
        <f t="shared" si="12"/>
        <v>33453586</v>
      </c>
      <c r="H78" s="541">
        <f t="shared" si="12"/>
        <v>0</v>
      </c>
      <c r="I78" s="542">
        <f t="shared" si="12"/>
        <v>733198</v>
      </c>
      <c r="J78" s="348">
        <f t="shared" si="12"/>
        <v>34186784</v>
      </c>
      <c r="K78" s="348">
        <f t="shared" si="12"/>
        <v>0</v>
      </c>
    </row>
    <row r="79" spans="1:11">
      <c r="A79" s="333">
        <v>24</v>
      </c>
      <c r="D79" s="344"/>
      <c r="E79" s="196"/>
      <c r="G79" s="547"/>
      <c r="H79" s="537"/>
      <c r="I79" s="538"/>
    </row>
    <row r="80" spans="1:11">
      <c r="A80" s="333">
        <v>25</v>
      </c>
      <c r="B80" s="332" t="s">
        <v>18</v>
      </c>
      <c r="D80" s="344"/>
      <c r="E80" s="196"/>
      <c r="F80" s="347">
        <f>F78+F63</f>
        <v>34186784</v>
      </c>
      <c r="G80" s="548">
        <f>G78+$G$63</f>
        <v>33453586</v>
      </c>
      <c r="H80" s="539">
        <f>H78+$H$63</f>
        <v>0</v>
      </c>
      <c r="I80" s="540">
        <f>I78+$I$63</f>
        <v>733198</v>
      </c>
      <c r="J80" s="347">
        <f>J78+$J$63</f>
        <v>34186784</v>
      </c>
      <c r="K80" s="347">
        <f>K78+$K$63</f>
        <v>0</v>
      </c>
    </row>
    <row r="81" spans="1:11">
      <c r="A81" s="333">
        <v>26</v>
      </c>
      <c r="B81" s="332" t="s">
        <v>19</v>
      </c>
      <c r="D81" s="344"/>
      <c r="E81" s="196"/>
      <c r="F81" s="347">
        <f t="shared" ref="F81:K81" si="13">F78+F65</f>
        <v>34499864</v>
      </c>
      <c r="G81" s="548">
        <f t="shared" si="13"/>
        <v>33453586</v>
      </c>
      <c r="H81" s="539">
        <f t="shared" si="13"/>
        <v>313080</v>
      </c>
      <c r="I81" s="540">
        <f t="shared" si="13"/>
        <v>733198</v>
      </c>
      <c r="J81" s="347">
        <f t="shared" si="13"/>
        <v>34499864</v>
      </c>
      <c r="K81" s="347">
        <f t="shared" si="13"/>
        <v>0</v>
      </c>
    </row>
    <row r="82" spans="1:11">
      <c r="A82" s="333">
        <v>27</v>
      </c>
      <c r="D82" s="344"/>
      <c r="E82" s="196"/>
      <c r="G82" s="547"/>
      <c r="H82" s="537"/>
      <c r="I82" s="538"/>
    </row>
    <row r="83" spans="1:11">
      <c r="A83" s="333">
        <v>28</v>
      </c>
      <c r="B83" s="332" t="s">
        <v>20</v>
      </c>
      <c r="D83" s="344"/>
      <c r="E83" s="196"/>
      <c r="G83" s="547"/>
      <c r="H83" s="537"/>
      <c r="I83" s="538"/>
    </row>
    <row r="84" spans="1:11">
      <c r="A84" s="333">
        <v>29</v>
      </c>
      <c r="C84" s="332" t="str">
        <f>'FR-16(7)(v)-1 Functional'!C84</f>
        <v>PRODUCTION PLANT</v>
      </c>
      <c r="D84" s="344" t="str">
        <f>'FR-16(7)(v)-1 Functional'!D84</f>
        <v>K201</v>
      </c>
      <c r="E84" s="196"/>
      <c r="F84" s="479">
        <f>'FR-16(7)(v)-8 TOT CLASS Alloc'!I84</f>
        <v>289998</v>
      </c>
      <c r="G84" s="548">
        <f>'FR-16(7)(v)-5 DISTR Dem Alloc'!I84</f>
        <v>0</v>
      </c>
      <c r="H84" s="539">
        <f>'FR-16(7)(v)-3 PROD Comm Alloc'!I84</f>
        <v>289998</v>
      </c>
      <c r="I84" s="540">
        <f>'FR-16(7)(v)-6 DISTR Cust Alloc'!I84</f>
        <v>0</v>
      </c>
      <c r="J84" s="347">
        <f t="shared" ref="J84:J89" si="14">SUM(G84:I84)</f>
        <v>289998</v>
      </c>
      <c r="K84" s="347">
        <f t="shared" ref="K84:K89" si="15">F84-J84</f>
        <v>0</v>
      </c>
    </row>
    <row r="85" spans="1:11">
      <c r="A85" s="333">
        <v>30</v>
      </c>
      <c r="C85" s="332" t="str">
        <f>'FR-16(7)(v)-1 Functional'!C85</f>
        <v>PRODUCTION PLANT COMMODITY</v>
      </c>
      <c r="D85" s="344" t="str">
        <f>'FR-16(7)(v)-1 Functional'!D85</f>
        <v>P349</v>
      </c>
      <c r="E85" s="196"/>
      <c r="F85" s="479">
        <f>'FR-16(7)(v)-8 TOT CLASS Alloc'!I85</f>
        <v>226092</v>
      </c>
      <c r="G85" s="548">
        <f>'FR-16(7)(v)-5 DISTR Dem Alloc'!I85</f>
        <v>0</v>
      </c>
      <c r="H85" s="539">
        <f>'FR-16(7)(v)-3 PROD Comm Alloc'!I85</f>
        <v>226092</v>
      </c>
      <c r="I85" s="540">
        <f>'FR-16(7)(v)-6 DISTR Cust Alloc'!I85</f>
        <v>0</v>
      </c>
      <c r="J85" s="347">
        <f t="shared" si="14"/>
        <v>226092</v>
      </c>
      <c r="K85" s="347">
        <f t="shared" si="15"/>
        <v>0</v>
      </c>
    </row>
    <row r="86" spans="1:11">
      <c r="A86" s="333">
        <v>31</v>
      </c>
      <c r="C86" s="332" t="str">
        <f>'FR-16(7)(v)-1 Functional'!C86</f>
        <v>DISTRIBUTION PLANT</v>
      </c>
      <c r="D86" s="344" t="str">
        <f>'FR-16(7)(v)-1 Functional'!D86</f>
        <v>D349</v>
      </c>
      <c r="E86" s="196"/>
      <c r="F86" s="479">
        <f>'FR-16(7)(v)-8 TOT CLASS Alloc'!I86</f>
        <v>934571</v>
      </c>
      <c r="G86" s="548">
        <f>'FR-16(7)(v)-5 DISTR Dem Alloc'!I86</f>
        <v>803102</v>
      </c>
      <c r="H86" s="539">
        <f>'FR-16(7)(v)-3 PROD Comm Alloc'!I86</f>
        <v>0</v>
      </c>
      <c r="I86" s="540">
        <f>'FR-16(7)(v)-6 DISTR Cust Alloc'!I86</f>
        <v>131469</v>
      </c>
      <c r="J86" s="347">
        <f t="shared" si="14"/>
        <v>934571</v>
      </c>
      <c r="K86" s="347">
        <f t="shared" si="15"/>
        <v>0</v>
      </c>
    </row>
    <row r="87" spans="1:11">
      <c r="A87" s="333">
        <v>32</v>
      </c>
      <c r="C87" s="332" t="str">
        <f>'FR-16(7)(v)-1 Functional'!C87</f>
        <v>CUSTOMER ACCOUNTING</v>
      </c>
      <c r="D87" s="344" t="str">
        <f>'FR-16(7)(v)-1 Functional'!D87</f>
        <v>CA19</v>
      </c>
      <c r="E87" s="196"/>
      <c r="F87" s="479">
        <f>'FR-16(7)(v)-8 TOT CLASS Alloc'!I87</f>
        <v>6160</v>
      </c>
      <c r="G87" s="548">
        <f>'FR-16(7)(v)-5 DISTR Dem Alloc'!I87</f>
        <v>0</v>
      </c>
      <c r="H87" s="539">
        <f>'FR-16(7)(v)-3 PROD Comm Alloc'!I87</f>
        <v>0</v>
      </c>
      <c r="I87" s="540">
        <f>'FR-16(7)(v)-6 DISTR Cust Alloc'!I87</f>
        <v>6160</v>
      </c>
      <c r="J87" s="347">
        <f t="shared" si="14"/>
        <v>6160</v>
      </c>
      <c r="K87" s="347">
        <f t="shared" si="15"/>
        <v>0</v>
      </c>
    </row>
    <row r="88" spans="1:11">
      <c r="A88" s="333">
        <v>33</v>
      </c>
      <c r="C88" s="332" t="str">
        <f>'FR-16(7)(v)-1 Functional'!C88</f>
        <v>CUSTOMER SERVICE &amp; INFORMATION</v>
      </c>
      <c r="D88" s="344" t="str">
        <f>'FR-16(7)(v)-1 Functional'!D88</f>
        <v>CS19</v>
      </c>
      <c r="E88" s="196"/>
      <c r="F88" s="479">
        <f>'FR-16(7)(v)-8 TOT CLASS Alloc'!I88</f>
        <v>539</v>
      </c>
      <c r="G88" s="548">
        <f>'FR-16(7)(v)-5 DISTR Dem Alloc'!I88</f>
        <v>0</v>
      </c>
      <c r="H88" s="539">
        <f>'FR-16(7)(v)-3 PROD Comm Alloc'!I88</f>
        <v>0</v>
      </c>
      <c r="I88" s="540">
        <f>'FR-16(7)(v)-6 DISTR Cust Alloc'!I88</f>
        <v>539</v>
      </c>
      <c r="J88" s="347">
        <f t="shared" si="14"/>
        <v>539</v>
      </c>
      <c r="K88" s="347">
        <f t="shared" si="15"/>
        <v>0</v>
      </c>
    </row>
    <row r="89" spans="1:11">
      <c r="A89" s="333">
        <v>34</v>
      </c>
      <c r="C89" s="332" t="str">
        <f>'FR-16(7)(v)-1 Functional'!C89</f>
        <v>SALES</v>
      </c>
      <c r="D89" s="344" t="str">
        <f>'FR-16(7)(v)-1 Functional'!D89</f>
        <v>SE19</v>
      </c>
      <c r="E89" s="196"/>
      <c r="F89" s="479">
        <f>'FR-16(7)(v)-8 TOT CLASS Alloc'!I89</f>
        <v>0</v>
      </c>
      <c r="G89" s="548">
        <f>'FR-16(7)(v)-5 DISTR Dem Alloc'!I89</f>
        <v>0</v>
      </c>
      <c r="H89" s="539">
        <f>'FR-16(7)(v)-3 PROD Comm Alloc'!I89</f>
        <v>0</v>
      </c>
      <c r="I89" s="540">
        <f>'FR-16(7)(v)-6 DISTR Cust Alloc'!I89</f>
        <v>0</v>
      </c>
      <c r="J89" s="347">
        <f t="shared" si="14"/>
        <v>0</v>
      </c>
      <c r="K89" s="347">
        <f t="shared" si="15"/>
        <v>0</v>
      </c>
    </row>
    <row r="90" spans="1:11">
      <c r="A90" s="333">
        <v>35</v>
      </c>
      <c r="C90" s="339" t="str">
        <f>'FR-16(7)(v)-1 Functional'!C90</f>
        <v xml:space="preserve">  GEN &amp; INTANG PLANT IN SERVICE</v>
      </c>
      <c r="D90" s="344"/>
      <c r="E90" s="196"/>
      <c r="F90" s="480">
        <f t="shared" ref="F90:K90" si="16">SUM(F84:F89)</f>
        <v>1457360</v>
      </c>
      <c r="G90" s="549">
        <f t="shared" si="16"/>
        <v>803102</v>
      </c>
      <c r="H90" s="541">
        <f t="shared" si="16"/>
        <v>516090</v>
      </c>
      <c r="I90" s="542">
        <f t="shared" si="16"/>
        <v>138168</v>
      </c>
      <c r="J90" s="348">
        <f t="shared" si="16"/>
        <v>1457360</v>
      </c>
      <c r="K90" s="348">
        <f t="shared" si="16"/>
        <v>0</v>
      </c>
    </row>
    <row r="91" spans="1:11">
      <c r="A91" s="333">
        <v>36</v>
      </c>
      <c r="D91" s="344"/>
      <c r="E91" s="196"/>
      <c r="G91" s="547"/>
      <c r="H91" s="537"/>
      <c r="I91" s="538"/>
    </row>
    <row r="92" spans="1:11">
      <c r="A92" s="333">
        <v>37</v>
      </c>
      <c r="B92" s="332" t="s">
        <v>21</v>
      </c>
      <c r="D92" s="344"/>
      <c r="E92" s="196"/>
      <c r="G92" s="547"/>
      <c r="H92" s="537"/>
      <c r="I92" s="538"/>
    </row>
    <row r="93" spans="1:11">
      <c r="A93" s="333">
        <v>38</v>
      </c>
      <c r="C93" s="332" t="str">
        <f>'FR-16(7)(v)-1 Functional'!C93</f>
        <v>PRODUCTION PLANT</v>
      </c>
      <c r="D93" s="344" t="str">
        <f>'FR-16(7)(v)-1 Functional'!D93</f>
        <v>K201</v>
      </c>
      <c r="E93" s="196"/>
      <c r="F93" s="479">
        <f>'FR-16(7)(v)-8 TOT CLASS Alloc'!I93</f>
        <v>152644</v>
      </c>
      <c r="G93" s="548">
        <f>'FR-16(7)(v)-5 DISTR Dem Alloc'!I93</f>
        <v>0</v>
      </c>
      <c r="H93" s="539">
        <f>'FR-16(7)(v)-3 PROD Comm Alloc'!I93</f>
        <v>152644</v>
      </c>
      <c r="I93" s="540">
        <f>'FR-16(7)(v)-6 DISTR Cust Alloc'!I93</f>
        <v>0</v>
      </c>
      <c r="J93" s="347">
        <f t="shared" ref="J93:J98" si="17">SUM(G93:I93)</f>
        <v>152644</v>
      </c>
      <c r="K93" s="347">
        <f t="shared" ref="K93:K98" si="18">F93-J93</f>
        <v>0</v>
      </c>
    </row>
    <row r="94" spans="1:11">
      <c r="A94" s="333">
        <v>39</v>
      </c>
      <c r="C94" s="332" t="str">
        <f>'FR-16(7)(v)-1 Functional'!C94</f>
        <v>PRODUCTION PLANT COMMODITY</v>
      </c>
      <c r="D94" s="344" t="str">
        <f>'FR-16(7)(v)-1 Functional'!D94</f>
        <v>P349</v>
      </c>
      <c r="E94" s="196"/>
      <c r="F94" s="479">
        <f>'FR-16(7)(v)-8 TOT CLASS Alloc'!I94</f>
        <v>119006</v>
      </c>
      <c r="G94" s="548">
        <f>'FR-16(7)(v)-5 DISTR Dem Alloc'!I94</f>
        <v>0</v>
      </c>
      <c r="H94" s="539">
        <f>'FR-16(7)(v)-3 PROD Comm Alloc'!I94</f>
        <v>119006</v>
      </c>
      <c r="I94" s="540">
        <f>'FR-16(7)(v)-6 DISTR Cust Alloc'!I94</f>
        <v>0</v>
      </c>
      <c r="J94" s="347">
        <f t="shared" si="17"/>
        <v>119006</v>
      </c>
      <c r="K94" s="347">
        <f t="shared" si="18"/>
        <v>0</v>
      </c>
    </row>
    <row r="95" spans="1:11">
      <c r="A95" s="333">
        <v>40</v>
      </c>
      <c r="C95" s="332" t="str">
        <f>'FR-16(7)(v)-1 Functional'!C95</f>
        <v>DISTRIBUTION PLANT</v>
      </c>
      <c r="D95" s="344" t="str">
        <f>'FR-16(7)(v)-1 Functional'!D95</f>
        <v>D349</v>
      </c>
      <c r="E95" s="196"/>
      <c r="F95" s="479">
        <f>'FR-16(7)(v)-8 TOT CLASS Alloc'!I95</f>
        <v>491921</v>
      </c>
      <c r="G95" s="548">
        <f>'FR-16(7)(v)-5 DISTR Dem Alloc'!I95</f>
        <v>422721</v>
      </c>
      <c r="H95" s="539">
        <f>'FR-16(7)(v)-3 PROD Comm Alloc'!I95</f>
        <v>0</v>
      </c>
      <c r="I95" s="540">
        <f>'FR-16(7)(v)-6 DISTR Cust Alloc'!I95</f>
        <v>69200</v>
      </c>
      <c r="J95" s="347">
        <f t="shared" si="17"/>
        <v>491921</v>
      </c>
      <c r="K95" s="347">
        <f t="shared" si="18"/>
        <v>0</v>
      </c>
    </row>
    <row r="96" spans="1:11">
      <c r="A96" s="333">
        <v>41</v>
      </c>
      <c r="C96" s="332" t="str">
        <f>'FR-16(7)(v)-1 Functional'!C96</f>
        <v>CUSTOMER ACCOUNTING</v>
      </c>
      <c r="D96" s="344" t="str">
        <f>'FR-16(7)(v)-1 Functional'!D96</f>
        <v>CA19</v>
      </c>
      <c r="E96" s="196"/>
      <c r="F96" s="479">
        <f>'FR-16(7)(v)-8 TOT CLASS Alloc'!I96</f>
        <v>3242</v>
      </c>
      <c r="G96" s="548">
        <f>'FR-16(7)(v)-5 DISTR Dem Alloc'!I96</f>
        <v>0</v>
      </c>
      <c r="H96" s="539">
        <f>'FR-16(7)(v)-3 PROD Comm Alloc'!I96</f>
        <v>0</v>
      </c>
      <c r="I96" s="540">
        <f>'FR-16(7)(v)-6 DISTR Cust Alloc'!I96</f>
        <v>3242</v>
      </c>
      <c r="J96" s="347">
        <f t="shared" si="17"/>
        <v>3242</v>
      </c>
      <c r="K96" s="347">
        <f t="shared" si="18"/>
        <v>0</v>
      </c>
    </row>
    <row r="97" spans="1:11">
      <c r="A97" s="333">
        <v>42</v>
      </c>
      <c r="C97" s="332" t="str">
        <f>'FR-16(7)(v)-1 Functional'!C97</f>
        <v>CUSTOMER SERVICE &amp; INFORMATION</v>
      </c>
      <c r="D97" s="344" t="str">
        <f>'FR-16(7)(v)-1 Functional'!D97</f>
        <v>CS19</v>
      </c>
      <c r="E97" s="196"/>
      <c r="F97" s="479">
        <f>'FR-16(7)(v)-8 TOT CLASS Alloc'!I97</f>
        <v>284</v>
      </c>
      <c r="G97" s="548">
        <f>'FR-16(7)(v)-5 DISTR Dem Alloc'!I97</f>
        <v>0</v>
      </c>
      <c r="H97" s="539">
        <f>'FR-16(7)(v)-3 PROD Comm Alloc'!I97</f>
        <v>0</v>
      </c>
      <c r="I97" s="540">
        <f>'FR-16(7)(v)-6 DISTR Cust Alloc'!I97</f>
        <v>284</v>
      </c>
      <c r="J97" s="347">
        <f t="shared" si="17"/>
        <v>284</v>
      </c>
      <c r="K97" s="347">
        <f t="shared" si="18"/>
        <v>0</v>
      </c>
    </row>
    <row r="98" spans="1:11">
      <c r="A98" s="333">
        <v>43</v>
      </c>
      <c r="C98" s="365" t="str">
        <f>'FR-16(7)(v)-1 Functional'!C98</f>
        <v>SALES</v>
      </c>
      <c r="D98" s="344" t="str">
        <f>'FR-16(7)(v)-1 Functional'!D98</f>
        <v>SE19</v>
      </c>
      <c r="E98" s="196"/>
      <c r="F98" s="479">
        <f>'FR-16(7)(v)-8 TOT CLASS Alloc'!I98</f>
        <v>0</v>
      </c>
      <c r="G98" s="548">
        <f>'FR-16(7)(v)-5 DISTR Dem Alloc'!I98</f>
        <v>0</v>
      </c>
      <c r="H98" s="539">
        <f>'FR-16(7)(v)-3 PROD Comm Alloc'!I98</f>
        <v>0</v>
      </c>
      <c r="I98" s="540">
        <f>'FR-16(7)(v)-6 DISTR Cust Alloc'!I98</f>
        <v>0</v>
      </c>
      <c r="J98" s="347">
        <f t="shared" si="17"/>
        <v>0</v>
      </c>
      <c r="K98" s="347">
        <f t="shared" si="18"/>
        <v>0</v>
      </c>
    </row>
    <row r="99" spans="1:11">
      <c r="A99" s="333">
        <v>44</v>
      </c>
      <c r="C99" s="339" t="str">
        <f>'FR-16(7)(v)-1 Functional'!C99</f>
        <v xml:space="preserve">  COMMON &amp; OTHER PLANT IN SERVICE</v>
      </c>
      <c r="E99" s="196"/>
      <c r="F99" s="348">
        <f t="shared" ref="F99:K99" si="19">SUM(F93:F98)</f>
        <v>767097</v>
      </c>
      <c r="G99" s="549">
        <f t="shared" si="19"/>
        <v>422721</v>
      </c>
      <c r="H99" s="541">
        <f t="shared" si="19"/>
        <v>271650</v>
      </c>
      <c r="I99" s="542">
        <f t="shared" si="19"/>
        <v>72726</v>
      </c>
      <c r="J99" s="348">
        <f t="shared" si="19"/>
        <v>767097</v>
      </c>
      <c r="K99" s="348">
        <f t="shared" si="19"/>
        <v>0</v>
      </c>
    </row>
    <row r="100" spans="1:11">
      <c r="A100" s="333">
        <v>45</v>
      </c>
      <c r="E100" s="196"/>
      <c r="G100" s="547"/>
      <c r="H100" s="537"/>
      <c r="I100" s="538"/>
    </row>
    <row r="101" spans="1:11">
      <c r="A101" s="333">
        <v>46</v>
      </c>
      <c r="B101" s="332" t="s">
        <v>95</v>
      </c>
      <c r="E101" s="196"/>
      <c r="F101" s="347">
        <f t="shared" ref="F101:K101" si="20">F81+F90+F99</f>
        <v>36724321</v>
      </c>
      <c r="G101" s="550">
        <f t="shared" si="20"/>
        <v>34679409</v>
      </c>
      <c r="H101" s="543">
        <f t="shared" si="20"/>
        <v>1100820</v>
      </c>
      <c r="I101" s="544">
        <f t="shared" si="20"/>
        <v>944092</v>
      </c>
      <c r="J101" s="347">
        <f t="shared" si="20"/>
        <v>36724321</v>
      </c>
      <c r="K101" s="347">
        <f t="shared" si="20"/>
        <v>0</v>
      </c>
    </row>
    <row r="102" spans="1:11">
      <c r="B102" s="343"/>
      <c r="C102" s="196"/>
      <c r="D102" s="344"/>
      <c r="E102" s="196"/>
      <c r="F102" s="196"/>
      <c r="G102" s="196"/>
      <c r="H102" s="196"/>
      <c r="I102" s="196"/>
      <c r="J102" s="196"/>
      <c r="K102" s="196"/>
    </row>
    <row r="103" spans="1:11">
      <c r="A103" s="343" t="str">
        <f>co_name</f>
        <v>DUKE ENERGY KENTUCKY, INC.</v>
      </c>
      <c r="C103" s="196"/>
      <c r="D103" s="344"/>
      <c r="E103" s="196"/>
      <c r="F103" s="196"/>
      <c r="G103" s="196"/>
      <c r="H103" s="196"/>
      <c r="I103" s="196"/>
      <c r="J103" s="196" t="str">
        <f>$J$1</f>
        <v>FR-16(7)(v)-11</v>
      </c>
      <c r="K103" s="196"/>
    </row>
    <row r="104" spans="1:11">
      <c r="A104" s="343" t="str">
        <f>$A$2</f>
        <v>FT-L CLASSIFIED - GAS COST OF SERVICE</v>
      </c>
      <c r="C104" s="196"/>
      <c r="D104" s="344"/>
      <c r="E104" s="196"/>
      <c r="F104" s="196"/>
      <c r="G104" s="196"/>
      <c r="H104" s="196"/>
      <c r="I104" s="196"/>
      <c r="J104" s="196" t="str">
        <f>$J$2</f>
        <v>WITNESS RESPONSIBLE:</v>
      </c>
      <c r="K104" s="196"/>
    </row>
    <row r="105" spans="1:11">
      <c r="A105" s="343" t="str">
        <f>case_name</f>
        <v>CASE NO: 2018-00261</v>
      </c>
      <c r="C105" s="196"/>
      <c r="D105" s="344"/>
      <c r="E105" s="196"/>
      <c r="F105" s="196"/>
      <c r="G105" s="196"/>
      <c r="H105" s="196"/>
      <c r="I105" s="196"/>
      <c r="J105" s="196" t="str">
        <f>Witness</f>
        <v>JAMES E. ZIOLKOWSKI</v>
      </c>
      <c r="K105" s="196"/>
    </row>
    <row r="106" spans="1:11">
      <c r="A106" s="343" t="str">
        <f>data_filing</f>
        <v>DATA: 12 MONTH FORECASTED PERIOD</v>
      </c>
      <c r="C106" s="196"/>
      <c r="D106" s="344"/>
      <c r="E106" s="196"/>
      <c r="F106" s="196"/>
      <c r="G106" s="196"/>
      <c r="H106" s="196"/>
      <c r="I106" s="196"/>
      <c r="J106" s="196" t="str">
        <f>"PAGE "&amp;Pages2-12&amp;" OF "&amp;Pages2</f>
        <v>PAGE 3 OF 15</v>
      </c>
      <c r="K106" s="196"/>
    </row>
    <row r="107" spans="1:11">
      <c r="A107" s="343" t="str">
        <f>type</f>
        <v xml:space="preserve">TYPE OF FILING: "X" ORIGINAL   UPDATED    REVISED  </v>
      </c>
      <c r="C107" s="196"/>
      <c r="D107" s="344"/>
      <c r="E107" s="196"/>
      <c r="F107" s="196"/>
      <c r="G107" s="196"/>
      <c r="H107" s="196"/>
      <c r="I107" s="196"/>
      <c r="J107" s="196"/>
      <c r="K107" s="196"/>
    </row>
    <row r="108" spans="1:11">
      <c r="A108" s="343"/>
      <c r="C108" s="196"/>
      <c r="D108" s="344"/>
      <c r="E108" s="196"/>
      <c r="F108" s="196"/>
      <c r="G108" s="196"/>
      <c r="H108" s="196"/>
      <c r="I108" s="196"/>
      <c r="J108" s="196"/>
      <c r="K108" s="196"/>
    </row>
    <row r="109" spans="1:11">
      <c r="B109" s="343"/>
      <c r="C109" s="196"/>
      <c r="D109" s="344"/>
      <c r="E109" s="196"/>
      <c r="F109" s="196"/>
      <c r="G109" s="196"/>
      <c r="H109" s="196"/>
      <c r="I109" s="196"/>
      <c r="J109" s="196"/>
      <c r="K109" s="196"/>
    </row>
    <row r="110" spans="1:11">
      <c r="A110" s="344" t="s">
        <v>914</v>
      </c>
      <c r="B110" s="196"/>
      <c r="C110" s="196"/>
      <c r="D110" s="344"/>
      <c r="E110" s="196"/>
      <c r="F110" s="344" t="s">
        <v>229</v>
      </c>
      <c r="G110" s="545" t="s">
        <v>1005</v>
      </c>
      <c r="H110" s="533"/>
      <c r="I110" s="534"/>
      <c r="J110" s="344" t="s">
        <v>229</v>
      </c>
      <c r="K110" s="344" t="s">
        <v>342</v>
      </c>
    </row>
    <row r="111" spans="1:11">
      <c r="A111" s="346" t="s">
        <v>915</v>
      </c>
      <c r="B111" s="345" t="s">
        <v>22</v>
      </c>
      <c r="C111" s="345"/>
      <c r="D111" s="346" t="s">
        <v>337</v>
      </c>
      <c r="E111" s="345"/>
      <c r="F111" s="346" t="str">
        <f>$F$9</f>
        <v>FT-L</v>
      </c>
      <c r="G111" s="546" t="s">
        <v>847</v>
      </c>
      <c r="H111" s="535" t="s">
        <v>848</v>
      </c>
      <c r="I111" s="536" t="s">
        <v>849</v>
      </c>
      <c r="J111" s="346" t="s">
        <v>341</v>
      </c>
      <c r="K111" s="346" t="s">
        <v>340</v>
      </c>
    </row>
    <row r="112" spans="1:11">
      <c r="C112" s="578" t="s">
        <v>345</v>
      </c>
      <c r="D112" s="344"/>
      <c r="E112" s="196"/>
      <c r="G112" s="800">
        <f>$G$10</f>
        <v>3</v>
      </c>
      <c r="H112" s="801">
        <f>$H$10</f>
        <v>4</v>
      </c>
      <c r="I112" s="802">
        <f>$I$10</f>
        <v>5</v>
      </c>
    </row>
    <row r="113" spans="1:11">
      <c r="A113" s="333">
        <v>1</v>
      </c>
      <c r="B113" s="332" t="s">
        <v>14</v>
      </c>
      <c r="D113" s="344"/>
      <c r="E113" s="196"/>
      <c r="G113" s="547"/>
      <c r="H113" s="537"/>
      <c r="I113" s="538"/>
    </row>
    <row r="114" spans="1:11">
      <c r="A114" s="333">
        <v>2</v>
      </c>
      <c r="C114" s="365" t="str">
        <f>'FR-16(7)(v)-1 Functional'!C114</f>
        <v>PRODUCTION PLANT</v>
      </c>
      <c r="D114" s="344" t="str">
        <f>'FR-16(7)(v)-1 Functional'!D114</f>
        <v>K205</v>
      </c>
      <c r="E114" s="196"/>
      <c r="F114" s="479">
        <f>'FR-16(7)(v)-8 TOT CLASS Alloc'!I114</f>
        <v>182797</v>
      </c>
      <c r="G114" s="548">
        <f>'FR-16(7)(v)-5 DISTR Dem Alloc'!I114</f>
        <v>0</v>
      </c>
      <c r="H114" s="539">
        <f>'FR-16(7)(v)-3 PROD Comm Alloc'!I114</f>
        <v>182797</v>
      </c>
      <c r="I114" s="540">
        <f>'FR-16(7)(v)-6 DISTR Cust Alloc'!I114</f>
        <v>0</v>
      </c>
      <c r="J114" s="347">
        <f>SUM(G114:I114)</f>
        <v>182797</v>
      </c>
      <c r="K114" s="347">
        <f>F114-J114</f>
        <v>0</v>
      </c>
    </row>
    <row r="115" spans="1:11">
      <c r="A115" s="333">
        <v>3</v>
      </c>
      <c r="C115" s="339" t="str">
        <f>'FR-16(7)(v)-1 Functional'!C115</f>
        <v xml:space="preserve">  TOTAL PROD DEPREC RESERVE</v>
      </c>
      <c r="D115" s="344"/>
      <c r="E115" s="196"/>
      <c r="F115" s="348">
        <f t="shared" ref="F115:K115" si="21">SUM(F114:F114)</f>
        <v>182797</v>
      </c>
      <c r="G115" s="549">
        <f t="shared" si="21"/>
        <v>0</v>
      </c>
      <c r="H115" s="541">
        <f t="shared" si="21"/>
        <v>182797</v>
      </c>
      <c r="I115" s="542">
        <f t="shared" si="21"/>
        <v>0</v>
      </c>
      <c r="J115" s="348">
        <f t="shared" si="21"/>
        <v>182797</v>
      </c>
      <c r="K115" s="348">
        <f t="shared" si="21"/>
        <v>0</v>
      </c>
    </row>
    <row r="116" spans="1:11">
      <c r="A116" s="333">
        <v>4</v>
      </c>
      <c r="D116" s="344"/>
      <c r="E116" s="196"/>
      <c r="G116" s="547"/>
      <c r="H116" s="537"/>
      <c r="I116" s="538"/>
    </row>
    <row r="117" spans="1:11">
      <c r="A117" s="333">
        <v>5</v>
      </c>
      <c r="B117" s="332" t="s">
        <v>15</v>
      </c>
      <c r="D117" s="344"/>
      <c r="E117" s="196"/>
      <c r="G117" s="547"/>
      <c r="H117" s="537"/>
      <c r="I117" s="538"/>
    </row>
    <row r="118" spans="1:11">
      <c r="A118" s="333">
        <v>6</v>
      </c>
      <c r="C118" s="359" t="str">
        <f>'FR-16(7)(v)-1 Functional'!C118</f>
        <v>TRANSMISSION PLANT</v>
      </c>
      <c r="D118" s="344" t="s">
        <v>343</v>
      </c>
      <c r="E118" s="196"/>
      <c r="F118" s="477"/>
      <c r="G118" s="548"/>
      <c r="H118" s="539"/>
      <c r="I118" s="540"/>
      <c r="J118" s="347"/>
      <c r="K118" s="347"/>
    </row>
    <row r="119" spans="1:11">
      <c r="A119" s="333">
        <v>7</v>
      </c>
      <c r="C119" s="332" t="str">
        <f>'FR-16(7)(v)-1 Functional'!C119</f>
        <v>TOTAL TRANS DEPREC RESERVE</v>
      </c>
      <c r="D119" s="344"/>
      <c r="E119" s="196"/>
      <c r="F119" s="348">
        <f t="shared" ref="F119:K119" si="22">SUM(F118:F118)</f>
        <v>0</v>
      </c>
      <c r="G119" s="549">
        <f t="shared" si="22"/>
        <v>0</v>
      </c>
      <c r="H119" s="541">
        <f t="shared" si="22"/>
        <v>0</v>
      </c>
      <c r="I119" s="542">
        <f t="shared" si="22"/>
        <v>0</v>
      </c>
      <c r="J119" s="348">
        <f t="shared" si="22"/>
        <v>0</v>
      </c>
      <c r="K119" s="348">
        <f t="shared" si="22"/>
        <v>0</v>
      </c>
    </row>
    <row r="120" spans="1:11">
      <c r="A120" s="333">
        <v>8</v>
      </c>
      <c r="D120" s="344"/>
      <c r="E120" s="196"/>
      <c r="G120" s="547"/>
      <c r="H120" s="537"/>
      <c r="I120" s="538"/>
    </row>
    <row r="121" spans="1:11">
      <c r="A121" s="333">
        <v>9</v>
      </c>
      <c r="B121" s="332" t="s">
        <v>17</v>
      </c>
      <c r="D121" s="344"/>
      <c r="E121" s="196"/>
      <c r="G121" s="547"/>
      <c r="H121" s="537"/>
      <c r="I121" s="538"/>
    </row>
    <row r="122" spans="1:11">
      <c r="A122" s="333">
        <v>10</v>
      </c>
      <c r="C122" s="332" t="str">
        <f>'FR-16(7)(v)-1 Functional'!C122</f>
        <v>SYSTEM M&amp;R - (2780, 2781)</v>
      </c>
      <c r="D122" s="344" t="str">
        <f>'FR-16(7)(v)-1 Functional'!D122</f>
        <v>K203</v>
      </c>
      <c r="E122" s="196"/>
      <c r="F122" s="479">
        <f>'FR-16(7)(v)-8 TOT CLASS Alloc'!I122</f>
        <v>322784</v>
      </c>
      <c r="G122" s="548">
        <f>'FR-16(7)(v)-5 DISTR Dem Alloc'!I122</f>
        <v>322784</v>
      </c>
      <c r="H122" s="539">
        <f>'FR-16(7)(v)-3 PROD Comm Alloc'!I122</f>
        <v>0</v>
      </c>
      <c r="I122" s="540">
        <f>'FR-16(7)(v)-6 DISTR Cust Alloc'!I122</f>
        <v>0</v>
      </c>
      <c r="J122" s="347">
        <f t="shared" ref="J122:J130" si="23">SUM(G122:I122)</f>
        <v>322784</v>
      </c>
      <c r="K122" s="347">
        <f t="shared" ref="K122:K130" si="24">F122-J122</f>
        <v>0</v>
      </c>
    </row>
    <row r="123" spans="1:11">
      <c r="A123" s="333">
        <v>11</v>
      </c>
      <c r="C123" s="332" t="str">
        <f>'FR-16(7)(v)-1 Functional'!C123</f>
        <v xml:space="preserve">DIST REG EQUIP &amp; CITY GATE M&amp;R- (2782, 2790) </v>
      </c>
      <c r="D123" s="344" t="str">
        <f>'FR-16(7)(v)-1 Functional'!D123</f>
        <v>K203</v>
      </c>
      <c r="E123" s="196"/>
      <c r="F123" s="479">
        <f>'FR-16(7)(v)-8 TOT CLASS Alloc'!I123</f>
        <v>121168</v>
      </c>
      <c r="G123" s="548">
        <f>'FR-16(7)(v)-5 DISTR Dem Alloc'!I123</f>
        <v>121168</v>
      </c>
      <c r="H123" s="539">
        <f>'FR-16(7)(v)-3 PROD Comm Alloc'!I123</f>
        <v>0</v>
      </c>
      <c r="I123" s="540">
        <f>'FR-16(7)(v)-6 DISTR Cust Alloc'!I123</f>
        <v>0</v>
      </c>
      <c r="J123" s="347">
        <f t="shared" si="23"/>
        <v>121168</v>
      </c>
      <c r="K123" s="347">
        <f t="shared" si="24"/>
        <v>0</v>
      </c>
    </row>
    <row r="124" spans="1:11">
      <c r="A124" s="333">
        <v>12</v>
      </c>
      <c r="C124" s="332" t="str">
        <f>'FR-16(7)(v)-1 Functional'!C124</f>
        <v>LARGE IND M&amp;R - (2850, 2851)</v>
      </c>
      <c r="D124" s="344" t="str">
        <f>'FR-16(7)(v)-1 Functional'!D124</f>
        <v>K595</v>
      </c>
      <c r="E124" s="196"/>
      <c r="F124" s="479">
        <f>'FR-16(7)(v)-8 TOT CLASS Alloc'!I124</f>
        <v>289430</v>
      </c>
      <c r="G124" s="548">
        <f>'FR-16(7)(v)-5 DISTR Dem Alloc'!I124</f>
        <v>289430</v>
      </c>
      <c r="H124" s="539">
        <f>'FR-16(7)(v)-3 PROD Comm Alloc'!I124</f>
        <v>0</v>
      </c>
      <c r="I124" s="540">
        <f>'FR-16(7)(v)-6 DISTR Cust Alloc'!I124</f>
        <v>0</v>
      </c>
      <c r="J124" s="347">
        <f t="shared" si="23"/>
        <v>289430</v>
      </c>
      <c r="K124" s="347">
        <f t="shared" si="24"/>
        <v>0</v>
      </c>
    </row>
    <row r="125" spans="1:11">
      <c r="A125" s="333">
        <v>13</v>
      </c>
      <c r="C125" s="332" t="str">
        <f>'FR-16(7)(v)-1 Functional'!C125</f>
        <v>MAINS - (2761, 2762, 2763, 2765)</v>
      </c>
      <c r="D125" s="344" t="str">
        <f>'FR-16(7)(v)-1 Functional'!D125</f>
        <v>K415</v>
      </c>
      <c r="E125" s="196"/>
      <c r="F125" s="479">
        <f>'FR-16(7)(v)-8 TOT CLASS Alloc'!I125</f>
        <v>9803793</v>
      </c>
      <c r="G125" s="548">
        <f>'FR-16(7)(v)-5 DISTR Dem Alloc'!I125</f>
        <v>9787223</v>
      </c>
      <c r="H125" s="539">
        <f>'FR-16(7)(v)-3 PROD Comm Alloc'!I125</f>
        <v>0</v>
      </c>
      <c r="I125" s="540">
        <f>'FR-16(7)(v)-6 DISTR Cust Alloc'!I125</f>
        <v>16570</v>
      </c>
      <c r="J125" s="347">
        <f t="shared" si="23"/>
        <v>9803793</v>
      </c>
      <c r="K125" s="347">
        <f t="shared" si="24"/>
        <v>0</v>
      </c>
    </row>
    <row r="126" spans="1:11">
      <c r="A126" s="333">
        <v>14</v>
      </c>
      <c r="C126" s="332" t="str">
        <f>'FR-16(7)(v)-1 Functional'!C126</f>
        <v>SERVICES - (2801, 2802, 2803)</v>
      </c>
      <c r="D126" s="344" t="str">
        <f>'FR-16(7)(v)-1 Functional'!D126</f>
        <v>K403</v>
      </c>
      <c r="E126" s="196"/>
      <c r="F126" s="479">
        <f>'FR-16(7)(v)-8 TOT CLASS Alloc'!I126</f>
        <v>131741</v>
      </c>
      <c r="G126" s="548">
        <f>'FR-16(7)(v)-5 DISTR Dem Alloc'!I126</f>
        <v>0</v>
      </c>
      <c r="H126" s="539">
        <f>'FR-16(7)(v)-3 PROD Comm Alloc'!I126</f>
        <v>0</v>
      </c>
      <c r="I126" s="540">
        <f>'FR-16(7)(v)-6 DISTR Cust Alloc'!I126</f>
        <v>131741</v>
      </c>
      <c r="J126" s="347">
        <f t="shared" si="23"/>
        <v>131741</v>
      </c>
      <c r="K126" s="347">
        <f t="shared" si="24"/>
        <v>0</v>
      </c>
    </row>
    <row r="127" spans="1:11">
      <c r="A127" s="333">
        <v>15</v>
      </c>
      <c r="C127" s="332" t="str">
        <f>'FR-16(7)(v)-1 Functional'!C127</f>
        <v>MTRS &amp; MTR INST (2810, 2811, 2820, 2821)</v>
      </c>
      <c r="D127" s="344" t="str">
        <f>'FR-16(7)(v)-1 Functional'!D127</f>
        <v>K413</v>
      </c>
      <c r="E127" s="196"/>
      <c r="F127" s="479">
        <f>'FR-16(7)(v)-8 TOT CLASS Alloc'!I127</f>
        <v>-23553</v>
      </c>
      <c r="G127" s="548">
        <f>'FR-16(7)(v)-5 DISTR Dem Alloc'!I127</f>
        <v>0</v>
      </c>
      <c r="H127" s="539">
        <f>'FR-16(7)(v)-3 PROD Comm Alloc'!I127</f>
        <v>0</v>
      </c>
      <c r="I127" s="540">
        <f>'FR-16(7)(v)-6 DISTR Cust Alloc'!I127</f>
        <v>-23553</v>
      </c>
      <c r="J127" s="347">
        <f t="shared" si="23"/>
        <v>-23553</v>
      </c>
      <c r="K127" s="347">
        <f t="shared" si="24"/>
        <v>0</v>
      </c>
    </row>
    <row r="128" spans="1:11">
      <c r="A128" s="333">
        <v>16</v>
      </c>
      <c r="C128" s="332" t="str">
        <f>'FR-16(7)(v)-1 Functional'!C128</f>
        <v>LAND, R OF W, STRUCT &amp; IMPROV &amp; OTH</v>
      </c>
      <c r="D128" s="344" t="str">
        <f>'FR-16(7)(v)-1 Functional'!D128</f>
        <v>K203</v>
      </c>
      <c r="E128" s="196"/>
      <c r="F128" s="479">
        <f>'FR-16(7)(v)-8 TOT CLASS Alloc'!I128</f>
        <v>73593</v>
      </c>
      <c r="G128" s="548">
        <f>'FR-16(7)(v)-5 DISTR Dem Alloc'!I128</f>
        <v>73593</v>
      </c>
      <c r="H128" s="539">
        <f>'FR-16(7)(v)-3 PROD Comm Alloc'!I128</f>
        <v>0</v>
      </c>
      <c r="I128" s="540">
        <f>'FR-16(7)(v)-6 DISTR Cust Alloc'!I128</f>
        <v>0</v>
      </c>
      <c r="J128" s="347">
        <f t="shared" si="23"/>
        <v>73593</v>
      </c>
      <c r="K128" s="347">
        <f t="shared" si="24"/>
        <v>0</v>
      </c>
    </row>
    <row r="129" spans="1:11">
      <c r="A129" s="333">
        <v>17</v>
      </c>
      <c r="C129" s="332" t="str">
        <f>'FR-16(7)(v)-1 Functional'!C129</f>
        <v>HOUSE REG &amp; INSTALL (2830, 2840)</v>
      </c>
      <c r="D129" s="344" t="str">
        <f>'FR-16(7)(v)-1 Functional'!D129</f>
        <v>K417</v>
      </c>
      <c r="E129" s="196"/>
      <c r="F129" s="479">
        <f>'FR-16(7)(v)-8 TOT CLASS Alloc'!I129</f>
        <v>41937</v>
      </c>
      <c r="G129" s="548">
        <f>'FR-16(7)(v)-5 DISTR Dem Alloc'!I129</f>
        <v>0</v>
      </c>
      <c r="H129" s="539">
        <f>'FR-16(7)(v)-3 PROD Comm Alloc'!I129</f>
        <v>0</v>
      </c>
      <c r="I129" s="540">
        <f>'FR-16(7)(v)-6 DISTR Cust Alloc'!I129</f>
        <v>41937</v>
      </c>
      <c r="J129" s="347">
        <f t="shared" si="23"/>
        <v>41937</v>
      </c>
      <c r="K129" s="347">
        <f t="shared" si="24"/>
        <v>0</v>
      </c>
    </row>
    <row r="130" spans="1:11">
      <c r="A130" s="333">
        <v>18</v>
      </c>
      <c r="C130" s="359" t="str">
        <f>'FR-16(7)(v)-1 Functional'!C130</f>
        <v>STREET LIGHTING EQUIPMENT &amp; OTH</v>
      </c>
      <c r="D130" s="344" t="str">
        <f>'FR-16(7)(v)-1 Functional'!D130</f>
        <v>K597</v>
      </c>
      <c r="E130" s="196"/>
      <c r="F130" s="479">
        <f>'FR-16(7)(v)-8 TOT CLASS Alloc'!I130</f>
        <v>0</v>
      </c>
      <c r="G130" s="548">
        <f>'FR-16(7)(v)-5 DISTR Dem Alloc'!I130</f>
        <v>0</v>
      </c>
      <c r="H130" s="539">
        <f>'FR-16(7)(v)-3 PROD Comm Alloc'!I130</f>
        <v>0</v>
      </c>
      <c r="I130" s="540">
        <f>'FR-16(7)(v)-6 DISTR Cust Alloc'!I130</f>
        <v>0</v>
      </c>
      <c r="J130" s="347">
        <f t="shared" si="23"/>
        <v>0</v>
      </c>
      <c r="K130" s="347">
        <f t="shared" si="24"/>
        <v>0</v>
      </c>
    </row>
    <row r="131" spans="1:11">
      <c r="A131" s="333">
        <v>19</v>
      </c>
      <c r="C131" s="332" t="str">
        <f>'FR-16(7)(v)-1 Functional'!C131</f>
        <v xml:space="preserve">  TOTAL DIST DEPREC RESERVE</v>
      </c>
      <c r="D131" s="344"/>
      <c r="E131" s="196"/>
      <c r="F131" s="348">
        <f t="shared" ref="F131:K131" si="25">SUM(F121:F130)</f>
        <v>10760893</v>
      </c>
      <c r="G131" s="549">
        <f t="shared" si="25"/>
        <v>10594198</v>
      </c>
      <c r="H131" s="541">
        <f t="shared" si="25"/>
        <v>0</v>
      </c>
      <c r="I131" s="542">
        <f t="shared" si="25"/>
        <v>166695</v>
      </c>
      <c r="J131" s="348">
        <f t="shared" si="25"/>
        <v>10760893</v>
      </c>
      <c r="K131" s="348">
        <f t="shared" si="25"/>
        <v>0</v>
      </c>
    </row>
    <row r="132" spans="1:11">
      <c r="A132" s="333">
        <v>20</v>
      </c>
      <c r="D132" s="344"/>
      <c r="E132" s="196"/>
      <c r="G132" s="547"/>
      <c r="H132" s="537"/>
      <c r="I132" s="538"/>
    </row>
    <row r="133" spans="1:11">
      <c r="A133" s="333">
        <v>21</v>
      </c>
      <c r="B133" s="332" t="s">
        <v>20</v>
      </c>
      <c r="D133" s="344"/>
      <c r="E133" s="196"/>
      <c r="G133" s="547"/>
      <c r="H133" s="537"/>
      <c r="I133" s="538"/>
    </row>
    <row r="134" spans="1:11">
      <c r="A134" s="333">
        <v>22</v>
      </c>
      <c r="C134" s="332" t="str">
        <f>'FR-16(7)(v)-1 Functional'!C134</f>
        <v>PRODUCTION PLANT</v>
      </c>
      <c r="D134" s="344" t="str">
        <f>'FR-16(7)(v)-1 Functional'!D134</f>
        <v>K201</v>
      </c>
      <c r="E134" s="196"/>
      <c r="F134" s="479">
        <f>'FR-16(7)(v)-8 TOT CLASS Alloc'!I134</f>
        <v>111772</v>
      </c>
      <c r="G134" s="548">
        <f>'FR-16(7)(v)-5 DISTR Dem Alloc'!I134</f>
        <v>0</v>
      </c>
      <c r="H134" s="539">
        <f>'FR-16(7)(v)-3 PROD Comm Alloc'!I134</f>
        <v>111772</v>
      </c>
      <c r="I134" s="540">
        <f>'FR-16(7)(v)-6 DISTR Cust Alloc'!I134</f>
        <v>0</v>
      </c>
      <c r="J134" s="347">
        <f t="shared" ref="J134:J139" si="26">SUM(G134:I134)</f>
        <v>111772</v>
      </c>
      <c r="K134" s="347">
        <f t="shared" ref="K134:K139" si="27">F134-J134</f>
        <v>0</v>
      </c>
    </row>
    <row r="135" spans="1:11">
      <c r="A135" s="333">
        <v>23</v>
      </c>
      <c r="C135" s="332" t="str">
        <f>'FR-16(7)(v)-1 Functional'!C135</f>
        <v>PRODUCTION PLANT COMMODITY</v>
      </c>
      <c r="D135" s="344" t="str">
        <f>'FR-16(7)(v)-1 Functional'!D135</f>
        <v>P349</v>
      </c>
      <c r="E135" s="196"/>
      <c r="F135" s="479">
        <f>'FR-16(7)(v)-8 TOT CLASS Alloc'!I135</f>
        <v>87141</v>
      </c>
      <c r="G135" s="548">
        <f>'FR-16(7)(v)-5 DISTR Dem Alloc'!I135</f>
        <v>0</v>
      </c>
      <c r="H135" s="539">
        <f>'FR-16(7)(v)-3 PROD Comm Alloc'!I135</f>
        <v>87141</v>
      </c>
      <c r="I135" s="540">
        <f>'FR-16(7)(v)-6 DISTR Cust Alloc'!I135</f>
        <v>0</v>
      </c>
      <c r="J135" s="347">
        <f t="shared" si="26"/>
        <v>87141</v>
      </c>
      <c r="K135" s="347">
        <f t="shared" si="27"/>
        <v>0</v>
      </c>
    </row>
    <row r="136" spans="1:11">
      <c r="A136" s="333">
        <v>24</v>
      </c>
      <c r="C136" s="332" t="str">
        <f>'FR-16(7)(v)-1 Functional'!C136</f>
        <v>DISTRIBUTION PLANT</v>
      </c>
      <c r="D136" s="344" t="str">
        <f>'FR-16(7)(v)-1 Functional'!D136</f>
        <v>D349</v>
      </c>
      <c r="E136" s="196"/>
      <c r="F136" s="479">
        <f>'FR-16(7)(v)-8 TOT CLASS Alloc'!I136</f>
        <v>360205</v>
      </c>
      <c r="G136" s="548">
        <f>'FR-16(7)(v)-5 DISTR Dem Alloc'!I136</f>
        <v>309534</v>
      </c>
      <c r="H136" s="539">
        <f>'FR-16(7)(v)-3 PROD Comm Alloc'!I136</f>
        <v>0</v>
      </c>
      <c r="I136" s="540">
        <f>'FR-16(7)(v)-6 DISTR Cust Alloc'!I136</f>
        <v>50671</v>
      </c>
      <c r="J136" s="347">
        <f t="shared" si="26"/>
        <v>360205</v>
      </c>
      <c r="K136" s="347">
        <f t="shared" si="27"/>
        <v>0</v>
      </c>
    </row>
    <row r="137" spans="1:11">
      <c r="A137" s="333">
        <v>25</v>
      </c>
      <c r="C137" s="332" t="str">
        <f>'FR-16(7)(v)-1 Functional'!C137</f>
        <v>CUSTOMER ACCOUNTING</v>
      </c>
      <c r="D137" s="344" t="str">
        <f>'FR-16(7)(v)-1 Functional'!D137</f>
        <v>CA19</v>
      </c>
      <c r="E137" s="196"/>
      <c r="F137" s="479">
        <f>'FR-16(7)(v)-8 TOT CLASS Alloc'!I137</f>
        <v>2374</v>
      </c>
      <c r="G137" s="548">
        <f>'FR-16(7)(v)-5 DISTR Dem Alloc'!I137</f>
        <v>0</v>
      </c>
      <c r="H137" s="539">
        <f>'FR-16(7)(v)-3 PROD Comm Alloc'!I137</f>
        <v>0</v>
      </c>
      <c r="I137" s="540">
        <f>'FR-16(7)(v)-6 DISTR Cust Alloc'!I137</f>
        <v>2374</v>
      </c>
      <c r="J137" s="347">
        <f t="shared" si="26"/>
        <v>2374</v>
      </c>
      <c r="K137" s="347">
        <f t="shared" si="27"/>
        <v>0</v>
      </c>
    </row>
    <row r="138" spans="1:11">
      <c r="A138" s="333">
        <v>26</v>
      </c>
      <c r="C138" s="332" t="str">
        <f>'FR-16(7)(v)-1 Functional'!C138</f>
        <v>CUSTOMER SERVICE &amp; INFORMATION</v>
      </c>
      <c r="D138" s="344" t="str">
        <f>'FR-16(7)(v)-1 Functional'!D138</f>
        <v>CS19</v>
      </c>
      <c r="E138" s="196"/>
      <c r="F138" s="479">
        <f>'FR-16(7)(v)-8 TOT CLASS Alloc'!I138</f>
        <v>208</v>
      </c>
      <c r="G138" s="548">
        <f>'FR-16(7)(v)-5 DISTR Dem Alloc'!I138</f>
        <v>0</v>
      </c>
      <c r="H138" s="539">
        <f>'FR-16(7)(v)-3 PROD Comm Alloc'!I138</f>
        <v>0</v>
      </c>
      <c r="I138" s="540">
        <f>'FR-16(7)(v)-6 DISTR Cust Alloc'!I138</f>
        <v>208</v>
      </c>
      <c r="J138" s="347">
        <f t="shared" si="26"/>
        <v>208</v>
      </c>
      <c r="K138" s="347">
        <f t="shared" si="27"/>
        <v>0</v>
      </c>
    </row>
    <row r="139" spans="1:11">
      <c r="A139" s="333">
        <v>27</v>
      </c>
      <c r="C139" s="365" t="str">
        <f>'FR-16(7)(v)-1 Functional'!C139</f>
        <v>SALES</v>
      </c>
      <c r="D139" s="344" t="str">
        <f>'FR-16(7)(v)-1 Functional'!D139</f>
        <v>SE19</v>
      </c>
      <c r="E139" s="196"/>
      <c r="F139" s="479">
        <f>'FR-16(7)(v)-8 TOT CLASS Alloc'!I139</f>
        <v>0</v>
      </c>
      <c r="G139" s="548">
        <f>'FR-16(7)(v)-5 DISTR Dem Alloc'!I139</f>
        <v>0</v>
      </c>
      <c r="H139" s="539">
        <f>'FR-16(7)(v)-3 PROD Comm Alloc'!I139</f>
        <v>0</v>
      </c>
      <c r="I139" s="540">
        <f>'FR-16(7)(v)-6 DISTR Cust Alloc'!I139</f>
        <v>0</v>
      </c>
      <c r="J139" s="347">
        <f t="shared" si="26"/>
        <v>0</v>
      </c>
      <c r="K139" s="347">
        <f t="shared" si="27"/>
        <v>0</v>
      </c>
    </row>
    <row r="140" spans="1:11">
      <c r="A140" s="333">
        <v>28</v>
      </c>
      <c r="C140" s="339" t="str">
        <f>'FR-16(7)(v)-1 Functional'!C140</f>
        <v xml:space="preserve">  TOTAL GEN DEPREC RESERVE</v>
      </c>
      <c r="D140" s="344"/>
      <c r="E140" s="196"/>
      <c r="F140" s="348">
        <f t="shared" ref="F140:K140" si="28">SUM(F133:F139)</f>
        <v>561700</v>
      </c>
      <c r="G140" s="549">
        <f t="shared" si="28"/>
        <v>309534</v>
      </c>
      <c r="H140" s="541">
        <f t="shared" si="28"/>
        <v>198913</v>
      </c>
      <c r="I140" s="542">
        <f t="shared" si="28"/>
        <v>53253</v>
      </c>
      <c r="J140" s="348">
        <f t="shared" si="28"/>
        <v>561700</v>
      </c>
      <c r="K140" s="348">
        <f t="shared" si="28"/>
        <v>0</v>
      </c>
    </row>
    <row r="141" spans="1:11">
      <c r="A141" s="333">
        <v>29</v>
      </c>
      <c r="C141" s="365"/>
      <c r="D141" s="344"/>
      <c r="E141" s="196"/>
      <c r="G141" s="547"/>
      <c r="H141" s="537"/>
      <c r="I141" s="538"/>
    </row>
    <row r="142" spans="1:11">
      <c r="A142" s="333">
        <v>30</v>
      </c>
      <c r="B142" s="332" t="s">
        <v>21</v>
      </c>
      <c r="C142" s="365"/>
      <c r="D142" s="344"/>
      <c r="E142" s="196"/>
      <c r="G142" s="547"/>
      <c r="H142" s="537"/>
      <c r="I142" s="538"/>
    </row>
    <row r="143" spans="1:11">
      <c r="A143" s="333">
        <v>31</v>
      </c>
      <c r="C143" s="365" t="str">
        <f>'FR-16(7)(v)-1 Functional'!C143</f>
        <v>PRODUCTION PLANT</v>
      </c>
      <c r="D143" s="344" t="str">
        <f>'FR-16(7)(v)-1 Functional'!D143</f>
        <v>K201</v>
      </c>
      <c r="E143" s="196"/>
      <c r="F143" s="479">
        <f>'FR-16(7)(v)-8 TOT CLASS Alloc'!I143</f>
        <v>125884</v>
      </c>
      <c r="G143" s="548">
        <f>'FR-16(7)(v)-5 DISTR Dem Alloc'!I143</f>
        <v>0</v>
      </c>
      <c r="H143" s="539">
        <f>'FR-16(7)(v)-3 PROD Comm Alloc'!I143</f>
        <v>125884</v>
      </c>
      <c r="I143" s="540">
        <f>'FR-16(7)(v)-6 DISTR Cust Alloc'!I143</f>
        <v>0</v>
      </c>
      <c r="J143" s="347">
        <f t="shared" ref="J143:J148" si="29">SUM(G143:I143)</f>
        <v>125884</v>
      </c>
      <c r="K143" s="347">
        <f t="shared" ref="K143:K148" si="30">F143-J143</f>
        <v>0</v>
      </c>
    </row>
    <row r="144" spans="1:11">
      <c r="A144" s="333">
        <v>32</v>
      </c>
      <c r="C144" s="365" t="str">
        <f>'FR-16(7)(v)-1 Functional'!C144</f>
        <v>PRODUCTION PLANT COMMODITY</v>
      </c>
      <c r="D144" s="344" t="str">
        <f>'FR-16(7)(v)-1 Functional'!D144</f>
        <v>P349</v>
      </c>
      <c r="E144" s="196"/>
      <c r="F144" s="479">
        <f>'FR-16(7)(v)-8 TOT CLASS Alloc'!I144</f>
        <v>98144</v>
      </c>
      <c r="G144" s="548">
        <f>'FR-16(7)(v)-5 DISTR Dem Alloc'!I144</f>
        <v>0</v>
      </c>
      <c r="H144" s="539">
        <f>'FR-16(7)(v)-3 PROD Comm Alloc'!I144</f>
        <v>98144</v>
      </c>
      <c r="I144" s="540">
        <f>'FR-16(7)(v)-6 DISTR Cust Alloc'!I144</f>
        <v>0</v>
      </c>
      <c r="J144" s="347">
        <f t="shared" si="29"/>
        <v>98144</v>
      </c>
      <c r="K144" s="347">
        <f t="shared" si="30"/>
        <v>0</v>
      </c>
    </row>
    <row r="145" spans="1:11">
      <c r="A145" s="333">
        <v>33</v>
      </c>
      <c r="C145" s="365" t="str">
        <f>'FR-16(7)(v)-1 Functional'!C145</f>
        <v>DISTRIBUTION PLANT</v>
      </c>
      <c r="D145" s="344" t="str">
        <f>'FR-16(7)(v)-1 Functional'!D145</f>
        <v>D349</v>
      </c>
      <c r="E145" s="196"/>
      <c r="F145" s="479">
        <f>'FR-16(7)(v)-8 TOT CLASS Alloc'!I145</f>
        <v>405685</v>
      </c>
      <c r="G145" s="548">
        <f>'FR-16(7)(v)-5 DISTR Dem Alloc'!I145</f>
        <v>348616</v>
      </c>
      <c r="H145" s="539">
        <f>'FR-16(7)(v)-3 PROD Comm Alloc'!I145</f>
        <v>0</v>
      </c>
      <c r="I145" s="540">
        <f>'FR-16(7)(v)-6 DISTR Cust Alloc'!I145</f>
        <v>57069</v>
      </c>
      <c r="J145" s="347">
        <f t="shared" si="29"/>
        <v>405685</v>
      </c>
      <c r="K145" s="347">
        <f t="shared" si="30"/>
        <v>0</v>
      </c>
    </row>
    <row r="146" spans="1:11">
      <c r="A146" s="333">
        <v>34</v>
      </c>
      <c r="C146" s="365" t="str">
        <f>'FR-16(7)(v)-1 Functional'!C146</f>
        <v>CUSTOMER ACCOUNTING</v>
      </c>
      <c r="D146" s="344" t="str">
        <f>'FR-16(7)(v)-1 Functional'!D146</f>
        <v>CA19</v>
      </c>
      <c r="E146" s="196"/>
      <c r="F146" s="479">
        <f>'FR-16(7)(v)-8 TOT CLASS Alloc'!I146</f>
        <v>2674</v>
      </c>
      <c r="G146" s="548">
        <f>'FR-16(7)(v)-5 DISTR Dem Alloc'!I146</f>
        <v>0</v>
      </c>
      <c r="H146" s="539">
        <f>'FR-16(7)(v)-3 PROD Comm Alloc'!I146</f>
        <v>0</v>
      </c>
      <c r="I146" s="540">
        <f>'FR-16(7)(v)-6 DISTR Cust Alloc'!I146</f>
        <v>2674</v>
      </c>
      <c r="J146" s="347">
        <f t="shared" si="29"/>
        <v>2674</v>
      </c>
      <c r="K146" s="347">
        <f t="shared" si="30"/>
        <v>0</v>
      </c>
    </row>
    <row r="147" spans="1:11">
      <c r="A147" s="333">
        <v>35</v>
      </c>
      <c r="C147" s="365" t="str">
        <f>'FR-16(7)(v)-1 Functional'!C147</f>
        <v>CUSTOMER SERVICE &amp; INFORMATION</v>
      </c>
      <c r="D147" s="344" t="str">
        <f>'FR-16(7)(v)-1 Functional'!D147</f>
        <v>CS19</v>
      </c>
      <c r="E147" s="196"/>
      <c r="F147" s="479">
        <f>'FR-16(7)(v)-8 TOT CLASS Alloc'!I147</f>
        <v>234</v>
      </c>
      <c r="G147" s="548">
        <f>'FR-16(7)(v)-5 DISTR Dem Alloc'!I147</f>
        <v>0</v>
      </c>
      <c r="H147" s="539">
        <f>'FR-16(7)(v)-3 PROD Comm Alloc'!I147</f>
        <v>0</v>
      </c>
      <c r="I147" s="540">
        <f>'FR-16(7)(v)-6 DISTR Cust Alloc'!I147</f>
        <v>234</v>
      </c>
      <c r="J147" s="347">
        <f t="shared" si="29"/>
        <v>234</v>
      </c>
      <c r="K147" s="347">
        <f t="shared" si="30"/>
        <v>0</v>
      </c>
    </row>
    <row r="148" spans="1:11">
      <c r="A148" s="333">
        <v>36</v>
      </c>
      <c r="C148" s="365" t="str">
        <f>'FR-16(7)(v)-1 Functional'!C148</f>
        <v>SALES</v>
      </c>
      <c r="D148" s="344" t="str">
        <f>'FR-16(7)(v)-1 Functional'!D148</f>
        <v>SE19</v>
      </c>
      <c r="E148" s="196"/>
      <c r="F148" s="479">
        <f>'FR-16(7)(v)-8 TOT CLASS Alloc'!I148</f>
        <v>0</v>
      </c>
      <c r="G148" s="548">
        <f>'FR-16(7)(v)-5 DISTR Dem Alloc'!I148</f>
        <v>0</v>
      </c>
      <c r="H148" s="539">
        <f>'FR-16(7)(v)-3 PROD Comm Alloc'!I148</f>
        <v>0</v>
      </c>
      <c r="I148" s="540">
        <f>'FR-16(7)(v)-6 DISTR Cust Alloc'!I148</f>
        <v>0</v>
      </c>
      <c r="J148" s="347">
        <f t="shared" si="29"/>
        <v>0</v>
      </c>
      <c r="K148" s="347">
        <f t="shared" si="30"/>
        <v>0</v>
      </c>
    </row>
    <row r="149" spans="1:11">
      <c r="A149" s="333">
        <v>37</v>
      </c>
      <c r="C149" s="339" t="str">
        <f>'FR-16(7)(v)-1 Functional'!C149</f>
        <v xml:space="preserve">  TOTAL COM &amp; OTHER PLT RESERVE</v>
      </c>
      <c r="D149" s="344"/>
      <c r="E149" s="196"/>
      <c r="F149" s="348">
        <f>SUM(F143:F148)</f>
        <v>632621</v>
      </c>
      <c r="G149" s="549">
        <f>SUM(G142:G148)</f>
        <v>348616</v>
      </c>
      <c r="H149" s="541">
        <f>SUM(H142:H148)</f>
        <v>224028</v>
      </c>
      <c r="I149" s="542">
        <f>SUM(I142:I148)</f>
        <v>59977</v>
      </c>
      <c r="J149" s="348">
        <f>SUM(J142:J148)</f>
        <v>632621</v>
      </c>
      <c r="K149" s="348">
        <f>SUM(K142:K148)</f>
        <v>0</v>
      </c>
    </row>
    <row r="150" spans="1:11">
      <c r="A150" s="333">
        <v>38</v>
      </c>
      <c r="D150" s="344"/>
      <c r="E150" s="196"/>
      <c r="G150" s="547"/>
      <c r="H150" s="537"/>
      <c r="I150" s="538"/>
    </row>
    <row r="151" spans="1:11">
      <c r="A151" s="333">
        <v>39</v>
      </c>
      <c r="B151" s="332" t="s">
        <v>23</v>
      </c>
      <c r="D151" s="344"/>
      <c r="E151" s="196"/>
      <c r="F151" s="347">
        <f t="shared" ref="F151:K151" si="31">F149+F140+F131+F119+F115</f>
        <v>12138011</v>
      </c>
      <c r="G151" s="550">
        <f t="shared" si="31"/>
        <v>11252348</v>
      </c>
      <c r="H151" s="543">
        <f t="shared" si="31"/>
        <v>605738</v>
      </c>
      <c r="I151" s="544">
        <f t="shared" si="31"/>
        <v>279925</v>
      </c>
      <c r="J151" s="347">
        <f t="shared" si="31"/>
        <v>12138011</v>
      </c>
      <c r="K151" s="347">
        <f t="shared" si="31"/>
        <v>0</v>
      </c>
    </row>
    <row r="152" spans="1:11">
      <c r="B152" s="343"/>
      <c r="C152" s="196"/>
      <c r="D152" s="344"/>
      <c r="E152" s="196"/>
      <c r="F152" s="196"/>
      <c r="G152" s="196"/>
      <c r="H152" s="196"/>
      <c r="I152" s="196"/>
      <c r="J152" s="196"/>
    </row>
    <row r="153" spans="1:11">
      <c r="A153" s="343" t="str">
        <f>co_name</f>
        <v>DUKE ENERGY KENTUCKY, INC.</v>
      </c>
      <c r="C153" s="196"/>
      <c r="D153" s="344"/>
      <c r="E153" s="196"/>
      <c r="F153" s="196"/>
      <c r="G153" s="196"/>
      <c r="H153" s="196"/>
      <c r="I153" s="196"/>
      <c r="J153" s="196" t="str">
        <f>$J$1</f>
        <v>FR-16(7)(v)-11</v>
      </c>
      <c r="K153" s="196"/>
    </row>
    <row r="154" spans="1:11">
      <c r="A154" s="343" t="str">
        <f>$A$2</f>
        <v>FT-L CLASSIFIED - GAS COST OF SERVICE</v>
      </c>
      <c r="C154" s="196"/>
      <c r="D154" s="344"/>
      <c r="E154" s="196"/>
      <c r="F154" s="196"/>
      <c r="G154" s="196"/>
      <c r="H154" s="196"/>
      <c r="I154" s="196"/>
      <c r="J154" s="196" t="str">
        <f>$J$2</f>
        <v>WITNESS RESPONSIBLE:</v>
      </c>
      <c r="K154" s="196"/>
    </row>
    <row r="155" spans="1:11">
      <c r="A155" s="343" t="str">
        <f>case_name</f>
        <v>CASE NO: 2018-00261</v>
      </c>
      <c r="C155" s="196"/>
      <c r="D155" s="344"/>
      <c r="E155" s="196"/>
      <c r="F155" s="196"/>
      <c r="G155" s="196"/>
      <c r="H155" s="196"/>
      <c r="I155" s="196"/>
      <c r="J155" s="196" t="str">
        <f>Witness</f>
        <v>JAMES E. ZIOLKOWSKI</v>
      </c>
      <c r="K155" s="196"/>
    </row>
    <row r="156" spans="1:11">
      <c r="A156" s="343" t="str">
        <f>data_filing</f>
        <v>DATA: 12 MONTH FORECASTED PERIOD</v>
      </c>
      <c r="C156" s="196"/>
      <c r="D156" s="344"/>
      <c r="E156" s="196"/>
      <c r="F156" s="196"/>
      <c r="G156" s="196"/>
      <c r="H156" s="196"/>
      <c r="I156" s="196"/>
      <c r="J156" s="196" t="str">
        <f>"PAGE "&amp;Pages2-11&amp;" OF "&amp;Pages2</f>
        <v>PAGE 4 OF 15</v>
      </c>
      <c r="K156" s="196"/>
    </row>
    <row r="157" spans="1:11">
      <c r="A157" s="343" t="str">
        <f>type</f>
        <v xml:space="preserve">TYPE OF FILING: "X" ORIGINAL   UPDATED    REVISED  </v>
      </c>
      <c r="C157" s="196"/>
      <c r="D157" s="344"/>
      <c r="E157" s="196"/>
      <c r="F157" s="196"/>
      <c r="G157" s="196"/>
      <c r="H157" s="196"/>
      <c r="I157" s="196"/>
      <c r="J157" s="196"/>
      <c r="K157" s="196"/>
    </row>
    <row r="158" spans="1:11">
      <c r="A158" s="343"/>
      <c r="C158" s="196"/>
      <c r="D158" s="344"/>
      <c r="E158" s="196"/>
      <c r="F158" s="196"/>
      <c r="G158" s="196"/>
      <c r="H158" s="196"/>
      <c r="I158" s="196"/>
      <c r="J158" s="196"/>
      <c r="K158" s="196"/>
    </row>
    <row r="159" spans="1:11">
      <c r="B159" s="343"/>
      <c r="C159" s="196"/>
      <c r="D159" s="344"/>
      <c r="E159" s="196"/>
      <c r="F159" s="196"/>
      <c r="G159" s="196"/>
      <c r="H159" s="196"/>
      <c r="I159" s="196"/>
      <c r="J159" s="196"/>
    </row>
    <row r="160" spans="1:11">
      <c r="A160" s="344" t="s">
        <v>914</v>
      </c>
      <c r="B160" s="196"/>
      <c r="C160" s="196"/>
      <c r="D160" s="344"/>
      <c r="E160" s="196"/>
      <c r="F160" s="344" t="s">
        <v>229</v>
      </c>
      <c r="G160" s="545" t="s">
        <v>1005</v>
      </c>
      <c r="H160" s="533"/>
      <c r="I160" s="534"/>
      <c r="J160" s="344" t="s">
        <v>229</v>
      </c>
      <c r="K160" s="344" t="s">
        <v>342</v>
      </c>
    </row>
    <row r="161" spans="1:11">
      <c r="A161" s="346" t="s">
        <v>915</v>
      </c>
      <c r="B161" s="345" t="str">
        <f>"NET GAS PLANT"</f>
        <v>NET GAS PLANT</v>
      </c>
      <c r="C161" s="345"/>
      <c r="D161" s="346" t="s">
        <v>337</v>
      </c>
      <c r="E161" s="345"/>
      <c r="F161" s="346" t="str">
        <f>$F$9</f>
        <v>FT-L</v>
      </c>
      <c r="G161" s="546" t="s">
        <v>847</v>
      </c>
      <c r="H161" s="535" t="s">
        <v>848</v>
      </c>
      <c r="I161" s="536" t="s">
        <v>849</v>
      </c>
      <c r="J161" s="346" t="s">
        <v>341</v>
      </c>
      <c r="K161" s="346" t="s">
        <v>340</v>
      </c>
    </row>
    <row r="162" spans="1:11">
      <c r="C162" s="578" t="s">
        <v>346</v>
      </c>
      <c r="D162" s="344"/>
      <c r="E162" s="196"/>
      <c r="G162" s="800">
        <f>$G$10</f>
        <v>3</v>
      </c>
      <c r="H162" s="801">
        <f>$H$10</f>
        <v>4</v>
      </c>
      <c r="I162" s="802">
        <f>$I$10</f>
        <v>5</v>
      </c>
    </row>
    <row r="163" spans="1:11">
      <c r="A163" s="333">
        <v>1</v>
      </c>
      <c r="B163" s="332" t="s">
        <v>14</v>
      </c>
      <c r="D163" s="344"/>
      <c r="E163" s="196"/>
      <c r="G163" s="547"/>
      <c r="H163" s="537"/>
      <c r="I163" s="538"/>
    </row>
    <row r="164" spans="1:11">
      <c r="A164" s="333">
        <v>2</v>
      </c>
      <c r="C164" s="332" t="str">
        <f>'FR-16(7)(v)-1 Functional'!C164</f>
        <v>PRODUCTION PLANT IN SERVICE</v>
      </c>
      <c r="D164" s="344"/>
      <c r="E164" s="196"/>
      <c r="F164" s="347">
        <f>F59</f>
        <v>313080</v>
      </c>
      <c r="G164" s="548">
        <f>$G$59</f>
        <v>0</v>
      </c>
      <c r="H164" s="539">
        <f>$H$59</f>
        <v>313080</v>
      </c>
      <c r="I164" s="540">
        <f>$I$59</f>
        <v>0</v>
      </c>
      <c r="J164" s="347">
        <f>$J$59</f>
        <v>313080</v>
      </c>
      <c r="K164" s="347">
        <f>F164-J164</f>
        <v>0</v>
      </c>
    </row>
    <row r="165" spans="1:11">
      <c r="A165" s="333">
        <v>3</v>
      </c>
      <c r="C165" s="359" t="str">
        <f>'FR-16(7)(v)-1 Functional'!C165</f>
        <v>TOTAL PROD DEPRC RESERVE</v>
      </c>
      <c r="D165" s="344"/>
      <c r="E165" s="196"/>
      <c r="F165" s="347">
        <f>-F115</f>
        <v>-182797</v>
      </c>
      <c r="G165" s="548">
        <f>-G115</f>
        <v>0</v>
      </c>
      <c r="H165" s="539">
        <f>-H115</f>
        <v>-182797</v>
      </c>
      <c r="I165" s="540">
        <f>-I115</f>
        <v>0</v>
      </c>
      <c r="J165" s="347">
        <f>-J115</f>
        <v>-182797</v>
      </c>
      <c r="K165" s="347">
        <f>F165-J165</f>
        <v>0</v>
      </c>
    </row>
    <row r="166" spans="1:11">
      <c r="A166" s="333">
        <v>4</v>
      </c>
      <c r="C166" s="332" t="str">
        <f>'FR-16(7)(v)-1 Functional'!C166</f>
        <v xml:space="preserve">  NET PRODUCTION PLANT</v>
      </c>
      <c r="D166" s="344"/>
      <c r="E166" s="196"/>
      <c r="F166" s="348">
        <f t="shared" ref="F166:K166" si="32">SUM(F164:F165)</f>
        <v>130283</v>
      </c>
      <c r="G166" s="549">
        <f t="shared" si="32"/>
        <v>0</v>
      </c>
      <c r="H166" s="541">
        <f t="shared" si="32"/>
        <v>130283</v>
      </c>
      <c r="I166" s="542">
        <f t="shared" si="32"/>
        <v>0</v>
      </c>
      <c r="J166" s="348">
        <f t="shared" si="32"/>
        <v>130283</v>
      </c>
      <c r="K166" s="348">
        <f t="shared" si="32"/>
        <v>0</v>
      </c>
    </row>
    <row r="167" spans="1:11">
      <c r="A167" s="333">
        <v>5</v>
      </c>
      <c r="D167" s="344"/>
      <c r="E167" s="196"/>
      <c r="G167" s="547"/>
      <c r="H167" s="537"/>
      <c r="I167" s="538"/>
    </row>
    <row r="168" spans="1:11">
      <c r="A168" s="333">
        <v>6</v>
      </c>
      <c r="B168" s="359" t="s">
        <v>15</v>
      </c>
      <c r="C168" s="359"/>
      <c r="D168" s="344"/>
      <c r="E168" s="196"/>
      <c r="F168" s="347"/>
      <c r="G168" s="548"/>
      <c r="H168" s="539"/>
      <c r="I168" s="540"/>
      <c r="J168" s="347"/>
    </row>
    <row r="169" spans="1:11">
      <c r="A169" s="333">
        <v>7</v>
      </c>
      <c r="C169" s="332" t="str">
        <f>'FR-16(7)(v)-1 Functional'!C169</f>
        <v>TRANSMISSION PLANT IN SERVICE</v>
      </c>
      <c r="D169" s="344"/>
      <c r="E169" s="196"/>
      <c r="F169" s="347">
        <f>F63</f>
        <v>0</v>
      </c>
      <c r="G169" s="548">
        <f>$G$63</f>
        <v>0</v>
      </c>
      <c r="H169" s="539">
        <f>$H$63</f>
        <v>0</v>
      </c>
      <c r="I169" s="540">
        <f>$I$63</f>
        <v>0</v>
      </c>
      <c r="J169" s="347">
        <f>$J$63</f>
        <v>0</v>
      </c>
      <c r="K169" s="347">
        <f>F169-J169</f>
        <v>0</v>
      </c>
    </row>
    <row r="170" spans="1:11">
      <c r="A170" s="333">
        <v>8</v>
      </c>
      <c r="C170" s="332" t="str">
        <f>'FR-16(7)(v)-1 Functional'!C170</f>
        <v>TOTAL TRANS DEPREC RESERVE</v>
      </c>
      <c r="D170" s="344"/>
      <c r="E170" s="196"/>
      <c r="F170" s="347">
        <f>-F119</f>
        <v>0</v>
      </c>
      <c r="G170" s="548">
        <f>-G119</f>
        <v>0</v>
      </c>
      <c r="H170" s="539">
        <f>-H119</f>
        <v>0</v>
      </c>
      <c r="I170" s="540">
        <f>-I119</f>
        <v>0</v>
      </c>
      <c r="J170" s="347">
        <f>-J119</f>
        <v>0</v>
      </c>
      <c r="K170" s="347">
        <f>F170-J170</f>
        <v>0</v>
      </c>
    </row>
    <row r="171" spans="1:11">
      <c r="A171" s="333">
        <v>9</v>
      </c>
      <c r="C171" s="332" t="str">
        <f>'FR-16(7)(v)-1 Functional'!C171</f>
        <v xml:space="preserve">    NET TRANSMISSION PLANT</v>
      </c>
      <c r="D171" s="344"/>
      <c r="E171" s="196"/>
      <c r="F171" s="348">
        <f t="shared" ref="F171:K171" si="33">SUM(F168:F170)</f>
        <v>0</v>
      </c>
      <c r="G171" s="549">
        <f t="shared" si="33"/>
        <v>0</v>
      </c>
      <c r="H171" s="541">
        <f t="shared" si="33"/>
        <v>0</v>
      </c>
      <c r="I171" s="542">
        <f t="shared" si="33"/>
        <v>0</v>
      </c>
      <c r="J171" s="348">
        <f t="shared" si="33"/>
        <v>0</v>
      </c>
      <c r="K171" s="348">
        <f t="shared" si="33"/>
        <v>0</v>
      </c>
    </row>
    <row r="172" spans="1:11">
      <c r="A172" s="333">
        <v>10</v>
      </c>
      <c r="D172" s="344"/>
      <c r="E172" s="196"/>
      <c r="G172" s="547"/>
      <c r="H172" s="537"/>
      <c r="I172" s="538"/>
    </row>
    <row r="173" spans="1:11">
      <c r="A173" s="333">
        <v>11</v>
      </c>
      <c r="B173" s="332" t="s">
        <v>17</v>
      </c>
      <c r="D173" s="344"/>
      <c r="E173" s="196"/>
      <c r="G173" s="547"/>
      <c r="H173" s="537"/>
      <c r="I173" s="538"/>
    </row>
    <row r="174" spans="1:11">
      <c r="A174" s="333">
        <v>12</v>
      </c>
      <c r="C174" s="332" t="str">
        <f>'FR-16(7)(v)-1 Functional'!C174</f>
        <v>DISTRIBUTION PLANT IN SERVICE</v>
      </c>
      <c r="D174" s="344"/>
      <c r="E174" s="196"/>
      <c r="F174" s="347">
        <f>F78</f>
        <v>34186784</v>
      </c>
      <c r="G174" s="548">
        <f>G78</f>
        <v>33453586</v>
      </c>
      <c r="H174" s="539">
        <f>H78</f>
        <v>0</v>
      </c>
      <c r="I174" s="540">
        <f>I78</f>
        <v>733198</v>
      </c>
      <c r="J174" s="347">
        <f>J78</f>
        <v>34186784</v>
      </c>
      <c r="K174" s="347">
        <f>F174-J174</f>
        <v>0</v>
      </c>
    </row>
    <row r="175" spans="1:11">
      <c r="A175" s="333">
        <v>13</v>
      </c>
      <c r="C175" s="359" t="str">
        <f>'FR-16(7)(v)-1 Functional'!C175</f>
        <v>TOTAL DIST DEPREC RESERVE</v>
      </c>
      <c r="D175" s="344"/>
      <c r="E175" s="196"/>
      <c r="F175" s="347">
        <f>-F131</f>
        <v>-10760893</v>
      </c>
      <c r="G175" s="548">
        <f>-G131</f>
        <v>-10594198</v>
      </c>
      <c r="H175" s="539">
        <f>-H131</f>
        <v>0</v>
      </c>
      <c r="I175" s="540">
        <f>-I131</f>
        <v>-166695</v>
      </c>
      <c r="J175" s="347">
        <f>-J131</f>
        <v>-10760893</v>
      </c>
      <c r="K175" s="347">
        <f>F175-J175</f>
        <v>0</v>
      </c>
    </row>
    <row r="176" spans="1:11">
      <c r="A176" s="333">
        <v>14</v>
      </c>
      <c r="C176" s="332" t="str">
        <f>'FR-16(7)(v)-1 Functional'!C176</f>
        <v xml:space="preserve">  NET DISTRIBUTION PLANT</v>
      </c>
      <c r="D176" s="344"/>
      <c r="E176" s="196"/>
      <c r="F176" s="348">
        <f t="shared" ref="F176:K176" si="34">SUM(F173:F175)</f>
        <v>23425891</v>
      </c>
      <c r="G176" s="549">
        <f t="shared" si="34"/>
        <v>22859388</v>
      </c>
      <c r="H176" s="541">
        <f t="shared" si="34"/>
        <v>0</v>
      </c>
      <c r="I176" s="542">
        <f t="shared" si="34"/>
        <v>566503</v>
      </c>
      <c r="J176" s="348">
        <f t="shared" si="34"/>
        <v>23425891</v>
      </c>
      <c r="K176" s="348">
        <f t="shared" si="34"/>
        <v>0</v>
      </c>
    </row>
    <row r="177" spans="1:11">
      <c r="A177" s="333">
        <v>15</v>
      </c>
      <c r="D177" s="344"/>
      <c r="E177" s="196"/>
      <c r="G177" s="547"/>
      <c r="H177" s="537"/>
      <c r="I177" s="538"/>
    </row>
    <row r="178" spans="1:11">
      <c r="A178" s="333">
        <v>16</v>
      </c>
      <c r="B178" s="332" t="s">
        <v>430</v>
      </c>
      <c r="D178" s="344"/>
      <c r="E178" s="196"/>
      <c r="F178" s="347">
        <f t="shared" ref="F178:K178" si="35">F176+F171+F166</f>
        <v>23556174</v>
      </c>
      <c r="G178" s="548">
        <f t="shared" si="35"/>
        <v>22859388</v>
      </c>
      <c r="H178" s="539">
        <f t="shared" si="35"/>
        <v>130283</v>
      </c>
      <c r="I178" s="540">
        <f t="shared" si="35"/>
        <v>566503</v>
      </c>
      <c r="J178" s="347">
        <f t="shared" si="35"/>
        <v>23556174</v>
      </c>
      <c r="K178" s="347">
        <f t="shared" si="35"/>
        <v>0</v>
      </c>
    </row>
    <row r="179" spans="1:11">
      <c r="A179" s="333">
        <v>17</v>
      </c>
      <c r="B179" s="332" t="s">
        <v>24</v>
      </c>
      <c r="D179" s="344"/>
      <c r="E179" s="196"/>
      <c r="F179" s="347">
        <f t="shared" ref="F179:K179" si="36">F176+F171</f>
        <v>23425891</v>
      </c>
      <c r="G179" s="548">
        <f t="shared" si="36"/>
        <v>22859388</v>
      </c>
      <c r="H179" s="539">
        <f t="shared" si="36"/>
        <v>0</v>
      </c>
      <c r="I179" s="540">
        <f t="shared" si="36"/>
        <v>566503</v>
      </c>
      <c r="J179" s="347">
        <f t="shared" si="36"/>
        <v>23425891</v>
      </c>
      <c r="K179" s="347">
        <f t="shared" si="36"/>
        <v>0</v>
      </c>
    </row>
    <row r="180" spans="1:11">
      <c r="A180" s="333">
        <v>18</v>
      </c>
      <c r="D180" s="344"/>
      <c r="E180" s="196"/>
      <c r="G180" s="547"/>
      <c r="H180" s="537"/>
      <c r="I180" s="538"/>
    </row>
    <row r="181" spans="1:11">
      <c r="A181" s="333">
        <v>19</v>
      </c>
      <c r="B181" s="332" t="s">
        <v>20</v>
      </c>
      <c r="D181" s="344"/>
      <c r="E181" s="196"/>
      <c r="G181" s="547"/>
      <c r="H181" s="537"/>
      <c r="I181" s="538"/>
    </row>
    <row r="182" spans="1:11">
      <c r="A182" s="333">
        <v>20</v>
      </c>
      <c r="C182" s="332" t="str">
        <f>'FR-16(7)(v)-1 Functional'!C182</f>
        <v>GEN &amp; INTANG PLANT IN SERVICE</v>
      </c>
      <c r="D182" s="344"/>
      <c r="E182" s="196"/>
      <c r="F182" s="347">
        <f>F90</f>
        <v>1457360</v>
      </c>
      <c r="G182" s="548">
        <f>G90</f>
        <v>803102</v>
      </c>
      <c r="H182" s="539">
        <f>H90</f>
        <v>516090</v>
      </c>
      <c r="I182" s="540">
        <f>I90</f>
        <v>138168</v>
      </c>
      <c r="J182" s="347">
        <f>J90</f>
        <v>1457360</v>
      </c>
      <c r="K182" s="347">
        <f>F182-J182</f>
        <v>0</v>
      </c>
    </row>
    <row r="183" spans="1:11">
      <c r="A183" s="333">
        <v>21</v>
      </c>
      <c r="C183" s="359" t="str">
        <f>'FR-16(7)(v)-1 Functional'!C183</f>
        <v>TOTAL GEN &amp; INTG DEPREC RESERVE</v>
      </c>
      <c r="D183" s="344"/>
      <c r="E183" s="196"/>
      <c r="F183" s="347">
        <f>-F140</f>
        <v>-561700</v>
      </c>
      <c r="G183" s="548">
        <f>-G140</f>
        <v>-309534</v>
      </c>
      <c r="H183" s="539">
        <f>-H140</f>
        <v>-198913</v>
      </c>
      <c r="I183" s="540">
        <f>-I140</f>
        <v>-53253</v>
      </c>
      <c r="J183" s="347">
        <f>-J140</f>
        <v>-561700</v>
      </c>
      <c r="K183" s="347">
        <f>F183-J183</f>
        <v>0</v>
      </c>
    </row>
    <row r="184" spans="1:11">
      <c r="A184" s="333">
        <v>22</v>
      </c>
      <c r="C184" s="332" t="str">
        <f>'FR-16(7)(v)-1 Functional'!C184</f>
        <v xml:space="preserve">  NET GENERAL &amp; INTANG PLANT</v>
      </c>
      <c r="D184" s="344"/>
      <c r="E184" s="196"/>
      <c r="F184" s="348">
        <f t="shared" ref="F184:K184" si="37">SUM(F181:F183)</f>
        <v>895660</v>
      </c>
      <c r="G184" s="549">
        <f t="shared" si="37"/>
        <v>493568</v>
      </c>
      <c r="H184" s="541">
        <f t="shared" si="37"/>
        <v>317177</v>
      </c>
      <c r="I184" s="542">
        <f t="shared" si="37"/>
        <v>84915</v>
      </c>
      <c r="J184" s="348">
        <f t="shared" si="37"/>
        <v>895660</v>
      </c>
      <c r="K184" s="348">
        <f t="shared" si="37"/>
        <v>0</v>
      </c>
    </row>
    <row r="185" spans="1:11">
      <c r="A185" s="333">
        <v>23</v>
      </c>
      <c r="D185" s="344"/>
      <c r="E185" s="196"/>
      <c r="F185" s="347"/>
      <c r="G185" s="548"/>
      <c r="H185" s="539"/>
      <c r="I185" s="540"/>
      <c r="J185" s="347"/>
    </row>
    <row r="186" spans="1:11">
      <c r="A186" s="333">
        <v>24</v>
      </c>
      <c r="B186" s="332" t="s">
        <v>21</v>
      </c>
      <c r="D186" s="344"/>
      <c r="E186" s="196"/>
      <c r="F186" s="347"/>
      <c r="G186" s="548"/>
      <c r="H186" s="539"/>
      <c r="I186" s="540"/>
      <c r="J186" s="347"/>
    </row>
    <row r="187" spans="1:11">
      <c r="A187" s="333">
        <v>25</v>
      </c>
      <c r="C187" s="332" t="str">
        <f>'FR-16(7)(v)-1 Functional'!C187</f>
        <v>COMMON &amp; OTH PLT IN SERVICE</v>
      </c>
      <c r="D187" s="344"/>
      <c r="E187" s="196"/>
      <c r="F187" s="347">
        <f>F99</f>
        <v>767097</v>
      </c>
      <c r="G187" s="548">
        <f>G99</f>
        <v>422721</v>
      </c>
      <c r="H187" s="539">
        <f>H99</f>
        <v>271650</v>
      </c>
      <c r="I187" s="540">
        <f>I99</f>
        <v>72726</v>
      </c>
      <c r="J187" s="347">
        <f>J99</f>
        <v>767097</v>
      </c>
      <c r="K187" s="347">
        <f>F187-J187</f>
        <v>0</v>
      </c>
    </row>
    <row r="188" spans="1:11">
      <c r="A188" s="333">
        <v>26</v>
      </c>
      <c r="C188" s="359" t="str">
        <f>'FR-16(7)(v)-1 Functional'!C188</f>
        <v>TOTAL COM &amp; OTH DEPREC RESERVE</v>
      </c>
      <c r="D188" s="344"/>
      <c r="E188" s="196"/>
      <c r="F188" s="347">
        <f>-F149</f>
        <v>-632621</v>
      </c>
      <c r="G188" s="548">
        <f>-G149</f>
        <v>-348616</v>
      </c>
      <c r="H188" s="539">
        <f>-H149</f>
        <v>-224028</v>
      </c>
      <c r="I188" s="540">
        <f>-I149</f>
        <v>-59977</v>
      </c>
      <c r="J188" s="347">
        <f>-J149</f>
        <v>-632621</v>
      </c>
      <c r="K188" s="347">
        <f>F188-J188</f>
        <v>0</v>
      </c>
    </row>
    <row r="189" spans="1:11">
      <c r="A189" s="333">
        <v>27</v>
      </c>
      <c r="C189" s="332" t="str">
        <f>'FR-16(7)(v)-1 Functional'!C189</f>
        <v xml:space="preserve">  NET COMMON &amp; OTHER PLANT</v>
      </c>
      <c r="D189" s="344"/>
      <c r="E189" s="196"/>
      <c r="F189" s="348">
        <f t="shared" ref="F189:K189" si="38">SUM(F186:F188)</f>
        <v>134476</v>
      </c>
      <c r="G189" s="549">
        <f t="shared" si="38"/>
        <v>74105</v>
      </c>
      <c r="H189" s="541">
        <f t="shared" si="38"/>
        <v>47622</v>
      </c>
      <c r="I189" s="542">
        <f t="shared" si="38"/>
        <v>12749</v>
      </c>
      <c r="J189" s="348">
        <f t="shared" si="38"/>
        <v>134476</v>
      </c>
      <c r="K189" s="348">
        <f t="shared" si="38"/>
        <v>0</v>
      </c>
    </row>
    <row r="190" spans="1:11">
      <c r="A190" s="333">
        <v>28</v>
      </c>
      <c r="D190" s="344"/>
      <c r="E190" s="196"/>
      <c r="F190" s="347"/>
      <c r="G190" s="548"/>
      <c r="H190" s="539"/>
      <c r="I190" s="540"/>
      <c r="J190" s="347"/>
      <c r="K190" s="347"/>
    </row>
    <row r="191" spans="1:11">
      <c r="A191" s="333">
        <v>29</v>
      </c>
      <c r="C191" s="332" t="str">
        <f>'FR-16(7)(v)-1 Functional'!C191</f>
        <v>NET GAS PLANT IN SERVICE</v>
      </c>
      <c r="D191" s="344"/>
      <c r="E191" s="196"/>
      <c r="F191" s="347">
        <f t="shared" ref="F191:K191" si="39">F189+F184+F176+F171+F166</f>
        <v>24586310</v>
      </c>
      <c r="G191" s="550">
        <f t="shared" si="39"/>
        <v>23427061</v>
      </c>
      <c r="H191" s="543">
        <f t="shared" si="39"/>
        <v>495082</v>
      </c>
      <c r="I191" s="544">
        <f t="shared" si="39"/>
        <v>664167</v>
      </c>
      <c r="J191" s="347">
        <f t="shared" si="39"/>
        <v>24586310</v>
      </c>
      <c r="K191" s="347">
        <f t="shared" si="39"/>
        <v>0</v>
      </c>
    </row>
    <row r="192" spans="1:11">
      <c r="B192" s="343"/>
      <c r="C192" s="196"/>
      <c r="D192" s="344"/>
      <c r="E192" s="196"/>
      <c r="F192" s="196"/>
      <c r="G192" s="196"/>
      <c r="H192" s="196"/>
      <c r="I192" s="196"/>
      <c r="J192" s="196"/>
      <c r="K192" s="196"/>
    </row>
    <row r="193" spans="1:11">
      <c r="A193" s="343" t="str">
        <f>co_name</f>
        <v>DUKE ENERGY KENTUCKY, INC.</v>
      </c>
      <c r="C193" s="196"/>
      <c r="D193" s="344"/>
      <c r="E193" s="196"/>
      <c r="F193" s="196"/>
      <c r="G193" s="196"/>
      <c r="H193" s="196"/>
      <c r="I193" s="196"/>
      <c r="J193" s="196" t="str">
        <f>$J$1</f>
        <v>FR-16(7)(v)-11</v>
      </c>
      <c r="K193" s="196"/>
    </row>
    <row r="194" spans="1:11">
      <c r="A194" s="343" t="str">
        <f>$A$2</f>
        <v>FT-L CLASSIFIED - GAS COST OF SERVICE</v>
      </c>
      <c r="C194" s="196"/>
      <c r="D194" s="344"/>
      <c r="E194" s="196"/>
      <c r="F194" s="196"/>
      <c r="G194" s="196"/>
      <c r="H194" s="196"/>
      <c r="I194" s="196"/>
      <c r="J194" s="196" t="str">
        <f>$J$2</f>
        <v>WITNESS RESPONSIBLE:</v>
      </c>
      <c r="K194" s="196"/>
    </row>
    <row r="195" spans="1:11">
      <c r="A195" s="343" t="str">
        <f>case_name</f>
        <v>CASE NO: 2018-00261</v>
      </c>
      <c r="C195" s="196"/>
      <c r="D195" s="344"/>
      <c r="E195" s="196"/>
      <c r="F195" s="196"/>
      <c r="G195" s="196"/>
      <c r="H195" s="196"/>
      <c r="I195" s="196"/>
      <c r="J195" s="196" t="str">
        <f>Witness</f>
        <v>JAMES E. ZIOLKOWSKI</v>
      </c>
      <c r="K195" s="196"/>
    </row>
    <row r="196" spans="1:11">
      <c r="A196" s="343" t="str">
        <f>data_filing</f>
        <v>DATA: 12 MONTH FORECASTED PERIOD</v>
      </c>
      <c r="C196" s="196"/>
      <c r="D196" s="344"/>
      <c r="E196" s="196"/>
      <c r="F196" s="196"/>
      <c r="G196" s="196"/>
      <c r="H196" s="196"/>
      <c r="I196" s="196"/>
      <c r="J196" s="196" t="str">
        <f>"PAGE "&amp;Pages2-10&amp;" OF "&amp;Pages2</f>
        <v>PAGE 5 OF 15</v>
      </c>
      <c r="K196" s="196"/>
    </row>
    <row r="197" spans="1:11">
      <c r="A197" s="343" t="str">
        <f>type</f>
        <v xml:space="preserve">TYPE OF FILING: "X" ORIGINAL   UPDATED    REVISED  </v>
      </c>
      <c r="C197" s="196"/>
      <c r="D197" s="344"/>
      <c r="E197" s="196"/>
      <c r="F197" s="196"/>
      <c r="G197" s="196"/>
      <c r="H197" s="196"/>
      <c r="I197" s="196"/>
      <c r="J197" s="196"/>
      <c r="K197" s="196"/>
    </row>
    <row r="198" spans="1:11">
      <c r="B198" s="343"/>
      <c r="C198" s="196"/>
      <c r="D198" s="344"/>
      <c r="E198" s="196"/>
      <c r="F198" s="196"/>
      <c r="G198" s="196"/>
      <c r="H198" s="196"/>
      <c r="I198" s="196"/>
      <c r="J198" s="196"/>
      <c r="K198" s="196"/>
    </row>
    <row r="199" spans="1:11">
      <c r="B199" s="343"/>
      <c r="C199" s="196"/>
      <c r="D199" s="344"/>
      <c r="E199" s="196"/>
      <c r="F199" s="196"/>
      <c r="G199" s="196"/>
      <c r="H199" s="196"/>
      <c r="I199" s="196"/>
      <c r="J199" s="196"/>
      <c r="K199" s="196"/>
    </row>
    <row r="200" spans="1:11">
      <c r="A200" s="344" t="s">
        <v>914</v>
      </c>
      <c r="B200" s="196"/>
      <c r="C200" s="196"/>
      <c r="D200" s="344"/>
      <c r="E200" s="196"/>
      <c r="F200" s="344" t="s">
        <v>229</v>
      </c>
      <c r="G200" s="545" t="s">
        <v>1005</v>
      </c>
      <c r="H200" s="533"/>
      <c r="I200" s="534"/>
      <c r="J200" s="344" t="s">
        <v>229</v>
      </c>
      <c r="K200" s="344" t="s">
        <v>342</v>
      </c>
    </row>
    <row r="201" spans="1:11">
      <c r="A201" s="346" t="s">
        <v>915</v>
      </c>
      <c r="B201" s="345" t="s">
        <v>953</v>
      </c>
      <c r="C201" s="345"/>
      <c r="D201" s="346" t="s">
        <v>337</v>
      </c>
      <c r="E201" s="345"/>
      <c r="F201" s="346" t="str">
        <f>$F$9</f>
        <v>FT-L</v>
      </c>
      <c r="G201" s="546" t="s">
        <v>847</v>
      </c>
      <c r="H201" s="535" t="s">
        <v>848</v>
      </c>
      <c r="I201" s="536" t="s">
        <v>849</v>
      </c>
      <c r="J201" s="346" t="s">
        <v>341</v>
      </c>
      <c r="K201" s="346" t="s">
        <v>340</v>
      </c>
    </row>
    <row r="202" spans="1:11">
      <c r="C202" s="578" t="s">
        <v>347</v>
      </c>
      <c r="D202" s="344"/>
      <c r="E202" s="196"/>
      <c r="G202" s="800">
        <f>$G$10</f>
        <v>3</v>
      </c>
      <c r="H202" s="801">
        <f>$H$10</f>
        <v>4</v>
      </c>
      <c r="I202" s="802">
        <f>$I$10</f>
        <v>5</v>
      </c>
    </row>
    <row r="203" spans="1:11">
      <c r="A203" s="333">
        <v>1</v>
      </c>
      <c r="B203" s="332" t="s">
        <v>26</v>
      </c>
      <c r="D203" s="344"/>
      <c r="E203" s="196"/>
      <c r="G203" s="547"/>
      <c r="H203" s="537"/>
      <c r="I203" s="538"/>
    </row>
    <row r="204" spans="1:11">
      <c r="A204" s="333">
        <v>2</v>
      </c>
      <c r="B204" s="332" t="s">
        <v>823</v>
      </c>
      <c r="D204" s="344"/>
      <c r="E204" s="196"/>
      <c r="G204" s="547"/>
      <c r="H204" s="537"/>
      <c r="I204" s="538"/>
    </row>
    <row r="205" spans="1:11">
      <c r="A205" s="333">
        <v>3</v>
      </c>
      <c r="B205" s="332" t="s">
        <v>27</v>
      </c>
      <c r="D205" s="344"/>
      <c r="E205" s="196"/>
      <c r="G205" s="547"/>
      <c r="H205" s="537"/>
      <c r="I205" s="538"/>
    </row>
    <row r="206" spans="1:11">
      <c r="A206" s="333">
        <v>4</v>
      </c>
      <c r="C206" s="332" t="str">
        <f>'FR-16(7)(v)-1 Functional'!C206</f>
        <v>LIBERALIZED DEPRECIATION</v>
      </c>
      <c r="D206" s="344" t="str">
        <f>'FR-16(7)(v)-1 Functional'!D206</f>
        <v>NP29</v>
      </c>
      <c r="E206" s="332" t="s">
        <v>343</v>
      </c>
      <c r="F206" s="479">
        <f>'FR-16(7)(v)-8 TOT CLASS Alloc'!I206</f>
        <v>3237681</v>
      </c>
      <c r="G206" s="548">
        <f>'FR-16(7)(v)-5 DISTR Dem Alloc'!I206</f>
        <v>3085092</v>
      </c>
      <c r="H206" s="539">
        <f>'FR-16(7)(v)-3 PROD Comm Alloc'!I206</f>
        <v>65189</v>
      </c>
      <c r="I206" s="540">
        <f>'FR-16(7)(v)-6 DISTR Cust Alloc'!I206</f>
        <v>87400</v>
      </c>
      <c r="J206" s="347">
        <f t="shared" ref="J206:J214" si="40">SUM(G206:I206)</f>
        <v>3237681</v>
      </c>
      <c r="K206" s="347">
        <f t="shared" ref="K206:K214" si="41">F206-J206</f>
        <v>0</v>
      </c>
    </row>
    <row r="207" spans="1:11">
      <c r="A207" s="333">
        <v>5</v>
      </c>
      <c r="C207" s="332" t="str">
        <f>'FR-16(7)(v)-1 Functional'!C207</f>
        <v>LEASED METERS</v>
      </c>
      <c r="D207" s="344" t="str">
        <f>'FR-16(7)(v)-1 Functional'!D207</f>
        <v>K413</v>
      </c>
      <c r="E207" s="332" t="s">
        <v>343</v>
      </c>
      <c r="F207" s="479">
        <f>'FR-16(7)(v)-8 TOT CLASS Alloc'!I207</f>
        <v>13635</v>
      </c>
      <c r="G207" s="548">
        <f>'FR-16(7)(v)-5 DISTR Dem Alloc'!I207</f>
        <v>0</v>
      </c>
      <c r="H207" s="539">
        <f>'FR-16(7)(v)-3 PROD Comm Alloc'!I207</f>
        <v>0</v>
      </c>
      <c r="I207" s="540">
        <f>'FR-16(7)(v)-6 DISTR Cust Alloc'!I207</f>
        <v>13635</v>
      </c>
      <c r="J207" s="347">
        <f t="shared" si="40"/>
        <v>13635</v>
      </c>
      <c r="K207" s="347">
        <f t="shared" si="41"/>
        <v>0</v>
      </c>
    </row>
    <row r="208" spans="1:11">
      <c r="A208" s="333">
        <v>6</v>
      </c>
      <c r="C208" s="332" t="str">
        <f>'FR-16(7)(v)-1 Functional'!C208</f>
        <v>CONTRIB AID CONSTR</v>
      </c>
      <c r="D208" s="344" t="str">
        <f>'FR-16(7)(v)-1 Functional'!D208</f>
        <v>D249</v>
      </c>
      <c r="E208" s="332" t="s">
        <v>343</v>
      </c>
      <c r="F208" s="479">
        <f>'FR-16(7)(v)-8 TOT CLASS Alloc'!I208</f>
        <v>-11332</v>
      </c>
      <c r="G208" s="548">
        <f>'FR-16(7)(v)-5 DISTR Dem Alloc'!I208</f>
        <v>-11058</v>
      </c>
      <c r="H208" s="539">
        <f>'FR-16(7)(v)-3 PROD Comm Alloc'!I208</f>
        <v>0</v>
      </c>
      <c r="I208" s="540">
        <f>'FR-16(7)(v)-6 DISTR Cust Alloc'!I208</f>
        <v>-274</v>
      </c>
      <c r="J208" s="347">
        <f t="shared" si="40"/>
        <v>-11332</v>
      </c>
      <c r="K208" s="347">
        <f t="shared" si="41"/>
        <v>0</v>
      </c>
    </row>
    <row r="209" spans="1:11">
      <c r="A209" s="333">
        <v>7</v>
      </c>
      <c r="C209" s="332" t="str">
        <f>'FR-16(7)(v)-1 Functional'!C209</f>
        <v>CAPITALIZED INTEREST</v>
      </c>
      <c r="D209" s="344" t="str">
        <f>'FR-16(7)(v)-1 Functional'!D209</f>
        <v>NP29</v>
      </c>
      <c r="E209" s="332" t="s">
        <v>343</v>
      </c>
      <c r="F209" s="479">
        <f>'FR-16(7)(v)-8 TOT CLASS Alloc'!I209</f>
        <v>-57568</v>
      </c>
      <c r="G209" s="548">
        <f>'FR-16(7)(v)-5 DISTR Dem Alloc'!I209</f>
        <v>-54855</v>
      </c>
      <c r="H209" s="539">
        <f>'FR-16(7)(v)-3 PROD Comm Alloc'!I209</f>
        <v>-1159</v>
      </c>
      <c r="I209" s="540">
        <f>'FR-16(7)(v)-6 DISTR Cust Alloc'!I209</f>
        <v>-1554</v>
      </c>
      <c r="J209" s="347">
        <f t="shared" si="40"/>
        <v>-57568</v>
      </c>
      <c r="K209" s="347">
        <f t="shared" si="41"/>
        <v>0</v>
      </c>
    </row>
    <row r="210" spans="1:11">
      <c r="A210" s="333">
        <v>8</v>
      </c>
      <c r="C210" s="332" t="str">
        <f>'FR-16(7)(v)-1 Functional'!C210</f>
        <v>AFUDC IN DEBT</v>
      </c>
      <c r="D210" s="344" t="str">
        <f>'FR-16(7)(v)-1 Functional'!D210</f>
        <v>NP29</v>
      </c>
      <c r="E210" s="332" t="s">
        <v>343</v>
      </c>
      <c r="F210" s="479">
        <f>'FR-16(7)(v)-8 TOT CLASS Alloc'!I210</f>
        <v>15522</v>
      </c>
      <c r="G210" s="548">
        <f>'FR-16(7)(v)-5 DISTR Dem Alloc'!I210</f>
        <v>14790</v>
      </c>
      <c r="H210" s="539">
        <f>'FR-16(7)(v)-3 PROD Comm Alloc'!I210</f>
        <v>313</v>
      </c>
      <c r="I210" s="540">
        <f>'FR-16(7)(v)-6 DISTR Cust Alloc'!I210</f>
        <v>419</v>
      </c>
      <c r="J210" s="347">
        <f t="shared" si="40"/>
        <v>15522</v>
      </c>
      <c r="K210" s="347">
        <f t="shared" si="41"/>
        <v>0</v>
      </c>
    </row>
    <row r="211" spans="1:11">
      <c r="A211" s="333">
        <v>9</v>
      </c>
      <c r="C211" s="332" t="str">
        <f>'FR-16(7)(v)-1 Functional'!C211</f>
        <v>CWIP DIFFERENCES</v>
      </c>
      <c r="D211" s="344" t="str">
        <f>'FR-16(7)(v)-1 Functional'!D211</f>
        <v>NP29</v>
      </c>
      <c r="E211" s="332" t="s">
        <v>343</v>
      </c>
      <c r="F211" s="479">
        <f>'FR-16(7)(v)-8 TOT CLASS Alloc'!I211</f>
        <v>0</v>
      </c>
      <c r="G211" s="548">
        <f>'FR-16(7)(v)-5 DISTR Dem Alloc'!I211</f>
        <v>0</v>
      </c>
      <c r="H211" s="539">
        <f>'FR-16(7)(v)-3 PROD Comm Alloc'!I211</f>
        <v>0</v>
      </c>
      <c r="I211" s="540">
        <f>'FR-16(7)(v)-6 DISTR Cust Alloc'!I211</f>
        <v>0</v>
      </c>
      <c r="J211" s="347">
        <f t="shared" si="40"/>
        <v>0</v>
      </c>
      <c r="K211" s="347">
        <f t="shared" si="41"/>
        <v>0</v>
      </c>
    </row>
    <row r="212" spans="1:11">
      <c r="A212" s="333">
        <v>10</v>
      </c>
      <c r="C212" s="332" t="str">
        <f>'FR-16(7)(v)-1 Functional'!C212</f>
        <v>NON-CASH OVERHEADS</v>
      </c>
      <c r="D212" s="344" t="str">
        <f>'FR-16(7)(v)-1 Functional'!D212</f>
        <v>AG39</v>
      </c>
      <c r="E212" s="332" t="s">
        <v>343</v>
      </c>
      <c r="F212" s="479">
        <f>'FR-16(7)(v)-8 TOT CLASS Alloc'!I212</f>
        <v>-31983</v>
      </c>
      <c r="G212" s="548">
        <f>'FR-16(7)(v)-5 DISTR Dem Alloc'!I212</f>
        <v>-17627</v>
      </c>
      <c r="H212" s="539">
        <f>'FR-16(7)(v)-3 PROD Comm Alloc'!I212</f>
        <v>-11323</v>
      </c>
      <c r="I212" s="540">
        <f>'FR-16(7)(v)-6 DISTR Cust Alloc'!I212</f>
        <v>-3033</v>
      </c>
      <c r="J212" s="347">
        <f t="shared" si="40"/>
        <v>-31983</v>
      </c>
      <c r="K212" s="347">
        <f t="shared" si="41"/>
        <v>0</v>
      </c>
    </row>
    <row r="213" spans="1:11">
      <c r="A213" s="333">
        <v>11</v>
      </c>
      <c r="C213" s="332" t="str">
        <f>'FR-16(7)(v)-1 Functional'!C213</f>
        <v>PLANT FAS 109</v>
      </c>
      <c r="D213" s="344" t="str">
        <f>'FR-16(7)(v)-1 Functional'!D213</f>
        <v>NP29</v>
      </c>
      <c r="E213" s="332" t="s">
        <v>343</v>
      </c>
      <c r="F213" s="479">
        <f>'FR-16(7)(v)-8 TOT CLASS Alloc'!I213</f>
        <v>0</v>
      </c>
      <c r="G213" s="548">
        <f>'FR-16(7)(v)-5 DISTR Dem Alloc'!I213</f>
        <v>0</v>
      </c>
      <c r="H213" s="539">
        <f>'FR-16(7)(v)-3 PROD Comm Alloc'!I213</f>
        <v>0</v>
      </c>
      <c r="I213" s="540">
        <f>'FR-16(7)(v)-6 DISTR Cust Alloc'!I213</f>
        <v>0</v>
      </c>
      <c r="J213" s="347">
        <f t="shared" si="40"/>
        <v>0</v>
      </c>
      <c r="K213" s="347">
        <f t="shared" si="41"/>
        <v>0</v>
      </c>
    </row>
    <row r="214" spans="1:11">
      <c r="A214" s="333">
        <v>12</v>
      </c>
      <c r="C214" s="365" t="str">
        <f>'FR-16(7)(v)-1 Functional'!C214</f>
        <v>MISCELLANEOUS</v>
      </c>
      <c r="D214" s="344" t="str">
        <f>'FR-16(7)(v)-1 Functional'!D214</f>
        <v>AG39</v>
      </c>
      <c r="F214" s="479">
        <f>'FR-16(7)(v)-8 TOT CLASS Alloc'!I214</f>
        <v>563149</v>
      </c>
      <c r="G214" s="548">
        <f>'FR-16(7)(v)-5 DISTR Dem Alloc'!I214</f>
        <v>310366</v>
      </c>
      <c r="H214" s="539">
        <f>'FR-16(7)(v)-3 PROD Comm Alloc'!I214</f>
        <v>199376</v>
      </c>
      <c r="I214" s="540">
        <f>'FR-16(7)(v)-6 DISTR Cust Alloc'!I214</f>
        <v>53407</v>
      </c>
      <c r="J214" s="347">
        <f t="shared" si="40"/>
        <v>563149</v>
      </c>
      <c r="K214" s="347">
        <f t="shared" si="41"/>
        <v>0</v>
      </c>
    </row>
    <row r="215" spans="1:11">
      <c r="A215" s="333">
        <v>13</v>
      </c>
      <c r="C215" s="339" t="str">
        <f>'FR-16(7)(v)-1 Functional'!C215</f>
        <v xml:space="preserve">  TOTAL ACCOUNT 282</v>
      </c>
      <c r="D215" s="344"/>
      <c r="F215" s="348">
        <f t="shared" ref="F215:K215" si="42">SUM(F206:F214)</f>
        <v>3729104</v>
      </c>
      <c r="G215" s="549">
        <f t="shared" si="42"/>
        <v>3326708</v>
      </c>
      <c r="H215" s="541">
        <f t="shared" si="42"/>
        <v>252396</v>
      </c>
      <c r="I215" s="542">
        <f t="shared" si="42"/>
        <v>150000</v>
      </c>
      <c r="J215" s="348">
        <f t="shared" si="42"/>
        <v>3729104</v>
      </c>
      <c r="K215" s="348">
        <f t="shared" si="42"/>
        <v>0</v>
      </c>
    </row>
    <row r="216" spans="1:11">
      <c r="A216" s="333">
        <v>14</v>
      </c>
      <c r="D216" s="344"/>
      <c r="E216" s="196"/>
      <c r="G216" s="547"/>
      <c r="H216" s="537"/>
      <c r="I216" s="538"/>
    </row>
    <row r="217" spans="1:11">
      <c r="A217" s="333">
        <v>15</v>
      </c>
      <c r="B217" s="332" t="s">
        <v>28</v>
      </c>
      <c r="D217" s="344"/>
      <c r="E217" s="196"/>
      <c r="G217" s="547"/>
      <c r="H217" s="537"/>
      <c r="I217" s="538"/>
    </row>
    <row r="218" spans="1:11">
      <c r="A218" s="333">
        <v>16</v>
      </c>
      <c r="C218" s="332" t="str">
        <f>'FR-16(7)(v)-1 Functional'!C218</f>
        <v>BLANK</v>
      </c>
      <c r="D218" s="344" t="str">
        <f>'FR-16(7)(v)-1 Functional'!D218</f>
        <v>K413</v>
      </c>
      <c r="F218" s="479">
        <f>'FR-16(7)(v)-8 TOT CLASS Alloc'!I218</f>
        <v>0</v>
      </c>
      <c r="G218" s="548">
        <f>'FR-16(7)(v)-5 DISTR Dem Alloc'!I218</f>
        <v>0</v>
      </c>
      <c r="H218" s="539">
        <f>'FR-16(7)(v)-3 PROD Comm Alloc'!I218</f>
        <v>0</v>
      </c>
      <c r="I218" s="540">
        <f>'FR-16(7)(v)-6 DISTR Cust Alloc'!I218</f>
        <v>0</v>
      </c>
      <c r="J218" s="347">
        <f t="shared" ref="J218:J228" si="43">SUM(G218:I218)</f>
        <v>0</v>
      </c>
      <c r="K218" s="347">
        <f t="shared" ref="K218:K228" si="44">F218-J218</f>
        <v>0</v>
      </c>
    </row>
    <row r="219" spans="1:11">
      <c r="A219" s="333">
        <v>17</v>
      </c>
      <c r="C219" s="332" t="str">
        <f>'FR-16(7)(v)-1 Functional'!C219</f>
        <v>BLANK</v>
      </c>
      <c r="D219" s="344" t="str">
        <f>'FR-16(7)(v)-1 Functional'!D219</f>
        <v>K413</v>
      </c>
      <c r="F219" s="479">
        <f>'FR-16(7)(v)-8 TOT CLASS Alloc'!I219</f>
        <v>0</v>
      </c>
      <c r="G219" s="548">
        <f>'FR-16(7)(v)-5 DISTR Dem Alloc'!I219</f>
        <v>0</v>
      </c>
      <c r="H219" s="539">
        <f>'FR-16(7)(v)-3 PROD Comm Alloc'!I219</f>
        <v>0</v>
      </c>
      <c r="I219" s="540">
        <f>'FR-16(7)(v)-6 DISTR Cust Alloc'!I219</f>
        <v>0</v>
      </c>
      <c r="J219" s="347">
        <f t="shared" si="43"/>
        <v>0</v>
      </c>
      <c r="K219" s="347">
        <f t="shared" si="44"/>
        <v>0</v>
      </c>
    </row>
    <row r="220" spans="1:11">
      <c r="A220" s="333">
        <v>18</v>
      </c>
      <c r="C220" s="332" t="str">
        <f>'FR-16(7)(v)-1 Functional'!C220</f>
        <v>UNRECOVERED PURCHASED GAS COST</v>
      </c>
      <c r="D220" s="344" t="str">
        <f>'FR-16(7)(v)-1 Functional'!D220</f>
        <v>AG39</v>
      </c>
      <c r="F220" s="479">
        <f>'FR-16(7)(v)-8 TOT CLASS Alloc'!I220</f>
        <v>1192</v>
      </c>
      <c r="G220" s="548">
        <f>'FR-16(7)(v)-5 DISTR Dem Alloc'!I220</f>
        <v>657</v>
      </c>
      <c r="H220" s="539">
        <f>'FR-16(7)(v)-3 PROD Comm Alloc'!I220</f>
        <v>422</v>
      </c>
      <c r="I220" s="540">
        <f>'FR-16(7)(v)-6 DISTR Cust Alloc'!I220</f>
        <v>113</v>
      </c>
      <c r="J220" s="347">
        <f t="shared" si="43"/>
        <v>1192</v>
      </c>
      <c r="K220" s="347">
        <f t="shared" si="44"/>
        <v>0</v>
      </c>
    </row>
    <row r="221" spans="1:11">
      <c r="A221" s="333">
        <v>19</v>
      </c>
      <c r="C221" s="332" t="str">
        <f>'FR-16(7)(v)-1 Functional'!C221</f>
        <v>ENVIRONMENTAL RESERVE</v>
      </c>
      <c r="D221" s="344" t="str">
        <f>'FR-16(7)(v)-1 Functional'!D221</f>
        <v>NP29</v>
      </c>
      <c r="F221" s="479">
        <f>'FR-16(7)(v)-8 TOT CLASS Alloc'!I221</f>
        <v>0</v>
      </c>
      <c r="G221" s="548">
        <f>'FR-16(7)(v)-5 DISTR Dem Alloc'!I221</f>
        <v>0</v>
      </c>
      <c r="H221" s="539">
        <f>'FR-16(7)(v)-3 PROD Comm Alloc'!I221</f>
        <v>0</v>
      </c>
      <c r="I221" s="540">
        <f>'FR-16(7)(v)-6 DISTR Cust Alloc'!I221</f>
        <v>0</v>
      </c>
      <c r="J221" s="347">
        <f t="shared" si="43"/>
        <v>0</v>
      </c>
      <c r="K221" s="347">
        <f t="shared" si="44"/>
        <v>0</v>
      </c>
    </row>
    <row r="222" spans="1:11">
      <c r="A222" s="333">
        <v>20</v>
      </c>
      <c r="C222" s="332" t="str">
        <f>'FR-16(7)(v)-1 Functional'!C222</f>
        <v>POST IN-SERVICE CARRYING COSTS</v>
      </c>
      <c r="D222" s="344" t="str">
        <f>'FR-16(7)(v)-1 Functional'!D222</f>
        <v>K667</v>
      </c>
      <c r="F222" s="479">
        <f>'FR-16(7)(v)-8 TOT CLASS Alloc'!I222</f>
        <v>0</v>
      </c>
      <c r="G222" s="548">
        <f>'FR-16(7)(v)-5 DISTR Dem Alloc'!I222</f>
        <v>0</v>
      </c>
      <c r="H222" s="539">
        <f>'FR-16(7)(v)-3 PROD Comm Alloc'!I222</f>
        <v>0</v>
      </c>
      <c r="I222" s="540">
        <f>'FR-16(7)(v)-6 DISTR Cust Alloc'!I222</f>
        <v>0</v>
      </c>
      <c r="J222" s="347">
        <f t="shared" si="43"/>
        <v>0</v>
      </c>
      <c r="K222" s="347">
        <f t="shared" si="44"/>
        <v>0</v>
      </c>
    </row>
    <row r="223" spans="1:11">
      <c r="A223" s="333">
        <v>21</v>
      </c>
      <c r="C223" s="332" t="str">
        <f>'FR-16(7)(v)-1 Functional'!C223</f>
        <v>ARO CUMULATIVE EFFECT</v>
      </c>
      <c r="D223" s="344" t="str">
        <f>'FR-16(7)(v)-1 Functional'!D223</f>
        <v>NP29</v>
      </c>
      <c r="F223" s="479">
        <f>'FR-16(7)(v)-8 TOT CLASS Alloc'!I223</f>
        <v>0</v>
      </c>
      <c r="G223" s="548">
        <f>'FR-16(7)(v)-5 DISTR Dem Alloc'!I223</f>
        <v>0</v>
      </c>
      <c r="H223" s="539">
        <f>'FR-16(7)(v)-3 PROD Comm Alloc'!I223</f>
        <v>0</v>
      </c>
      <c r="I223" s="540">
        <f>'FR-16(7)(v)-6 DISTR Cust Alloc'!I223</f>
        <v>0</v>
      </c>
      <c r="J223" s="347">
        <f t="shared" si="43"/>
        <v>0</v>
      </c>
      <c r="K223" s="347">
        <f t="shared" si="44"/>
        <v>0</v>
      </c>
    </row>
    <row r="224" spans="1:11">
      <c r="A224" s="333">
        <v>22</v>
      </c>
      <c r="C224" s="332" t="str">
        <f>'FR-16(7)(v)-1 Functional'!C224</f>
        <v>LOSS ON REACQUIRED DEBT</v>
      </c>
      <c r="D224" s="344" t="str">
        <f>'FR-16(7)(v)-1 Functional'!D224</f>
        <v>NP29</v>
      </c>
      <c r="F224" s="479">
        <f>'FR-16(7)(v)-8 TOT CLASS Alloc'!I224</f>
        <v>1048</v>
      </c>
      <c r="G224" s="548">
        <f>'FR-16(7)(v)-5 DISTR Dem Alloc'!I224</f>
        <v>999</v>
      </c>
      <c r="H224" s="539">
        <f>'FR-16(7)(v)-3 PROD Comm Alloc'!I224</f>
        <v>21</v>
      </c>
      <c r="I224" s="540">
        <f>'FR-16(7)(v)-6 DISTR Cust Alloc'!I224</f>
        <v>28</v>
      </c>
      <c r="J224" s="347">
        <f t="shared" si="43"/>
        <v>1048</v>
      </c>
      <c r="K224" s="347">
        <f t="shared" si="44"/>
        <v>0</v>
      </c>
    </row>
    <row r="225" spans="1:11">
      <c r="A225" s="333">
        <v>23</v>
      </c>
      <c r="C225" s="332" t="str">
        <f>'FR-16(7)(v)-1 Functional'!C225</f>
        <v>VACATION PAY ACCRUAL</v>
      </c>
      <c r="D225" s="344" t="str">
        <f>'FR-16(7)(v)-1 Functional'!D225</f>
        <v>AG39</v>
      </c>
      <c r="F225" s="479">
        <f>'FR-16(7)(v)-8 TOT CLASS Alloc'!I225</f>
        <v>5465</v>
      </c>
      <c r="G225" s="548">
        <f>'FR-16(7)(v)-5 DISTR Dem Alloc'!I225</f>
        <v>3012</v>
      </c>
      <c r="H225" s="539">
        <f>'FR-16(7)(v)-3 PROD Comm Alloc'!I225</f>
        <v>1935</v>
      </c>
      <c r="I225" s="540">
        <f>'FR-16(7)(v)-6 DISTR Cust Alloc'!I225</f>
        <v>518</v>
      </c>
      <c r="J225" s="347">
        <f t="shared" si="43"/>
        <v>5465</v>
      </c>
      <c r="K225" s="347">
        <f t="shared" si="44"/>
        <v>0</v>
      </c>
    </row>
    <row r="226" spans="1:11">
      <c r="A226" s="333">
        <v>24</v>
      </c>
      <c r="C226" s="618" t="str">
        <f>'FR-16(7)(v)-1 Functional'!C226</f>
        <v>RATE CASE EXPENSE AMORT</v>
      </c>
      <c r="D226" s="344" t="str">
        <f>'FR-16(7)(v)-1 Functional'!D226</f>
        <v>AG39</v>
      </c>
      <c r="F226" s="479">
        <f>'FR-16(7)(v)-8 TOT CLASS Alloc'!I226</f>
        <v>-1495</v>
      </c>
      <c r="G226" s="548">
        <f>'FR-16(7)(v)-5 DISTR Dem Alloc'!I226</f>
        <v>-824</v>
      </c>
      <c r="H226" s="539">
        <f>'FR-16(7)(v)-3 PROD Comm Alloc'!I226</f>
        <v>-529</v>
      </c>
      <c r="I226" s="540">
        <f>'FR-16(7)(v)-6 DISTR Cust Alloc'!I226</f>
        <v>-142</v>
      </c>
      <c r="J226" s="347">
        <f>SUM(G226:I226)</f>
        <v>-1495</v>
      </c>
      <c r="K226" s="347">
        <f>F226-J226</f>
        <v>0</v>
      </c>
    </row>
    <row r="227" spans="1:11">
      <c r="A227" s="333">
        <v>25</v>
      </c>
      <c r="C227" s="332" t="str">
        <f>'FR-16(7)(v)-1 Functional'!C227</f>
        <v>PENSION</v>
      </c>
      <c r="D227" s="344" t="str">
        <f>'FR-16(7)(v)-1 Functional'!D227</f>
        <v>AG39</v>
      </c>
      <c r="F227" s="479">
        <f>'FR-16(7)(v)-8 TOT CLASS Alloc'!I227</f>
        <v>95495</v>
      </c>
      <c r="G227" s="548">
        <f>'FR-16(7)(v)-5 DISTR Dem Alloc'!I227</f>
        <v>52630</v>
      </c>
      <c r="H227" s="539">
        <f>'FR-16(7)(v)-3 PROD Comm Alloc'!I227</f>
        <v>33809</v>
      </c>
      <c r="I227" s="540">
        <f>'FR-16(7)(v)-6 DISTR Cust Alloc'!I227</f>
        <v>9056</v>
      </c>
      <c r="J227" s="347">
        <f>SUM(G227:I227)</f>
        <v>95495</v>
      </c>
      <c r="K227" s="347">
        <f>F227-J227</f>
        <v>0</v>
      </c>
    </row>
    <row r="228" spans="1:11">
      <c r="A228" s="333">
        <v>26</v>
      </c>
      <c r="C228" s="365" t="str">
        <f>'FR-16(7)(v)-1 Functional'!C228</f>
        <v>MISCELLANEOUS</v>
      </c>
      <c r="D228" s="344" t="str">
        <f>'FR-16(7)(v)-1 Functional'!D228</f>
        <v>K406</v>
      </c>
      <c r="F228" s="479">
        <f>'FR-16(7)(v)-8 TOT CLASS Alloc'!I228</f>
        <v>701</v>
      </c>
      <c r="G228" s="548">
        <f>'FR-16(7)(v)-5 DISTR Dem Alloc'!I228</f>
        <v>0</v>
      </c>
      <c r="H228" s="539">
        <f>'FR-16(7)(v)-3 PROD Comm Alloc'!I228</f>
        <v>0</v>
      </c>
      <c r="I228" s="540">
        <f>'FR-16(7)(v)-6 DISTR Cust Alloc'!I228</f>
        <v>701</v>
      </c>
      <c r="J228" s="347">
        <f t="shared" si="43"/>
        <v>701</v>
      </c>
      <c r="K228" s="347">
        <f t="shared" si="44"/>
        <v>0</v>
      </c>
    </row>
    <row r="229" spans="1:11">
      <c r="A229" s="333">
        <v>27</v>
      </c>
      <c r="C229" s="339" t="str">
        <f>'FR-16(7)(v)-1 Functional'!C229</f>
        <v xml:space="preserve">  TOTAL ACCOUNT 283</v>
      </c>
      <c r="D229" s="344"/>
      <c r="F229" s="348">
        <f t="shared" ref="F229:K229" si="45">SUM(F217:F228)</f>
        <v>102406</v>
      </c>
      <c r="G229" s="549">
        <f t="shared" si="45"/>
        <v>56474</v>
      </c>
      <c r="H229" s="541">
        <f t="shared" si="45"/>
        <v>35658</v>
      </c>
      <c r="I229" s="542">
        <f t="shared" si="45"/>
        <v>10274</v>
      </c>
      <c r="J229" s="348">
        <f t="shared" si="45"/>
        <v>102406</v>
      </c>
      <c r="K229" s="348">
        <f t="shared" si="45"/>
        <v>0</v>
      </c>
    </row>
    <row r="230" spans="1:11">
      <c r="A230" s="333">
        <v>28</v>
      </c>
      <c r="D230" s="344"/>
      <c r="E230" s="196"/>
      <c r="G230" s="547"/>
      <c r="H230" s="537"/>
      <c r="I230" s="538"/>
    </row>
    <row r="231" spans="1:11">
      <c r="A231" s="333">
        <v>29</v>
      </c>
      <c r="B231" s="353" t="s">
        <v>824</v>
      </c>
      <c r="C231" s="353"/>
      <c r="D231" s="344"/>
      <c r="E231" s="196"/>
      <c r="G231" s="547"/>
      <c r="H231" s="537"/>
      <c r="I231" s="538"/>
    </row>
    <row r="232" spans="1:11">
      <c r="A232" s="333">
        <v>30</v>
      </c>
      <c r="C232" s="332" t="str">
        <f>'FR-16(7)(v)-1 Functional'!C232</f>
        <v>CUSTOMER ADVANCES FOR CONSTRUCTION</v>
      </c>
      <c r="D232" s="344" t="s">
        <v>312</v>
      </c>
      <c r="E232" s="196"/>
      <c r="F232" s="479">
        <f>'FR-16(7)(v)-8 TOT CLASS Alloc'!I232</f>
        <v>96691</v>
      </c>
      <c r="G232" s="548">
        <f>'FR-16(7)(v)-5 DISTR Dem Alloc'!I232</f>
        <v>94354</v>
      </c>
      <c r="H232" s="539">
        <f>'FR-16(7)(v)-3 PROD Comm Alloc'!I232</f>
        <v>0</v>
      </c>
      <c r="I232" s="540">
        <f>'FR-16(7)(v)-6 DISTR Cust Alloc'!I232</f>
        <v>2337</v>
      </c>
      <c r="J232" s="347">
        <f>SUM(G232:I232)</f>
        <v>96691</v>
      </c>
      <c r="K232" s="347">
        <f>F232-J232</f>
        <v>0</v>
      </c>
    </row>
    <row r="233" spans="1:11">
      <c r="A233" s="333">
        <v>31</v>
      </c>
      <c r="C233" s="332" t="str">
        <f>'FR-16(7)(v)-1 Functional'!C233</f>
        <v>CUSTOMER SERVICE DEPOSITS</v>
      </c>
      <c r="D233" s="344" t="str">
        <f>'FR-16(7)(v)-1 Functional'!D233</f>
        <v>D249</v>
      </c>
      <c r="E233" s="196"/>
      <c r="F233" s="479">
        <f>'FR-16(7)(v)-8 TOT CLASS Alloc'!I233</f>
        <v>0</v>
      </c>
      <c r="G233" s="548">
        <f>'FR-16(7)(v)-5 DISTR Dem Alloc'!I233</f>
        <v>0</v>
      </c>
      <c r="H233" s="539">
        <f>'FR-16(7)(v)-3 PROD Comm Alloc'!I233</f>
        <v>0</v>
      </c>
      <c r="I233" s="540">
        <f>'FR-16(7)(v)-6 DISTR Cust Alloc'!I233</f>
        <v>0</v>
      </c>
      <c r="J233" s="347">
        <f>SUM(G233:I233)</f>
        <v>0</v>
      </c>
      <c r="K233" s="347">
        <f>F233-J233</f>
        <v>0</v>
      </c>
    </row>
    <row r="234" spans="1:11">
      <c r="A234" s="333">
        <v>32</v>
      </c>
      <c r="C234" s="332" t="str">
        <f>'FR-16(7)(v)-1 Functional'!C234</f>
        <v>POST RETIREMENT BENEFITS</v>
      </c>
      <c r="D234" s="344" t="str">
        <f>'FR-16(7)(v)-1 Functional'!D234</f>
        <v>AG39</v>
      </c>
      <c r="E234" s="196"/>
      <c r="F234" s="479">
        <f>'FR-16(7)(v)-8 TOT CLASS Alloc'!I234</f>
        <v>0</v>
      </c>
      <c r="G234" s="548">
        <f>'FR-16(7)(v)-5 DISTR Dem Alloc'!I234</f>
        <v>0</v>
      </c>
      <c r="H234" s="539">
        <f>'FR-16(7)(v)-3 PROD Comm Alloc'!I234</f>
        <v>0</v>
      </c>
      <c r="I234" s="540">
        <f>'FR-16(7)(v)-6 DISTR Cust Alloc'!I234</f>
        <v>0</v>
      </c>
      <c r="J234" s="347">
        <f>SUM(G234:I234)</f>
        <v>0</v>
      </c>
      <c r="K234" s="347">
        <f>F234-J234</f>
        <v>0</v>
      </c>
    </row>
    <row r="235" spans="1:11">
      <c r="A235" s="333">
        <v>33</v>
      </c>
      <c r="C235" s="365" t="str">
        <f>'FR-16(7)(v)-1 Functional'!C235</f>
        <v>EDIT</v>
      </c>
      <c r="D235" s="344" t="str">
        <f>'FR-16(7)(v)-1 Functional'!D235</f>
        <v>NP29</v>
      </c>
      <c r="E235" s="196"/>
      <c r="F235" s="479">
        <f>'FR-16(7)(v)-8 TOT CLASS Alloc'!I235</f>
        <v>1919966</v>
      </c>
      <c r="G235" s="548">
        <f>'FR-16(7)(v)-5 DISTR Dem Alloc'!I235</f>
        <v>1829479</v>
      </c>
      <c r="H235" s="539">
        <f>'FR-16(7)(v)-3 PROD Comm Alloc'!I235</f>
        <v>38658</v>
      </c>
      <c r="I235" s="540">
        <f>'FR-16(7)(v)-6 DISTR Cust Alloc'!I235</f>
        <v>51829</v>
      </c>
      <c r="J235" s="347">
        <f>SUM(G235:I235)</f>
        <v>1919966</v>
      </c>
      <c r="K235" s="347">
        <f>F235-J235</f>
        <v>0</v>
      </c>
    </row>
    <row r="236" spans="1:11">
      <c r="A236" s="333">
        <v>34</v>
      </c>
      <c r="C236" s="339" t="str">
        <f>'FR-16(7)(v)-1 Functional'!C236</f>
        <v xml:space="preserve">  TOTAL OTHER SUBTRACTIVE ADJS</v>
      </c>
      <c r="D236" s="344"/>
      <c r="E236" s="196"/>
      <c r="F236" s="348">
        <f t="shared" ref="F236:K236" si="46">SUM(F231:F235)</f>
        <v>2016657</v>
      </c>
      <c r="G236" s="549">
        <f t="shared" si="46"/>
        <v>1923833</v>
      </c>
      <c r="H236" s="541">
        <f t="shared" si="46"/>
        <v>38658</v>
      </c>
      <c r="I236" s="542">
        <f t="shared" si="46"/>
        <v>54166</v>
      </c>
      <c r="J236" s="348">
        <f t="shared" si="46"/>
        <v>2016657</v>
      </c>
      <c r="K236" s="348">
        <f t="shared" si="46"/>
        <v>0</v>
      </c>
    </row>
    <row r="237" spans="1:11">
      <c r="A237" s="333">
        <v>35</v>
      </c>
      <c r="D237" s="344"/>
      <c r="E237" s="196"/>
      <c r="G237" s="547"/>
      <c r="H237" s="537"/>
      <c r="I237" s="538"/>
    </row>
    <row r="238" spans="1:11">
      <c r="A238" s="333">
        <v>36</v>
      </c>
      <c r="B238" s="332" t="s">
        <v>828</v>
      </c>
      <c r="D238" s="344"/>
      <c r="E238" s="196"/>
      <c r="F238" s="347">
        <f t="shared" ref="F238:K238" si="47">F236+F229+F215</f>
        <v>5848167</v>
      </c>
      <c r="G238" s="550">
        <f t="shared" si="47"/>
        <v>5307015</v>
      </c>
      <c r="H238" s="543">
        <f t="shared" si="47"/>
        <v>326712</v>
      </c>
      <c r="I238" s="544">
        <f t="shared" si="47"/>
        <v>214440</v>
      </c>
      <c r="J238" s="347">
        <f t="shared" si="47"/>
        <v>5848167</v>
      </c>
      <c r="K238" s="347">
        <f t="shared" si="47"/>
        <v>0</v>
      </c>
    </row>
    <row r="239" spans="1:11">
      <c r="B239" s="343"/>
      <c r="C239" s="196"/>
      <c r="D239" s="344"/>
      <c r="E239" s="196"/>
      <c r="F239" s="196"/>
      <c r="G239" s="196"/>
      <c r="H239" s="196"/>
      <c r="I239" s="196"/>
      <c r="J239" s="196"/>
      <c r="K239" s="196"/>
    </row>
    <row r="240" spans="1:11">
      <c r="A240" s="343" t="str">
        <f>co_name</f>
        <v>DUKE ENERGY KENTUCKY, INC.</v>
      </c>
      <c r="C240" s="196"/>
      <c r="D240" s="344"/>
      <c r="E240" s="196"/>
      <c r="F240" s="196"/>
      <c r="G240" s="196"/>
      <c r="H240" s="196"/>
      <c r="I240" s="196"/>
      <c r="J240" s="196" t="str">
        <f>$J$1</f>
        <v>FR-16(7)(v)-11</v>
      </c>
      <c r="K240" s="196"/>
    </row>
    <row r="241" spans="1:11">
      <c r="A241" s="343" t="str">
        <f>$A$2</f>
        <v>FT-L CLASSIFIED - GAS COST OF SERVICE</v>
      </c>
      <c r="C241" s="196"/>
      <c r="D241" s="344"/>
      <c r="E241" s="196"/>
      <c r="F241" s="196"/>
      <c r="G241" s="196"/>
      <c r="H241" s="196"/>
      <c r="I241" s="196"/>
      <c r="J241" s="196" t="str">
        <f>$J$2</f>
        <v>WITNESS RESPONSIBLE:</v>
      </c>
      <c r="K241" s="196"/>
    </row>
    <row r="242" spans="1:11">
      <c r="A242" s="343" t="str">
        <f>case_name</f>
        <v>CASE NO: 2018-00261</v>
      </c>
      <c r="C242" s="196"/>
      <c r="D242" s="344"/>
      <c r="E242" s="196"/>
      <c r="F242" s="196"/>
      <c r="G242" s="196"/>
      <c r="H242" s="196"/>
      <c r="I242" s="196"/>
      <c r="J242" s="196" t="str">
        <f>Witness</f>
        <v>JAMES E. ZIOLKOWSKI</v>
      </c>
      <c r="K242" s="196"/>
    </row>
    <row r="243" spans="1:11">
      <c r="A243" s="343" t="str">
        <f>data_filing</f>
        <v>DATA: 12 MONTH FORECASTED PERIOD</v>
      </c>
      <c r="C243" s="196"/>
      <c r="D243" s="344"/>
      <c r="E243" s="196"/>
      <c r="F243" s="196"/>
      <c r="G243" s="196"/>
      <c r="H243" s="196"/>
      <c r="I243" s="196"/>
      <c r="J243" s="196" t="str">
        <f>"PAGE "&amp;Pages2-9&amp;" OF "&amp;Pages2</f>
        <v>PAGE 6 OF 15</v>
      </c>
      <c r="K243" s="196"/>
    </row>
    <row r="244" spans="1:11">
      <c r="A244" s="343" t="str">
        <f>type</f>
        <v xml:space="preserve">TYPE OF FILING: "X" ORIGINAL   UPDATED    REVISED  </v>
      </c>
      <c r="C244" s="196"/>
      <c r="D244" s="344"/>
      <c r="E244" s="196"/>
      <c r="F244" s="196"/>
      <c r="G244" s="196"/>
      <c r="H244" s="196"/>
      <c r="I244" s="196"/>
      <c r="J244" s="196"/>
      <c r="K244" s="196"/>
    </row>
    <row r="245" spans="1:11">
      <c r="B245" s="343"/>
      <c r="C245" s="196"/>
      <c r="D245" s="344"/>
      <c r="E245" s="196"/>
      <c r="F245" s="196"/>
      <c r="G245" s="196"/>
      <c r="H245" s="196"/>
      <c r="I245" s="196"/>
      <c r="J245" s="196"/>
      <c r="K245" s="196"/>
    </row>
    <row r="246" spans="1:11">
      <c r="B246" s="343"/>
      <c r="C246" s="196"/>
      <c r="D246" s="344"/>
      <c r="E246" s="196"/>
      <c r="F246" s="196"/>
      <c r="G246" s="196"/>
      <c r="H246" s="196"/>
      <c r="I246" s="196"/>
      <c r="J246" s="196"/>
      <c r="K246" s="196"/>
    </row>
    <row r="247" spans="1:11">
      <c r="A247" s="344" t="s">
        <v>914</v>
      </c>
      <c r="B247" s="196"/>
      <c r="C247" s="196"/>
      <c r="D247" s="344"/>
      <c r="E247" s="196"/>
      <c r="F247" s="344" t="s">
        <v>229</v>
      </c>
      <c r="G247" s="545" t="s">
        <v>1005</v>
      </c>
      <c r="H247" s="533"/>
      <c r="I247" s="534"/>
      <c r="J247" s="344" t="s">
        <v>229</v>
      </c>
      <c r="K247" s="344" t="s">
        <v>342</v>
      </c>
    </row>
    <row r="248" spans="1:11">
      <c r="A248" s="346" t="s">
        <v>915</v>
      </c>
      <c r="B248" s="345" t="s">
        <v>954</v>
      </c>
      <c r="C248" s="345"/>
      <c r="D248" s="346" t="s">
        <v>337</v>
      </c>
      <c r="E248" s="345"/>
      <c r="F248" s="346" t="str">
        <f>$F$9</f>
        <v>FT-L</v>
      </c>
      <c r="G248" s="546" t="s">
        <v>847</v>
      </c>
      <c r="H248" s="535" t="s">
        <v>848</v>
      </c>
      <c r="I248" s="536" t="s">
        <v>849</v>
      </c>
      <c r="J248" s="346" t="s">
        <v>341</v>
      </c>
      <c r="K248" s="346" t="s">
        <v>340</v>
      </c>
    </row>
    <row r="249" spans="1:11">
      <c r="C249" s="578" t="s">
        <v>558</v>
      </c>
      <c r="D249" s="344"/>
      <c r="E249" s="196"/>
      <c r="G249" s="800">
        <f>$G$10</f>
        <v>3</v>
      </c>
      <c r="H249" s="801">
        <f>$H$10</f>
        <v>4</v>
      </c>
      <c r="I249" s="802">
        <f>$I$10</f>
        <v>5</v>
      </c>
    </row>
    <row r="250" spans="1:11">
      <c r="A250" s="333">
        <v>1</v>
      </c>
      <c r="B250" s="332" t="s">
        <v>826</v>
      </c>
      <c r="D250" s="344"/>
      <c r="E250" s="196"/>
      <c r="G250" s="551"/>
      <c r="H250" s="552"/>
      <c r="I250" s="553"/>
    </row>
    <row r="251" spans="1:11">
      <c r="A251" s="333">
        <v>2</v>
      </c>
      <c r="B251" s="332" t="s">
        <v>29</v>
      </c>
      <c r="D251" s="344"/>
      <c r="E251" s="196"/>
      <c r="G251" s="547"/>
      <c r="H251" s="537"/>
      <c r="I251" s="538"/>
    </row>
    <row r="252" spans="1:11">
      <c r="A252" s="333">
        <v>3</v>
      </c>
      <c r="C252" s="332" t="str">
        <f>'FR-16(7)(v)-1 Functional'!C252</f>
        <v>UNCOLLECTIBLE ACCTS</v>
      </c>
      <c r="D252" s="344" t="str">
        <f>'FR-16(7)(v)-1 Functional'!D252</f>
        <v>K406</v>
      </c>
      <c r="F252" s="479">
        <f>'FR-16(7)(v)-8 TOT CLASS Alloc'!I252</f>
        <v>4</v>
      </c>
      <c r="G252" s="548">
        <f>'FR-16(7)(v)-5 DISTR Dem Alloc'!I252</f>
        <v>0</v>
      </c>
      <c r="H252" s="539">
        <f>'FR-16(7)(v)-3 PROD Comm Alloc'!I252</f>
        <v>0</v>
      </c>
      <c r="I252" s="540">
        <f>'FR-16(7)(v)-6 DISTR Cust Alloc'!I252</f>
        <v>4</v>
      </c>
      <c r="J252" s="347">
        <f t="shared" ref="J252:J274" si="48">SUM(G252:I252)</f>
        <v>4</v>
      </c>
      <c r="K252" s="347">
        <f t="shared" ref="K252:K274" si="49">F252-J252</f>
        <v>0</v>
      </c>
    </row>
    <row r="253" spans="1:11">
      <c r="A253" s="333">
        <v>4</v>
      </c>
      <c r="C253" s="332" t="str">
        <f>'FR-16(7)(v)-1 Functional'!C253</f>
        <v>GAS SUPPLIER REFUND</v>
      </c>
      <c r="D253" s="344" t="str">
        <f>'FR-16(7)(v)-1 Functional'!D253</f>
        <v>K300</v>
      </c>
      <c r="F253" s="479">
        <f>'FR-16(7)(v)-8 TOT CLASS Alloc'!I253</f>
        <v>7149</v>
      </c>
      <c r="G253" s="548">
        <f>'FR-16(7)(v)-5 DISTR Dem Alloc'!I253</f>
        <v>0</v>
      </c>
      <c r="H253" s="539">
        <f>'FR-16(7)(v)-3 PROD Comm Alloc'!I253</f>
        <v>7149</v>
      </c>
      <c r="I253" s="540">
        <f>'FR-16(7)(v)-6 DISTR Cust Alloc'!I253</f>
        <v>0</v>
      </c>
      <c r="J253" s="347">
        <f t="shared" si="48"/>
        <v>7149</v>
      </c>
      <c r="K253" s="347">
        <f t="shared" si="49"/>
        <v>0</v>
      </c>
    </row>
    <row r="254" spans="1:11">
      <c r="A254" s="333">
        <v>5</v>
      </c>
      <c r="C254" s="332" t="str">
        <f>'FR-16(7)(v)-1 Functional'!C254</f>
        <v>UNBILLED REVENUE - FUEL &amp; RATE REFUNDS</v>
      </c>
      <c r="D254" s="344" t="str">
        <f>'FR-16(7)(v)-1 Functional'!D254</f>
        <v>K300</v>
      </c>
      <c r="F254" s="479">
        <f>'FR-16(7)(v)-8 TOT CLASS Alloc'!I254</f>
        <v>129551</v>
      </c>
      <c r="G254" s="548">
        <f>'FR-16(7)(v)-5 DISTR Dem Alloc'!I254</f>
        <v>0</v>
      </c>
      <c r="H254" s="539">
        <f>'FR-16(7)(v)-3 PROD Comm Alloc'!I254</f>
        <v>129551</v>
      </c>
      <c r="I254" s="540">
        <f>'FR-16(7)(v)-6 DISTR Cust Alloc'!I254</f>
        <v>0</v>
      </c>
      <c r="J254" s="347">
        <f t="shared" si="48"/>
        <v>129551</v>
      </c>
      <c r="K254" s="347">
        <f t="shared" si="49"/>
        <v>0</v>
      </c>
    </row>
    <row r="255" spans="1:11">
      <c r="A255" s="333">
        <v>6</v>
      </c>
      <c r="C255" s="353" t="str">
        <f>'FR-16(7)(v)-1 Functional'!C255</f>
        <v>OFFSITE GAS STORAGE</v>
      </c>
      <c r="D255" s="344" t="str">
        <f>'FR-16(7)(v)-1 Functional'!D255</f>
        <v>K300</v>
      </c>
      <c r="F255" s="479">
        <f>'FR-16(7)(v)-8 TOT CLASS Alloc'!I255</f>
        <v>15794</v>
      </c>
      <c r="G255" s="548">
        <f>'FR-16(7)(v)-5 DISTR Dem Alloc'!I255</f>
        <v>0</v>
      </c>
      <c r="H255" s="539">
        <f>'FR-16(7)(v)-3 PROD Comm Alloc'!I255</f>
        <v>15794</v>
      </c>
      <c r="I255" s="540">
        <f>'FR-16(7)(v)-6 DISTR Cust Alloc'!I255</f>
        <v>0</v>
      </c>
      <c r="J255" s="347">
        <f t="shared" si="48"/>
        <v>15794</v>
      </c>
      <c r="K255" s="347">
        <f t="shared" si="49"/>
        <v>0</v>
      </c>
    </row>
    <row r="256" spans="1:11">
      <c r="A256" s="333">
        <v>7</v>
      </c>
      <c r="C256" s="332" t="str">
        <f>'FR-16(7)(v)-1 Functional'!C256</f>
        <v>GAS METERS</v>
      </c>
      <c r="D256" s="344" t="str">
        <f>'FR-16(7)(v)-1 Functional'!D256</f>
        <v>K413</v>
      </c>
      <c r="F256" s="479">
        <f>'FR-16(7)(v)-8 TOT CLASS Alloc'!I256</f>
        <v>303</v>
      </c>
      <c r="G256" s="548">
        <f>'FR-16(7)(v)-5 DISTR Dem Alloc'!I256</f>
        <v>0</v>
      </c>
      <c r="H256" s="539">
        <f>'FR-16(7)(v)-3 PROD Comm Alloc'!I256</f>
        <v>0</v>
      </c>
      <c r="I256" s="540">
        <f>'FR-16(7)(v)-6 DISTR Cust Alloc'!I256</f>
        <v>303</v>
      </c>
      <c r="J256" s="347">
        <f t="shared" si="48"/>
        <v>303</v>
      </c>
      <c r="K256" s="347">
        <f t="shared" si="49"/>
        <v>0</v>
      </c>
    </row>
    <row r="257" spans="1:11">
      <c r="A257" s="333">
        <v>8</v>
      </c>
      <c r="C257" s="332" t="str">
        <f>'FR-16(7)(v)-1 Functional'!C257</f>
        <v>UNAMORTIZED DEBT PREMIUM</v>
      </c>
      <c r="D257" s="344" t="str">
        <f>'FR-16(7)(v)-1 Functional'!D257</f>
        <v>NP29</v>
      </c>
      <c r="F257" s="479">
        <f>'FR-16(7)(v)-8 TOT CLASS Alloc'!I257</f>
        <v>-112</v>
      </c>
      <c r="G257" s="548">
        <f>'FR-16(7)(v)-5 DISTR Dem Alloc'!I257</f>
        <v>-107</v>
      </c>
      <c r="H257" s="539">
        <f>'FR-16(7)(v)-3 PROD Comm Alloc'!I257</f>
        <v>-2</v>
      </c>
      <c r="I257" s="540">
        <f>'FR-16(7)(v)-6 DISTR Cust Alloc'!I257</f>
        <v>-3</v>
      </c>
      <c r="J257" s="347">
        <f t="shared" si="48"/>
        <v>-112</v>
      </c>
      <c r="K257" s="347">
        <f t="shared" si="49"/>
        <v>0</v>
      </c>
    </row>
    <row r="258" spans="1:11">
      <c r="A258" s="333">
        <v>9</v>
      </c>
      <c r="C258" s="332" t="str">
        <f>'FR-16(7)(v)-1 Functional'!C258</f>
        <v>ARO CUMULATIVE EFFECT</v>
      </c>
      <c r="D258" s="344" t="str">
        <f>'FR-16(7)(v)-1 Functional'!D258</f>
        <v>NP29</v>
      </c>
      <c r="F258" s="479">
        <f>'FR-16(7)(v)-8 TOT CLASS Alloc'!I258</f>
        <v>0</v>
      </c>
      <c r="G258" s="548">
        <f>'FR-16(7)(v)-5 DISTR Dem Alloc'!I258</f>
        <v>0</v>
      </c>
      <c r="H258" s="539">
        <f>'FR-16(7)(v)-3 PROD Comm Alloc'!I258</f>
        <v>0</v>
      </c>
      <c r="I258" s="540">
        <f>'FR-16(7)(v)-6 DISTR Cust Alloc'!I258</f>
        <v>0</v>
      </c>
      <c r="J258" s="347">
        <f t="shared" si="48"/>
        <v>0</v>
      </c>
      <c r="K258" s="347">
        <f t="shared" si="49"/>
        <v>0</v>
      </c>
    </row>
    <row r="259" spans="1:11">
      <c r="A259" s="333">
        <v>10</v>
      </c>
      <c r="C259" s="332" t="str">
        <f>'FR-16(7)(v)-1 Functional'!C259</f>
        <v>PENSION EXPENSE</v>
      </c>
      <c r="D259" s="344" t="str">
        <f>'FR-16(7)(v)-1 Functional'!D259</f>
        <v>AG39</v>
      </c>
      <c r="F259" s="479">
        <f>'FR-16(7)(v)-8 TOT CLASS Alloc'!I259</f>
        <v>10984</v>
      </c>
      <c r="G259" s="548">
        <f>'FR-16(7)(v)-5 DISTR Dem Alloc'!I259</f>
        <v>6053</v>
      </c>
      <c r="H259" s="539">
        <f>'FR-16(7)(v)-3 PROD Comm Alloc'!I259</f>
        <v>3889</v>
      </c>
      <c r="I259" s="540">
        <f>'FR-16(7)(v)-6 DISTR Cust Alloc'!I259</f>
        <v>1042</v>
      </c>
      <c r="J259" s="347">
        <f t="shared" si="48"/>
        <v>10984</v>
      </c>
      <c r="K259" s="347">
        <f t="shared" si="49"/>
        <v>0</v>
      </c>
    </row>
    <row r="260" spans="1:11">
      <c r="A260" s="333">
        <v>11</v>
      </c>
      <c r="C260" s="332" t="str">
        <f>'FR-16(7)(v)-1 Functional'!C260</f>
        <v>POST RETIREMENT BENEFITS - LIFE INS</v>
      </c>
      <c r="D260" s="344" t="str">
        <f>'FR-16(7)(v)-1 Functional'!D260</f>
        <v>AG39</v>
      </c>
      <c r="F260" s="479">
        <f>'FR-16(7)(v)-8 TOT CLASS Alloc'!I260</f>
        <v>0</v>
      </c>
      <c r="G260" s="548">
        <f>'FR-16(7)(v)-5 DISTR Dem Alloc'!I260</f>
        <v>0</v>
      </c>
      <c r="H260" s="539">
        <f>'FR-16(7)(v)-3 PROD Comm Alloc'!I260</f>
        <v>0</v>
      </c>
      <c r="I260" s="540">
        <f>'FR-16(7)(v)-6 DISTR Cust Alloc'!I260</f>
        <v>0</v>
      </c>
      <c r="J260" s="347">
        <f t="shared" si="48"/>
        <v>0</v>
      </c>
      <c r="K260" s="347">
        <f t="shared" si="49"/>
        <v>0</v>
      </c>
    </row>
    <row r="261" spans="1:11">
      <c r="A261" s="333">
        <v>12</v>
      </c>
      <c r="C261" s="332" t="str">
        <f>'FR-16(7)(v)-1 Functional'!C261</f>
        <v>POST RETIREMENT BENEFITS - HEALTH CARE</v>
      </c>
      <c r="D261" s="344" t="str">
        <f>'FR-16(7)(v)-1 Functional'!D261</f>
        <v>AG39</v>
      </c>
      <c r="F261" s="479">
        <f>'FR-16(7)(v)-8 TOT CLASS Alloc'!I261</f>
        <v>0</v>
      </c>
      <c r="G261" s="548">
        <f>'FR-16(7)(v)-5 DISTR Dem Alloc'!I261</f>
        <v>0</v>
      </c>
      <c r="H261" s="539">
        <f>'FR-16(7)(v)-3 PROD Comm Alloc'!I261</f>
        <v>0</v>
      </c>
      <c r="I261" s="540">
        <f>'FR-16(7)(v)-6 DISTR Cust Alloc'!I261</f>
        <v>0</v>
      </c>
      <c r="J261" s="347">
        <f t="shared" si="48"/>
        <v>0</v>
      </c>
      <c r="K261" s="347">
        <f t="shared" si="49"/>
        <v>0</v>
      </c>
    </row>
    <row r="262" spans="1:11">
      <c r="A262" s="333">
        <v>13</v>
      </c>
      <c r="C262" s="332" t="str">
        <f>'FR-16(7)(v)-1 Functional'!C262</f>
        <v>POST EMPLOYMENT BENEFITS - SFAS 112</v>
      </c>
      <c r="D262" s="344" t="str">
        <f>'FR-16(7)(v)-1 Functional'!D262</f>
        <v>AG39</v>
      </c>
      <c r="F262" s="479">
        <f>'FR-16(7)(v)-8 TOT CLASS Alloc'!I262</f>
        <v>2620</v>
      </c>
      <c r="G262" s="548">
        <f>'FR-16(7)(v)-5 DISTR Dem Alloc'!I262</f>
        <v>1444</v>
      </c>
      <c r="H262" s="539">
        <f>'FR-16(7)(v)-3 PROD Comm Alloc'!I262</f>
        <v>928</v>
      </c>
      <c r="I262" s="540">
        <f>'FR-16(7)(v)-6 DISTR Cust Alloc'!I262</f>
        <v>248</v>
      </c>
      <c r="J262" s="347">
        <f t="shared" si="48"/>
        <v>2620</v>
      </c>
      <c r="K262" s="347">
        <f t="shared" si="49"/>
        <v>0</v>
      </c>
    </row>
    <row r="263" spans="1:11">
      <c r="A263" s="333">
        <v>14</v>
      </c>
      <c r="C263" s="332" t="str">
        <f>'FR-16(7)(v)-1 Functional'!C263</f>
        <v>OPEB EXPENSE ACCRUAL</v>
      </c>
      <c r="D263" s="344" t="str">
        <f>'FR-16(7)(v)-1 Functional'!D263</f>
        <v>AG39</v>
      </c>
      <c r="F263" s="479">
        <f>'FR-16(7)(v)-8 TOT CLASS Alloc'!I263</f>
        <v>18027</v>
      </c>
      <c r="G263" s="548">
        <f>'FR-16(7)(v)-5 DISTR Dem Alloc'!I263</f>
        <v>9935</v>
      </c>
      <c r="H263" s="539">
        <f>'FR-16(7)(v)-3 PROD Comm Alloc'!I263</f>
        <v>6382</v>
      </c>
      <c r="I263" s="540">
        <f>'FR-16(7)(v)-6 DISTR Cust Alloc'!I263</f>
        <v>1710</v>
      </c>
      <c r="J263" s="347">
        <f t="shared" si="48"/>
        <v>18027</v>
      </c>
      <c r="K263" s="347">
        <f t="shared" si="49"/>
        <v>0</v>
      </c>
    </row>
    <row r="264" spans="1:11">
      <c r="A264" s="333">
        <v>15</v>
      </c>
      <c r="C264" s="332" t="str">
        <f>'FR-16(7)(v)-1 Functional'!C264</f>
        <v>INCENTIVE PLAN</v>
      </c>
      <c r="D264" s="344" t="str">
        <f>'FR-16(7)(v)-1 Functional'!D264</f>
        <v>AG39</v>
      </c>
      <c r="F264" s="479">
        <f>'FR-16(7)(v)-8 TOT CLASS Alloc'!I264</f>
        <v>0</v>
      </c>
      <c r="G264" s="548">
        <f>'FR-16(7)(v)-5 DISTR Dem Alloc'!I264</f>
        <v>0</v>
      </c>
      <c r="H264" s="539">
        <f>'FR-16(7)(v)-3 PROD Comm Alloc'!I264</f>
        <v>0</v>
      </c>
      <c r="I264" s="540">
        <f>'FR-16(7)(v)-6 DISTR Cust Alloc'!I264</f>
        <v>0</v>
      </c>
      <c r="J264" s="347">
        <f t="shared" si="48"/>
        <v>0</v>
      </c>
      <c r="K264" s="347">
        <f t="shared" si="49"/>
        <v>0</v>
      </c>
    </row>
    <row r="265" spans="1:11">
      <c r="A265" s="333">
        <v>16</v>
      </c>
      <c r="C265" s="332" t="str">
        <f>'FR-16(7)(v)-1 Functional'!C265</f>
        <v>FEDERAL DEFERRED TAX RECEIVEABLE</v>
      </c>
      <c r="D265" s="344" t="str">
        <f>'FR-16(7)(v)-1 Functional'!D265</f>
        <v>AG39</v>
      </c>
      <c r="F265" s="479">
        <f>'FR-16(7)(v)-8 TOT CLASS Alloc'!I265</f>
        <v>0</v>
      </c>
      <c r="G265" s="548">
        <f>'FR-16(7)(v)-5 DISTR Dem Alloc'!I265</f>
        <v>0</v>
      </c>
      <c r="H265" s="539">
        <f>'FR-16(7)(v)-3 PROD Comm Alloc'!I265</f>
        <v>0</v>
      </c>
      <c r="I265" s="540">
        <f>'FR-16(7)(v)-6 DISTR Cust Alloc'!I265</f>
        <v>0</v>
      </c>
      <c r="J265" s="347">
        <f t="shared" si="48"/>
        <v>0</v>
      </c>
      <c r="K265" s="347">
        <f t="shared" si="49"/>
        <v>0</v>
      </c>
    </row>
    <row r="266" spans="1:11">
      <c r="A266" s="333">
        <v>17</v>
      </c>
      <c r="C266" s="332" t="str">
        <f>'FR-16(7)(v)-1 Functional'!C266</f>
        <v>DSM DEFERRAL</v>
      </c>
      <c r="D266" s="344" t="str">
        <f>'FR-16(7)(v)-1 Functional'!D266</f>
        <v>AG39</v>
      </c>
      <c r="F266" s="479">
        <f>'FR-16(7)(v)-8 TOT CLASS Alloc'!I266</f>
        <v>11164</v>
      </c>
      <c r="G266" s="548">
        <f>'FR-16(7)(v)-5 DISTR Dem Alloc'!I266</f>
        <v>6153</v>
      </c>
      <c r="H266" s="539">
        <f>'FR-16(7)(v)-3 PROD Comm Alloc'!I266</f>
        <v>3952</v>
      </c>
      <c r="I266" s="540">
        <f>'FR-16(7)(v)-6 DISTR Cust Alloc'!I266</f>
        <v>1059</v>
      </c>
      <c r="J266" s="347">
        <f t="shared" si="48"/>
        <v>11164</v>
      </c>
      <c r="K266" s="347">
        <f t="shared" si="49"/>
        <v>0</v>
      </c>
    </row>
    <row r="267" spans="1:11">
      <c r="A267" s="333">
        <v>18</v>
      </c>
      <c r="C267" s="332" t="str">
        <f>'FR-16(7)(v)-1 Functional'!C267</f>
        <v>PROPERTY TAX</v>
      </c>
      <c r="D267" s="344" t="str">
        <f>'FR-16(7)(v)-1 Functional'!D267</f>
        <v>P229</v>
      </c>
      <c r="F267" s="479">
        <f>'FR-16(7)(v)-8 TOT CLASS Alloc'!I267</f>
        <v>0</v>
      </c>
      <c r="G267" s="548">
        <f>'FR-16(7)(v)-5 DISTR Dem Alloc'!I267</f>
        <v>0</v>
      </c>
      <c r="H267" s="539">
        <f>'FR-16(7)(v)-3 PROD Comm Alloc'!I267</f>
        <v>0</v>
      </c>
      <c r="I267" s="540">
        <f>'FR-16(7)(v)-6 DISTR Cust Alloc'!I267</f>
        <v>0</v>
      </c>
      <c r="J267" s="347">
        <f t="shared" si="48"/>
        <v>0</v>
      </c>
      <c r="K267" s="347">
        <f t="shared" si="49"/>
        <v>0</v>
      </c>
    </row>
    <row r="268" spans="1:11">
      <c r="A268" s="333">
        <v>19</v>
      </c>
      <c r="C268" s="353" t="str">
        <f>'FR-16(7)(v)-1 Functional'!C268</f>
        <v>PROPERTY TAX ON PROPANE</v>
      </c>
      <c r="D268" s="344" t="str">
        <f>'FR-16(7)(v)-1 Functional'!D268</f>
        <v>P229</v>
      </c>
      <c r="F268" s="479">
        <f>'FR-16(7)(v)-8 TOT CLASS Alloc'!I268</f>
        <v>0</v>
      </c>
      <c r="G268" s="548">
        <f>'FR-16(7)(v)-5 DISTR Dem Alloc'!I268</f>
        <v>0</v>
      </c>
      <c r="H268" s="539">
        <f>'FR-16(7)(v)-3 PROD Comm Alloc'!I268</f>
        <v>0</v>
      </c>
      <c r="I268" s="540">
        <f>'FR-16(7)(v)-6 DISTR Cust Alloc'!I268</f>
        <v>0</v>
      </c>
      <c r="J268" s="347">
        <f t="shared" si="48"/>
        <v>0</v>
      </c>
      <c r="K268" s="347">
        <f t="shared" si="49"/>
        <v>0</v>
      </c>
    </row>
    <row r="269" spans="1:11">
      <c r="A269" s="333">
        <v>20</v>
      </c>
      <c r="C269" s="489" t="str">
        <f>'FR-16(7)(v)-1 Functional'!C269</f>
        <v>401K INCENTIVE PLAN</v>
      </c>
      <c r="D269" s="344" t="str">
        <f>'FR-16(7)(v)-1 Functional'!D269</f>
        <v>AG39</v>
      </c>
      <c r="F269" s="479">
        <f>'FR-16(7)(v)-8 TOT CLASS Alloc'!I269</f>
        <v>0</v>
      </c>
      <c r="G269" s="548">
        <f>'FR-16(7)(v)-5 DISTR Dem Alloc'!I269</f>
        <v>0</v>
      </c>
      <c r="H269" s="539">
        <f>'FR-16(7)(v)-3 PROD Comm Alloc'!I269</f>
        <v>0</v>
      </c>
      <c r="I269" s="540">
        <f>'FR-16(7)(v)-6 DISTR Cust Alloc'!I269</f>
        <v>0</v>
      </c>
      <c r="J269" s="347">
        <f t="shared" si="48"/>
        <v>0</v>
      </c>
      <c r="K269" s="347">
        <f t="shared" si="49"/>
        <v>0</v>
      </c>
    </row>
    <row r="270" spans="1:11">
      <c r="A270" s="333">
        <v>21</v>
      </c>
      <c r="C270" s="332" t="str">
        <f>'FR-16(7)(v)-1 Functional'!C270</f>
        <v>ENVIRONMENTAL RESERVE</v>
      </c>
      <c r="D270" s="344" t="str">
        <f>'FR-16(7)(v)-1 Functional'!D270</f>
        <v>NP29</v>
      </c>
      <c r="F270" s="479">
        <f>'FR-16(7)(v)-8 TOT CLASS Alloc'!I270</f>
        <v>9761</v>
      </c>
      <c r="G270" s="548">
        <f>'FR-16(7)(v)-5 DISTR Dem Alloc'!I270</f>
        <v>9301</v>
      </c>
      <c r="H270" s="539">
        <f>'FR-16(7)(v)-3 PROD Comm Alloc'!I270</f>
        <v>197</v>
      </c>
      <c r="I270" s="540">
        <f>'FR-16(7)(v)-6 DISTR Cust Alloc'!I270</f>
        <v>263</v>
      </c>
      <c r="J270" s="347">
        <f t="shared" si="48"/>
        <v>9761</v>
      </c>
      <c r="K270" s="347">
        <f t="shared" si="49"/>
        <v>0</v>
      </c>
    </row>
    <row r="271" spans="1:11">
      <c r="A271" s="333">
        <v>22</v>
      </c>
      <c r="C271" s="332" t="str">
        <f>'FR-16(7)(v)-1 Functional'!C271</f>
        <v>VACATION PAY ACCRUALS</v>
      </c>
      <c r="D271" s="344" t="str">
        <f>'FR-16(7)(v)-1 Functional'!D271</f>
        <v>G129</v>
      </c>
      <c r="F271" s="479">
        <f>'FR-16(7)(v)-8 TOT CLASS Alloc'!I271</f>
        <v>9763</v>
      </c>
      <c r="G271" s="548">
        <f>'FR-16(7)(v)-5 DISTR Dem Alloc'!I271</f>
        <v>5380</v>
      </c>
      <c r="H271" s="539">
        <f>'FR-16(7)(v)-3 PROD Comm Alloc'!I271</f>
        <v>3457</v>
      </c>
      <c r="I271" s="540">
        <f>'FR-16(7)(v)-6 DISTR Cust Alloc'!I271</f>
        <v>926</v>
      </c>
      <c r="J271" s="347">
        <f t="shared" si="48"/>
        <v>9763</v>
      </c>
      <c r="K271" s="347">
        <f t="shared" si="49"/>
        <v>0</v>
      </c>
    </row>
    <row r="272" spans="1:11">
      <c r="A272" s="333">
        <v>23</v>
      </c>
      <c r="C272" s="332" t="str">
        <f>'FR-16(7)(v)-1 Functional'!C272</f>
        <v>SMART GRID</v>
      </c>
      <c r="D272" s="344" t="str">
        <f>'FR-16(7)(v)-1 Functional'!D272</f>
        <v>K413</v>
      </c>
      <c r="F272" s="479">
        <f>'FR-16(7)(v)-8 TOT CLASS Alloc'!I272</f>
        <v>0</v>
      </c>
      <c r="G272" s="548">
        <f>'FR-16(7)(v)-5 DISTR Dem Alloc'!I272</f>
        <v>0</v>
      </c>
      <c r="H272" s="539">
        <f>'FR-16(7)(v)-3 PROD Comm Alloc'!I272</f>
        <v>0</v>
      </c>
      <c r="I272" s="540">
        <f>'FR-16(7)(v)-6 DISTR Cust Alloc'!I272</f>
        <v>0</v>
      </c>
      <c r="J272" s="347">
        <f t="shared" si="48"/>
        <v>0</v>
      </c>
      <c r="K272" s="347">
        <f t="shared" si="49"/>
        <v>0</v>
      </c>
    </row>
    <row r="273" spans="1:11">
      <c r="A273" s="333">
        <v>24</v>
      </c>
      <c r="C273" s="332" t="str">
        <f>'FR-16(7)(v)-1 Functional'!C273</f>
        <v>METERS &amp; TRANSFORMERS</v>
      </c>
      <c r="D273" s="344" t="str">
        <f>'FR-16(7)(v)-1 Functional'!D273</f>
        <v>D249</v>
      </c>
      <c r="F273" s="479">
        <f>'FR-16(7)(v)-8 TOT CLASS Alloc'!I273</f>
        <v>0</v>
      </c>
      <c r="G273" s="548">
        <f>'FR-16(7)(v)-5 DISTR Dem Alloc'!I273</f>
        <v>0</v>
      </c>
      <c r="H273" s="539">
        <f>'FR-16(7)(v)-3 PROD Comm Alloc'!I273</f>
        <v>0</v>
      </c>
      <c r="I273" s="540">
        <f>'FR-16(7)(v)-6 DISTR Cust Alloc'!I273</f>
        <v>0</v>
      </c>
      <c r="J273" s="347">
        <f t="shared" si="48"/>
        <v>0</v>
      </c>
      <c r="K273" s="347">
        <f t="shared" si="49"/>
        <v>0</v>
      </c>
    </row>
    <row r="274" spans="1:11">
      <c r="A274" s="333">
        <v>25</v>
      </c>
      <c r="C274" s="359" t="str">
        <f>'FR-16(7)(v)-1 Functional'!C274</f>
        <v>OTHER</v>
      </c>
      <c r="D274" s="344" t="str">
        <f>'FR-16(7)(v)-1 Functional'!D274</f>
        <v>AG39</v>
      </c>
      <c r="F274" s="479">
        <f>'FR-16(7)(v)-8 TOT CLASS Alloc'!I274</f>
        <v>22597</v>
      </c>
      <c r="G274" s="548">
        <f>'FR-16(7)(v)-5 DISTR Dem Alloc'!I274</f>
        <v>12454</v>
      </c>
      <c r="H274" s="539">
        <f>'FR-16(7)(v)-3 PROD Comm Alloc'!I274</f>
        <v>8000</v>
      </c>
      <c r="I274" s="540">
        <f>'FR-16(7)(v)-6 DISTR Cust Alloc'!I274</f>
        <v>2143</v>
      </c>
      <c r="J274" s="347">
        <f t="shared" si="48"/>
        <v>22597</v>
      </c>
      <c r="K274" s="347">
        <f t="shared" si="49"/>
        <v>0</v>
      </c>
    </row>
    <row r="275" spans="1:11">
      <c r="A275" s="333">
        <v>26</v>
      </c>
      <c r="C275" s="332" t="str">
        <f>'FR-16(7)(v)-1 Functional'!C275</f>
        <v xml:space="preserve">  TOTAL ACCOUNT 190</v>
      </c>
      <c r="D275" s="344"/>
      <c r="F275" s="348">
        <f t="shared" ref="F275:K275" si="50">SUM(F251:F274)</f>
        <v>237605</v>
      </c>
      <c r="G275" s="549">
        <f t="shared" si="50"/>
        <v>50613</v>
      </c>
      <c r="H275" s="541">
        <f t="shared" si="50"/>
        <v>179297</v>
      </c>
      <c r="I275" s="542">
        <f t="shared" si="50"/>
        <v>7695</v>
      </c>
      <c r="J275" s="348">
        <f t="shared" si="50"/>
        <v>237605</v>
      </c>
      <c r="K275" s="348">
        <f t="shared" si="50"/>
        <v>0</v>
      </c>
    </row>
    <row r="276" spans="1:11">
      <c r="A276" s="333">
        <v>27</v>
      </c>
      <c r="D276" s="344"/>
      <c r="E276" s="196"/>
      <c r="G276" s="547"/>
      <c r="H276" s="537"/>
      <c r="I276" s="538"/>
    </row>
    <row r="277" spans="1:11">
      <c r="A277" s="333">
        <v>28</v>
      </c>
      <c r="B277" s="332" t="s">
        <v>30</v>
      </c>
      <c r="D277" s="344"/>
      <c r="E277" s="196"/>
      <c r="G277" s="547"/>
      <c r="H277" s="537"/>
      <c r="I277" s="538"/>
    </row>
    <row r="278" spans="1:11">
      <c r="A278" s="333">
        <v>29</v>
      </c>
      <c r="C278" s="365" t="str">
        <f>'FR-16(7)(v)-1 Functional'!C278</f>
        <v>RESERVED FOR FUTURE USE</v>
      </c>
      <c r="D278" s="344" t="str">
        <f>'FR-16(7)(v)-1 Functional'!D278</f>
        <v>D249</v>
      </c>
      <c r="F278" s="479">
        <f>'FR-16(7)(v)-8 TOT CLASS Alloc'!I278</f>
        <v>0</v>
      </c>
      <c r="G278" s="548">
        <f>'FR-16(7)(v)-5 DISTR Dem Alloc'!I278</f>
        <v>0</v>
      </c>
      <c r="H278" s="539">
        <f>'FR-16(7)(v)-3 PROD Comm Alloc'!I278</f>
        <v>0</v>
      </c>
      <c r="I278" s="540">
        <f>'FR-16(7)(v)-6 DISTR Cust Alloc'!I278</f>
        <v>0</v>
      </c>
      <c r="J278" s="347">
        <f>SUM(G278:I278)</f>
        <v>0</v>
      </c>
      <c r="K278" s="347">
        <f>F278-J278</f>
        <v>0</v>
      </c>
    </row>
    <row r="279" spans="1:11">
      <c r="A279" s="333">
        <v>30</v>
      </c>
      <c r="C279" s="332" t="str">
        <f>'FR-16(7)(v)-1 Functional'!C279</f>
        <v>ANNUALIZE DEPRECIATION</v>
      </c>
      <c r="D279" s="344" t="str">
        <f>'FR-16(7)(v)-1 Functional'!D279</f>
        <v>NP29</v>
      </c>
      <c r="F279" s="479">
        <f>'FR-16(7)(v)-8 TOT CLASS Alloc'!I279</f>
        <v>-16570</v>
      </c>
      <c r="G279" s="548">
        <f>'FR-16(7)(v)-5 DISTR Dem Alloc'!I279</f>
        <v>-15789</v>
      </c>
      <c r="H279" s="539">
        <f>'FR-16(7)(v)-3 PROD Comm Alloc'!I279</f>
        <v>-334</v>
      </c>
      <c r="I279" s="540">
        <f>'FR-16(7)(v)-6 DISTR Cust Alloc'!I279</f>
        <v>-447</v>
      </c>
      <c r="J279" s="347">
        <f>SUM(G279:I279)</f>
        <v>-16570</v>
      </c>
      <c r="K279" s="347">
        <f>F279-J279</f>
        <v>0</v>
      </c>
    </row>
    <row r="280" spans="1:11">
      <c r="A280" s="333">
        <v>31</v>
      </c>
      <c r="C280" s="332" t="str">
        <f>'FR-16(7)(v)-1 Functional'!C280</f>
        <v>ELIMINATE UNBILLED REVENUE AND GAS COSTS</v>
      </c>
      <c r="D280" s="344" t="str">
        <f>'FR-16(7)(v)-1 Functional'!D280</f>
        <v>K300</v>
      </c>
      <c r="F280" s="479">
        <f>'FR-16(7)(v)-8 TOT CLASS Alloc'!I280</f>
        <v>-3577</v>
      </c>
      <c r="G280" s="548">
        <f>'FR-16(7)(v)-5 DISTR Dem Alloc'!I280</f>
        <v>0</v>
      </c>
      <c r="H280" s="539">
        <f>'FR-16(7)(v)-3 PROD Comm Alloc'!I280</f>
        <v>-3577</v>
      </c>
      <c r="I280" s="540">
        <f>'FR-16(7)(v)-6 DISTR Cust Alloc'!I280</f>
        <v>0</v>
      </c>
      <c r="J280" s="347">
        <f>SUM(G280:I280)</f>
        <v>-3577</v>
      </c>
      <c r="K280" s="347">
        <f>F280-J280</f>
        <v>0</v>
      </c>
    </row>
    <row r="281" spans="1:11">
      <c r="A281" s="333">
        <v>32</v>
      </c>
      <c r="C281" s="339" t="str">
        <f>'FR-16(7)(v)-1 Functional'!C281</f>
        <v xml:space="preserve">  OTHER</v>
      </c>
      <c r="D281" s="344"/>
      <c r="F281" s="348">
        <f>SUM(F278:F280)</f>
        <v>-20147</v>
      </c>
      <c r="G281" s="549">
        <f>SUM(G277:G280)</f>
        <v>-15789</v>
      </c>
      <c r="H281" s="541">
        <f>SUM(H277:H280)</f>
        <v>-3911</v>
      </c>
      <c r="I281" s="542">
        <f>SUM(I277:I280)</f>
        <v>-447</v>
      </c>
      <c r="J281" s="348">
        <f>SUM(J277:J280)</f>
        <v>-20147</v>
      </c>
      <c r="K281" s="348">
        <f>SUM(K277:K280)</f>
        <v>0</v>
      </c>
    </row>
    <row r="282" spans="1:11">
      <c r="A282" s="333">
        <v>33</v>
      </c>
      <c r="D282" s="344"/>
      <c r="F282" s="335" t="s">
        <v>343</v>
      </c>
      <c r="G282" s="547"/>
      <c r="H282" s="537"/>
      <c r="I282" s="538"/>
    </row>
    <row r="283" spans="1:11">
      <c r="A283" s="333">
        <v>34</v>
      </c>
      <c r="B283" s="332" t="s">
        <v>825</v>
      </c>
      <c r="D283" s="344"/>
      <c r="F283" s="347">
        <f t="shared" ref="F283:K283" si="51">F275+F281</f>
        <v>217458</v>
      </c>
      <c r="G283" s="550">
        <f t="shared" si="51"/>
        <v>34824</v>
      </c>
      <c r="H283" s="543">
        <f t="shared" si="51"/>
        <v>175386</v>
      </c>
      <c r="I283" s="544">
        <f t="shared" si="51"/>
        <v>7248</v>
      </c>
      <c r="J283" s="347">
        <f t="shared" si="51"/>
        <v>217458</v>
      </c>
      <c r="K283" s="347">
        <f t="shared" si="51"/>
        <v>0</v>
      </c>
    </row>
    <row r="284" spans="1:11">
      <c r="B284" s="343"/>
      <c r="C284" s="196"/>
      <c r="D284" s="344"/>
      <c r="E284" s="196"/>
      <c r="F284" s="196"/>
      <c r="G284" s="196"/>
      <c r="H284" s="196"/>
      <c r="I284" s="196"/>
      <c r="J284" s="196"/>
      <c r="K284" s="196"/>
    </row>
    <row r="285" spans="1:11">
      <c r="A285" s="343" t="str">
        <f>co_name</f>
        <v>DUKE ENERGY KENTUCKY, INC.</v>
      </c>
      <c r="C285" s="196"/>
      <c r="D285" s="344"/>
      <c r="E285" s="196"/>
      <c r="F285" s="196"/>
      <c r="G285" s="196"/>
      <c r="H285" s="196"/>
      <c r="I285" s="196"/>
      <c r="J285" s="196" t="str">
        <f>$J$1</f>
        <v>FR-16(7)(v)-11</v>
      </c>
      <c r="K285" s="196"/>
    </row>
    <row r="286" spans="1:11">
      <c r="A286" s="343" t="str">
        <f>$A$2</f>
        <v>FT-L CLASSIFIED - GAS COST OF SERVICE</v>
      </c>
      <c r="C286" s="196"/>
      <c r="D286" s="344"/>
      <c r="E286" s="196"/>
      <c r="F286" s="196"/>
      <c r="G286" s="196"/>
      <c r="H286" s="196"/>
      <c r="I286" s="196"/>
      <c r="J286" s="196" t="str">
        <f>$J$2</f>
        <v>WITNESS RESPONSIBLE:</v>
      </c>
      <c r="K286" s="196"/>
    </row>
    <row r="287" spans="1:11">
      <c r="A287" s="343" t="str">
        <f>case_name</f>
        <v>CASE NO: 2018-00261</v>
      </c>
      <c r="C287" s="196"/>
      <c r="D287" s="344"/>
      <c r="E287" s="196"/>
      <c r="F287" s="196"/>
      <c r="G287" s="196"/>
      <c r="H287" s="196"/>
      <c r="I287" s="196"/>
      <c r="J287" s="196" t="str">
        <f>Witness</f>
        <v>JAMES E. ZIOLKOWSKI</v>
      </c>
      <c r="K287" s="196"/>
    </row>
    <row r="288" spans="1:11">
      <c r="A288" s="343" t="str">
        <f>data_filing</f>
        <v>DATA: 12 MONTH FORECASTED PERIOD</v>
      </c>
      <c r="C288" s="196"/>
      <c r="D288" s="344"/>
      <c r="E288" s="196"/>
      <c r="F288" s="196"/>
      <c r="G288" s="196"/>
      <c r="H288" s="196"/>
      <c r="I288" s="196"/>
      <c r="J288" s="196" t="str">
        <f>"PAGE "&amp;Pages2-8&amp;" OF "&amp;Pages2</f>
        <v>PAGE 7 OF 15</v>
      </c>
      <c r="K288" s="196"/>
    </row>
    <row r="289" spans="1:13">
      <c r="A289" s="343" t="str">
        <f>type</f>
        <v xml:space="preserve">TYPE OF FILING: "X" ORIGINAL   UPDATED    REVISED  </v>
      </c>
      <c r="C289" s="196"/>
      <c r="D289" s="344"/>
      <c r="E289" s="196"/>
      <c r="F289" s="196"/>
      <c r="G289" s="196"/>
      <c r="H289" s="196"/>
      <c r="I289" s="196"/>
      <c r="J289" s="196"/>
      <c r="K289" s="196"/>
    </row>
    <row r="290" spans="1:13">
      <c r="B290" s="343"/>
      <c r="C290" s="196"/>
      <c r="D290" s="344"/>
      <c r="E290" s="196"/>
      <c r="F290" s="196"/>
      <c r="G290" s="196"/>
      <c r="H290" s="196"/>
      <c r="I290" s="196"/>
      <c r="J290" s="196"/>
      <c r="K290" s="196"/>
    </row>
    <row r="291" spans="1:13">
      <c r="B291" s="343"/>
      <c r="C291" s="196"/>
      <c r="D291" s="344"/>
      <c r="E291" s="196"/>
      <c r="F291" s="196"/>
      <c r="G291" s="196"/>
      <c r="H291" s="196"/>
      <c r="I291" s="196"/>
      <c r="J291" s="196"/>
      <c r="K291" s="196"/>
    </row>
    <row r="292" spans="1:13">
      <c r="A292" s="344" t="s">
        <v>914</v>
      </c>
      <c r="B292" s="196"/>
      <c r="C292" s="196"/>
      <c r="D292" s="344"/>
      <c r="E292" s="196"/>
      <c r="F292" s="344" t="s">
        <v>229</v>
      </c>
      <c r="G292" s="545" t="s">
        <v>1005</v>
      </c>
      <c r="H292" s="533"/>
      <c r="I292" s="534"/>
      <c r="J292" s="344" t="s">
        <v>229</v>
      </c>
      <c r="K292" s="344" t="s">
        <v>342</v>
      </c>
    </row>
    <row r="293" spans="1:13">
      <c r="A293" s="346" t="s">
        <v>915</v>
      </c>
      <c r="B293" s="345" t="s">
        <v>32</v>
      </c>
      <c r="C293" s="345"/>
      <c r="D293" s="346" t="s">
        <v>337</v>
      </c>
      <c r="E293" s="345"/>
      <c r="F293" s="346" t="str">
        <f>$F$9</f>
        <v>FT-L</v>
      </c>
      <c r="G293" s="546" t="s">
        <v>847</v>
      </c>
      <c r="H293" s="535" t="s">
        <v>848</v>
      </c>
      <c r="I293" s="536" t="s">
        <v>849</v>
      </c>
      <c r="J293" s="346" t="s">
        <v>341</v>
      </c>
      <c r="K293" s="346" t="s">
        <v>340</v>
      </c>
    </row>
    <row r="294" spans="1:13">
      <c r="C294" s="578" t="s">
        <v>559</v>
      </c>
      <c r="D294" s="344"/>
      <c r="E294" s="490"/>
      <c r="F294" s="491"/>
      <c r="G294" s="800">
        <f>$G$10</f>
        <v>3</v>
      </c>
      <c r="H294" s="801">
        <f>$H$10</f>
        <v>4</v>
      </c>
      <c r="I294" s="802">
        <f>$I$10</f>
        <v>5</v>
      </c>
      <c r="J294" s="490"/>
      <c r="K294" s="490"/>
    </row>
    <row r="295" spans="1:13">
      <c r="C295" s="578"/>
      <c r="D295" s="344"/>
      <c r="E295" s="490"/>
      <c r="F295" s="491"/>
      <c r="G295" s="800"/>
      <c r="H295" s="801"/>
      <c r="I295" s="802"/>
      <c r="J295" s="490"/>
      <c r="K295" s="490"/>
    </row>
    <row r="296" spans="1:13">
      <c r="A296" s="333">
        <v>1</v>
      </c>
      <c r="B296" s="332" t="s">
        <v>31</v>
      </c>
      <c r="D296" s="344"/>
      <c r="E296" s="196"/>
      <c r="F296" s="347">
        <f t="shared" ref="F296:K296" si="52">F191-F238+F283</f>
        <v>18955601</v>
      </c>
      <c r="G296" s="548">
        <f t="shared" si="52"/>
        <v>18154870</v>
      </c>
      <c r="H296" s="539">
        <f t="shared" si="52"/>
        <v>343756</v>
      </c>
      <c r="I296" s="540">
        <f t="shared" si="52"/>
        <v>456975</v>
      </c>
      <c r="J296" s="347">
        <f t="shared" si="52"/>
        <v>18955601</v>
      </c>
      <c r="K296" s="347">
        <f t="shared" si="52"/>
        <v>0</v>
      </c>
    </row>
    <row r="297" spans="1:13">
      <c r="A297" s="333">
        <v>2</v>
      </c>
      <c r="D297" s="344"/>
      <c r="E297" s="196"/>
      <c r="G297" s="547"/>
      <c r="H297" s="537"/>
      <c r="I297" s="538"/>
    </row>
    <row r="298" spans="1:13">
      <c r="A298" s="333">
        <v>3</v>
      </c>
      <c r="B298" s="332" t="s">
        <v>32</v>
      </c>
      <c r="D298" s="344"/>
      <c r="E298" s="196"/>
      <c r="G298" s="547"/>
      <c r="H298" s="537"/>
      <c r="I298" s="538"/>
    </row>
    <row r="299" spans="1:13">
      <c r="A299" s="333">
        <v>4</v>
      </c>
      <c r="D299" s="344"/>
      <c r="E299" s="196"/>
      <c r="G299" s="547"/>
      <c r="H299" s="537"/>
      <c r="I299" s="538"/>
    </row>
    <row r="300" spans="1:13">
      <c r="A300" s="333">
        <v>5</v>
      </c>
      <c r="B300" s="332" t="s">
        <v>33</v>
      </c>
      <c r="D300" s="344"/>
      <c r="E300" s="196"/>
      <c r="G300" s="547"/>
      <c r="H300" s="537"/>
      <c r="I300" s="538"/>
    </row>
    <row r="301" spans="1:13">
      <c r="A301" s="333">
        <v>6</v>
      </c>
      <c r="C301" s="332" t="str">
        <f>'FR-16(7)(v)-1 Functional'!C301</f>
        <v>GAS ENRICHER LIQUID</v>
      </c>
      <c r="D301" s="344" t="str">
        <f>'FR-16(7)(v)-1 Functional'!D301</f>
        <v>K301</v>
      </c>
      <c r="E301" s="196"/>
      <c r="F301" s="479">
        <f>'FR-16(7)(v)-8 TOT CLASS Alloc'!I301</f>
        <v>262486</v>
      </c>
      <c r="G301" s="548">
        <f>'FR-16(7)(v)-5 DISTR Dem Alloc'!I301</f>
        <v>0</v>
      </c>
      <c r="H301" s="539">
        <f>'FR-16(7)(v)-3 PROD Comm Alloc'!I301</f>
        <v>262486</v>
      </c>
      <c r="I301" s="540">
        <f>'FR-16(7)(v)-6 DISTR Cust Alloc'!I301</f>
        <v>0</v>
      </c>
      <c r="J301" s="347">
        <f>SUM(G301:I301)</f>
        <v>262486</v>
      </c>
      <c r="K301" s="347">
        <f>F301-J301</f>
        <v>0</v>
      </c>
      <c r="M301" s="335"/>
    </row>
    <row r="302" spans="1:13">
      <c r="A302" s="333">
        <v>7</v>
      </c>
      <c r="C302" s="359" t="str">
        <f>'FR-16(7)(v)-1 Functional'!C302</f>
        <v>OTHER SUPPLIES</v>
      </c>
      <c r="D302" s="344" t="str">
        <f>'FR-16(7)(v)-1 Functional'!D302</f>
        <v>NP29</v>
      </c>
      <c r="E302" s="196"/>
      <c r="F302" s="479">
        <f>'FR-16(7)(v)-8 TOT CLASS Alloc'!I302</f>
        <v>70072</v>
      </c>
      <c r="G302" s="548">
        <f>'FR-16(7)(v)-5 DISTR Dem Alloc'!I302</f>
        <v>66769</v>
      </c>
      <c r="H302" s="539">
        <f>'FR-16(7)(v)-3 PROD Comm Alloc'!I302</f>
        <v>1411</v>
      </c>
      <c r="I302" s="540">
        <f>'FR-16(7)(v)-6 DISTR Cust Alloc'!I302</f>
        <v>1892</v>
      </c>
      <c r="J302" s="347">
        <f>SUM(G302:I302)</f>
        <v>70072</v>
      </c>
      <c r="K302" s="347">
        <f>F302-J302</f>
        <v>0</v>
      </c>
      <c r="M302" s="335"/>
    </row>
    <row r="303" spans="1:13">
      <c r="A303" s="333">
        <v>8</v>
      </c>
      <c r="C303" s="332" t="str">
        <f>'FR-16(7)(v)-1 Functional'!C303</f>
        <v xml:space="preserve">  TOTAL PLANT MATS. &amp; SUPPLIES</v>
      </c>
      <c r="D303" s="344"/>
      <c r="E303" s="196"/>
      <c r="F303" s="348">
        <f t="shared" ref="F303:K303" si="53">SUM(F300:F302)</f>
        <v>332558</v>
      </c>
      <c r="G303" s="549">
        <f t="shared" si="53"/>
        <v>66769</v>
      </c>
      <c r="H303" s="541">
        <f t="shared" si="53"/>
        <v>263897</v>
      </c>
      <c r="I303" s="542">
        <f t="shared" si="53"/>
        <v>1892</v>
      </c>
      <c r="J303" s="348">
        <f t="shared" si="53"/>
        <v>332558</v>
      </c>
      <c r="K303" s="348">
        <f t="shared" si="53"/>
        <v>0</v>
      </c>
    </row>
    <row r="304" spans="1:13">
      <c r="A304" s="333">
        <v>9</v>
      </c>
      <c r="B304" s="332" t="s">
        <v>34</v>
      </c>
      <c r="D304" s="344"/>
      <c r="E304" s="196"/>
      <c r="F304" s="347">
        <f t="shared" ref="F304:K304" si="54">F303</f>
        <v>332558</v>
      </c>
      <c r="G304" s="548">
        <f t="shared" si="54"/>
        <v>66769</v>
      </c>
      <c r="H304" s="539">
        <f t="shared" si="54"/>
        <v>263897</v>
      </c>
      <c r="I304" s="540">
        <f t="shared" si="54"/>
        <v>1892</v>
      </c>
      <c r="J304" s="347">
        <f t="shared" si="54"/>
        <v>332558</v>
      </c>
      <c r="K304" s="347">
        <f t="shared" si="54"/>
        <v>0</v>
      </c>
    </row>
    <row r="305" spans="1:13">
      <c r="A305" s="333">
        <v>10</v>
      </c>
      <c r="D305" s="344"/>
      <c r="E305" s="196"/>
      <c r="G305" s="547"/>
      <c r="H305" s="537"/>
      <c r="I305" s="538"/>
    </row>
    <row r="306" spans="1:13">
      <c r="A306" s="333">
        <v>11</v>
      </c>
      <c r="B306" s="332" t="s">
        <v>35</v>
      </c>
      <c r="D306" s="344"/>
      <c r="E306" s="196"/>
      <c r="G306" s="547"/>
      <c r="H306" s="537"/>
      <c r="I306" s="538"/>
    </row>
    <row r="307" spans="1:13">
      <c r="A307" s="333">
        <v>12</v>
      </c>
      <c r="C307" s="332" t="str">
        <f>'FR-16(7)(v)-1 Functional'!C307</f>
        <v>INSURANCE GENERAL</v>
      </c>
      <c r="D307" s="344" t="str">
        <f>'FR-16(7)(v)-1 Functional'!D307</f>
        <v>OM39</v>
      </c>
      <c r="E307" s="196"/>
      <c r="F307" s="479">
        <f>'FR-16(7)(v)-8 TOT CLASS Alloc'!I307</f>
        <v>5504</v>
      </c>
      <c r="G307" s="548">
        <f>'FR-16(7)(v)-5 DISTR Dem Alloc'!I307</f>
        <v>574</v>
      </c>
      <c r="H307" s="539">
        <f>'FR-16(7)(v)-3 PROD Comm Alloc'!I307</f>
        <v>4833</v>
      </c>
      <c r="I307" s="540">
        <f>'FR-16(7)(v)-6 DISTR Cust Alloc'!I307</f>
        <v>97</v>
      </c>
      <c r="J307" s="347">
        <f>SUM(G307:I307)</f>
        <v>5504</v>
      </c>
      <c r="K307" s="347">
        <f>F307-J307</f>
        <v>0</v>
      </c>
      <c r="M307" s="335"/>
    </row>
    <row r="308" spans="1:13">
      <c r="A308" s="333">
        <v>13</v>
      </c>
      <c r="C308" s="332" t="str">
        <f>'FR-16(7)(v)-1 Functional'!C308</f>
        <v>EXCISE TAX</v>
      </c>
      <c r="D308" s="344" t="str">
        <f>'FR-16(7)(v)-1 Functional'!D308</f>
        <v>OM39</v>
      </c>
      <c r="E308" s="196"/>
      <c r="F308" s="479">
        <f>'FR-16(7)(v)-8 TOT CLASS Alloc'!I308</f>
        <v>0</v>
      </c>
      <c r="G308" s="548">
        <f>'FR-16(7)(v)-5 DISTR Dem Alloc'!I308</f>
        <v>0</v>
      </c>
      <c r="H308" s="539">
        <f>'FR-16(7)(v)-3 PROD Comm Alloc'!I308</f>
        <v>0</v>
      </c>
      <c r="I308" s="540">
        <f>'FR-16(7)(v)-6 DISTR Cust Alloc'!I308</f>
        <v>0</v>
      </c>
      <c r="J308" s="347">
        <f>SUM(G308:I308)</f>
        <v>0</v>
      </c>
      <c r="K308" s="347">
        <f>F308-J308</f>
        <v>0</v>
      </c>
      <c r="M308" s="335"/>
    </row>
    <row r="309" spans="1:13">
      <c r="A309" s="333">
        <v>14</v>
      </c>
      <c r="C309" s="332" t="str">
        <f>'FR-16(7)(v)-1 Functional'!C309</f>
        <v>GAS PURCHASE</v>
      </c>
      <c r="D309" s="344" t="str">
        <f>'FR-16(7)(v)-1 Functional'!D309</f>
        <v>K301</v>
      </c>
      <c r="E309" s="196"/>
      <c r="F309" s="479">
        <f>'FR-16(7)(v)-8 TOT CLASS Alloc'!I309</f>
        <v>0</v>
      </c>
      <c r="G309" s="548">
        <f>'FR-16(7)(v)-5 DISTR Dem Alloc'!I309</f>
        <v>0</v>
      </c>
      <c r="H309" s="539">
        <f>'FR-16(7)(v)-3 PROD Comm Alloc'!I309</f>
        <v>0</v>
      </c>
      <c r="I309" s="540">
        <f>'FR-16(7)(v)-6 DISTR Cust Alloc'!I309</f>
        <v>0</v>
      </c>
      <c r="J309" s="347">
        <f>SUM(G309:I309)</f>
        <v>0</v>
      </c>
      <c r="K309" s="347">
        <f>F309-J309</f>
        <v>0</v>
      </c>
      <c r="M309" s="335"/>
    </row>
    <row r="310" spans="1:13">
      <c r="A310" s="333">
        <v>15</v>
      </c>
      <c r="C310" s="339" t="str">
        <f>'FR-16(7)(v)-1 Functional'!C310</f>
        <v xml:space="preserve">  TOTAL PREPAYMENTS</v>
      </c>
      <c r="D310" s="344"/>
      <c r="E310" s="196"/>
      <c r="F310" s="579">
        <f t="shared" ref="F310:K310" si="55">SUM(F306:F309)</f>
        <v>5504</v>
      </c>
      <c r="G310" s="580">
        <f t="shared" si="55"/>
        <v>574</v>
      </c>
      <c r="H310" s="581">
        <f t="shared" si="55"/>
        <v>4833</v>
      </c>
      <c r="I310" s="582">
        <f t="shared" si="55"/>
        <v>97</v>
      </c>
      <c r="J310" s="579">
        <f t="shared" si="55"/>
        <v>5504</v>
      </c>
      <c r="K310" s="579">
        <f t="shared" si="55"/>
        <v>0</v>
      </c>
    </row>
    <row r="311" spans="1:13">
      <c r="A311" s="333">
        <v>16</v>
      </c>
      <c r="D311" s="344"/>
      <c r="E311" s="196"/>
      <c r="G311" s="547"/>
      <c r="H311" s="537"/>
      <c r="I311" s="538"/>
    </row>
    <row r="312" spans="1:13">
      <c r="A312" s="333">
        <v>17</v>
      </c>
      <c r="B312" s="332" t="s">
        <v>36</v>
      </c>
      <c r="D312" s="344"/>
      <c r="E312" s="196"/>
      <c r="F312" s="347">
        <f>IF(WorkingCap="No",0,ROUND((F433-F348-F353)/8,0))</f>
        <v>174644</v>
      </c>
      <c r="G312" s="548">
        <f>IF(WorkingCap="No",0,ROUND((G433-G348-G353)/8,0))</f>
        <v>115008</v>
      </c>
      <c r="H312" s="539">
        <f>IF(WorkingCap="No",0,ROUND((H433-H348-H353)/8,0))</f>
        <v>40175</v>
      </c>
      <c r="I312" s="540">
        <f>IF(WorkingCap="No",0,ROUND((I433-I348-I353)/8,0))</f>
        <v>19461</v>
      </c>
      <c r="J312" s="347">
        <f>SUM(G312:I312)</f>
        <v>174644</v>
      </c>
      <c r="K312" s="347">
        <f>F312-J312</f>
        <v>0</v>
      </c>
    </row>
    <row r="313" spans="1:13">
      <c r="A313" s="333">
        <v>18</v>
      </c>
      <c r="B313" s="332" t="s">
        <v>37</v>
      </c>
      <c r="D313" s="344"/>
      <c r="E313" s="196"/>
      <c r="F313" s="347">
        <f t="shared" ref="F313:K313" si="56">F312</f>
        <v>174644</v>
      </c>
      <c r="G313" s="548">
        <f t="shared" si="56"/>
        <v>115008</v>
      </c>
      <c r="H313" s="539">
        <f t="shared" si="56"/>
        <v>40175</v>
      </c>
      <c r="I313" s="540">
        <f t="shared" si="56"/>
        <v>19461</v>
      </c>
      <c r="J313" s="347">
        <f t="shared" si="56"/>
        <v>174644</v>
      </c>
      <c r="K313" s="347">
        <f t="shared" si="56"/>
        <v>0</v>
      </c>
    </row>
    <row r="314" spans="1:13">
      <c r="A314" s="333">
        <v>19</v>
      </c>
      <c r="D314" s="344"/>
      <c r="E314" s="196"/>
      <c r="G314" s="547"/>
      <c r="H314" s="537"/>
      <c r="I314" s="538"/>
    </row>
    <row r="315" spans="1:13">
      <c r="A315" s="333">
        <v>20</v>
      </c>
      <c r="B315" s="332" t="s">
        <v>38</v>
      </c>
      <c r="D315" s="344"/>
      <c r="E315" s="196"/>
      <c r="G315" s="547"/>
      <c r="H315" s="537"/>
      <c r="I315" s="538"/>
    </row>
    <row r="316" spans="1:13">
      <c r="A316" s="333">
        <v>21</v>
      </c>
      <c r="C316" s="618" t="str">
        <f>'FR-16(7)(v)-1 Functional'!C316</f>
        <v>GAS STORED UNDERGROUND</v>
      </c>
      <c r="D316" s="344" t="str">
        <f>'FR-16(7)(v)-1 Functional'!D316</f>
        <v>K301</v>
      </c>
      <c r="E316" s="196"/>
      <c r="F316" s="479">
        <f>'FR-16(7)(v)-8 TOT CLASS Alloc'!I316</f>
        <v>604825</v>
      </c>
      <c r="G316" s="548">
        <f>'FR-16(7)(v)-5 DISTR Dem Alloc'!I316</f>
        <v>0</v>
      </c>
      <c r="H316" s="539">
        <f>'FR-16(7)(v)-3 PROD Comm Alloc'!I316</f>
        <v>604825</v>
      </c>
      <c r="I316" s="540">
        <f>'FR-16(7)(v)-6 DISTR Cust Alloc'!I316</f>
        <v>0</v>
      </c>
      <c r="J316" s="347">
        <f>SUM(G316:I316)</f>
        <v>604825</v>
      </c>
      <c r="K316" s="347">
        <f>F316-J316</f>
        <v>0</v>
      </c>
      <c r="M316" s="335"/>
    </row>
    <row r="317" spans="1:13">
      <c r="A317" s="333">
        <v>22</v>
      </c>
      <c r="C317" s="353" t="str">
        <f>'FR-16(7)(v)-1 Functional'!C317</f>
        <v>PIPP UNCOLLECTIBLES</v>
      </c>
      <c r="D317" s="344" t="str">
        <f>'FR-16(7)(v)-1 Functional'!D317</f>
        <v>K406</v>
      </c>
      <c r="E317" s="196"/>
      <c r="F317" s="479">
        <f>'FR-16(7)(v)-8 TOT CLASS Alloc'!I317</f>
        <v>0</v>
      </c>
      <c r="G317" s="548">
        <f>'FR-16(7)(v)-5 DISTR Dem Alloc'!I317</f>
        <v>0</v>
      </c>
      <c r="H317" s="539">
        <f>'FR-16(7)(v)-3 PROD Comm Alloc'!I317</f>
        <v>0</v>
      </c>
      <c r="I317" s="540">
        <f>'FR-16(7)(v)-6 DISTR Cust Alloc'!I317</f>
        <v>0</v>
      </c>
      <c r="J317" s="347">
        <f>SUM(G317:I317)</f>
        <v>0</v>
      </c>
      <c r="K317" s="347">
        <f>F317-J317</f>
        <v>0</v>
      </c>
      <c r="M317" s="335"/>
    </row>
    <row r="318" spans="1:13">
      <c r="A318" s="333">
        <v>23</v>
      </c>
      <c r="C318" s="511" t="str">
        <f>'FR-16(7)(v)-1 Functional'!C318</f>
        <v>RESERVED FOR FUTURE USE</v>
      </c>
      <c r="D318" s="344" t="str">
        <f>'FR-16(7)(v)-1 Functional'!D318</f>
        <v>D249</v>
      </c>
      <c r="E318" s="196"/>
      <c r="F318" s="479">
        <f>'FR-16(7)(v)-8 TOT CLASS Alloc'!I318</f>
        <v>0</v>
      </c>
      <c r="G318" s="548">
        <f>'FR-16(7)(v)-5 DISTR Dem Alloc'!I318</f>
        <v>0</v>
      </c>
      <c r="H318" s="539">
        <f>'FR-16(7)(v)-3 PROD Comm Alloc'!I318</f>
        <v>0</v>
      </c>
      <c r="I318" s="540">
        <f>'FR-16(7)(v)-6 DISTR Cust Alloc'!I318</f>
        <v>0</v>
      </c>
      <c r="J318" s="347">
        <f>SUM(G318:I318)</f>
        <v>0</v>
      </c>
      <c r="K318" s="347">
        <f>F318-J318</f>
        <v>0</v>
      </c>
      <c r="M318" s="335"/>
    </row>
    <row r="319" spans="1:13">
      <c r="A319" s="333">
        <v>24</v>
      </c>
      <c r="C319" s="332" t="str">
        <f>'FR-16(7)(v)-1 Functional'!C319</f>
        <v xml:space="preserve">  TOTAL MISC WORK CAPITAL</v>
      </c>
      <c r="D319" s="344"/>
      <c r="E319" s="196"/>
      <c r="F319" s="348">
        <f t="shared" ref="F319:K319" si="57">SUM(F315:F318)</f>
        <v>604825</v>
      </c>
      <c r="G319" s="549">
        <f t="shared" si="57"/>
        <v>0</v>
      </c>
      <c r="H319" s="541">
        <f t="shared" si="57"/>
        <v>604825</v>
      </c>
      <c r="I319" s="542">
        <f t="shared" si="57"/>
        <v>0</v>
      </c>
      <c r="J319" s="348">
        <f t="shared" si="57"/>
        <v>604825</v>
      </c>
      <c r="K319" s="348">
        <f t="shared" si="57"/>
        <v>0</v>
      </c>
    </row>
    <row r="320" spans="1:13">
      <c r="A320" s="333">
        <v>25</v>
      </c>
      <c r="D320" s="344"/>
      <c r="E320" s="196"/>
      <c r="G320" s="547"/>
      <c r="H320" s="537"/>
      <c r="I320" s="538"/>
    </row>
    <row r="321" spans="1:13">
      <c r="A321" s="333">
        <v>26</v>
      </c>
      <c r="B321" s="332" t="s">
        <v>39</v>
      </c>
      <c r="D321" s="344"/>
      <c r="E321" s="196"/>
      <c r="F321" s="347">
        <f t="shared" ref="F321:K321" si="58">F304+F310+F313+F319</f>
        <v>1117531</v>
      </c>
      <c r="G321" s="548">
        <f t="shared" si="58"/>
        <v>182351</v>
      </c>
      <c r="H321" s="539">
        <f t="shared" si="58"/>
        <v>913730</v>
      </c>
      <c r="I321" s="540">
        <f t="shared" si="58"/>
        <v>21450</v>
      </c>
      <c r="J321" s="347">
        <f t="shared" si="58"/>
        <v>1117531</v>
      </c>
      <c r="K321" s="347">
        <f t="shared" si="58"/>
        <v>0</v>
      </c>
    </row>
    <row r="322" spans="1:13">
      <c r="A322" s="333">
        <v>27</v>
      </c>
      <c r="B322" s="332" t="s">
        <v>40</v>
      </c>
      <c r="D322" s="344"/>
      <c r="E322" s="196"/>
      <c r="G322" s="547"/>
      <c r="H322" s="537"/>
      <c r="I322" s="538"/>
    </row>
    <row r="323" spans="1:13">
      <c r="A323" s="333">
        <v>28</v>
      </c>
      <c r="C323" s="332" t="str">
        <f>'FR-16(7)(v)-1 Functional'!C323</f>
        <v>TOTAL ACCUMULATED DEFERRED INCOME TAXES</v>
      </c>
      <c r="D323" s="344"/>
      <c r="E323" s="196"/>
      <c r="F323" s="347">
        <f t="shared" ref="F323:K323" si="59">-F238</f>
        <v>-5848167</v>
      </c>
      <c r="G323" s="548">
        <f t="shared" si="59"/>
        <v>-5307015</v>
      </c>
      <c r="H323" s="539">
        <f t="shared" si="59"/>
        <v>-326712</v>
      </c>
      <c r="I323" s="540">
        <f t="shared" si="59"/>
        <v>-214440</v>
      </c>
      <c r="J323" s="347">
        <f t="shared" si="59"/>
        <v>-5848167</v>
      </c>
      <c r="K323" s="347">
        <f t="shared" si="59"/>
        <v>0</v>
      </c>
      <c r="M323" s="335"/>
    </row>
    <row r="324" spans="1:13">
      <c r="A324" s="333">
        <v>29</v>
      </c>
      <c r="C324" s="332" t="str">
        <f>'FR-16(7)(v)-1 Functional'!C324</f>
        <v>TOTAL OTHER ACCUMULATED DEFERRED INCOME TAXES</v>
      </c>
      <c r="D324" s="344"/>
      <c r="E324" s="196"/>
      <c r="F324" s="347">
        <f t="shared" ref="F324:K324" si="60">F283</f>
        <v>217458</v>
      </c>
      <c r="G324" s="548">
        <f t="shared" si="60"/>
        <v>34824</v>
      </c>
      <c r="H324" s="539">
        <f t="shared" si="60"/>
        <v>175386</v>
      </c>
      <c r="I324" s="540">
        <f t="shared" si="60"/>
        <v>7248</v>
      </c>
      <c r="J324" s="347">
        <f t="shared" si="60"/>
        <v>217458</v>
      </c>
      <c r="K324" s="347">
        <f t="shared" si="60"/>
        <v>0</v>
      </c>
      <c r="M324" s="335"/>
    </row>
    <row r="325" spans="1:13">
      <c r="A325" s="333">
        <v>30</v>
      </c>
      <c r="C325" s="359" t="str">
        <f>'FR-16(7)(v)-1 Functional'!C325</f>
        <v>TOTAL WORKING CAPITAL</v>
      </c>
      <c r="D325" s="344"/>
      <c r="E325" s="196"/>
      <c r="F325" s="347">
        <f t="shared" ref="F325:K325" si="61">F321</f>
        <v>1117531</v>
      </c>
      <c r="G325" s="548">
        <f t="shared" si="61"/>
        <v>182351</v>
      </c>
      <c r="H325" s="539">
        <f t="shared" si="61"/>
        <v>913730</v>
      </c>
      <c r="I325" s="540">
        <f t="shared" si="61"/>
        <v>21450</v>
      </c>
      <c r="J325" s="347">
        <f t="shared" si="61"/>
        <v>1117531</v>
      </c>
      <c r="K325" s="347">
        <f t="shared" si="61"/>
        <v>0</v>
      </c>
      <c r="M325" s="335"/>
    </row>
    <row r="326" spans="1:13">
      <c r="A326" s="333">
        <v>31</v>
      </c>
      <c r="C326" s="332" t="str">
        <f>'FR-16(7)(v)-1 Functional'!C326</f>
        <v xml:space="preserve">  TOTAL RATE BASE ADJUSTMENTS</v>
      </c>
      <c r="D326" s="344"/>
      <c r="E326" s="196"/>
      <c r="F326" s="348">
        <f t="shared" ref="F326:K326" si="62">SUM(F322:F325)</f>
        <v>-4513178</v>
      </c>
      <c r="G326" s="549">
        <f t="shared" si="62"/>
        <v>-5089840</v>
      </c>
      <c r="H326" s="541">
        <f t="shared" si="62"/>
        <v>762404</v>
      </c>
      <c r="I326" s="542">
        <f t="shared" si="62"/>
        <v>-185742</v>
      </c>
      <c r="J326" s="348">
        <f>SUM(J322:J325)</f>
        <v>-4513178</v>
      </c>
      <c r="K326" s="348">
        <f t="shared" si="62"/>
        <v>0</v>
      </c>
    </row>
    <row r="327" spans="1:13">
      <c r="A327" s="333">
        <v>32</v>
      </c>
      <c r="D327" s="344"/>
      <c r="E327" s="196"/>
      <c r="G327" s="547"/>
      <c r="H327" s="537"/>
      <c r="I327" s="538"/>
    </row>
    <row r="328" spans="1:13">
      <c r="A328" s="333">
        <v>33</v>
      </c>
      <c r="B328" s="332" t="s">
        <v>41</v>
      </c>
      <c r="D328" s="344"/>
      <c r="E328" s="196"/>
      <c r="G328" s="547"/>
      <c r="H328" s="537"/>
      <c r="I328" s="538"/>
    </row>
    <row r="329" spans="1:13">
      <c r="A329" s="333">
        <v>34</v>
      </c>
      <c r="C329" s="332" t="str">
        <f>'FR-16(7)(v)-1 Functional'!C329</f>
        <v>NET GAS PLANT IN SERVICE</v>
      </c>
      <c r="D329" s="344"/>
      <c r="E329" s="196"/>
      <c r="F329" s="347">
        <f t="shared" ref="F329:K329" si="63">F191</f>
        <v>24586310</v>
      </c>
      <c r="G329" s="548">
        <f t="shared" si="63"/>
        <v>23427061</v>
      </c>
      <c r="H329" s="539">
        <f t="shared" si="63"/>
        <v>495082</v>
      </c>
      <c r="I329" s="540">
        <f t="shared" si="63"/>
        <v>664167</v>
      </c>
      <c r="J329" s="347">
        <f t="shared" si="63"/>
        <v>24586310</v>
      </c>
      <c r="K329" s="347">
        <f t="shared" si="63"/>
        <v>0</v>
      </c>
    </row>
    <row r="330" spans="1:13">
      <c r="A330" s="333">
        <v>35</v>
      </c>
      <c r="C330" s="359" t="str">
        <f>'FR-16(7)(v)-1 Functional'!C330</f>
        <v>TOTAL RATE BASE ADJUSTMENTS</v>
      </c>
      <c r="D330" s="344"/>
      <c r="E330" s="196"/>
      <c r="F330" s="347">
        <f t="shared" ref="F330:K330" si="64">F326</f>
        <v>-4513178</v>
      </c>
      <c r="G330" s="548">
        <f t="shared" si="64"/>
        <v>-5089840</v>
      </c>
      <c r="H330" s="539">
        <f t="shared" si="64"/>
        <v>762404</v>
      </c>
      <c r="I330" s="540">
        <f t="shared" si="64"/>
        <v>-185742</v>
      </c>
      <c r="J330" s="347">
        <f t="shared" si="64"/>
        <v>-4513178</v>
      </c>
      <c r="K330" s="347">
        <f t="shared" si="64"/>
        <v>0</v>
      </c>
    </row>
    <row r="331" spans="1:13">
      <c r="A331" s="333">
        <v>36</v>
      </c>
      <c r="C331" s="332" t="str">
        <f>'FR-16(7)(v)-1 Functional'!C331</f>
        <v xml:space="preserve">  TOTAL RATE BASE</v>
      </c>
      <c r="D331" s="344"/>
      <c r="E331" s="196"/>
      <c r="F331" s="348">
        <f t="shared" ref="F331:K331" si="65">SUM(F328:F330)</f>
        <v>20073132</v>
      </c>
      <c r="G331" s="549">
        <f t="shared" si="65"/>
        <v>18337221</v>
      </c>
      <c r="H331" s="541">
        <f t="shared" si="65"/>
        <v>1257486</v>
      </c>
      <c r="I331" s="542">
        <f t="shared" si="65"/>
        <v>478425</v>
      </c>
      <c r="J331" s="348">
        <f t="shared" si="65"/>
        <v>20073132</v>
      </c>
      <c r="K331" s="348">
        <f t="shared" si="65"/>
        <v>0</v>
      </c>
    </row>
    <row r="332" spans="1:13">
      <c r="A332" s="333">
        <v>37</v>
      </c>
      <c r="D332" s="344"/>
      <c r="E332" s="196"/>
      <c r="G332" s="547"/>
      <c r="H332" s="537"/>
      <c r="I332" s="538"/>
    </row>
    <row r="333" spans="1:13">
      <c r="A333" s="333">
        <v>38</v>
      </c>
      <c r="B333" s="332" t="s">
        <v>42</v>
      </c>
      <c r="D333" s="344"/>
      <c r="E333" s="196"/>
      <c r="F333" s="350">
        <f>$F$688</f>
        <v>7.1809999999999999E-2</v>
      </c>
      <c r="G333" s="1278">
        <f>F688</f>
        <v>7.1809999999999999E-2</v>
      </c>
      <c r="H333" s="1279">
        <f>F688</f>
        <v>7.1809999999999999E-2</v>
      </c>
      <c r="I333" s="1280">
        <f>F688</f>
        <v>7.1809999999999999E-2</v>
      </c>
      <c r="J333" s="350">
        <f>F688</f>
        <v>7.1809999999999999E-2</v>
      </c>
      <c r="K333" s="350">
        <f>'FR-16(7)(v)-1 Functional'!F688</f>
        <v>7.1809999999999999E-2</v>
      </c>
    </row>
    <row r="334" spans="1:13">
      <c r="A334" s="333">
        <v>39</v>
      </c>
      <c r="B334" s="332" t="s">
        <v>43</v>
      </c>
      <c r="D334" s="344"/>
      <c r="E334" s="196"/>
      <c r="F334" s="347">
        <f>ROUND(F333*F331,0)</f>
        <v>1441452</v>
      </c>
      <c r="G334" s="554">
        <f>ROUND(G331*G333,0)</f>
        <v>1316796</v>
      </c>
      <c r="H334" s="555">
        <f>ROUND(H331*H333,0)</f>
        <v>90300</v>
      </c>
      <c r="I334" s="556">
        <f>ROUND(I331*I333,0)</f>
        <v>34356</v>
      </c>
      <c r="J334" s="347">
        <f>SUM(G334:I334)</f>
        <v>1441452</v>
      </c>
      <c r="K334" s="347">
        <f>ROUND(K331*K333,0)</f>
        <v>0</v>
      </c>
    </row>
    <row r="335" spans="1:13">
      <c r="B335" s="343"/>
      <c r="C335" s="196"/>
      <c r="D335" s="344"/>
      <c r="E335" s="196"/>
      <c r="F335" s="196"/>
      <c r="G335" s="196"/>
      <c r="H335" s="196"/>
      <c r="I335" s="196"/>
      <c r="J335" s="196"/>
      <c r="K335" s="196"/>
    </row>
    <row r="336" spans="1:13">
      <c r="A336" s="343" t="str">
        <f>co_name</f>
        <v>DUKE ENERGY KENTUCKY, INC.</v>
      </c>
      <c r="C336" s="196"/>
      <c r="D336" s="344"/>
      <c r="E336" s="196"/>
      <c r="F336" s="196"/>
      <c r="G336" s="196"/>
      <c r="H336" s="196"/>
      <c r="I336" s="196"/>
      <c r="J336" s="196" t="str">
        <f>$J$1</f>
        <v>FR-16(7)(v)-11</v>
      </c>
      <c r="K336" s="196"/>
    </row>
    <row r="337" spans="1:11">
      <c r="A337" s="343" t="str">
        <f>$A$2</f>
        <v>FT-L CLASSIFIED - GAS COST OF SERVICE</v>
      </c>
      <c r="C337" s="196"/>
      <c r="D337" s="344"/>
      <c r="E337" s="196"/>
      <c r="F337" s="196"/>
      <c r="G337" s="196"/>
      <c r="H337" s="196"/>
      <c r="I337" s="196"/>
      <c r="J337" s="196" t="str">
        <f>$J$2</f>
        <v>WITNESS RESPONSIBLE:</v>
      </c>
      <c r="K337" s="196"/>
    </row>
    <row r="338" spans="1:11">
      <c r="A338" s="343" t="str">
        <f>case_name</f>
        <v>CASE NO: 2018-00261</v>
      </c>
      <c r="C338" s="196"/>
      <c r="D338" s="344"/>
      <c r="E338" s="196"/>
      <c r="F338" s="196"/>
      <c r="G338" s="196"/>
      <c r="H338" s="196"/>
      <c r="I338" s="196"/>
      <c r="J338" s="196" t="str">
        <f>Witness</f>
        <v>JAMES E. ZIOLKOWSKI</v>
      </c>
      <c r="K338" s="196"/>
    </row>
    <row r="339" spans="1:11">
      <c r="A339" s="343" t="str">
        <f>data_filing</f>
        <v>DATA: 12 MONTH FORECASTED PERIOD</v>
      </c>
      <c r="C339" s="196"/>
      <c r="D339" s="344"/>
      <c r="E339" s="196"/>
      <c r="F339" s="196"/>
      <c r="G339" s="196"/>
      <c r="H339" s="196"/>
      <c r="I339" s="196"/>
      <c r="J339" s="196" t="str">
        <f>"PAGE "&amp;Pages2-7&amp;" OF "&amp;Pages2</f>
        <v>PAGE 8 OF 15</v>
      </c>
      <c r="K339" s="196"/>
    </row>
    <row r="340" spans="1:11">
      <c r="A340" s="343" t="str">
        <f>type</f>
        <v xml:space="preserve">TYPE OF FILING: "X" ORIGINAL   UPDATED    REVISED  </v>
      </c>
      <c r="C340" s="196"/>
      <c r="D340" s="344"/>
      <c r="E340" s="196"/>
      <c r="F340" s="196"/>
      <c r="G340" s="196"/>
      <c r="H340" s="196"/>
      <c r="I340" s="196"/>
      <c r="J340" s="196"/>
      <c r="K340" s="196"/>
    </row>
    <row r="341" spans="1:11">
      <c r="B341" s="343"/>
      <c r="C341" s="196"/>
      <c r="D341" s="344"/>
      <c r="E341" s="196"/>
      <c r="F341" s="196"/>
      <c r="G341" s="196"/>
      <c r="H341" s="196"/>
      <c r="I341" s="196"/>
      <c r="J341" s="196"/>
      <c r="K341" s="196"/>
    </row>
    <row r="342" spans="1:11">
      <c r="B342" s="343"/>
      <c r="C342" s="196"/>
      <c r="D342" s="344"/>
      <c r="E342" s="196"/>
      <c r="F342" s="196"/>
      <c r="G342" s="196"/>
      <c r="H342" s="196"/>
      <c r="I342" s="196"/>
      <c r="J342" s="196"/>
      <c r="K342" s="196"/>
    </row>
    <row r="343" spans="1:11">
      <c r="A343" s="344" t="s">
        <v>914</v>
      </c>
      <c r="B343" s="196"/>
      <c r="C343" s="196"/>
      <c r="D343" s="344"/>
      <c r="E343" s="196"/>
      <c r="F343" s="344" t="s">
        <v>229</v>
      </c>
      <c r="G343" s="545" t="s">
        <v>1005</v>
      </c>
      <c r="H343" s="533"/>
      <c r="I343" s="534"/>
      <c r="J343" s="344" t="s">
        <v>229</v>
      </c>
      <c r="K343" s="344" t="s">
        <v>342</v>
      </c>
    </row>
    <row r="344" spans="1:11">
      <c r="A344" s="346" t="s">
        <v>915</v>
      </c>
      <c r="B344" s="345" t="s">
        <v>44</v>
      </c>
      <c r="C344" s="345"/>
      <c r="D344" s="346" t="s">
        <v>337</v>
      </c>
      <c r="E344" s="345"/>
      <c r="F344" s="346" t="str">
        <f>$F$9</f>
        <v>FT-L</v>
      </c>
      <c r="G344" s="546" t="s">
        <v>847</v>
      </c>
      <c r="H344" s="535" t="s">
        <v>848</v>
      </c>
      <c r="I344" s="536" t="s">
        <v>849</v>
      </c>
      <c r="J344" s="346" t="s">
        <v>341</v>
      </c>
      <c r="K344" s="346" t="s">
        <v>340</v>
      </c>
    </row>
    <row r="345" spans="1:11">
      <c r="C345" s="578" t="s">
        <v>348</v>
      </c>
      <c r="D345" s="344"/>
      <c r="E345" s="196"/>
      <c r="G345" s="800">
        <f>$G$10</f>
        <v>3</v>
      </c>
      <c r="H345" s="801">
        <f>$H$10</f>
        <v>4</v>
      </c>
      <c r="I345" s="802">
        <f>$I$10</f>
        <v>5</v>
      </c>
    </row>
    <row r="346" spans="1:11">
      <c r="A346" s="333">
        <v>1</v>
      </c>
      <c r="B346" s="332" t="s">
        <v>45</v>
      </c>
      <c r="D346" s="344"/>
      <c r="E346" s="196"/>
      <c r="G346" s="547"/>
      <c r="H346" s="537"/>
      <c r="I346" s="538"/>
    </row>
    <row r="347" spans="1:11">
      <c r="A347" s="333">
        <v>2</v>
      </c>
      <c r="B347" s="332" t="s">
        <v>46</v>
      </c>
      <c r="D347" s="344"/>
      <c r="E347" s="196"/>
      <c r="G347" s="547"/>
      <c r="H347" s="537"/>
      <c r="I347" s="538"/>
    </row>
    <row r="348" spans="1:11">
      <c r="A348" s="333">
        <v>3</v>
      </c>
      <c r="C348" s="332" t="str">
        <f>'FR-16(7)(v)-1 Functional'!C348</f>
        <v>ANNUALIZED GAS COST</v>
      </c>
      <c r="D348" s="344" t="str">
        <f>'FR-16(7)(v)-1 Functional'!D348</f>
        <v>K301</v>
      </c>
      <c r="E348" s="196"/>
      <c r="F348" s="479">
        <f>'FR-16(7)(v)-8 TOT CLASS Alloc'!I348</f>
        <v>7427052</v>
      </c>
      <c r="G348" s="548">
        <f>'FR-16(7)(v)-5 DISTR Dem Alloc'!I348</f>
        <v>0</v>
      </c>
      <c r="H348" s="539">
        <f>'FR-16(7)(v)-3 PROD Comm Alloc'!I348</f>
        <v>7427052</v>
      </c>
      <c r="I348" s="540">
        <f>'FR-16(7)(v)-6 DISTR Cust Alloc'!I348</f>
        <v>0</v>
      </c>
      <c r="J348" s="347">
        <f>SUM(G348:I348)</f>
        <v>7427052</v>
      </c>
      <c r="K348" s="347">
        <f>F348-J348</f>
        <v>0</v>
      </c>
    </row>
    <row r="349" spans="1:11">
      <c r="A349" s="333">
        <v>4</v>
      </c>
      <c r="C349" s="359" t="str">
        <f>'FR-16(7)(v)-1 Functional'!C349</f>
        <v>OTHER ASSOCIATED COST</v>
      </c>
      <c r="D349" s="344" t="str">
        <f>'FR-16(7)(v)-1 Functional'!D349</f>
        <v>K300</v>
      </c>
      <c r="E349" s="196"/>
      <c r="F349" s="479">
        <f>'FR-16(7)(v)-8 TOT CLASS Alloc'!I349</f>
        <v>173319</v>
      </c>
      <c r="G349" s="548">
        <f>'FR-16(7)(v)-5 DISTR Dem Alloc'!I349</f>
        <v>0</v>
      </c>
      <c r="H349" s="539">
        <f>'FR-16(7)(v)-3 PROD Comm Alloc'!I349</f>
        <v>173319</v>
      </c>
      <c r="I349" s="540">
        <f>'FR-16(7)(v)-6 DISTR Cust Alloc'!I349</f>
        <v>0</v>
      </c>
      <c r="J349" s="347">
        <f>SUM(G349:I349)</f>
        <v>173319</v>
      </c>
      <c r="K349" s="347">
        <f>F349-J349</f>
        <v>0</v>
      </c>
    </row>
    <row r="350" spans="1:11">
      <c r="A350" s="333">
        <v>5</v>
      </c>
      <c r="C350" s="332" t="str">
        <f>'FR-16(7)(v)-1 Functional'!C350</f>
        <v xml:space="preserve">  TOTAL COMMODITY RELATED</v>
      </c>
      <c r="D350" s="344"/>
      <c r="E350" s="196"/>
      <c r="F350" s="348">
        <f t="shared" ref="F350:K350" si="66">SUM(F348:F349)</f>
        <v>7600371</v>
      </c>
      <c r="G350" s="549">
        <f t="shared" si="66"/>
        <v>0</v>
      </c>
      <c r="H350" s="541">
        <f t="shared" si="66"/>
        <v>7600371</v>
      </c>
      <c r="I350" s="542">
        <f t="shared" si="66"/>
        <v>0</v>
      </c>
      <c r="J350" s="348">
        <f t="shared" si="66"/>
        <v>7600371</v>
      </c>
      <c r="K350" s="348">
        <f t="shared" si="66"/>
        <v>0</v>
      </c>
    </row>
    <row r="351" spans="1:11">
      <c r="A351" s="333">
        <v>6</v>
      </c>
      <c r="D351" s="344"/>
      <c r="E351" s="196"/>
      <c r="G351" s="547"/>
      <c r="H351" s="537"/>
      <c r="I351" s="538"/>
    </row>
    <row r="352" spans="1:11">
      <c r="A352" s="333">
        <v>7</v>
      </c>
      <c r="B352" s="359" t="s">
        <v>47</v>
      </c>
      <c r="C352" s="359"/>
      <c r="D352" s="344"/>
      <c r="E352" s="196"/>
      <c r="F352" s="347"/>
      <c r="G352" s="548"/>
      <c r="H352" s="539"/>
      <c r="I352" s="540"/>
      <c r="J352" s="347"/>
      <c r="K352" s="347"/>
    </row>
    <row r="353" spans="1:11">
      <c r="A353" s="333">
        <v>8</v>
      </c>
      <c r="C353" s="332" t="str">
        <f>'FR-16(7)(v)-1 Functional'!C353</f>
        <v>ANNUALIZED GAS COST - DEMAND</v>
      </c>
      <c r="D353" s="344" t="s">
        <v>290</v>
      </c>
      <c r="E353" s="196"/>
      <c r="F353" s="479">
        <f>'FR-16(7)(v)-8 TOT CLASS Alloc'!I353</f>
        <v>0</v>
      </c>
      <c r="G353" s="548">
        <f>'FR-16(7)(v)-5 DISTR Dem Alloc'!I353</f>
        <v>0</v>
      </c>
      <c r="H353" s="539">
        <f>'FR-16(7)(v)-3 PROD Comm Alloc'!I353</f>
        <v>0</v>
      </c>
      <c r="I353" s="540">
        <f>'FR-16(7)(v)-6 DISTR Cust Alloc'!I353</f>
        <v>0</v>
      </c>
      <c r="J353" s="347">
        <f>SUM(G353:I353)</f>
        <v>0</v>
      </c>
      <c r="K353" s="347">
        <f>F353-J353</f>
        <v>0</v>
      </c>
    </row>
    <row r="354" spans="1:11">
      <c r="A354" s="333">
        <v>9</v>
      </c>
      <c r="C354" s="332" t="str">
        <f>'FR-16(7)(v)-1 Functional'!C354</f>
        <v xml:space="preserve">  TOTAL DEMAND RELATED</v>
      </c>
      <c r="D354" s="344"/>
      <c r="E354" s="196"/>
      <c r="F354" s="348">
        <f t="shared" ref="F354:K354" si="67">SUM(F352:F353)</f>
        <v>0</v>
      </c>
      <c r="G354" s="549">
        <f t="shared" si="67"/>
        <v>0</v>
      </c>
      <c r="H354" s="541">
        <f t="shared" si="67"/>
        <v>0</v>
      </c>
      <c r="I354" s="542">
        <f t="shared" si="67"/>
        <v>0</v>
      </c>
      <c r="J354" s="348">
        <f t="shared" si="67"/>
        <v>0</v>
      </c>
      <c r="K354" s="348">
        <f t="shared" si="67"/>
        <v>0</v>
      </c>
    </row>
    <row r="355" spans="1:11">
      <c r="A355" s="333">
        <v>10</v>
      </c>
      <c r="D355" s="344"/>
      <c r="E355" s="196"/>
      <c r="G355" s="547"/>
      <c r="H355" s="537"/>
      <c r="I355" s="538"/>
    </row>
    <row r="356" spans="1:11">
      <c r="A356" s="333">
        <v>11</v>
      </c>
      <c r="B356" s="332" t="s">
        <v>1010</v>
      </c>
      <c r="D356" s="344"/>
      <c r="E356" s="196"/>
      <c r="G356" s="547"/>
      <c r="H356" s="537"/>
      <c r="I356" s="538"/>
    </row>
    <row r="357" spans="1:11">
      <c r="A357" s="333">
        <v>12</v>
      </c>
      <c r="C357" s="359" t="str">
        <f>'FR-16(7)(v)-1 Functional'!C357</f>
        <v>PRODUCTION EXPENSES</v>
      </c>
      <c r="D357" s="344" t="str">
        <f>'FR-16(7)(v)-1 Functional'!D357</f>
        <v>K201</v>
      </c>
      <c r="E357" s="196"/>
      <c r="F357" s="479">
        <f>'FR-16(7)(v)-8 TOT CLASS Alloc'!I357</f>
        <v>0</v>
      </c>
      <c r="G357" s="548">
        <f>'FR-16(7)(v)-5 DISTR Dem Alloc'!I357</f>
        <v>0</v>
      </c>
      <c r="H357" s="539">
        <f>'FR-16(7)(v)-3 PROD Comm Alloc'!I357</f>
        <v>0</v>
      </c>
      <c r="I357" s="540">
        <f>'FR-16(7)(v)-6 DISTR Cust Alloc'!I357</f>
        <v>0</v>
      </c>
      <c r="J357" s="347">
        <f>SUM(G357:I357)</f>
        <v>0</v>
      </c>
      <c r="K357" s="347">
        <f>F357-J357</f>
        <v>0</v>
      </c>
    </row>
    <row r="358" spans="1:11">
      <c r="A358" s="333">
        <v>13</v>
      </c>
      <c r="C358" s="332" t="str">
        <f>'FR-16(7)(v)-1 Functional'!C358</f>
        <v xml:space="preserve">  TOTAL DEM REL &amp; OTH PROD O&amp;M </v>
      </c>
      <c r="D358" s="344"/>
      <c r="E358" s="196"/>
      <c r="F358" s="348">
        <f t="shared" ref="F358:K358" si="68">SUM(F356:F357)</f>
        <v>0</v>
      </c>
      <c r="G358" s="549">
        <f t="shared" si="68"/>
        <v>0</v>
      </c>
      <c r="H358" s="541">
        <f t="shared" si="68"/>
        <v>0</v>
      </c>
      <c r="I358" s="542">
        <f t="shared" si="68"/>
        <v>0</v>
      </c>
      <c r="J358" s="348">
        <f t="shared" si="68"/>
        <v>0</v>
      </c>
      <c r="K358" s="348">
        <f t="shared" si="68"/>
        <v>0</v>
      </c>
    </row>
    <row r="359" spans="1:11">
      <c r="A359" s="333">
        <v>14</v>
      </c>
      <c r="D359" s="344"/>
      <c r="E359" s="196"/>
      <c r="F359" s="347"/>
      <c r="G359" s="548"/>
      <c r="H359" s="539"/>
      <c r="I359" s="540"/>
      <c r="J359" s="347"/>
      <c r="K359" s="347"/>
    </row>
    <row r="360" spans="1:11">
      <c r="A360" s="333">
        <v>15</v>
      </c>
      <c r="B360" s="332" t="s">
        <v>48</v>
      </c>
      <c r="D360" s="344"/>
      <c r="E360" s="196" t="s">
        <v>343</v>
      </c>
      <c r="F360" s="347">
        <f t="shared" ref="F360:K360" si="69">F358+F354+F350</f>
        <v>7600371</v>
      </c>
      <c r="G360" s="548">
        <f t="shared" si="69"/>
        <v>0</v>
      </c>
      <c r="H360" s="539">
        <f t="shared" si="69"/>
        <v>7600371</v>
      </c>
      <c r="I360" s="540">
        <f t="shared" si="69"/>
        <v>0</v>
      </c>
      <c r="J360" s="347">
        <f t="shared" si="69"/>
        <v>7600371</v>
      </c>
      <c r="K360" s="347">
        <f t="shared" si="69"/>
        <v>0</v>
      </c>
    </row>
    <row r="361" spans="1:11">
      <c r="A361" s="333">
        <v>16</v>
      </c>
      <c r="D361" s="344"/>
      <c r="E361" s="196"/>
      <c r="G361" s="547"/>
      <c r="H361" s="537"/>
      <c r="I361" s="538"/>
    </row>
    <row r="362" spans="1:11">
      <c r="A362" s="333">
        <v>17</v>
      </c>
      <c r="B362" s="332" t="s">
        <v>49</v>
      </c>
      <c r="D362" s="344"/>
      <c r="E362" s="196"/>
      <c r="G362" s="547"/>
      <c r="H362" s="537"/>
      <c r="I362" s="538"/>
    </row>
    <row r="363" spans="1:11">
      <c r="A363" s="333">
        <v>18</v>
      </c>
      <c r="C363" s="359" t="str">
        <f>'FR-16(7)(v)-1 Functional'!C363</f>
        <v>TRANSMISSION O &amp; M</v>
      </c>
      <c r="D363" s="344" t="s">
        <v>343</v>
      </c>
      <c r="E363" s="196"/>
      <c r="F363" s="477"/>
      <c r="G363" s="548"/>
      <c r="H363" s="539"/>
      <c r="I363" s="540"/>
      <c r="J363" s="347"/>
      <c r="K363" s="347"/>
    </row>
    <row r="364" spans="1:11">
      <c r="A364" s="333">
        <v>19</v>
      </c>
      <c r="C364" s="332" t="str">
        <f>'FR-16(7)(v)-1 Functional'!C364</f>
        <v xml:space="preserve">  TOTAL TRANSMISSION O &amp; M</v>
      </c>
      <c r="D364" s="344"/>
      <c r="E364" s="196"/>
      <c r="F364" s="348">
        <f t="shared" ref="F364:K364" si="70">SUM(F363)</f>
        <v>0</v>
      </c>
      <c r="G364" s="549">
        <f t="shared" si="70"/>
        <v>0</v>
      </c>
      <c r="H364" s="541">
        <f t="shared" si="70"/>
        <v>0</v>
      </c>
      <c r="I364" s="542">
        <f t="shared" si="70"/>
        <v>0</v>
      </c>
      <c r="J364" s="348">
        <f t="shared" si="70"/>
        <v>0</v>
      </c>
      <c r="K364" s="348">
        <f t="shared" si="70"/>
        <v>0</v>
      </c>
    </row>
    <row r="365" spans="1:11">
      <c r="A365" s="333">
        <v>20</v>
      </c>
      <c r="D365" s="344"/>
      <c r="E365" s="196"/>
      <c r="G365" s="547"/>
      <c r="H365" s="537"/>
      <c r="I365" s="538"/>
    </row>
    <row r="366" spans="1:11">
      <c r="A366" s="333">
        <v>21</v>
      </c>
      <c r="B366" s="332" t="s">
        <v>50</v>
      </c>
      <c r="D366" s="344"/>
      <c r="E366" s="196"/>
      <c r="G366" s="547"/>
      <c r="H366" s="537"/>
      <c r="I366" s="538"/>
    </row>
    <row r="367" spans="1:11">
      <c r="A367" s="333">
        <v>22</v>
      </c>
      <c r="C367" s="332" t="str">
        <f>'FR-16(7)(v)-1 Functional'!C367</f>
        <v>LOAD DISPATCHING</v>
      </c>
      <c r="D367" s="344" t="str">
        <f>'FR-16(7)(v)-1 Functional'!D367</f>
        <v>K203</v>
      </c>
      <c r="E367" s="196"/>
      <c r="F367" s="479">
        <f>'FR-16(7)(v)-8 TOT CLASS Alloc'!I367</f>
        <v>20225</v>
      </c>
      <c r="G367" s="548">
        <f>'FR-16(7)(v)-5 DISTR Dem Alloc'!I367</f>
        <v>20225</v>
      </c>
      <c r="H367" s="539">
        <f>'FR-16(7)(v)-3 PROD Comm Alloc'!I367</f>
        <v>0</v>
      </c>
      <c r="I367" s="540">
        <f>'FR-16(7)(v)-6 DISTR Cust Alloc'!I367</f>
        <v>0</v>
      </c>
      <c r="J367" s="347">
        <f t="shared" ref="J367:J377" si="71">SUM(G367:I367)</f>
        <v>20225</v>
      </c>
      <c r="K367" s="347">
        <f t="shared" ref="K367:K377" si="72">F367-J367</f>
        <v>0</v>
      </c>
    </row>
    <row r="368" spans="1:11">
      <c r="A368" s="333">
        <v>23</v>
      </c>
      <c r="C368" s="332" t="str">
        <f>'FR-16(7)(v)-1 Functional'!C368</f>
        <v>MAINS &amp; SERVICES OPER</v>
      </c>
      <c r="D368" s="344" t="str">
        <f>'FR-16(7)(v)-1 Functional'!D368</f>
        <v>K667</v>
      </c>
      <c r="E368" s="196"/>
      <c r="F368" s="479">
        <f>'FR-16(7)(v)-8 TOT CLASS Alloc'!I368</f>
        <v>146971</v>
      </c>
      <c r="G368" s="548">
        <f>'FR-16(7)(v)-5 DISTR Dem Alloc'!I368</f>
        <v>144336</v>
      </c>
      <c r="H368" s="539">
        <f>'FR-16(7)(v)-3 PROD Comm Alloc'!I368</f>
        <v>0</v>
      </c>
      <c r="I368" s="540">
        <f>'FR-16(7)(v)-6 DISTR Cust Alloc'!I368</f>
        <v>2635</v>
      </c>
      <c r="J368" s="347">
        <f t="shared" si="71"/>
        <v>146971</v>
      </c>
      <c r="K368" s="347">
        <f t="shared" si="72"/>
        <v>0</v>
      </c>
    </row>
    <row r="369" spans="1:11">
      <c r="A369" s="333">
        <v>24</v>
      </c>
      <c r="C369" s="332" t="str">
        <f>'FR-16(7)(v)-1 Functional'!C369</f>
        <v>M &amp; R STATION GENERAL</v>
      </c>
      <c r="D369" s="344" t="str">
        <f>'FR-16(7)(v)-1 Functional'!D369</f>
        <v>K203</v>
      </c>
      <c r="E369" s="196"/>
      <c r="F369" s="479">
        <f>'FR-16(7)(v)-8 TOT CLASS Alloc'!I369</f>
        <v>7223</v>
      </c>
      <c r="G369" s="548">
        <f>'FR-16(7)(v)-5 DISTR Dem Alloc'!I369</f>
        <v>7223</v>
      </c>
      <c r="H369" s="539">
        <f>'FR-16(7)(v)-3 PROD Comm Alloc'!I369</f>
        <v>0</v>
      </c>
      <c r="I369" s="540">
        <f>'FR-16(7)(v)-6 DISTR Cust Alloc'!I369</f>
        <v>0</v>
      </c>
      <c r="J369" s="347">
        <f t="shared" si="71"/>
        <v>7223</v>
      </c>
      <c r="K369" s="347">
        <f t="shared" si="72"/>
        <v>0</v>
      </c>
    </row>
    <row r="370" spans="1:11">
      <c r="A370" s="333">
        <v>25</v>
      </c>
      <c r="C370" s="332" t="str">
        <f>'FR-16(7)(v)-1 Functional'!C370</f>
        <v>CUSTOMER INST &amp; OTHER</v>
      </c>
      <c r="D370" s="344" t="str">
        <f>'FR-16(7)(v)-1 Functional'!D370</f>
        <v>K415</v>
      </c>
      <c r="E370" s="196"/>
      <c r="F370" s="479">
        <f>'FR-16(7)(v)-8 TOT CLASS Alloc'!I370</f>
        <v>124598</v>
      </c>
      <c r="G370" s="548">
        <f>'FR-16(7)(v)-5 DISTR Dem Alloc'!I370</f>
        <v>104662</v>
      </c>
      <c r="H370" s="539">
        <f>'FR-16(7)(v)-3 PROD Comm Alloc'!I370</f>
        <v>0</v>
      </c>
      <c r="I370" s="540">
        <f>'FR-16(7)(v)-6 DISTR Cust Alloc'!I370</f>
        <v>19936</v>
      </c>
      <c r="J370" s="347">
        <f t="shared" si="71"/>
        <v>124598</v>
      </c>
      <c r="K370" s="347">
        <f t="shared" si="72"/>
        <v>0</v>
      </c>
    </row>
    <row r="371" spans="1:11">
      <c r="A371" s="333">
        <v>26</v>
      </c>
      <c r="C371" s="332" t="str">
        <f>'FR-16(7)(v)-1 Functional'!C371</f>
        <v>METERS &amp; HOUSE REG</v>
      </c>
      <c r="D371" s="344" t="str">
        <f>'FR-16(7)(v)-1 Functional'!D371</f>
        <v>K697</v>
      </c>
      <c r="E371" s="196"/>
      <c r="F371" s="479">
        <f>'FR-16(7)(v)-8 TOT CLASS Alloc'!I371</f>
        <v>20903</v>
      </c>
      <c r="G371" s="548">
        <f>'FR-16(7)(v)-5 DISTR Dem Alloc'!I371</f>
        <v>0</v>
      </c>
      <c r="H371" s="539">
        <f>'FR-16(7)(v)-3 PROD Comm Alloc'!I371</f>
        <v>0</v>
      </c>
      <c r="I371" s="540">
        <f>'FR-16(7)(v)-6 DISTR Cust Alloc'!I371</f>
        <v>20903</v>
      </c>
      <c r="J371" s="347">
        <f t="shared" si="71"/>
        <v>20903</v>
      </c>
      <c r="K371" s="347">
        <f t="shared" si="72"/>
        <v>0</v>
      </c>
    </row>
    <row r="372" spans="1:11">
      <c r="A372" s="333">
        <v>27</v>
      </c>
      <c r="C372" s="332" t="str">
        <f>'FR-16(7)(v)-1 Functional'!C372</f>
        <v>MAINS</v>
      </c>
      <c r="D372" s="344" t="str">
        <f>'FR-16(7)(v)-1 Functional'!D372</f>
        <v>K415</v>
      </c>
      <c r="E372" s="196"/>
      <c r="F372" s="479">
        <f>'FR-16(7)(v)-8 TOT CLASS Alloc'!I372</f>
        <v>198762</v>
      </c>
      <c r="G372" s="548">
        <f>'FR-16(7)(v)-5 DISTR Dem Alloc'!I372</f>
        <v>166960</v>
      </c>
      <c r="H372" s="539">
        <f>'FR-16(7)(v)-3 PROD Comm Alloc'!I372</f>
        <v>0</v>
      </c>
      <c r="I372" s="540">
        <f>'FR-16(7)(v)-6 DISTR Cust Alloc'!I372</f>
        <v>31802</v>
      </c>
      <c r="J372" s="347">
        <f t="shared" si="71"/>
        <v>198762</v>
      </c>
      <c r="K372" s="347">
        <f t="shared" si="72"/>
        <v>0</v>
      </c>
    </row>
    <row r="373" spans="1:11">
      <c r="A373" s="333">
        <v>28</v>
      </c>
      <c r="C373" s="332" t="str">
        <f>'FR-16(7)(v)-1 Functional'!C373</f>
        <v>SERVICES</v>
      </c>
      <c r="D373" s="344" t="str">
        <f>'FR-16(7)(v)-1 Functional'!D373</f>
        <v>K403</v>
      </c>
      <c r="E373" s="196"/>
      <c r="F373" s="479">
        <f>'FR-16(7)(v)-8 TOT CLASS Alloc'!I373</f>
        <v>1461</v>
      </c>
      <c r="G373" s="548">
        <f>'FR-16(7)(v)-5 DISTR Dem Alloc'!I373</f>
        <v>0</v>
      </c>
      <c r="H373" s="539">
        <f>'FR-16(7)(v)-3 PROD Comm Alloc'!I373</f>
        <v>0</v>
      </c>
      <c r="I373" s="540">
        <f>'FR-16(7)(v)-6 DISTR Cust Alloc'!I373</f>
        <v>1461</v>
      </c>
      <c r="J373" s="347">
        <f t="shared" si="71"/>
        <v>1461</v>
      </c>
      <c r="K373" s="347">
        <f t="shared" si="72"/>
        <v>0</v>
      </c>
    </row>
    <row r="374" spans="1:11">
      <c r="A374" s="333">
        <v>29</v>
      </c>
      <c r="C374" s="332" t="str">
        <f>'FR-16(7)(v)-1 Functional'!C374</f>
        <v>SUPV &amp; ENG</v>
      </c>
      <c r="D374" s="344" t="str">
        <f>'FR-16(7)(v)-1 Functional'!D374</f>
        <v>D249</v>
      </c>
      <c r="E374" s="196"/>
      <c r="F374" s="479">
        <f>'FR-16(7)(v)-8 TOT CLASS Alloc'!I374</f>
        <v>0</v>
      </c>
      <c r="G374" s="548">
        <f>'FR-16(7)(v)-5 DISTR Dem Alloc'!I374</f>
        <v>0</v>
      </c>
      <c r="H374" s="539">
        <f>'FR-16(7)(v)-3 PROD Comm Alloc'!I374</f>
        <v>0</v>
      </c>
      <c r="I374" s="540">
        <f>'FR-16(7)(v)-6 DISTR Cust Alloc'!I374</f>
        <v>0</v>
      </c>
      <c r="J374" s="347">
        <f t="shared" si="71"/>
        <v>0</v>
      </c>
      <c r="K374" s="347">
        <f t="shared" si="72"/>
        <v>0</v>
      </c>
    </row>
    <row r="375" spans="1:11">
      <c r="A375" s="333">
        <v>30</v>
      </c>
      <c r="C375" s="332" t="str">
        <f>'FR-16(7)(v)-1 Functional'!C375</f>
        <v>ELIMINATE NON-KY CUSTOMER</v>
      </c>
      <c r="D375" s="344" t="str">
        <f>'FR-16(7)(v)-1 Functional'!D375</f>
        <v>K595</v>
      </c>
      <c r="E375" s="196"/>
      <c r="F375" s="479">
        <f>'FR-16(7)(v)-8 TOT CLASS Alloc'!I375</f>
        <v>-59775</v>
      </c>
      <c r="G375" s="548">
        <f>'FR-16(7)(v)-5 DISTR Dem Alloc'!I375</f>
        <v>-59775</v>
      </c>
      <c r="H375" s="539">
        <f>'FR-16(7)(v)-3 PROD Comm Alloc'!I375</f>
        <v>0</v>
      </c>
      <c r="I375" s="540">
        <f>'FR-16(7)(v)-6 DISTR Cust Alloc'!I375</f>
        <v>0</v>
      </c>
      <c r="J375" s="347">
        <f t="shared" si="71"/>
        <v>-59775</v>
      </c>
      <c r="K375" s="347">
        <f t="shared" si="72"/>
        <v>0</v>
      </c>
    </row>
    <row r="376" spans="1:11">
      <c r="A376" s="333">
        <v>31</v>
      </c>
      <c r="C376" s="332" t="str">
        <f>'FR-16(7)(v)-1 Functional'!C376</f>
        <v>INTEGRITY MANAGEMENT EXPENSES</v>
      </c>
      <c r="D376" s="344" t="str">
        <f>'FR-16(7)(v)-1 Functional'!D376</f>
        <v>K203</v>
      </c>
      <c r="E376" s="196"/>
      <c r="F376" s="479">
        <f>'FR-16(7)(v)-8 TOT CLASS Alloc'!I376</f>
        <v>116277</v>
      </c>
      <c r="G376" s="548">
        <f>'FR-16(7)(v)-5 DISTR Dem Alloc'!I376</f>
        <v>116277</v>
      </c>
      <c r="H376" s="539">
        <f>'FR-16(7)(v)-3 PROD Comm Alloc'!I376</f>
        <v>0</v>
      </c>
      <c r="I376" s="540">
        <f>'FR-16(7)(v)-6 DISTR Cust Alloc'!I376</f>
        <v>0</v>
      </c>
      <c r="J376" s="347">
        <f t="shared" si="71"/>
        <v>116277</v>
      </c>
      <c r="K376" s="347">
        <f t="shared" si="72"/>
        <v>0</v>
      </c>
    </row>
    <row r="377" spans="1:11">
      <c r="A377" s="333">
        <v>32</v>
      </c>
      <c r="C377" s="359" t="str">
        <f>'FR-16(7)(v)-1 Functional'!C377</f>
        <v>OTHER DISTRIBUTION EXPENSES</v>
      </c>
      <c r="D377" s="344" t="str">
        <f>'FR-16(7)(v)-1 Functional'!D377</f>
        <v>K415</v>
      </c>
      <c r="E377" s="196"/>
      <c r="F377" s="479">
        <f>'FR-16(7)(v)-8 TOT CLASS Alloc'!I377</f>
        <v>225755</v>
      </c>
      <c r="G377" s="548">
        <f>'FR-16(7)(v)-5 DISTR Dem Alloc'!I377</f>
        <v>189634</v>
      </c>
      <c r="H377" s="539">
        <f>'FR-16(7)(v)-3 PROD Comm Alloc'!I377</f>
        <v>0</v>
      </c>
      <c r="I377" s="540">
        <f>'FR-16(7)(v)-6 DISTR Cust Alloc'!I377</f>
        <v>36121</v>
      </c>
      <c r="J377" s="347">
        <f t="shared" si="71"/>
        <v>225755</v>
      </c>
      <c r="K377" s="347">
        <f t="shared" si="72"/>
        <v>0</v>
      </c>
    </row>
    <row r="378" spans="1:11">
      <c r="A378" s="333">
        <v>33</v>
      </c>
      <c r="C378" s="332" t="str">
        <f>'FR-16(7)(v)-1 Functional'!C378</f>
        <v xml:space="preserve">  TOTAL DISTRIBUTION O &amp; M</v>
      </c>
      <c r="D378" s="344"/>
      <c r="E378" s="196" t="s">
        <v>343</v>
      </c>
      <c r="F378" s="348">
        <f t="shared" ref="F378:K378" si="73">SUM(F366:F377)</f>
        <v>802400</v>
      </c>
      <c r="G378" s="549">
        <f t="shared" si="73"/>
        <v>689542</v>
      </c>
      <c r="H378" s="541">
        <f t="shared" si="73"/>
        <v>0</v>
      </c>
      <c r="I378" s="542">
        <f t="shared" si="73"/>
        <v>112858</v>
      </c>
      <c r="J378" s="348">
        <f t="shared" si="73"/>
        <v>802400</v>
      </c>
      <c r="K378" s="348">
        <f t="shared" si="73"/>
        <v>0</v>
      </c>
    </row>
    <row r="379" spans="1:11">
      <c r="A379" s="333">
        <v>34</v>
      </c>
      <c r="C379" s="332" t="s">
        <v>343</v>
      </c>
      <c r="D379" s="344"/>
      <c r="E379" s="196"/>
      <c r="G379" s="547"/>
      <c r="H379" s="537"/>
      <c r="I379" s="538"/>
    </row>
    <row r="380" spans="1:11">
      <c r="A380" s="333">
        <v>35</v>
      </c>
      <c r="B380" s="332" t="s">
        <v>51</v>
      </c>
      <c r="D380" s="344"/>
      <c r="E380" s="196"/>
      <c r="F380" s="332" t="s">
        <v>343</v>
      </c>
      <c r="G380" s="547"/>
      <c r="H380" s="537"/>
      <c r="I380" s="538"/>
    </row>
    <row r="381" spans="1:11">
      <c r="A381" s="333">
        <v>36</v>
      </c>
      <c r="C381" s="332" t="str">
        <f>'FR-16(7)(v)-1 Functional'!C381</f>
        <v>SUPERVISION &amp; ENGINEERING</v>
      </c>
      <c r="D381" s="344" t="str">
        <f>'FR-16(7)(v)-1 Functional'!D381</f>
        <v>K405</v>
      </c>
      <c r="E381" s="196"/>
      <c r="F381" s="479">
        <f>'FR-16(7)(v)-8 TOT CLASS Alloc'!I381</f>
        <v>180</v>
      </c>
      <c r="G381" s="548">
        <f>'FR-16(7)(v)-5 DISTR Dem Alloc'!I381</f>
        <v>0</v>
      </c>
      <c r="H381" s="539">
        <f>'FR-16(7)(v)-3 PROD Comm Alloc'!I381</f>
        <v>0</v>
      </c>
      <c r="I381" s="540">
        <f>'FR-16(7)(v)-6 DISTR Cust Alloc'!I381</f>
        <v>180</v>
      </c>
      <c r="J381" s="347">
        <f t="shared" ref="J381:J388" si="74">SUM(G381:I381)</f>
        <v>180</v>
      </c>
      <c r="K381" s="347">
        <f t="shared" ref="K381:K388" si="75">F381-J381</f>
        <v>0</v>
      </c>
    </row>
    <row r="382" spans="1:11">
      <c r="A382" s="333">
        <v>37</v>
      </c>
      <c r="C382" s="332" t="str">
        <f>'FR-16(7)(v)-1 Functional'!C382</f>
        <v>METER READING</v>
      </c>
      <c r="D382" s="344" t="str">
        <f>'FR-16(7)(v)-1 Functional'!D382</f>
        <v>K405</v>
      </c>
      <c r="E382" s="196"/>
      <c r="F382" s="479">
        <f>'FR-16(7)(v)-8 TOT CLASS Alloc'!I382</f>
        <v>15</v>
      </c>
      <c r="G382" s="548">
        <f>'FR-16(7)(v)-5 DISTR Dem Alloc'!I382</f>
        <v>0</v>
      </c>
      <c r="H382" s="539">
        <f>'FR-16(7)(v)-3 PROD Comm Alloc'!I382</f>
        <v>0</v>
      </c>
      <c r="I382" s="540">
        <f>'FR-16(7)(v)-6 DISTR Cust Alloc'!I382</f>
        <v>15</v>
      </c>
      <c r="J382" s="347">
        <f t="shared" si="74"/>
        <v>15</v>
      </c>
      <c r="K382" s="347">
        <f t="shared" si="75"/>
        <v>0</v>
      </c>
    </row>
    <row r="383" spans="1:11">
      <c r="A383" s="333">
        <v>38</v>
      </c>
      <c r="C383" s="332" t="str">
        <f>'FR-16(7)(v)-1 Functional'!C383</f>
        <v>CUSTOMER BILLING &amp; COLLECTIONS</v>
      </c>
      <c r="D383" s="344" t="str">
        <f>'FR-16(7)(v)-1 Functional'!D383</f>
        <v>K405</v>
      </c>
      <c r="E383" s="196"/>
      <c r="F383" s="479">
        <f>'FR-16(7)(v)-8 TOT CLASS Alloc'!I383</f>
        <v>2518</v>
      </c>
      <c r="G383" s="548">
        <f>'FR-16(7)(v)-5 DISTR Dem Alloc'!I383</f>
        <v>0</v>
      </c>
      <c r="H383" s="539">
        <f>'FR-16(7)(v)-3 PROD Comm Alloc'!I383</f>
        <v>0</v>
      </c>
      <c r="I383" s="540">
        <f>'FR-16(7)(v)-6 DISTR Cust Alloc'!I383</f>
        <v>2518</v>
      </c>
      <c r="J383" s="347">
        <f t="shared" si="74"/>
        <v>2518</v>
      </c>
      <c r="K383" s="347">
        <f t="shared" si="75"/>
        <v>0</v>
      </c>
    </row>
    <row r="384" spans="1:11">
      <c r="A384" s="333">
        <v>39</v>
      </c>
      <c r="C384" s="332" t="str">
        <f>'FR-16(7)(v)-1 Functional'!C384</f>
        <v>UNCOLLECTIBLE EXP</v>
      </c>
      <c r="D384" s="344" t="str">
        <f>'FR-16(7)(v)-1 Functional'!D384</f>
        <v>K406</v>
      </c>
      <c r="E384" s="196"/>
      <c r="F384" s="479">
        <f>'FR-16(7)(v)-8 TOT CLASS Alloc'!I384</f>
        <v>-223</v>
      </c>
      <c r="G384" s="548">
        <f>'FR-16(7)(v)-5 DISTR Dem Alloc'!I384</f>
        <v>0</v>
      </c>
      <c r="H384" s="539">
        <f>'FR-16(7)(v)-3 PROD Comm Alloc'!I384</f>
        <v>0</v>
      </c>
      <c r="I384" s="540">
        <f>'FR-16(7)(v)-6 DISTR Cust Alloc'!I384</f>
        <v>-223</v>
      </c>
      <c r="J384" s="347">
        <f t="shared" si="74"/>
        <v>-223</v>
      </c>
      <c r="K384" s="347">
        <f t="shared" si="75"/>
        <v>0</v>
      </c>
    </row>
    <row r="385" spans="1:11">
      <c r="A385" s="333">
        <v>40</v>
      </c>
      <c r="C385" s="332" t="str">
        <f>'FR-16(7)(v)-1 Functional'!C385</f>
        <v>ELIMINATE MISC EXPENSES</v>
      </c>
      <c r="D385" s="344" t="str">
        <f>'FR-16(7)(v)-1 Functional'!D385</f>
        <v>K406</v>
      </c>
      <c r="E385" s="196"/>
      <c r="F385" s="479">
        <f>'FR-16(7)(v)-8 TOT CLASS Alloc'!I385</f>
        <v>0</v>
      </c>
      <c r="G385" s="548">
        <f>'FR-16(7)(v)-5 DISTR Dem Alloc'!I385</f>
        <v>0</v>
      </c>
      <c r="H385" s="539">
        <f>'FR-16(7)(v)-3 PROD Comm Alloc'!I385</f>
        <v>0</v>
      </c>
      <c r="I385" s="540">
        <f>'FR-16(7)(v)-6 DISTR Cust Alloc'!I385</f>
        <v>0</v>
      </c>
      <c r="J385" s="347">
        <f t="shared" si="74"/>
        <v>0</v>
      </c>
      <c r="K385" s="347">
        <f t="shared" si="75"/>
        <v>0</v>
      </c>
    </row>
    <row r="386" spans="1:11">
      <c r="A386" s="333">
        <v>41</v>
      </c>
      <c r="C386" s="332" t="str">
        <f>'FR-16(7)(v)-1 Functional'!C386</f>
        <v>SALE OF A/R</v>
      </c>
      <c r="D386" s="344" t="str">
        <f>'FR-16(7)(v)-1 Functional'!D386</f>
        <v>K406</v>
      </c>
      <c r="E386" s="196"/>
      <c r="F386" s="479">
        <f>'FR-16(7)(v)-8 TOT CLASS Alloc'!I386</f>
        <v>102</v>
      </c>
      <c r="G386" s="548">
        <f>'FR-16(7)(v)-5 DISTR Dem Alloc'!I386</f>
        <v>0</v>
      </c>
      <c r="H386" s="539">
        <f>'FR-16(7)(v)-3 PROD Comm Alloc'!I386</f>
        <v>0</v>
      </c>
      <c r="I386" s="540">
        <f>'FR-16(7)(v)-6 DISTR Cust Alloc'!I386</f>
        <v>102</v>
      </c>
      <c r="J386" s="347">
        <f t="shared" si="74"/>
        <v>102</v>
      </c>
      <c r="K386" s="347">
        <f t="shared" si="75"/>
        <v>0</v>
      </c>
    </row>
    <row r="387" spans="1:11">
      <c r="A387" s="333">
        <v>42</v>
      </c>
      <c r="C387" s="332" t="str">
        <f>'FR-16(7)(v)-1 Functional'!C387</f>
        <v>INTEREST ON CUSTOMER SERVICE DEPOSITS</v>
      </c>
      <c r="D387" s="344" t="str">
        <f>'FR-16(7)(v)-1 Functional'!D387</f>
        <v>K405</v>
      </c>
      <c r="E387" s="196"/>
      <c r="F387" s="479">
        <f>'FR-16(7)(v)-8 TOT CLASS Alloc'!I387</f>
        <v>0</v>
      </c>
      <c r="G387" s="548">
        <f>'FR-16(7)(v)-5 DISTR Dem Alloc'!I387</f>
        <v>0</v>
      </c>
      <c r="H387" s="539">
        <f>'FR-16(7)(v)-3 PROD Comm Alloc'!I387</f>
        <v>0</v>
      </c>
      <c r="I387" s="540">
        <f>'FR-16(7)(v)-6 DISTR Cust Alloc'!I387</f>
        <v>0</v>
      </c>
      <c r="J387" s="347">
        <f t="shared" si="74"/>
        <v>0</v>
      </c>
      <c r="K387" s="347">
        <f t="shared" si="75"/>
        <v>0</v>
      </c>
    </row>
    <row r="388" spans="1:11">
      <c r="A388" s="333">
        <v>43</v>
      </c>
      <c r="C388" s="359" t="str">
        <f>'FR-16(7)(v)-1 Functional'!C388</f>
        <v>ANNUALIZED UNCOLL EXP ON INCR</v>
      </c>
      <c r="D388" s="344" t="str">
        <f>'FR-16(7)(v)-1 Functional'!D388</f>
        <v>K406</v>
      </c>
      <c r="E388" s="196"/>
      <c r="F388" s="479">
        <f>'FR-16(7)(v)-8 TOT CLASS Alloc'!I388</f>
        <v>0</v>
      </c>
      <c r="G388" s="548">
        <f>'FR-16(7)(v)-5 DISTR Dem Alloc'!I388</f>
        <v>0</v>
      </c>
      <c r="H388" s="539">
        <f>'FR-16(7)(v)-3 PROD Comm Alloc'!I388</f>
        <v>0</v>
      </c>
      <c r="I388" s="540">
        <f>'FR-16(7)(v)-6 DISTR Cust Alloc'!I388</f>
        <v>0</v>
      </c>
      <c r="J388" s="347">
        <f t="shared" si="74"/>
        <v>0</v>
      </c>
      <c r="K388" s="347">
        <f t="shared" si="75"/>
        <v>0</v>
      </c>
    </row>
    <row r="389" spans="1:11">
      <c r="A389" s="333">
        <v>44</v>
      </c>
      <c r="C389" s="332" t="str">
        <f>'FR-16(7)(v)-1 Functional'!C389</f>
        <v xml:space="preserve">  TOTAL CUSTOMER ACCT EXPENSE</v>
      </c>
      <c r="D389" s="344"/>
      <c r="E389" s="196" t="s">
        <v>343</v>
      </c>
      <c r="F389" s="348">
        <f t="shared" ref="F389:K389" si="76">SUM(F380:F388)</f>
        <v>2592</v>
      </c>
      <c r="G389" s="557">
        <f t="shared" si="76"/>
        <v>0</v>
      </c>
      <c r="H389" s="558">
        <f t="shared" si="76"/>
        <v>0</v>
      </c>
      <c r="I389" s="559">
        <f t="shared" si="76"/>
        <v>2592</v>
      </c>
      <c r="J389" s="348">
        <f t="shared" si="76"/>
        <v>2592</v>
      </c>
      <c r="K389" s="348">
        <f t="shared" si="76"/>
        <v>0</v>
      </c>
    </row>
    <row r="390" spans="1:11">
      <c r="B390" s="343"/>
      <c r="C390" s="196"/>
      <c r="D390" s="344"/>
      <c r="E390" s="196"/>
      <c r="F390" s="196"/>
      <c r="G390" s="196"/>
      <c r="H390" s="196"/>
      <c r="I390" s="196"/>
      <c r="J390" s="196"/>
      <c r="K390" s="196"/>
    </row>
    <row r="391" spans="1:11">
      <c r="A391" s="343" t="str">
        <f>co_name</f>
        <v>DUKE ENERGY KENTUCKY, INC.</v>
      </c>
      <c r="C391" s="196"/>
      <c r="D391" s="344"/>
      <c r="E391" s="196"/>
      <c r="F391" s="196"/>
      <c r="G391" s="196"/>
      <c r="H391" s="196"/>
      <c r="I391" s="196"/>
      <c r="J391" s="196" t="str">
        <f>$J$1</f>
        <v>FR-16(7)(v)-11</v>
      </c>
      <c r="K391" s="196"/>
    </row>
    <row r="392" spans="1:11">
      <c r="A392" s="343" t="str">
        <f>$A$2</f>
        <v>FT-L CLASSIFIED - GAS COST OF SERVICE</v>
      </c>
      <c r="C392" s="196"/>
      <c r="D392" s="344"/>
      <c r="E392" s="196"/>
      <c r="F392" s="196"/>
      <c r="G392" s="196"/>
      <c r="H392" s="196"/>
      <c r="I392" s="196"/>
      <c r="J392" s="196" t="str">
        <f>$J$2</f>
        <v>WITNESS RESPONSIBLE:</v>
      </c>
      <c r="K392" s="196"/>
    </row>
    <row r="393" spans="1:11">
      <c r="A393" s="343" t="str">
        <f>case_name</f>
        <v>CASE NO: 2018-00261</v>
      </c>
      <c r="C393" s="196"/>
      <c r="D393" s="344"/>
      <c r="E393" s="196"/>
      <c r="F393" s="196"/>
      <c r="G393" s="196"/>
      <c r="H393" s="196"/>
      <c r="I393" s="196"/>
      <c r="J393" s="196" t="str">
        <f>Witness</f>
        <v>JAMES E. ZIOLKOWSKI</v>
      </c>
      <c r="K393" s="196"/>
    </row>
    <row r="394" spans="1:11">
      <c r="A394" s="343" t="str">
        <f>data_filing</f>
        <v>DATA: 12 MONTH FORECASTED PERIOD</v>
      </c>
      <c r="C394" s="196"/>
      <c r="D394" s="344"/>
      <c r="E394" s="196"/>
      <c r="F394" s="196"/>
      <c r="G394" s="196"/>
      <c r="H394" s="196"/>
      <c r="I394" s="196"/>
      <c r="J394" s="196" t="str">
        <f>"PAGE "&amp;Pages2-6&amp;" OF "&amp;Pages2</f>
        <v>PAGE 9 OF 15</v>
      </c>
      <c r="K394" s="196"/>
    </row>
    <row r="395" spans="1:11">
      <c r="A395" s="343" t="str">
        <f>type</f>
        <v xml:space="preserve">TYPE OF FILING: "X" ORIGINAL   UPDATED    REVISED  </v>
      </c>
      <c r="C395" s="196"/>
      <c r="D395" s="344"/>
      <c r="E395" s="196"/>
      <c r="F395" s="196"/>
      <c r="G395" s="196"/>
      <c r="H395" s="196"/>
      <c r="I395" s="196"/>
      <c r="J395" s="196"/>
      <c r="K395" s="196"/>
    </row>
    <row r="396" spans="1:11">
      <c r="B396" s="343"/>
      <c r="C396" s="196"/>
      <c r="D396" s="344"/>
      <c r="E396" s="196"/>
      <c r="F396" s="196"/>
      <c r="G396" s="196"/>
      <c r="H396" s="196"/>
      <c r="I396" s="196"/>
      <c r="J396" s="196"/>
      <c r="K396" s="196"/>
    </row>
    <row r="397" spans="1:11">
      <c r="B397" s="343"/>
      <c r="C397" s="196"/>
      <c r="D397" s="344"/>
      <c r="E397" s="196"/>
      <c r="F397" s="196"/>
      <c r="G397" s="196"/>
      <c r="H397" s="196"/>
      <c r="I397" s="196"/>
      <c r="J397" s="196"/>
      <c r="K397" s="196"/>
    </row>
    <row r="398" spans="1:11">
      <c r="A398" s="344" t="s">
        <v>914</v>
      </c>
      <c r="B398" s="196"/>
      <c r="C398" s="196"/>
      <c r="D398" s="344"/>
      <c r="E398" s="196"/>
      <c r="F398" s="344" t="s">
        <v>229</v>
      </c>
      <c r="G398" s="545" t="s">
        <v>1005</v>
      </c>
      <c r="H398" s="533"/>
      <c r="I398" s="534"/>
      <c r="J398" s="344" t="s">
        <v>229</v>
      </c>
      <c r="K398" s="344" t="s">
        <v>342</v>
      </c>
    </row>
    <row r="399" spans="1:11">
      <c r="A399" s="346" t="s">
        <v>915</v>
      </c>
      <c r="B399" s="345" t="s">
        <v>44</v>
      </c>
      <c r="C399" s="345"/>
      <c r="D399" s="346" t="s">
        <v>337</v>
      </c>
      <c r="E399" s="345"/>
      <c r="F399" s="346" t="str">
        <f>$F$9</f>
        <v>FT-L</v>
      </c>
      <c r="G399" s="546" t="s">
        <v>847</v>
      </c>
      <c r="H399" s="535" t="s">
        <v>848</v>
      </c>
      <c r="I399" s="536" t="s">
        <v>849</v>
      </c>
      <c r="J399" s="346" t="s">
        <v>341</v>
      </c>
      <c r="K399" s="346" t="s">
        <v>340</v>
      </c>
    </row>
    <row r="400" spans="1:11">
      <c r="C400" s="578" t="s">
        <v>560</v>
      </c>
      <c r="D400" s="344"/>
      <c r="E400" s="196"/>
      <c r="G400" s="800">
        <f>$G$10</f>
        <v>3</v>
      </c>
      <c r="H400" s="801">
        <f>$H$10</f>
        <v>4</v>
      </c>
      <c r="I400" s="802">
        <f>$I$10</f>
        <v>5</v>
      </c>
    </row>
    <row r="401" spans="1:11">
      <c r="A401" s="333">
        <v>1</v>
      </c>
      <c r="B401" s="332" t="s">
        <v>52</v>
      </c>
      <c r="D401" s="344"/>
      <c r="E401" s="196"/>
      <c r="G401" s="547"/>
      <c r="H401" s="537"/>
      <c r="I401" s="538"/>
    </row>
    <row r="402" spans="1:11">
      <c r="A402" s="333">
        <v>2</v>
      </c>
      <c r="C402" s="359" t="str">
        <f>'FR-16(7)(v)-1 Functional'!C402</f>
        <v>TOTAL CUST SERVICE &amp; INFO</v>
      </c>
      <c r="D402" s="344" t="str">
        <f>'FR-16(7)(v)-1 Functional'!D402</f>
        <v>K407</v>
      </c>
      <c r="E402" s="196"/>
      <c r="F402" s="479">
        <f>'FR-16(7)(v)-8 TOT CLASS Alloc'!I402</f>
        <v>394</v>
      </c>
      <c r="G402" s="548">
        <f>'FR-16(7)(v)-5 DISTR Dem Alloc'!I402</f>
        <v>0</v>
      </c>
      <c r="H402" s="539">
        <f>'FR-16(7)(v)-3 PROD Comm Alloc'!I402</f>
        <v>0</v>
      </c>
      <c r="I402" s="540">
        <f>'FR-16(7)(v)-6 DISTR Cust Alloc'!I402</f>
        <v>394</v>
      </c>
      <c r="J402" s="347">
        <f>SUM(G402:I402)</f>
        <v>394</v>
      </c>
      <c r="K402" s="347">
        <f>F402-J402</f>
        <v>0</v>
      </c>
    </row>
    <row r="403" spans="1:11">
      <c r="A403" s="333">
        <v>3</v>
      </c>
      <c r="C403" s="332" t="str">
        <f>'FR-16(7)(v)-1 Functional'!C403</f>
        <v xml:space="preserve">  TOTAL CUSTOMER SERV. &amp; INFO.</v>
      </c>
      <c r="D403" s="344"/>
      <c r="E403" s="196" t="s">
        <v>343</v>
      </c>
      <c r="F403" s="348">
        <f t="shared" ref="F403:K403" si="77">SUM(F402:F402)</f>
        <v>394</v>
      </c>
      <c r="G403" s="549">
        <f t="shared" si="77"/>
        <v>0</v>
      </c>
      <c r="H403" s="541">
        <f t="shared" si="77"/>
        <v>0</v>
      </c>
      <c r="I403" s="542">
        <f t="shared" si="77"/>
        <v>394</v>
      </c>
      <c r="J403" s="348">
        <f t="shared" si="77"/>
        <v>394</v>
      </c>
      <c r="K403" s="348">
        <f t="shared" si="77"/>
        <v>0</v>
      </c>
    </row>
    <row r="404" spans="1:11">
      <c r="A404" s="333">
        <v>4</v>
      </c>
      <c r="D404" s="344"/>
      <c r="E404" s="196"/>
      <c r="F404" s="347"/>
      <c r="G404" s="548"/>
      <c r="H404" s="539"/>
      <c r="I404" s="540"/>
      <c r="J404" s="347"/>
      <c r="K404" s="347"/>
    </row>
    <row r="405" spans="1:11">
      <c r="A405" s="333">
        <v>5</v>
      </c>
      <c r="B405" s="332" t="s">
        <v>53</v>
      </c>
      <c r="D405" s="344"/>
      <c r="E405" s="196"/>
      <c r="F405" s="347"/>
      <c r="G405" s="548"/>
      <c r="H405" s="539"/>
      <c r="I405" s="540"/>
      <c r="J405" s="347"/>
      <c r="K405" s="347"/>
    </row>
    <row r="406" spans="1:11">
      <c r="A406" s="333">
        <v>6</v>
      </c>
      <c r="C406" s="359" t="str">
        <f>'FR-16(7)(v)-1 Functional'!C406</f>
        <v>SALES EXPENSE</v>
      </c>
      <c r="D406" s="344" t="str">
        <f>'FR-16(7)(v)-1 Functional'!D406</f>
        <v>K408</v>
      </c>
      <c r="E406" s="196" t="s">
        <v>343</v>
      </c>
      <c r="F406" s="479">
        <f>'FR-16(7)(v)-8 TOT CLASS Alloc'!I406</f>
        <v>186</v>
      </c>
      <c r="G406" s="548">
        <f>'FR-16(7)(v)-5 DISTR Dem Alloc'!I406</f>
        <v>0</v>
      </c>
      <c r="H406" s="539">
        <f>'FR-16(7)(v)-3 PROD Comm Alloc'!I406</f>
        <v>0</v>
      </c>
      <c r="I406" s="540">
        <f>'FR-16(7)(v)-6 DISTR Cust Alloc'!I406</f>
        <v>186</v>
      </c>
      <c r="J406" s="347">
        <f>SUM(G406:I406)</f>
        <v>186</v>
      </c>
      <c r="K406" s="347">
        <f>F406-J406</f>
        <v>0</v>
      </c>
    </row>
    <row r="407" spans="1:11">
      <c r="A407" s="333">
        <v>7</v>
      </c>
      <c r="C407" s="332" t="str">
        <f>'FR-16(7)(v)-1 Functional'!C407</f>
        <v xml:space="preserve">  TOTAL SALES EXPENSE</v>
      </c>
      <c r="D407" s="344"/>
      <c r="E407" s="196" t="s">
        <v>343</v>
      </c>
      <c r="F407" s="348">
        <f t="shared" ref="F407:K407" si="78">SUM(F405:F406)</f>
        <v>186</v>
      </c>
      <c r="G407" s="549">
        <f t="shared" si="78"/>
        <v>0</v>
      </c>
      <c r="H407" s="541">
        <f t="shared" si="78"/>
        <v>0</v>
      </c>
      <c r="I407" s="542">
        <f t="shared" si="78"/>
        <v>186</v>
      </c>
      <c r="J407" s="348">
        <f t="shared" si="78"/>
        <v>186</v>
      </c>
      <c r="K407" s="348">
        <f t="shared" si="78"/>
        <v>0</v>
      </c>
    </row>
    <row r="408" spans="1:11">
      <c r="A408" s="333">
        <v>8</v>
      </c>
      <c r="D408" s="344"/>
      <c r="E408" s="196"/>
      <c r="G408" s="547"/>
      <c r="H408" s="537"/>
      <c r="I408" s="538"/>
    </row>
    <row r="409" spans="1:11">
      <c r="A409" s="333">
        <v>9</v>
      </c>
      <c r="B409" s="332" t="s">
        <v>54</v>
      </c>
      <c r="D409" s="344"/>
      <c r="E409" s="196"/>
      <c r="G409" s="547"/>
      <c r="H409" s="537"/>
      <c r="I409" s="538"/>
    </row>
    <row r="410" spans="1:11">
      <c r="A410" s="333">
        <v>10</v>
      </c>
      <c r="C410" s="332" t="str">
        <f>'FR-16(7)(v)-1 Functional'!C410</f>
        <v>PRODUCTION PLANT DEMAND</v>
      </c>
      <c r="D410" s="344" t="str">
        <f>'FR-16(7)(v)-1 Functional'!D410</f>
        <v>P349</v>
      </c>
      <c r="E410" s="196"/>
      <c r="F410" s="479">
        <f>'FR-16(7)(v)-8 TOT CLASS Alloc'!I410</f>
        <v>82269</v>
      </c>
      <c r="G410" s="548">
        <f>'FR-16(7)(v)-5 DISTR Dem Alloc'!I410</f>
        <v>0</v>
      </c>
      <c r="H410" s="539">
        <f>'FR-16(7)(v)-3 PROD Comm Alloc'!I410</f>
        <v>82269</v>
      </c>
      <c r="I410" s="540">
        <f>'FR-16(7)(v)-6 DISTR Cust Alloc'!I410</f>
        <v>0</v>
      </c>
      <c r="J410" s="347">
        <f t="shared" ref="J410:J415" si="79">SUM(G410:I410)</f>
        <v>82269</v>
      </c>
      <c r="K410" s="347">
        <f t="shared" ref="K410:K415" si="80">F410-J410</f>
        <v>0</v>
      </c>
    </row>
    <row r="411" spans="1:11">
      <c r="A411" s="333">
        <v>11</v>
      </c>
      <c r="C411" s="332" t="str">
        <f>'FR-16(7)(v)-1 Functional'!C411</f>
        <v>PRODUCTION PLANT COMMODITY</v>
      </c>
      <c r="D411" s="344" t="str">
        <f>'FR-16(7)(v)-1 Functional'!D411</f>
        <v>K301</v>
      </c>
      <c r="E411" s="196"/>
      <c r="F411" s="479">
        <f>'FR-16(7)(v)-8 TOT CLASS Alloc'!I411</f>
        <v>64569</v>
      </c>
      <c r="G411" s="548">
        <f>'FR-16(7)(v)-5 DISTR Dem Alloc'!I411</f>
        <v>0</v>
      </c>
      <c r="H411" s="539">
        <f>'FR-16(7)(v)-3 PROD Comm Alloc'!I411</f>
        <v>64569</v>
      </c>
      <c r="I411" s="540">
        <f>'FR-16(7)(v)-6 DISTR Cust Alloc'!I411</f>
        <v>0</v>
      </c>
      <c r="J411" s="347">
        <f t="shared" si="79"/>
        <v>64569</v>
      </c>
      <c r="K411" s="347">
        <f t="shared" si="80"/>
        <v>0</v>
      </c>
    </row>
    <row r="412" spans="1:11">
      <c r="A412" s="333">
        <v>12</v>
      </c>
      <c r="C412" s="332" t="str">
        <f>'FR-16(7)(v)-1 Functional'!C412</f>
        <v>DISTRIBUTION PLANT</v>
      </c>
      <c r="D412" s="344" t="str">
        <f>'FR-16(7)(v)-1 Functional'!D412</f>
        <v>D349</v>
      </c>
      <c r="E412" s="196"/>
      <c r="F412" s="479">
        <f>'FR-16(7)(v)-8 TOT CLASS Alloc'!I412</f>
        <v>266013</v>
      </c>
      <c r="G412" s="548">
        <f>'FR-16(7)(v)-5 DISTR Dem Alloc'!I412</f>
        <v>228592</v>
      </c>
      <c r="H412" s="539">
        <f>'FR-16(7)(v)-3 PROD Comm Alloc'!I412</f>
        <v>0</v>
      </c>
      <c r="I412" s="540">
        <f>'FR-16(7)(v)-6 DISTR Cust Alloc'!I412</f>
        <v>37421</v>
      </c>
      <c r="J412" s="347">
        <f t="shared" si="79"/>
        <v>266013</v>
      </c>
      <c r="K412" s="347">
        <f t="shared" si="80"/>
        <v>0</v>
      </c>
    </row>
    <row r="413" spans="1:11">
      <c r="A413" s="333">
        <v>13</v>
      </c>
      <c r="C413" s="332" t="str">
        <f>'FR-16(7)(v)-1 Functional'!C413</f>
        <v>CUSTOMER ACCOUNTING</v>
      </c>
      <c r="D413" s="344" t="str">
        <f>'FR-16(7)(v)-1 Functional'!D413</f>
        <v>CA19</v>
      </c>
      <c r="E413" s="196"/>
      <c r="F413" s="479">
        <f>'FR-16(7)(v)-8 TOT CLASS Alloc'!I413</f>
        <v>1753</v>
      </c>
      <c r="G413" s="548">
        <f>'FR-16(7)(v)-5 DISTR Dem Alloc'!I413</f>
        <v>0</v>
      </c>
      <c r="H413" s="539">
        <f>'FR-16(7)(v)-3 PROD Comm Alloc'!I413</f>
        <v>0</v>
      </c>
      <c r="I413" s="540">
        <f>'FR-16(7)(v)-6 DISTR Cust Alloc'!I413</f>
        <v>1753</v>
      </c>
      <c r="J413" s="347">
        <f t="shared" si="79"/>
        <v>1753</v>
      </c>
      <c r="K413" s="347">
        <f t="shared" si="80"/>
        <v>0</v>
      </c>
    </row>
    <row r="414" spans="1:11">
      <c r="A414" s="333">
        <v>14</v>
      </c>
      <c r="C414" s="332" t="str">
        <f>'FR-16(7)(v)-1 Functional'!C414</f>
        <v>CUSTOMER SERVICE &amp; INFORMATION</v>
      </c>
      <c r="D414" s="344" t="str">
        <f>'FR-16(7)(v)-1 Functional'!D414</f>
        <v>CS19</v>
      </c>
      <c r="E414" s="196"/>
      <c r="F414" s="479">
        <f>'FR-16(7)(v)-8 TOT CLASS Alloc'!I414</f>
        <v>153</v>
      </c>
      <c r="G414" s="548">
        <f>'FR-16(7)(v)-5 DISTR Dem Alloc'!I414</f>
        <v>0</v>
      </c>
      <c r="H414" s="539">
        <f>'FR-16(7)(v)-3 PROD Comm Alloc'!I414</f>
        <v>0</v>
      </c>
      <c r="I414" s="540">
        <f>'FR-16(7)(v)-6 DISTR Cust Alloc'!I414</f>
        <v>153</v>
      </c>
      <c r="J414" s="347">
        <f t="shared" si="79"/>
        <v>153</v>
      </c>
      <c r="K414" s="347">
        <f t="shared" si="80"/>
        <v>0</v>
      </c>
    </row>
    <row r="415" spans="1:11">
      <c r="A415" s="333">
        <v>15</v>
      </c>
      <c r="C415" s="359" t="str">
        <f>'FR-16(7)(v)-1 Functional'!C415</f>
        <v>SALES</v>
      </c>
      <c r="D415" s="344" t="str">
        <f>'FR-16(7)(v)-1 Functional'!D415</f>
        <v>SE19</v>
      </c>
      <c r="E415" s="196"/>
      <c r="F415" s="479">
        <f>'FR-16(7)(v)-8 TOT CLASS Alloc'!I415</f>
        <v>0</v>
      </c>
      <c r="G415" s="548">
        <f>'FR-16(7)(v)-5 DISTR Dem Alloc'!I415</f>
        <v>0</v>
      </c>
      <c r="H415" s="539">
        <f>'FR-16(7)(v)-3 PROD Comm Alloc'!I415</f>
        <v>0</v>
      </c>
      <c r="I415" s="540">
        <f>'FR-16(7)(v)-6 DISTR Cust Alloc'!I415</f>
        <v>0</v>
      </c>
      <c r="J415" s="347">
        <f t="shared" si="79"/>
        <v>0</v>
      </c>
      <c r="K415" s="502">
        <f t="shared" si="80"/>
        <v>0</v>
      </c>
    </row>
    <row r="416" spans="1:11">
      <c r="A416" s="333">
        <v>16</v>
      </c>
      <c r="C416" s="332" t="str">
        <f>'FR-16(7)(v)-1 Functional'!C416</f>
        <v xml:space="preserve"> TOT ADMIN &amp; GEN LESS REG EXP</v>
      </c>
      <c r="D416" s="344" t="s">
        <v>343</v>
      </c>
      <c r="E416" s="196"/>
      <c r="F416" s="503">
        <f t="shared" ref="F416:K416" si="81">SUM(F410:F415)</f>
        <v>414757</v>
      </c>
      <c r="G416" s="563">
        <f t="shared" si="81"/>
        <v>228592</v>
      </c>
      <c r="H416" s="564">
        <f t="shared" si="81"/>
        <v>146838</v>
      </c>
      <c r="I416" s="565">
        <f t="shared" si="81"/>
        <v>39327</v>
      </c>
      <c r="J416" s="1025">
        <f t="shared" si="81"/>
        <v>414757</v>
      </c>
      <c r="K416" s="477">
        <f t="shared" si="81"/>
        <v>0</v>
      </c>
    </row>
    <row r="417" spans="1:11">
      <c r="A417" s="333">
        <v>17</v>
      </c>
      <c r="C417" s="332" t="str">
        <f>'FR-16(7)(v)-1 Functional'!C417</f>
        <v>AMORTIZATION RATE CASE EXPENSE</v>
      </c>
      <c r="D417" s="344" t="str">
        <f>'FR-16(7)(v)-1 Functional'!D417</f>
        <v>AG39</v>
      </c>
      <c r="E417" s="196"/>
      <c r="F417" s="479">
        <f>'FR-16(7)(v)-8 TOT CLASS Alloc'!I417</f>
        <v>6855</v>
      </c>
      <c r="G417" s="548">
        <f>'FR-16(7)(v)-5 DISTR Dem Alloc'!I417</f>
        <v>3778</v>
      </c>
      <c r="H417" s="539">
        <f>'FR-16(7)(v)-3 PROD Comm Alloc'!I417</f>
        <v>2427</v>
      </c>
      <c r="I417" s="540">
        <f>'FR-16(7)(v)-6 DISTR Cust Alloc'!I417</f>
        <v>650</v>
      </c>
      <c r="J417" s="347">
        <f t="shared" ref="J417:J430" si="82">SUM(G417:I417)</f>
        <v>6855</v>
      </c>
      <c r="K417" s="347">
        <f t="shared" ref="K417:K430" si="83">F417-J417</f>
        <v>0</v>
      </c>
    </row>
    <row r="418" spans="1:11">
      <c r="A418" s="333">
        <v>18</v>
      </c>
      <c r="C418" s="332" t="str">
        <f>'FR-16(7)(v)-1 Functional'!C418</f>
        <v>INCENTIVE COMPENSATION</v>
      </c>
      <c r="D418" s="344" t="str">
        <f>'FR-16(7)(v)-1 Functional'!D418</f>
        <v>AG39</v>
      </c>
      <c r="E418" s="196"/>
      <c r="F418" s="479">
        <f>'FR-16(7)(v)-8 TOT CLASS Alloc'!I418</f>
        <v>-16514</v>
      </c>
      <c r="G418" s="548">
        <f>'FR-16(7)(v)-5 DISTR Dem Alloc'!I418</f>
        <v>-9101</v>
      </c>
      <c r="H418" s="539">
        <f>'FR-16(7)(v)-3 PROD Comm Alloc'!I418</f>
        <v>-5847</v>
      </c>
      <c r="I418" s="540">
        <f>'FR-16(7)(v)-6 DISTR Cust Alloc'!I418</f>
        <v>-1566</v>
      </c>
      <c r="J418" s="347">
        <f t="shared" si="82"/>
        <v>-16514</v>
      </c>
      <c r="K418" s="347">
        <f t="shared" si="83"/>
        <v>0</v>
      </c>
    </row>
    <row r="419" spans="1:11">
      <c r="A419" s="333">
        <v>19</v>
      </c>
      <c r="C419" s="332" t="str">
        <f>'FR-16(7)(v)-1 Functional'!C419</f>
        <v>ELIMINATE MISCELLANEOUS EXPENSES</v>
      </c>
      <c r="D419" s="344" t="str">
        <f>'FR-16(7)(v)-1 Functional'!D419</f>
        <v>AG39</v>
      </c>
      <c r="E419" s="196"/>
      <c r="F419" s="479">
        <f>'FR-16(7)(v)-8 TOT CLASS Alloc'!I419</f>
        <v>-19182</v>
      </c>
      <c r="G419" s="548">
        <f>'FR-16(7)(v)-5 DISTR Dem Alloc'!I419</f>
        <v>-10572</v>
      </c>
      <c r="H419" s="539">
        <f>'FR-16(7)(v)-3 PROD Comm Alloc'!I419</f>
        <v>-6791</v>
      </c>
      <c r="I419" s="540">
        <f>'FR-16(7)(v)-6 DISTR Cust Alloc'!I419</f>
        <v>-1819</v>
      </c>
      <c r="J419" s="347">
        <f t="shared" si="82"/>
        <v>-19182</v>
      </c>
      <c r="K419" s="347">
        <f t="shared" si="83"/>
        <v>0</v>
      </c>
    </row>
    <row r="420" spans="1:11">
      <c r="A420" s="333">
        <v>20</v>
      </c>
      <c r="C420" s="332" t="str">
        <f>'FR-16(7)(v)-1 Functional'!C420</f>
        <v>ELIMINATE NON-JURISDICTIONAL EXPENSES</v>
      </c>
      <c r="D420" s="344" t="str">
        <f>'FR-16(7)(v)-1 Functional'!D420</f>
        <v>NP29</v>
      </c>
      <c r="E420" s="196"/>
      <c r="F420" s="479">
        <f>'FR-16(7)(v)-8 TOT CLASS Alloc'!I420</f>
        <v>0</v>
      </c>
      <c r="G420" s="548">
        <f>'FR-16(7)(v)-5 DISTR Dem Alloc'!I420</f>
        <v>0</v>
      </c>
      <c r="H420" s="539">
        <f>'FR-16(7)(v)-3 PROD Comm Alloc'!I420</f>
        <v>0</v>
      </c>
      <c r="I420" s="540">
        <f>'FR-16(7)(v)-6 DISTR Cust Alloc'!I420</f>
        <v>0</v>
      </c>
      <c r="J420" s="347">
        <f t="shared" si="82"/>
        <v>0</v>
      </c>
      <c r="K420" s="347">
        <f t="shared" si="83"/>
        <v>0</v>
      </c>
    </row>
    <row r="421" spans="1:11">
      <c r="A421" s="333">
        <v>21</v>
      </c>
      <c r="C421" s="332" t="str">
        <f>'FR-16(7)(v)-1 Functional'!C421</f>
        <v xml:space="preserve">AMORTIZATION OF DEFERRED EXP </v>
      </c>
      <c r="D421" s="344" t="str">
        <f>'FR-16(7)(v)-1 Functional'!D421</f>
        <v>AG39</v>
      </c>
      <c r="E421" s="196"/>
      <c r="F421" s="479">
        <f>'FR-16(7)(v)-8 TOT CLASS Alloc'!I421</f>
        <v>32343</v>
      </c>
      <c r="G421" s="548">
        <f>'FR-16(7)(v)-5 DISTR Dem Alloc'!I421</f>
        <v>17825</v>
      </c>
      <c r="H421" s="539">
        <f>'FR-16(7)(v)-3 PROD Comm Alloc'!I421</f>
        <v>11451</v>
      </c>
      <c r="I421" s="540">
        <f>'FR-16(7)(v)-6 DISTR Cust Alloc'!I421</f>
        <v>3067</v>
      </c>
      <c r="J421" s="347">
        <f t="shared" si="82"/>
        <v>32343</v>
      </c>
      <c r="K421" s="347">
        <f t="shared" si="83"/>
        <v>0</v>
      </c>
    </row>
    <row r="422" spans="1:11">
      <c r="A422" s="333">
        <v>22</v>
      </c>
      <c r="C422" s="332" t="str">
        <f>'FR-16(7)(v)-1 Functional'!C422</f>
        <v>STATE REG COMMISSION EXPENSES</v>
      </c>
      <c r="D422" s="344" t="str">
        <f>'FR-16(7)(v)-1 Functional'!D422</f>
        <v>AG39</v>
      </c>
      <c r="E422" s="196"/>
      <c r="F422" s="479">
        <f>'FR-16(7)(v)-8 TOT CLASS Alloc'!I422</f>
        <v>0</v>
      </c>
      <c r="G422" s="548">
        <f>'FR-16(7)(v)-5 DISTR Dem Alloc'!I422</f>
        <v>0</v>
      </c>
      <c r="H422" s="539">
        <f>'FR-16(7)(v)-3 PROD Comm Alloc'!I422</f>
        <v>0</v>
      </c>
      <c r="I422" s="540">
        <f>'FR-16(7)(v)-6 DISTR Cust Alloc'!I422</f>
        <v>0</v>
      </c>
      <c r="J422" s="347">
        <f t="shared" si="82"/>
        <v>0</v>
      </c>
      <c r="K422" s="347">
        <f t="shared" si="83"/>
        <v>0</v>
      </c>
    </row>
    <row r="423" spans="1:11">
      <c r="A423" s="333">
        <v>23</v>
      </c>
      <c r="C423" s="332" t="str">
        <f>'FR-16(7)(v)-1 Functional'!C423</f>
        <v>STATE REG COM EXP ANN ADJ.</v>
      </c>
      <c r="D423" s="344" t="str">
        <f>'FR-16(7)(v)-1 Functional'!D423</f>
        <v>AG39</v>
      </c>
      <c r="E423" s="196"/>
      <c r="F423" s="479">
        <f>'FR-16(7)(v)-8 TOT CLASS Alloc'!I423</f>
        <v>0</v>
      </c>
      <c r="G423" s="548">
        <f>'FR-16(7)(v)-5 DISTR Dem Alloc'!I423</f>
        <v>0</v>
      </c>
      <c r="H423" s="539">
        <f>'FR-16(7)(v)-3 PROD Comm Alloc'!I423</f>
        <v>0</v>
      </c>
      <c r="I423" s="540">
        <f>'FR-16(7)(v)-6 DISTR Cust Alloc'!I423</f>
        <v>0</v>
      </c>
      <c r="J423" s="347">
        <f t="shared" si="82"/>
        <v>0</v>
      </c>
      <c r="K423" s="347">
        <f t="shared" si="83"/>
        <v>0</v>
      </c>
    </row>
    <row r="424" spans="1:11">
      <c r="A424" s="333">
        <v>24</v>
      </c>
      <c r="C424" s="332" t="str">
        <f>'FR-16(7)(v)-1 Functional'!C424</f>
        <v>AMORTIZE CAMERA WORK</v>
      </c>
      <c r="D424" s="344" t="str">
        <f>'FR-16(7)(v)-1 Functional'!D424</f>
        <v>AG39</v>
      </c>
      <c r="E424" s="196"/>
      <c r="F424" s="479">
        <f>'FR-16(7)(v)-8 TOT CLASS Alloc'!I424</f>
        <v>0</v>
      </c>
      <c r="G424" s="548">
        <f>'FR-16(7)(v)-5 DISTR Dem Alloc'!I424</f>
        <v>0</v>
      </c>
      <c r="H424" s="539">
        <f>'FR-16(7)(v)-3 PROD Comm Alloc'!I424</f>
        <v>0</v>
      </c>
      <c r="I424" s="540">
        <f>'FR-16(7)(v)-6 DISTR Cust Alloc'!I424</f>
        <v>0</v>
      </c>
      <c r="J424" s="347">
        <f t="shared" ref="J424:J429" si="84">SUM(G424:I424)</f>
        <v>0</v>
      </c>
      <c r="K424" s="347">
        <f t="shared" ref="K424:K429" si="85">F424-J424</f>
        <v>0</v>
      </c>
    </row>
    <row r="425" spans="1:11">
      <c r="A425" s="333">
        <v>25</v>
      </c>
      <c r="C425" s="332" t="str">
        <f>'FR-16(7)(v)-1 Functional'!C425</f>
        <v>ELIMINATE MERGER EXPENSE</v>
      </c>
      <c r="D425" s="344" t="str">
        <f>'FR-16(7)(v)-1 Functional'!D425</f>
        <v>AG39</v>
      </c>
      <c r="E425" s="196"/>
      <c r="F425" s="479">
        <f>'FR-16(7)(v)-8 TOT CLASS Alloc'!I425</f>
        <v>0</v>
      </c>
      <c r="G425" s="548">
        <f>'FR-16(7)(v)-5 DISTR Dem Alloc'!I425</f>
        <v>0</v>
      </c>
      <c r="H425" s="539">
        <f>'FR-16(7)(v)-3 PROD Comm Alloc'!I425</f>
        <v>0</v>
      </c>
      <c r="I425" s="540">
        <f>'FR-16(7)(v)-6 DISTR Cust Alloc'!I425</f>
        <v>0</v>
      </c>
      <c r="J425" s="347">
        <f t="shared" si="84"/>
        <v>0</v>
      </c>
      <c r="K425" s="347">
        <f t="shared" si="85"/>
        <v>0</v>
      </c>
    </row>
    <row r="426" spans="1:11">
      <c r="A426" s="333">
        <v>26</v>
      </c>
      <c r="C426" s="332" t="str">
        <f>'FR-16(7)(v)-1 Functional'!C426</f>
        <v>SMART GRID AMORTIZATION ADJUSTMENT</v>
      </c>
      <c r="D426" s="344" t="str">
        <f>'FR-16(7)(v)-1 Functional'!D426</f>
        <v>K413</v>
      </c>
      <c r="E426" s="196"/>
      <c r="F426" s="479">
        <f>'FR-16(7)(v)-8 TOT CLASS Alloc'!I426</f>
        <v>0</v>
      </c>
      <c r="G426" s="548">
        <f>'FR-16(7)(v)-5 DISTR Dem Alloc'!I426</f>
        <v>0</v>
      </c>
      <c r="H426" s="539">
        <f>'FR-16(7)(v)-3 PROD Comm Alloc'!I426</f>
        <v>0</v>
      </c>
      <c r="I426" s="540">
        <f>'FR-16(7)(v)-6 DISTR Cust Alloc'!I426</f>
        <v>0</v>
      </c>
      <c r="J426" s="347">
        <f t="shared" si="84"/>
        <v>0</v>
      </c>
      <c r="K426" s="347">
        <f t="shared" si="85"/>
        <v>0</v>
      </c>
    </row>
    <row r="427" spans="1:11">
      <c r="A427" s="333">
        <v>27</v>
      </c>
      <c r="C427" s="332" t="str">
        <f>'FR-16(7)(v)-1 Functional'!C427</f>
        <v>AMORTIZE 2011 SMART GRID DEFERRED O&amp;M</v>
      </c>
      <c r="D427" s="344" t="str">
        <f>'FR-16(7)(v)-1 Functional'!D427</f>
        <v>K413</v>
      </c>
      <c r="E427" s="196"/>
      <c r="F427" s="479">
        <f>'FR-16(7)(v)-8 TOT CLASS Alloc'!I427</f>
        <v>0</v>
      </c>
      <c r="G427" s="548">
        <f>'FR-16(7)(v)-5 DISTR Dem Alloc'!I427</f>
        <v>0</v>
      </c>
      <c r="H427" s="539">
        <f>'FR-16(7)(v)-3 PROD Comm Alloc'!I427</f>
        <v>0</v>
      </c>
      <c r="I427" s="540">
        <f>'FR-16(7)(v)-6 DISTR Cust Alloc'!I427</f>
        <v>0</v>
      </c>
      <c r="J427" s="347">
        <f t="shared" si="84"/>
        <v>0</v>
      </c>
      <c r="K427" s="347">
        <f t="shared" si="85"/>
        <v>0</v>
      </c>
    </row>
    <row r="428" spans="1:11">
      <c r="A428" s="333">
        <v>28</v>
      </c>
      <c r="C428" s="332" t="str">
        <f>'FR-16(7)(v)-1 Functional'!C428</f>
        <v>INCREASED MEDICAL COSTS</v>
      </c>
      <c r="D428" s="344" t="str">
        <f>'FR-16(7)(v)-1 Functional'!D428</f>
        <v>AG39</v>
      </c>
      <c r="E428" s="196"/>
      <c r="F428" s="479">
        <f>'FR-16(7)(v)-8 TOT CLASS Alloc'!I428</f>
        <v>0</v>
      </c>
      <c r="G428" s="548">
        <f>'FR-16(7)(v)-5 DISTR Dem Alloc'!I428</f>
        <v>0</v>
      </c>
      <c r="H428" s="539">
        <f>'FR-16(7)(v)-3 PROD Comm Alloc'!I428</f>
        <v>0</v>
      </c>
      <c r="I428" s="540">
        <f>'FR-16(7)(v)-6 DISTR Cust Alloc'!I428</f>
        <v>0</v>
      </c>
      <c r="J428" s="347">
        <f t="shared" si="84"/>
        <v>0</v>
      </c>
      <c r="K428" s="347">
        <f t="shared" si="85"/>
        <v>0</v>
      </c>
    </row>
    <row r="429" spans="1:11">
      <c r="A429" s="333">
        <v>29</v>
      </c>
      <c r="C429" s="332" t="str">
        <f>'FR-16(7)(v)-1 Functional'!C429</f>
        <v>AMORTIZE GAS FURNACE PROGRAM</v>
      </c>
      <c r="D429" s="344" t="str">
        <f>'FR-16(7)(v)-1 Functional'!D429</f>
        <v>NP29</v>
      </c>
      <c r="E429" s="196"/>
      <c r="F429" s="479">
        <f>'FR-16(7)(v)-8 TOT CLASS Alloc'!I429</f>
        <v>0</v>
      </c>
      <c r="G429" s="548">
        <f>'FR-16(7)(v)-5 DISTR Dem Alloc'!I429</f>
        <v>0</v>
      </c>
      <c r="H429" s="539">
        <f>'FR-16(7)(v)-3 PROD Comm Alloc'!I429</f>
        <v>0</v>
      </c>
      <c r="I429" s="540">
        <f>'FR-16(7)(v)-6 DISTR Cust Alloc'!I429</f>
        <v>0</v>
      </c>
      <c r="J429" s="347">
        <f t="shared" si="84"/>
        <v>0</v>
      </c>
      <c r="K429" s="347">
        <f t="shared" si="85"/>
        <v>0</v>
      </c>
    </row>
    <row r="430" spans="1:11">
      <c r="A430" s="333">
        <v>30</v>
      </c>
      <c r="C430" s="359" t="str">
        <f>'FR-16(7)(v)-1 Functional'!C430</f>
        <v>AMORTIZATION OF MGP DEFERRED EXP</v>
      </c>
      <c r="D430" s="344" t="str">
        <f>'FR-16(7)(v)-1 Functional'!D430</f>
        <v>NP29</v>
      </c>
      <c r="E430" s="196"/>
      <c r="F430" s="479">
        <f>'FR-16(7)(v)-8 TOT CLASS Alloc'!I430</f>
        <v>0</v>
      </c>
      <c r="G430" s="548">
        <f>'FR-16(7)(v)-5 DISTR Dem Alloc'!I430</f>
        <v>0</v>
      </c>
      <c r="H430" s="539">
        <f>'FR-16(7)(v)-3 PROD Comm Alloc'!I430</f>
        <v>0</v>
      </c>
      <c r="I430" s="540">
        <f>'FR-16(7)(v)-6 DISTR Cust Alloc'!I430</f>
        <v>0</v>
      </c>
      <c r="J430" s="347">
        <f t="shared" si="82"/>
        <v>0</v>
      </c>
      <c r="K430" s="347">
        <f t="shared" si="83"/>
        <v>0</v>
      </c>
    </row>
    <row r="431" spans="1:11">
      <c r="A431" s="333">
        <v>31</v>
      </c>
      <c r="C431" s="332" t="str">
        <f>'FR-16(7)(v)-1 Functional'!C431</f>
        <v xml:space="preserve">  TOTAL ADMIN. &amp; GENERAL</v>
      </c>
      <c r="D431" s="344"/>
      <c r="E431" s="196" t="s">
        <v>343</v>
      </c>
      <c r="F431" s="348">
        <f t="shared" ref="F431:K431" si="86">SUM(F416:F430)</f>
        <v>418259</v>
      </c>
      <c r="G431" s="549">
        <f t="shared" si="86"/>
        <v>230522</v>
      </c>
      <c r="H431" s="541">
        <f t="shared" si="86"/>
        <v>148078</v>
      </c>
      <c r="I431" s="542">
        <f t="shared" si="86"/>
        <v>39659</v>
      </c>
      <c r="J431" s="348">
        <f t="shared" si="86"/>
        <v>418259</v>
      </c>
      <c r="K431" s="348">
        <f t="shared" si="86"/>
        <v>0</v>
      </c>
    </row>
    <row r="432" spans="1:11">
      <c r="A432" s="333">
        <v>32</v>
      </c>
      <c r="D432" s="344"/>
      <c r="E432" s="196"/>
      <c r="F432" s="335"/>
      <c r="G432" s="548"/>
      <c r="H432" s="539"/>
      <c r="I432" s="540"/>
      <c r="J432" s="347"/>
      <c r="K432" s="347"/>
    </row>
    <row r="433" spans="1:11">
      <c r="A433" s="333">
        <v>33</v>
      </c>
      <c r="C433" s="332" t="str">
        <f>'FR-16(7)(v)-1 Functional'!C433</f>
        <v>TOTAL O &amp; M EXPENSE</v>
      </c>
      <c r="D433" s="344"/>
      <c r="E433" s="196"/>
      <c r="F433" s="347">
        <f t="shared" ref="F433:K433" si="87">F431+F407+F403+F389+F378+F364+F360</f>
        <v>8824202</v>
      </c>
      <c r="G433" s="550">
        <f t="shared" si="87"/>
        <v>920064</v>
      </c>
      <c r="H433" s="543">
        <f t="shared" si="87"/>
        <v>7748449</v>
      </c>
      <c r="I433" s="544">
        <f t="shared" si="87"/>
        <v>155689</v>
      </c>
      <c r="J433" s="347">
        <f t="shared" si="87"/>
        <v>8824202</v>
      </c>
      <c r="K433" s="347">
        <f t="shared" si="87"/>
        <v>0</v>
      </c>
    </row>
    <row r="434" spans="1:11">
      <c r="B434" s="343"/>
      <c r="C434" s="196"/>
      <c r="D434" s="344"/>
      <c r="E434" s="196"/>
      <c r="F434" s="196"/>
      <c r="G434" s="196"/>
      <c r="H434" s="196"/>
      <c r="I434" s="196"/>
      <c r="J434" s="196"/>
      <c r="K434" s="196"/>
    </row>
    <row r="435" spans="1:11">
      <c r="A435" s="343" t="str">
        <f>co_name</f>
        <v>DUKE ENERGY KENTUCKY, INC.</v>
      </c>
      <c r="C435" s="196"/>
      <c r="D435" s="344"/>
      <c r="E435" s="196"/>
      <c r="F435" s="196"/>
      <c r="G435" s="196"/>
      <c r="H435" s="196"/>
      <c r="I435" s="196"/>
      <c r="J435" s="196" t="str">
        <f>$J$1</f>
        <v>FR-16(7)(v)-11</v>
      </c>
      <c r="K435" s="196"/>
    </row>
    <row r="436" spans="1:11">
      <c r="A436" s="343" t="str">
        <f>$A$2</f>
        <v>FT-L CLASSIFIED - GAS COST OF SERVICE</v>
      </c>
      <c r="C436" s="196"/>
      <c r="D436" s="344"/>
      <c r="E436" s="196"/>
      <c r="F436" s="196"/>
      <c r="G436" s="196"/>
      <c r="H436" s="196"/>
      <c r="I436" s="196"/>
      <c r="J436" s="196" t="str">
        <f>$J$2</f>
        <v>WITNESS RESPONSIBLE:</v>
      </c>
      <c r="K436" s="196"/>
    </row>
    <row r="437" spans="1:11">
      <c r="A437" s="343" t="str">
        <f>case_name</f>
        <v>CASE NO: 2018-00261</v>
      </c>
      <c r="C437" s="196"/>
      <c r="D437" s="344"/>
      <c r="E437" s="196"/>
      <c r="F437" s="196"/>
      <c r="G437" s="196"/>
      <c r="H437" s="196"/>
      <c r="I437" s="196"/>
      <c r="J437" s="196" t="str">
        <f>Witness</f>
        <v>JAMES E. ZIOLKOWSKI</v>
      </c>
      <c r="K437" s="196"/>
    </row>
    <row r="438" spans="1:11">
      <c r="A438" s="343" t="str">
        <f>data_filing</f>
        <v>DATA: 12 MONTH FORECASTED PERIOD</v>
      </c>
      <c r="C438" s="196"/>
      <c r="D438" s="344"/>
      <c r="E438" s="196"/>
      <c r="F438" s="196"/>
      <c r="G438" s="196"/>
      <c r="H438" s="196"/>
      <c r="I438" s="196"/>
      <c r="J438" s="196" t="str">
        <f>"PAGE "&amp;Pages2-5&amp;" OF "&amp;Pages2</f>
        <v>PAGE 10 OF 15</v>
      </c>
      <c r="K438" s="196"/>
    </row>
    <row r="439" spans="1:11">
      <c r="A439" s="343" t="str">
        <f>type</f>
        <v xml:space="preserve">TYPE OF FILING: "X" ORIGINAL   UPDATED    REVISED  </v>
      </c>
      <c r="C439" s="196"/>
      <c r="D439" s="344"/>
      <c r="E439" s="196"/>
      <c r="F439" s="196"/>
      <c r="G439" s="196"/>
      <c r="H439" s="196"/>
      <c r="I439" s="196"/>
      <c r="J439" s="196"/>
      <c r="K439" s="196"/>
    </row>
    <row r="440" spans="1:11">
      <c r="B440" s="343"/>
      <c r="C440" s="196"/>
      <c r="D440" s="344"/>
      <c r="E440" s="196"/>
      <c r="F440" s="196"/>
      <c r="G440" s="196"/>
      <c r="H440" s="196"/>
      <c r="I440" s="196"/>
      <c r="J440" s="196"/>
      <c r="K440" s="196"/>
    </row>
    <row r="441" spans="1:11">
      <c r="B441" s="343"/>
      <c r="C441" s="196"/>
      <c r="D441" s="344"/>
      <c r="E441" s="196"/>
      <c r="F441" s="196"/>
      <c r="G441" s="196"/>
      <c r="H441" s="196"/>
      <c r="I441" s="196"/>
      <c r="J441" s="196"/>
      <c r="K441" s="196"/>
    </row>
    <row r="442" spans="1:11">
      <c r="A442" s="344" t="s">
        <v>914</v>
      </c>
      <c r="B442" s="196"/>
      <c r="C442" s="196"/>
      <c r="D442" s="344"/>
      <c r="E442" s="196"/>
      <c r="F442" s="344" t="s">
        <v>229</v>
      </c>
      <c r="G442" s="545" t="s">
        <v>1005</v>
      </c>
      <c r="H442" s="533"/>
      <c r="I442" s="534"/>
      <c r="J442" s="344" t="s">
        <v>229</v>
      </c>
      <c r="K442" s="344" t="s">
        <v>342</v>
      </c>
    </row>
    <row r="443" spans="1:11">
      <c r="A443" s="346" t="s">
        <v>915</v>
      </c>
      <c r="B443" s="345" t="s">
        <v>55</v>
      </c>
      <c r="C443" s="345"/>
      <c r="D443" s="346" t="s">
        <v>337</v>
      </c>
      <c r="E443" s="345"/>
      <c r="F443" s="346" t="str">
        <f>$F$9</f>
        <v>FT-L</v>
      </c>
      <c r="G443" s="546" t="s">
        <v>847</v>
      </c>
      <c r="H443" s="535" t="s">
        <v>848</v>
      </c>
      <c r="I443" s="536" t="s">
        <v>849</v>
      </c>
      <c r="J443" s="346" t="s">
        <v>341</v>
      </c>
      <c r="K443" s="346" t="s">
        <v>340</v>
      </c>
    </row>
    <row r="444" spans="1:11">
      <c r="C444" s="578" t="s">
        <v>349</v>
      </c>
      <c r="D444" s="344"/>
      <c r="E444" s="196"/>
      <c r="F444" s="510"/>
      <c r="G444" s="800">
        <f>$G$10</f>
        <v>3</v>
      </c>
      <c r="H444" s="801">
        <f>$H$10</f>
        <v>4</v>
      </c>
      <c r="I444" s="802">
        <f>$I$10</f>
        <v>5</v>
      </c>
      <c r="J444" s="510"/>
      <c r="K444" s="510"/>
    </row>
    <row r="445" spans="1:11">
      <c r="A445" s="333">
        <v>1</v>
      </c>
      <c r="B445" s="353" t="s">
        <v>56</v>
      </c>
      <c r="C445" s="353"/>
      <c r="D445" s="344"/>
      <c r="E445" s="196"/>
      <c r="G445" s="547"/>
      <c r="H445" s="537"/>
      <c r="I445" s="538"/>
    </row>
    <row r="446" spans="1:11">
      <c r="A446" s="333">
        <v>2</v>
      </c>
      <c r="B446" s="353"/>
      <c r="C446" s="511" t="str">
        <f>'FR-16(7)(v)-1 Functional'!C446</f>
        <v>PRODUCTION DEPRECIATION</v>
      </c>
      <c r="D446" s="344" t="str">
        <f>'FR-16(7)(v)-1 Functional'!D446</f>
        <v>P229</v>
      </c>
      <c r="E446" s="196"/>
      <c r="F446" s="479">
        <f>'FR-16(7)(v)-8 TOT CLASS Alloc'!I446</f>
        <v>24366</v>
      </c>
      <c r="G446" s="548">
        <f>'FR-16(7)(v)-5 DISTR Dem Alloc'!I446</f>
        <v>0</v>
      </c>
      <c r="H446" s="539">
        <f>'FR-16(7)(v)-3 PROD Comm Alloc'!I446</f>
        <v>24366</v>
      </c>
      <c r="I446" s="540">
        <f>'FR-16(7)(v)-6 DISTR Cust Alloc'!I446</f>
        <v>0</v>
      </c>
      <c r="J446" s="347">
        <f>SUM(G446:I446)</f>
        <v>24366</v>
      </c>
      <c r="K446" s="347">
        <f>F446-J446</f>
        <v>0</v>
      </c>
    </row>
    <row r="447" spans="1:11">
      <c r="A447" s="333">
        <v>3</v>
      </c>
      <c r="B447" s="353"/>
      <c r="C447" s="353" t="str">
        <f>'FR-16(7)(v)-1 Functional'!C447</f>
        <v xml:space="preserve">  TOTAL PRODUCTION DEPREC EXP.</v>
      </c>
      <c r="D447" s="344"/>
      <c r="E447" s="196"/>
      <c r="F447" s="348">
        <f t="shared" ref="F447:K447" si="88">SUM(F446:F446)</f>
        <v>24366</v>
      </c>
      <c r="G447" s="549">
        <f t="shared" si="88"/>
        <v>0</v>
      </c>
      <c r="H447" s="541">
        <f t="shared" si="88"/>
        <v>24366</v>
      </c>
      <c r="I447" s="542">
        <f t="shared" si="88"/>
        <v>0</v>
      </c>
      <c r="J447" s="348">
        <f t="shared" si="88"/>
        <v>24366</v>
      </c>
      <c r="K447" s="348">
        <f t="shared" si="88"/>
        <v>0</v>
      </c>
    </row>
    <row r="448" spans="1:11">
      <c r="A448" s="333">
        <v>4</v>
      </c>
      <c r="B448" s="353"/>
      <c r="C448" s="353"/>
      <c r="D448" s="344"/>
      <c r="E448" s="196"/>
      <c r="F448" s="353"/>
      <c r="G448" s="547"/>
      <c r="H448" s="537"/>
      <c r="I448" s="538"/>
    </row>
    <row r="449" spans="1:11">
      <c r="A449" s="333">
        <v>5</v>
      </c>
      <c r="B449" s="511" t="s">
        <v>57</v>
      </c>
      <c r="C449" s="511"/>
      <c r="D449" s="344"/>
      <c r="E449" s="196"/>
      <c r="F449" s="349"/>
      <c r="G449" s="548"/>
      <c r="H449" s="539"/>
      <c r="I449" s="540"/>
      <c r="J449" s="347"/>
      <c r="K449" s="347"/>
    </row>
    <row r="450" spans="1:11">
      <c r="A450" s="333">
        <v>6</v>
      </c>
      <c r="B450" s="353"/>
      <c r="C450" s="353" t="str">
        <f>'FR-16(7)(v)-1 Functional'!C450</f>
        <v xml:space="preserve">  TOTAL TRANSMISSION DEP. EXP.</v>
      </c>
      <c r="D450" s="344"/>
      <c r="E450" s="196"/>
      <c r="F450" s="348">
        <f t="shared" ref="F450:K450" si="89">SUM(F449)</f>
        <v>0</v>
      </c>
      <c r="G450" s="549">
        <f t="shared" si="89"/>
        <v>0</v>
      </c>
      <c r="H450" s="541">
        <f t="shared" si="89"/>
        <v>0</v>
      </c>
      <c r="I450" s="542">
        <f t="shared" si="89"/>
        <v>0</v>
      </c>
      <c r="J450" s="348">
        <f t="shared" si="89"/>
        <v>0</v>
      </c>
      <c r="K450" s="348">
        <f t="shared" si="89"/>
        <v>0</v>
      </c>
    </row>
    <row r="451" spans="1:11">
      <c r="A451" s="333">
        <v>7</v>
      </c>
      <c r="B451" s="353"/>
      <c r="C451" s="353"/>
      <c r="D451" s="344"/>
      <c r="E451" s="196"/>
      <c r="F451" s="353"/>
      <c r="G451" s="547"/>
      <c r="H451" s="537"/>
      <c r="I451" s="538"/>
    </row>
    <row r="452" spans="1:11">
      <c r="A452" s="333">
        <v>8</v>
      </c>
      <c r="B452" s="353" t="s">
        <v>58</v>
      </c>
      <c r="C452" s="353"/>
      <c r="D452" s="344"/>
      <c r="E452" s="196"/>
      <c r="F452" s="353"/>
      <c r="G452" s="547"/>
      <c r="H452" s="537"/>
      <c r="I452" s="538"/>
    </row>
    <row r="453" spans="1:11">
      <c r="A453" s="333">
        <v>9</v>
      </c>
      <c r="B453" s="353"/>
      <c r="C453" s="511" t="str">
        <f>'FR-16(7)(v)-1 Functional'!C453</f>
        <v>DISTRIBUTION DEPRECIATION</v>
      </c>
      <c r="D453" s="344" t="str">
        <f>'FR-16(7)(v)-1 Functional'!D453</f>
        <v>D249</v>
      </c>
      <c r="E453" s="196"/>
      <c r="F453" s="479">
        <f>'FR-16(7)(v)-8 TOT CLASS Alloc'!I453</f>
        <v>739258</v>
      </c>
      <c r="G453" s="548">
        <f>'FR-16(7)(v)-5 DISTR Dem Alloc'!I453</f>
        <v>721389</v>
      </c>
      <c r="H453" s="539">
        <f>'FR-16(7)(v)-3 PROD Comm Alloc'!I453</f>
        <v>0</v>
      </c>
      <c r="I453" s="540">
        <f>'FR-16(7)(v)-6 DISTR Cust Alloc'!I453</f>
        <v>17869</v>
      </c>
      <c r="J453" s="347">
        <f>SUM(G453:I453)</f>
        <v>739258</v>
      </c>
      <c r="K453" s="347">
        <f>F453-J453</f>
        <v>0</v>
      </c>
    </row>
    <row r="454" spans="1:11">
      <c r="A454" s="333">
        <v>10</v>
      </c>
      <c r="B454" s="353"/>
      <c r="C454" s="353" t="str">
        <f>'FR-16(7)(v)-1 Functional'!C454</f>
        <v xml:space="preserve">  TOTAL DIST. DEPREC EXP.</v>
      </c>
      <c r="D454" s="344"/>
      <c r="E454" s="196"/>
      <c r="F454" s="348">
        <f t="shared" ref="F454:K454" si="90">SUM(F453:F453)</f>
        <v>739258</v>
      </c>
      <c r="G454" s="549">
        <f t="shared" si="90"/>
        <v>721389</v>
      </c>
      <c r="H454" s="541">
        <f t="shared" si="90"/>
        <v>0</v>
      </c>
      <c r="I454" s="542">
        <f t="shared" si="90"/>
        <v>17869</v>
      </c>
      <c r="J454" s="348">
        <f t="shared" si="90"/>
        <v>739258</v>
      </c>
      <c r="K454" s="348">
        <f t="shared" si="90"/>
        <v>0</v>
      </c>
    </row>
    <row r="455" spans="1:11">
      <c r="A455" s="333">
        <v>11</v>
      </c>
      <c r="B455" s="353"/>
      <c r="C455" s="353"/>
      <c r="D455" s="344"/>
      <c r="E455" s="196"/>
      <c r="F455" s="353" t="s">
        <v>343</v>
      </c>
      <c r="G455" s="547"/>
      <c r="H455" s="537"/>
      <c r="I455" s="538"/>
    </row>
    <row r="456" spans="1:11">
      <c r="A456" s="333">
        <v>12</v>
      </c>
      <c r="B456" s="353" t="s">
        <v>59</v>
      </c>
      <c r="C456" s="353"/>
      <c r="D456" s="344"/>
      <c r="E456" s="196"/>
      <c r="F456" s="353"/>
      <c r="G456" s="547"/>
      <c r="H456" s="537"/>
      <c r="I456" s="538"/>
    </row>
    <row r="457" spans="1:11">
      <c r="A457" s="333">
        <v>13</v>
      </c>
      <c r="B457" s="353"/>
      <c r="C457" s="511" t="str">
        <f>'FR-16(7)(v)-1 Functional'!C457</f>
        <v>GENERAL DEPRECIATION</v>
      </c>
      <c r="D457" s="344" t="str">
        <f>'FR-16(7)(v)-1 Functional'!D457</f>
        <v>G229</v>
      </c>
      <c r="E457" s="196"/>
      <c r="F457" s="479">
        <f>'FR-16(7)(v)-8 TOT CLASS Alloc'!I457</f>
        <v>130752</v>
      </c>
      <c r="G457" s="548">
        <f>'FR-16(7)(v)-5 DISTR Dem Alloc'!I457</f>
        <v>72051</v>
      </c>
      <c r="H457" s="539">
        <f>'FR-16(7)(v)-3 PROD Comm Alloc'!I457</f>
        <v>46303</v>
      </c>
      <c r="I457" s="540">
        <f>'FR-16(7)(v)-6 DISTR Cust Alloc'!I457</f>
        <v>12398</v>
      </c>
      <c r="J457" s="347">
        <f>SUM(G457:I457)</f>
        <v>130752</v>
      </c>
      <c r="K457" s="347">
        <f>F457-J457</f>
        <v>0</v>
      </c>
    </row>
    <row r="458" spans="1:11">
      <c r="A458" s="333">
        <v>14</v>
      </c>
      <c r="B458" s="353"/>
      <c r="C458" s="353" t="str">
        <f>'FR-16(7)(v)-1 Functional'!C458</f>
        <v xml:space="preserve">  TOTAL GENERAL DEPREC EXP.</v>
      </c>
      <c r="D458" s="344"/>
      <c r="E458" s="196"/>
      <c r="F458" s="348">
        <f t="shared" ref="F458:K458" si="91">SUM(F457:F457)</f>
        <v>130752</v>
      </c>
      <c r="G458" s="549">
        <f t="shared" si="91"/>
        <v>72051</v>
      </c>
      <c r="H458" s="541">
        <f t="shared" si="91"/>
        <v>46303</v>
      </c>
      <c r="I458" s="542">
        <f t="shared" si="91"/>
        <v>12398</v>
      </c>
      <c r="J458" s="348">
        <f t="shared" si="91"/>
        <v>130752</v>
      </c>
      <c r="K458" s="348">
        <f t="shared" si="91"/>
        <v>0</v>
      </c>
    </row>
    <row r="459" spans="1:11">
      <c r="A459" s="333">
        <v>15</v>
      </c>
      <c r="B459" s="353"/>
      <c r="C459" s="353"/>
      <c r="D459" s="344"/>
      <c r="E459" s="196"/>
      <c r="F459" s="353"/>
      <c r="G459" s="547"/>
      <c r="H459" s="537"/>
      <c r="I459" s="538"/>
    </row>
    <row r="460" spans="1:11">
      <c r="A460" s="333">
        <v>16</v>
      </c>
      <c r="B460" s="353" t="s">
        <v>60</v>
      </c>
      <c r="C460" s="353"/>
      <c r="D460" s="344"/>
      <c r="E460" s="196"/>
      <c r="F460" s="476"/>
      <c r="G460" s="548"/>
      <c r="H460" s="539"/>
      <c r="I460" s="540"/>
      <c r="J460" s="347"/>
      <c r="K460" s="347"/>
    </row>
    <row r="461" spans="1:11">
      <c r="A461" s="333">
        <v>17</v>
      </c>
      <c r="B461" s="353"/>
      <c r="C461" s="511" t="str">
        <f>'FR-16(7)(v)-1 Functional'!C461</f>
        <v>COMMON DEPRECIATION</v>
      </c>
      <c r="D461" s="344" t="str">
        <f>'FR-16(7)(v)-1 Functional'!D461</f>
        <v>C229</v>
      </c>
      <c r="E461" s="196"/>
      <c r="F461" s="479">
        <f>'FR-16(7)(v)-8 TOT CLASS Alloc'!I461</f>
        <v>7591</v>
      </c>
      <c r="G461" s="548">
        <f>'FR-16(7)(v)-5 DISTR Dem Alloc'!I461</f>
        <v>4183</v>
      </c>
      <c r="H461" s="539">
        <f>'FR-16(7)(v)-3 PROD Comm Alloc'!I461</f>
        <v>2688</v>
      </c>
      <c r="I461" s="540">
        <f>'FR-16(7)(v)-6 DISTR Cust Alloc'!I461</f>
        <v>720</v>
      </c>
      <c r="J461" s="347">
        <f>SUM(G461:I461)</f>
        <v>7591</v>
      </c>
      <c r="K461" s="347">
        <f>F461-J461</f>
        <v>0</v>
      </c>
    </row>
    <row r="462" spans="1:11">
      <c r="A462" s="333">
        <v>18</v>
      </c>
      <c r="B462" s="353"/>
      <c r="C462" s="353" t="str">
        <f>'FR-16(7)(v)-1 Functional'!C462</f>
        <v xml:space="preserve">  TOTAL COM &amp; OTHER DEPREC EXP.</v>
      </c>
      <c r="D462" s="344"/>
      <c r="E462" s="196"/>
      <c r="F462" s="348">
        <f t="shared" ref="F462:K462" si="92">SUM(F461:F461)</f>
        <v>7591</v>
      </c>
      <c r="G462" s="549">
        <f t="shared" si="92"/>
        <v>4183</v>
      </c>
      <c r="H462" s="541">
        <f t="shared" si="92"/>
        <v>2688</v>
      </c>
      <c r="I462" s="542">
        <f t="shared" si="92"/>
        <v>720</v>
      </c>
      <c r="J462" s="348">
        <f t="shared" si="92"/>
        <v>7591</v>
      </c>
      <c r="K462" s="348">
        <f t="shared" si="92"/>
        <v>0</v>
      </c>
    </row>
    <row r="463" spans="1:11">
      <c r="A463" s="333">
        <v>19</v>
      </c>
      <c r="B463" s="353"/>
      <c r="C463" s="353"/>
      <c r="D463" s="344"/>
      <c r="E463" s="196"/>
      <c r="G463" s="547"/>
      <c r="H463" s="537"/>
      <c r="I463" s="538"/>
    </row>
    <row r="464" spans="1:11">
      <c r="A464" s="333">
        <v>20</v>
      </c>
      <c r="B464" s="353"/>
      <c r="C464" s="353"/>
      <c r="D464" s="344"/>
      <c r="E464" s="196"/>
      <c r="G464" s="547"/>
      <c r="H464" s="537"/>
      <c r="I464" s="538"/>
    </row>
    <row r="465" spans="1:12">
      <c r="A465" s="333">
        <v>21</v>
      </c>
      <c r="B465" s="353" t="s">
        <v>61</v>
      </c>
      <c r="C465" s="353"/>
      <c r="D465" s="344"/>
      <c r="E465" s="332" t="s">
        <v>343</v>
      </c>
      <c r="F465" s="347">
        <f t="shared" ref="F465:K465" si="93">F462+F458+F454+F450+F447</f>
        <v>901967</v>
      </c>
      <c r="G465" s="550">
        <f t="shared" si="93"/>
        <v>797623</v>
      </c>
      <c r="H465" s="543">
        <f t="shared" si="93"/>
        <v>73357</v>
      </c>
      <c r="I465" s="544">
        <f t="shared" si="93"/>
        <v>30987</v>
      </c>
      <c r="J465" s="347">
        <f t="shared" si="93"/>
        <v>901967</v>
      </c>
      <c r="K465" s="347">
        <f t="shared" si="93"/>
        <v>0</v>
      </c>
    </row>
    <row r="466" spans="1:12">
      <c r="B466" s="343"/>
      <c r="C466" s="196"/>
      <c r="D466" s="344"/>
      <c r="E466" s="196"/>
      <c r="F466" s="196"/>
      <c r="G466" s="196"/>
      <c r="H466" s="196"/>
      <c r="I466" s="196"/>
      <c r="J466" s="196"/>
      <c r="K466" s="196"/>
    </row>
    <row r="467" spans="1:12">
      <c r="A467" s="343" t="str">
        <f>co_name</f>
        <v>DUKE ENERGY KENTUCKY, INC.</v>
      </c>
      <c r="C467" s="196"/>
      <c r="D467" s="344"/>
      <c r="E467" s="196"/>
      <c r="F467" s="196"/>
      <c r="G467" s="196"/>
      <c r="H467" s="196"/>
      <c r="I467" s="196"/>
      <c r="J467" s="196" t="str">
        <f>$J$1</f>
        <v>FR-16(7)(v)-11</v>
      </c>
      <c r="K467" s="196"/>
    </row>
    <row r="468" spans="1:12">
      <c r="A468" s="343" t="str">
        <f>$A$2</f>
        <v>FT-L CLASSIFIED - GAS COST OF SERVICE</v>
      </c>
      <c r="C468" s="196"/>
      <c r="D468" s="344"/>
      <c r="E468" s="196"/>
      <c r="F468" s="196"/>
      <c r="G468" s="196"/>
      <c r="H468" s="196"/>
      <c r="I468" s="196"/>
      <c r="J468" s="196" t="str">
        <f>$J$2</f>
        <v>WITNESS RESPONSIBLE:</v>
      </c>
      <c r="K468" s="196"/>
    </row>
    <row r="469" spans="1:12">
      <c r="A469" s="343" t="str">
        <f>case_name</f>
        <v>CASE NO: 2018-00261</v>
      </c>
      <c r="C469" s="196"/>
      <c r="D469" s="344"/>
      <c r="E469" s="196"/>
      <c r="F469" s="196"/>
      <c r="G469" s="196"/>
      <c r="H469" s="196"/>
      <c r="I469" s="196"/>
      <c r="J469" s="196" t="str">
        <f>Witness</f>
        <v>JAMES E. ZIOLKOWSKI</v>
      </c>
      <c r="K469" s="196"/>
    </row>
    <row r="470" spans="1:12">
      <c r="A470" s="343" t="str">
        <f>data_filing</f>
        <v>DATA: 12 MONTH FORECASTED PERIOD</v>
      </c>
      <c r="C470" s="196"/>
      <c r="D470" s="344"/>
      <c r="E470" s="196"/>
      <c r="F470" s="196"/>
      <c r="G470" s="196"/>
      <c r="H470" s="196"/>
      <c r="I470" s="196"/>
      <c r="J470" s="196" t="str">
        <f>"PAGE "&amp;Pages2-4&amp;" OF "&amp;Pages2</f>
        <v>PAGE 11 OF 15</v>
      </c>
      <c r="K470" s="196"/>
    </row>
    <row r="471" spans="1:12">
      <c r="A471" s="343" t="str">
        <f>type</f>
        <v xml:space="preserve">TYPE OF FILING: "X" ORIGINAL   UPDATED    REVISED  </v>
      </c>
      <c r="C471" s="196"/>
      <c r="D471" s="344"/>
      <c r="E471" s="196"/>
      <c r="F471" s="196"/>
      <c r="G471" s="196"/>
      <c r="H471" s="196"/>
      <c r="I471" s="196"/>
      <c r="J471" s="196"/>
      <c r="K471" s="196"/>
    </row>
    <row r="472" spans="1:12">
      <c r="B472" s="343"/>
      <c r="C472" s="196"/>
      <c r="D472" s="344"/>
      <c r="E472" s="196"/>
      <c r="F472" s="196"/>
      <c r="G472" s="196"/>
      <c r="H472" s="196"/>
      <c r="I472" s="196"/>
      <c r="J472" s="196"/>
      <c r="K472" s="196"/>
    </row>
    <row r="473" spans="1:12">
      <c r="B473" s="343"/>
      <c r="C473" s="196"/>
      <c r="D473" s="344"/>
      <c r="E473" s="196"/>
      <c r="F473" s="196"/>
      <c r="G473" s="196"/>
      <c r="H473" s="196"/>
      <c r="I473" s="196"/>
      <c r="J473" s="196"/>
      <c r="K473" s="196"/>
    </row>
    <row r="474" spans="1:12">
      <c r="A474" s="344" t="s">
        <v>914</v>
      </c>
      <c r="B474" s="196"/>
      <c r="C474" s="196"/>
      <c r="D474" s="344"/>
      <c r="E474" s="196"/>
      <c r="F474" s="344" t="s">
        <v>229</v>
      </c>
      <c r="G474" s="545" t="s">
        <v>1005</v>
      </c>
      <c r="H474" s="533"/>
      <c r="I474" s="534"/>
      <c r="J474" s="344" t="s">
        <v>229</v>
      </c>
      <c r="K474" s="344" t="s">
        <v>342</v>
      </c>
    </row>
    <row r="475" spans="1:12">
      <c r="A475" s="346" t="s">
        <v>915</v>
      </c>
      <c r="B475" s="345" t="s">
        <v>62</v>
      </c>
      <c r="C475" s="345"/>
      <c r="D475" s="346" t="s">
        <v>337</v>
      </c>
      <c r="E475" s="345"/>
      <c r="F475" s="346" t="str">
        <f>$F$9</f>
        <v>FT-L</v>
      </c>
      <c r="G475" s="546" t="s">
        <v>847</v>
      </c>
      <c r="H475" s="535" t="s">
        <v>848</v>
      </c>
      <c r="I475" s="536" t="s">
        <v>849</v>
      </c>
      <c r="J475" s="346" t="s">
        <v>341</v>
      </c>
      <c r="K475" s="346" t="s">
        <v>340</v>
      </c>
      <c r="L475" s="365"/>
    </row>
    <row r="476" spans="1:12">
      <c r="C476" s="578" t="s">
        <v>350</v>
      </c>
      <c r="D476" s="344"/>
      <c r="E476" s="196"/>
      <c r="F476" s="510"/>
      <c r="G476" s="800">
        <f>$G$10</f>
        <v>3</v>
      </c>
      <c r="H476" s="801">
        <f>$H$10</f>
        <v>4</v>
      </c>
      <c r="I476" s="802">
        <f>$I$10</f>
        <v>5</v>
      </c>
      <c r="J476" s="510"/>
      <c r="K476" s="510"/>
    </row>
    <row r="477" spans="1:12">
      <c r="A477" s="333">
        <v>1</v>
      </c>
      <c r="B477" s="332" t="s">
        <v>63</v>
      </c>
      <c r="D477" s="344"/>
      <c r="E477" s="196"/>
      <c r="G477" s="547"/>
      <c r="H477" s="537"/>
      <c r="I477" s="538"/>
    </row>
    <row r="478" spans="1:12">
      <c r="A478" s="333">
        <v>2</v>
      </c>
      <c r="B478" s="332" t="s">
        <v>64</v>
      </c>
      <c r="D478" s="344"/>
      <c r="E478" s="196"/>
      <c r="G478" s="547"/>
      <c r="H478" s="537"/>
      <c r="I478" s="538"/>
    </row>
    <row r="479" spans="1:12">
      <c r="A479" s="333">
        <v>3</v>
      </c>
      <c r="C479" s="332" t="str">
        <f>'FR-16(7)(v)-1 Functional'!C479</f>
        <v>REAL ESTATE &amp; PROPERTY TAX</v>
      </c>
      <c r="D479" s="344" t="str">
        <f>'FR-16(7)(v)-1 Functional'!D479</f>
        <v>NP29</v>
      </c>
      <c r="E479" s="196"/>
      <c r="F479" s="479">
        <f>'FR-16(7)(v)-8 TOT CLASS Alloc'!I479</f>
        <v>207733</v>
      </c>
      <c r="G479" s="548">
        <f>'FR-16(7)(v)-5 DISTR Dem Alloc'!$I$479</f>
        <v>197942</v>
      </c>
      <c r="H479" s="539">
        <f>'FR-16(7)(v)-3 PROD Comm Alloc'!$I$479</f>
        <v>4183</v>
      </c>
      <c r="I479" s="540">
        <f>'FR-16(7)(v)-6 DISTR Cust Alloc'!$I$479</f>
        <v>5608</v>
      </c>
      <c r="J479" s="347">
        <f>SUM($G$479:$I$479)</f>
        <v>207733</v>
      </c>
      <c r="K479" s="347">
        <f>F479-$J$479</f>
        <v>0</v>
      </c>
    </row>
    <row r="480" spans="1:12">
      <c r="A480" s="333">
        <v>4</v>
      </c>
      <c r="C480" s="359" t="str">
        <f>'FR-16(7)(v)-1 Functional'!C480</f>
        <v>ANNUALIZE PROPERTY TAX</v>
      </c>
      <c r="D480" s="344" t="str">
        <f>'FR-16(7)(v)-1 Functional'!D480</f>
        <v>NP29</v>
      </c>
      <c r="E480" s="196" t="s">
        <v>343</v>
      </c>
      <c r="F480" s="479">
        <f>'FR-16(7)(v)-8 TOT CLASS Alloc'!I480</f>
        <v>0</v>
      </c>
      <c r="G480" s="548">
        <f>'FR-16(7)(v)-5 DISTR Dem Alloc'!$I$480</f>
        <v>0</v>
      </c>
      <c r="H480" s="539">
        <f>'FR-16(7)(v)-3 PROD Comm Alloc'!$I$480</f>
        <v>0</v>
      </c>
      <c r="I480" s="540">
        <f>'FR-16(7)(v)-6 DISTR Cust Alloc'!$I$480</f>
        <v>0</v>
      </c>
      <c r="J480" s="347">
        <f>SUM($G$480:$I$480)</f>
        <v>0</v>
      </c>
      <c r="K480" s="347">
        <f>F480-$J$480</f>
        <v>0</v>
      </c>
    </row>
    <row r="481" spans="1:11">
      <c r="A481" s="333">
        <v>5</v>
      </c>
      <c r="C481" s="332" t="str">
        <f>'FR-16(7)(v)-1 Functional'!C481</f>
        <v xml:space="preserve">  TOTAL REAL ESTATE &amp; PROPERTY TAX</v>
      </c>
      <c r="D481" s="344"/>
      <c r="E481" s="196"/>
      <c r="F481" s="348">
        <f>SUM(F479:F480)</f>
        <v>207733</v>
      </c>
      <c r="G481" s="549">
        <f>SUM($G$479:$G$480)</f>
        <v>197942</v>
      </c>
      <c r="H481" s="541">
        <f>SUM($H$479:$H$480)</f>
        <v>4183</v>
      </c>
      <c r="I481" s="542">
        <f>SUM($I$479:$I$480)</f>
        <v>5608</v>
      </c>
      <c r="J481" s="348">
        <f>SUM($J$479:$J$480)</f>
        <v>207733</v>
      </c>
      <c r="K481" s="348">
        <f>SUM($K$479:$K$480)</f>
        <v>0</v>
      </c>
    </row>
    <row r="482" spans="1:11">
      <c r="A482" s="333">
        <v>6</v>
      </c>
      <c r="D482" s="344"/>
      <c r="E482" s="196"/>
      <c r="F482" s="353"/>
      <c r="G482" s="547"/>
      <c r="H482" s="537"/>
      <c r="I482" s="538"/>
    </row>
    <row r="483" spans="1:11">
      <c r="A483" s="333">
        <v>7</v>
      </c>
      <c r="B483" s="332" t="s">
        <v>65</v>
      </c>
      <c r="D483" s="344"/>
      <c r="E483" s="196"/>
      <c r="F483" s="353"/>
      <c r="G483" s="547"/>
      <c r="H483" s="537"/>
      <c r="I483" s="538"/>
    </row>
    <row r="484" spans="1:11">
      <c r="A484" s="333">
        <v>8</v>
      </c>
      <c r="C484" s="332" t="str">
        <f>'FR-16(7)(v)-1 Functional'!C484</f>
        <v>PAYROLL &amp; HIGHWAY</v>
      </c>
      <c r="D484" s="344" t="str">
        <f>'FR-16(7)(v)-1 Functional'!D484</f>
        <v>AG39</v>
      </c>
      <c r="E484" s="196"/>
      <c r="F484" s="479">
        <f>'FR-16(7)(v)-8 TOT CLASS Alloc'!I484</f>
        <v>42226</v>
      </c>
      <c r="G484" s="548">
        <f>'FR-16(7)(v)-5 DISTR Dem Alloc'!$I$484</f>
        <v>23272</v>
      </c>
      <c r="H484" s="539">
        <f>'FR-16(7)(v)-3 PROD Comm Alloc'!$I$484</f>
        <v>14949</v>
      </c>
      <c r="I484" s="540">
        <f>'FR-16(7)(v)-6 DISTR Cust Alloc'!$I$484</f>
        <v>4005</v>
      </c>
      <c r="J484" s="347">
        <f>SUM($G$484:$I$484)</f>
        <v>42226</v>
      </c>
      <c r="K484" s="347">
        <f>F484-$J$484</f>
        <v>0</v>
      </c>
    </row>
    <row r="485" spans="1:11">
      <c r="A485" s="333">
        <v>9</v>
      </c>
      <c r="C485" s="332" t="str">
        <f>'FR-16(7)(v)-1 Functional'!C485</f>
        <v>UNEMPLOYMENT COMPENSATION</v>
      </c>
      <c r="D485" s="354" t="str">
        <f>'FR-16(7)(v)-1 Functional'!D485</f>
        <v>AG39</v>
      </c>
      <c r="E485" s="196"/>
      <c r="F485" s="479">
        <f>'FR-16(7)(v)-8 TOT CLASS Alloc'!I485</f>
        <v>0</v>
      </c>
      <c r="G485" s="548">
        <f>'FR-16(7)(v)-5 DISTR Dem Alloc'!$I$485</f>
        <v>0</v>
      </c>
      <c r="H485" s="539">
        <f>'FR-16(7)(v)-3 PROD Comm Alloc'!$I$485</f>
        <v>0</v>
      </c>
      <c r="I485" s="540">
        <f>'FR-16(7)(v)-6 DISTR Cust Alloc'!$I$485</f>
        <v>0</v>
      </c>
      <c r="J485" s="347">
        <f>SUM($G$485:$I$485)</f>
        <v>0</v>
      </c>
      <c r="K485" s="347">
        <f>F485-$J$485</f>
        <v>0</v>
      </c>
    </row>
    <row r="486" spans="1:11">
      <c r="A486" s="333">
        <v>10</v>
      </c>
      <c r="C486" s="332" t="str">
        <f>'FR-16(7)(v)-1 Functional'!C486</f>
        <v>OHIO EXCISE TAX</v>
      </c>
      <c r="D486" s="354" t="str">
        <f>'FR-16(7)(v)-1 Functional'!D486</f>
        <v>OM39</v>
      </c>
      <c r="E486" s="196"/>
      <c r="F486" s="479">
        <f>'FR-16(7)(v)-8 TOT CLASS Alloc'!I486</f>
        <v>0</v>
      </c>
      <c r="G486" s="548">
        <f>'FR-16(7)(v)-5 DISTR Dem Alloc'!$I$486</f>
        <v>0</v>
      </c>
      <c r="H486" s="539">
        <f>'FR-16(7)(v)-3 PROD Comm Alloc'!$I$486</f>
        <v>0</v>
      </c>
      <c r="I486" s="540">
        <f>'FR-16(7)(v)-6 DISTR Cust Alloc'!$I$486</f>
        <v>0</v>
      </c>
      <c r="J486" s="347">
        <f>SUM($G$486:$I$486)</f>
        <v>0</v>
      </c>
      <c r="K486" s="347">
        <f>F486-$J$486</f>
        <v>0</v>
      </c>
    </row>
    <row r="487" spans="1:11">
      <c r="A487" s="333">
        <v>11</v>
      </c>
      <c r="C487" s="359" t="str">
        <f>'FR-16(7)(v)-1 Functional'!C487</f>
        <v>STATE TAX RIDER</v>
      </c>
      <c r="D487" s="354" t="str">
        <f>'FR-16(7)(v)-1 Functional'!D487</f>
        <v>OM39</v>
      </c>
      <c r="E487" s="196"/>
      <c r="F487" s="479">
        <f>'FR-16(7)(v)-8 TOT CLASS Alloc'!I487</f>
        <v>0</v>
      </c>
      <c r="G487" s="548">
        <f>'FR-16(7)(v)-5 DISTR Dem Alloc'!$I$487</f>
        <v>0</v>
      </c>
      <c r="H487" s="539">
        <f>'FR-16(7)(v)-3 PROD Comm Alloc'!$I$487</f>
        <v>0</v>
      </c>
      <c r="I487" s="540">
        <f>'FR-16(7)(v)-6 DISTR Cust Alloc'!$I$487</f>
        <v>0</v>
      </c>
      <c r="J487" s="347">
        <f>SUM($G$487:$I$487)</f>
        <v>0</v>
      </c>
      <c r="K487" s="347">
        <f>F487-$J$487</f>
        <v>0</v>
      </c>
    </row>
    <row r="488" spans="1:11">
      <c r="A488" s="333">
        <v>12</v>
      </c>
      <c r="C488" s="332" t="str">
        <f>'FR-16(7)(v)-1 Functional'!C488</f>
        <v xml:space="preserve">  TOTAL MISCELLANEOUS TAXES</v>
      </c>
      <c r="D488" s="354"/>
      <c r="E488" s="196"/>
      <c r="F488" s="348">
        <f>SUM(F484:F487)</f>
        <v>42226</v>
      </c>
      <c r="G488" s="549">
        <f>SUM($G$484:$G$487)</f>
        <v>23272</v>
      </c>
      <c r="H488" s="541">
        <f>SUM($H$484:$H$487)</f>
        <v>14949</v>
      </c>
      <c r="I488" s="542">
        <f>SUM($I$484:$I$487)</f>
        <v>4005</v>
      </c>
      <c r="J488" s="348">
        <f>SUM($J$484:$J$487)</f>
        <v>42226</v>
      </c>
      <c r="K488" s="348">
        <f>SUM($K$484:$K$487)</f>
        <v>0</v>
      </c>
    </row>
    <row r="489" spans="1:11">
      <c r="A489" s="333">
        <v>13</v>
      </c>
      <c r="D489" s="354"/>
      <c r="E489" s="196"/>
      <c r="F489" s="353"/>
      <c r="G489" s="547"/>
      <c r="H489" s="537"/>
      <c r="I489" s="538"/>
    </row>
    <row r="490" spans="1:11">
      <c r="A490" s="333">
        <v>14</v>
      </c>
      <c r="B490" s="332" t="s">
        <v>66</v>
      </c>
      <c r="D490" s="344"/>
      <c r="E490" s="196"/>
      <c r="F490" s="353"/>
      <c r="G490" s="547"/>
      <c r="H490" s="537"/>
      <c r="I490" s="538"/>
    </row>
    <row r="491" spans="1:11">
      <c r="A491" s="333">
        <v>15</v>
      </c>
      <c r="C491" s="332" t="str">
        <f>'FR-16(7)(v)-1 Functional'!C491</f>
        <v>PSC MAINT. EXP ON INCREASE</v>
      </c>
      <c r="D491" s="344" t="str">
        <f>'FR-16(7)(v)-1 Functional'!D491</f>
        <v>AG39</v>
      </c>
      <c r="E491" s="196"/>
      <c r="F491" s="479">
        <f>'FR-16(7)(v)-8 TOT CLASS Alloc'!I491</f>
        <v>1256</v>
      </c>
      <c r="G491" s="548">
        <f>'FR-16(7)(v)-5 DISTR Dem Alloc'!$I$491</f>
        <v>692</v>
      </c>
      <c r="H491" s="539">
        <f>'FR-16(7)(v)-3 PROD Comm Alloc'!$I$491</f>
        <v>445</v>
      </c>
      <c r="I491" s="540">
        <f>'FR-16(7)(v)-6 DISTR Cust Alloc'!$I$491</f>
        <v>119</v>
      </c>
      <c r="J491" s="347">
        <f>SUM($G$491:$I$491)</f>
        <v>1256</v>
      </c>
      <c r="K491" s="347">
        <f>F491-$J$491</f>
        <v>0</v>
      </c>
    </row>
    <row r="492" spans="1:11">
      <c r="A492" s="333">
        <v>16</v>
      </c>
      <c r="C492" s="359" t="str">
        <f>'FR-16(7)(v)-1 Functional'!C492</f>
        <v>RESERVED FOR FUTURE USE</v>
      </c>
      <c r="D492" s="344" t="str">
        <f>'FR-16(7)(v)-1 Functional'!D492</f>
        <v>AG39</v>
      </c>
      <c r="E492" s="196"/>
      <c r="F492" s="479">
        <f>'FR-16(7)(v)-8 TOT CLASS Alloc'!I492</f>
        <v>0</v>
      </c>
      <c r="G492" s="548">
        <f>'FR-16(7)(v)-5 DISTR Dem Alloc'!$I$492</f>
        <v>0</v>
      </c>
      <c r="H492" s="539">
        <f>'FR-16(7)(v)-3 PROD Comm Alloc'!$I$492</f>
        <v>0</v>
      </c>
      <c r="I492" s="540">
        <f>'FR-16(7)(v)-6 DISTR Cust Alloc'!$I$492</f>
        <v>0</v>
      </c>
      <c r="J492" s="347">
        <f>SUM($G$492:$I$492)</f>
        <v>0</v>
      </c>
      <c r="K492" s="347">
        <f>F492-$J$492</f>
        <v>0</v>
      </c>
    </row>
    <row r="493" spans="1:11">
      <c r="A493" s="333">
        <v>17</v>
      </c>
      <c r="C493" s="332" t="str">
        <f>'FR-16(7)(v)-1 Functional'!C493</f>
        <v xml:space="preserve">  TOTAL MISCELLANEOUS EXPENSES</v>
      </c>
      <c r="D493" s="344"/>
      <c r="E493" s="196"/>
      <c r="F493" s="480">
        <f>SUM(F491:F492)</f>
        <v>1256</v>
      </c>
      <c r="G493" s="549">
        <f>SUM($G$491:$G$492)</f>
        <v>692</v>
      </c>
      <c r="H493" s="541">
        <f>SUM($H$491:$H$492)</f>
        <v>445</v>
      </c>
      <c r="I493" s="542">
        <f>SUM($I$491:$I$492)</f>
        <v>119</v>
      </c>
      <c r="J493" s="348">
        <f>SUM($J$491:$J$492)</f>
        <v>1256</v>
      </c>
      <c r="K493" s="348">
        <f>SUM($K$491:$K$492)</f>
        <v>0</v>
      </c>
    </row>
    <row r="494" spans="1:11">
      <c r="A494" s="333">
        <v>18</v>
      </c>
      <c r="D494" s="344"/>
      <c r="E494" s="196"/>
      <c r="G494" s="547"/>
      <c r="H494" s="537"/>
      <c r="I494" s="538"/>
    </row>
    <row r="495" spans="1:11">
      <c r="A495" s="333">
        <v>19</v>
      </c>
      <c r="B495" s="332" t="s">
        <v>67</v>
      </c>
      <c r="D495" s="344"/>
      <c r="E495" s="196" t="s">
        <v>343</v>
      </c>
      <c r="F495" s="347">
        <f>F488+F481+F493</f>
        <v>251215</v>
      </c>
      <c r="G495" s="548">
        <f>$G$488+$G$481+$G$493</f>
        <v>221906</v>
      </c>
      <c r="H495" s="539">
        <f>$H$488+$H$481+$H$493</f>
        <v>19577</v>
      </c>
      <c r="I495" s="540">
        <f>$I$488+$I$481+$I$493</f>
        <v>9732</v>
      </c>
      <c r="J495" s="347">
        <f>$J$488+$J$481+$J$493</f>
        <v>251215</v>
      </c>
      <c r="K495" s="347">
        <f>$K$488+$K$481+$K$493</f>
        <v>0</v>
      </c>
    </row>
    <row r="496" spans="1:11">
      <c r="A496" s="333">
        <v>20</v>
      </c>
      <c r="D496" s="344"/>
      <c r="E496" s="196"/>
      <c r="G496" s="547"/>
      <c r="H496" s="537"/>
      <c r="I496" s="538"/>
    </row>
    <row r="497" spans="1:11">
      <c r="A497" s="333">
        <v>21</v>
      </c>
      <c r="B497" s="332" t="s">
        <v>40</v>
      </c>
      <c r="D497" s="344"/>
      <c r="E497" s="196"/>
      <c r="G497" s="547"/>
      <c r="H497" s="537"/>
      <c r="I497" s="538"/>
    </row>
    <row r="498" spans="1:11">
      <c r="A498" s="333">
        <v>22</v>
      </c>
      <c r="C498" s="332" t="str">
        <f>'FR-16(7)(v)-1 Functional'!C498</f>
        <v>TOTAL O&amp;M EXPENSE</v>
      </c>
      <c r="D498" s="344"/>
      <c r="E498" s="196"/>
      <c r="F498" s="347">
        <f t="shared" ref="F498:K498" si="94">F433</f>
        <v>8824202</v>
      </c>
      <c r="G498" s="548">
        <f t="shared" si="94"/>
        <v>920064</v>
      </c>
      <c r="H498" s="539">
        <f t="shared" si="94"/>
        <v>7748449</v>
      </c>
      <c r="I498" s="540">
        <f t="shared" si="94"/>
        <v>155689</v>
      </c>
      <c r="J498" s="347">
        <f t="shared" si="94"/>
        <v>8824202</v>
      </c>
      <c r="K498" s="347">
        <f t="shared" si="94"/>
        <v>0</v>
      </c>
    </row>
    <row r="499" spans="1:11">
      <c r="A499" s="333">
        <v>23</v>
      </c>
      <c r="C499" s="332" t="str">
        <f>'FR-16(7)(v)-1 Functional'!C499</f>
        <v>TOTAL DEPRECIATION EXPENSE</v>
      </c>
      <c r="D499" s="344"/>
      <c r="E499" s="196"/>
      <c r="F499" s="347">
        <f t="shared" ref="F499:K499" si="95">F465</f>
        <v>901967</v>
      </c>
      <c r="G499" s="548">
        <f t="shared" si="95"/>
        <v>797623</v>
      </c>
      <c r="H499" s="539">
        <f t="shared" si="95"/>
        <v>73357</v>
      </c>
      <c r="I499" s="540">
        <f t="shared" si="95"/>
        <v>30987</v>
      </c>
      <c r="J499" s="347">
        <f t="shared" si="95"/>
        <v>901967</v>
      </c>
      <c r="K499" s="347">
        <f t="shared" si="95"/>
        <v>0</v>
      </c>
    </row>
    <row r="500" spans="1:11">
      <c r="A500" s="333">
        <v>24</v>
      </c>
      <c r="C500" s="359" t="str">
        <f>'FR-16(7)(v)-1 Functional'!C500</f>
        <v>TOTAL OTHER TAX &amp; MISC EXPENSE</v>
      </c>
      <c r="D500" s="344"/>
      <c r="E500" s="196"/>
      <c r="F500" s="347">
        <f>F495</f>
        <v>251215</v>
      </c>
      <c r="G500" s="548">
        <f>$G$495</f>
        <v>221906</v>
      </c>
      <c r="H500" s="539">
        <f>$H$495</f>
        <v>19577</v>
      </c>
      <c r="I500" s="540">
        <f>$I$495</f>
        <v>9732</v>
      </c>
      <c r="J500" s="347">
        <f>$J$495</f>
        <v>251215</v>
      </c>
      <c r="K500" s="347">
        <f>$K$495</f>
        <v>0</v>
      </c>
    </row>
    <row r="501" spans="1:11">
      <c r="A501" s="333">
        <v>25</v>
      </c>
      <c r="C501" s="332" t="str">
        <f>'FR-16(7)(v)-1 Functional'!C501</f>
        <v xml:space="preserve">  TOTAL OPER EXP EXCL INCOME &amp; REV TAX</v>
      </c>
      <c r="D501" s="344"/>
      <c r="E501" s="196"/>
      <c r="F501" s="348">
        <f>SUM(F498:F500)</f>
        <v>9977384</v>
      </c>
      <c r="G501" s="557">
        <f>SUM($G$498:$G$500)</f>
        <v>1939593</v>
      </c>
      <c r="H501" s="558">
        <f>SUM($H$498:$H$500)</f>
        <v>7841383</v>
      </c>
      <c r="I501" s="559">
        <f>SUM($I$498:$I$500)</f>
        <v>196408</v>
      </c>
      <c r="J501" s="348">
        <f>SUM($J$498:$J$500)</f>
        <v>9977384</v>
      </c>
      <c r="K501" s="348">
        <f>SUM($K$498:$K$500)</f>
        <v>0</v>
      </c>
    </row>
    <row r="502" spans="1:11">
      <c r="B502" s="343"/>
      <c r="C502" s="196"/>
      <c r="D502" s="344"/>
      <c r="E502" s="196"/>
      <c r="F502" s="196"/>
      <c r="G502" s="196"/>
      <c r="H502" s="196"/>
      <c r="I502" s="196"/>
      <c r="J502" s="196"/>
      <c r="K502" s="196"/>
    </row>
    <row r="503" spans="1:11">
      <c r="A503" s="343" t="str">
        <f>co_name</f>
        <v>DUKE ENERGY KENTUCKY, INC.</v>
      </c>
      <c r="C503" s="196"/>
      <c r="D503" s="344"/>
      <c r="E503" s="196"/>
      <c r="F503" s="196"/>
      <c r="G503" s="196"/>
      <c r="H503" s="196"/>
      <c r="I503" s="196"/>
      <c r="J503" s="196" t="str">
        <f>$J$1</f>
        <v>FR-16(7)(v)-11</v>
      </c>
      <c r="K503" s="196"/>
    </row>
    <row r="504" spans="1:11">
      <c r="A504" s="343" t="str">
        <f>$A$2</f>
        <v>FT-L CLASSIFIED - GAS COST OF SERVICE</v>
      </c>
      <c r="C504" s="196"/>
      <c r="D504" s="344"/>
      <c r="E504" s="196"/>
      <c r="F504" s="196"/>
      <c r="G504" s="196"/>
      <c r="H504" s="196"/>
      <c r="I504" s="196"/>
      <c r="J504" s="196" t="str">
        <f>$J$2</f>
        <v>WITNESS RESPONSIBLE:</v>
      </c>
      <c r="K504" s="196"/>
    </row>
    <row r="505" spans="1:11">
      <c r="A505" s="343" t="str">
        <f>case_name</f>
        <v>CASE NO: 2018-00261</v>
      </c>
      <c r="C505" s="196"/>
      <c r="D505" s="344"/>
      <c r="E505" s="196"/>
      <c r="F505" s="196"/>
      <c r="G505" s="196"/>
      <c r="H505" s="196"/>
      <c r="I505" s="196"/>
      <c r="J505" s="196" t="str">
        <f>Witness</f>
        <v>JAMES E. ZIOLKOWSKI</v>
      </c>
      <c r="K505" s="196"/>
    </row>
    <row r="506" spans="1:11">
      <c r="A506" s="343" t="str">
        <f>data_filing</f>
        <v>DATA: 12 MONTH FORECASTED PERIOD</v>
      </c>
      <c r="C506" s="196"/>
      <c r="D506" s="344"/>
      <c r="E506" s="196"/>
      <c r="F506" s="196"/>
      <c r="G506" s="196"/>
      <c r="H506" s="196"/>
      <c r="I506" s="196"/>
      <c r="J506" s="196" t="str">
        <f>"PAGE "&amp;Pages2-3&amp;" OF "&amp;Pages2</f>
        <v>PAGE 12 OF 15</v>
      </c>
      <c r="K506" s="196"/>
    </row>
    <row r="507" spans="1:11">
      <c r="A507" s="343" t="str">
        <f>type</f>
        <v xml:space="preserve">TYPE OF FILING: "X" ORIGINAL   UPDATED    REVISED  </v>
      </c>
      <c r="C507" s="196"/>
      <c r="D507" s="344"/>
      <c r="E507" s="196"/>
      <c r="F507" s="196"/>
      <c r="G507" s="196"/>
      <c r="H507" s="196"/>
      <c r="I507" s="196"/>
      <c r="J507" s="196"/>
      <c r="K507" s="196"/>
    </row>
    <row r="508" spans="1:11">
      <c r="B508" s="343"/>
      <c r="C508" s="196"/>
      <c r="D508" s="344"/>
      <c r="E508" s="196"/>
      <c r="F508" s="196"/>
      <c r="G508" s="196"/>
      <c r="H508" s="196"/>
      <c r="I508" s="196"/>
      <c r="J508" s="196"/>
      <c r="K508" s="196"/>
    </row>
    <row r="509" spans="1:11">
      <c r="B509" s="343"/>
      <c r="C509" s="196"/>
      <c r="D509" s="344"/>
      <c r="E509" s="196"/>
      <c r="F509" s="196"/>
      <c r="G509" s="196"/>
      <c r="H509" s="196"/>
      <c r="I509" s="196"/>
      <c r="J509" s="196"/>
      <c r="K509" s="196"/>
    </row>
    <row r="510" spans="1:11">
      <c r="A510" s="344" t="s">
        <v>914</v>
      </c>
      <c r="B510" s="196"/>
      <c r="C510" s="196"/>
      <c r="D510" s="344"/>
      <c r="E510" s="196"/>
      <c r="F510" s="344" t="s">
        <v>229</v>
      </c>
      <c r="G510" s="545" t="s">
        <v>1005</v>
      </c>
      <c r="H510" s="533"/>
      <c r="I510" s="534"/>
      <c r="J510" s="344" t="s">
        <v>229</v>
      </c>
      <c r="K510" s="344" t="s">
        <v>342</v>
      </c>
    </row>
    <row r="511" spans="1:11">
      <c r="A511" s="346" t="s">
        <v>915</v>
      </c>
      <c r="B511" s="345" t="str">
        <f>'FR-16(7)(v)-1 Functional'!B511</f>
        <v>FEDERAL INCOME TAX BASED ON RETURN</v>
      </c>
      <c r="C511" s="345"/>
      <c r="D511" s="346" t="s">
        <v>337</v>
      </c>
      <c r="E511" s="345"/>
      <c r="F511" s="346" t="str">
        <f>$F$9</f>
        <v>FT-L</v>
      </c>
      <c r="G511" s="546" t="s">
        <v>847</v>
      </c>
      <c r="H511" s="535" t="s">
        <v>848</v>
      </c>
      <c r="I511" s="536" t="s">
        <v>849</v>
      </c>
      <c r="J511" s="346" t="s">
        <v>341</v>
      </c>
      <c r="K511" s="346" t="s">
        <v>340</v>
      </c>
    </row>
    <row r="512" spans="1:11">
      <c r="C512" s="578" t="s">
        <v>351</v>
      </c>
      <c r="D512" s="344"/>
      <c r="E512" s="196"/>
      <c r="G512" s="800">
        <f>$G$10</f>
        <v>3</v>
      </c>
      <c r="H512" s="801">
        <f>$H$10</f>
        <v>4</v>
      </c>
      <c r="I512" s="802">
        <f>$I$10</f>
        <v>5</v>
      </c>
    </row>
    <row r="513" spans="1:11">
      <c r="A513" s="333">
        <v>1</v>
      </c>
      <c r="B513" s="332" t="s">
        <v>69</v>
      </c>
      <c r="D513" s="344"/>
      <c r="E513" s="196"/>
      <c r="G513" s="547"/>
      <c r="H513" s="537"/>
      <c r="I513" s="538"/>
    </row>
    <row r="514" spans="1:11">
      <c r="A514" s="333">
        <v>2</v>
      </c>
      <c r="B514" s="332" t="s">
        <v>70</v>
      </c>
      <c r="D514" s="344"/>
      <c r="E514" s="196"/>
      <c r="F514" s="332" t="s">
        <v>343</v>
      </c>
      <c r="G514" s="547"/>
      <c r="H514" s="537"/>
      <c r="I514" s="538"/>
    </row>
    <row r="515" spans="1:11">
      <c r="A515" s="333">
        <v>3</v>
      </c>
      <c r="C515" s="359" t="str">
        <f>'FR-16(7)(v)-1 Functional'!C515</f>
        <v>AUTO PROC INTEREST DED</v>
      </c>
      <c r="D515" s="344" t="str">
        <f>'FR-16(7)(v)-1 Functional'!D515</f>
        <v>RB99</v>
      </c>
      <c r="E515" s="196"/>
      <c r="F515" s="479">
        <f>'FR-16(7)(v)-8 TOT CLASS Alloc'!I515</f>
        <v>432697</v>
      </c>
      <c r="G515" s="548">
        <f>'FR-16(7)(v)-5 DISTR Dem Alloc'!$I$515</f>
        <v>395271</v>
      </c>
      <c r="H515" s="539">
        <f>'FR-16(7)(v)-3 PROD Comm Alloc'!$I$515</f>
        <v>27103</v>
      </c>
      <c r="I515" s="540">
        <f>'FR-16(7)(v)-6 DISTR Cust Alloc'!$I$515</f>
        <v>10323</v>
      </c>
      <c r="J515" s="347">
        <f>SUM($G$515:$I$515)</f>
        <v>432697</v>
      </c>
      <c r="K515" s="347">
        <f>F515-$J$515</f>
        <v>0</v>
      </c>
    </row>
    <row r="516" spans="1:11">
      <c r="A516" s="333">
        <v>4</v>
      </c>
      <c r="C516" s="332" t="str">
        <f>'FR-16(7)(v)-1 Functional'!C516</f>
        <v xml:space="preserve">  TOTAL INTEREST EXPENSE</v>
      </c>
      <c r="D516" s="344"/>
      <c r="E516" s="196"/>
      <c r="F516" s="348">
        <f>F515</f>
        <v>432697</v>
      </c>
      <c r="G516" s="549">
        <f>$G$515</f>
        <v>395271</v>
      </c>
      <c r="H516" s="541">
        <f>$H$515</f>
        <v>27103</v>
      </c>
      <c r="I516" s="542">
        <f>$I$515</f>
        <v>10323</v>
      </c>
      <c r="J516" s="348">
        <f>$J$515</f>
        <v>432697</v>
      </c>
      <c r="K516" s="348">
        <f>$K$515</f>
        <v>0</v>
      </c>
    </row>
    <row r="517" spans="1:11">
      <c r="A517" s="333">
        <v>5</v>
      </c>
      <c r="D517" s="344"/>
      <c r="E517" s="196"/>
      <c r="F517" s="353"/>
      <c r="G517" s="547"/>
      <c r="H517" s="537"/>
      <c r="I517" s="538"/>
    </row>
    <row r="518" spans="1:11">
      <c r="A518" s="333">
        <v>6</v>
      </c>
      <c r="B518" s="332" t="s">
        <v>71</v>
      </c>
      <c r="D518" s="344"/>
      <c r="E518" s="196"/>
      <c r="F518" s="353"/>
      <c r="G518" s="547"/>
      <c r="H518" s="537"/>
      <c r="I518" s="538"/>
    </row>
    <row r="519" spans="1:11">
      <c r="A519" s="333">
        <v>7</v>
      </c>
      <c r="C519" s="332" t="str">
        <f>'FR-16(7)(v)-1 Functional'!C519</f>
        <v>DEPREC EXCESS TAX-BOOK</v>
      </c>
      <c r="D519" s="344" t="str">
        <f>'FR-16(7)(v)-1 Functional'!D519</f>
        <v>DE49</v>
      </c>
      <c r="E519" s="196"/>
      <c r="F519" s="479">
        <f>'FR-16(7)(v)-8 TOT CLASS Alloc'!I519</f>
        <v>399053</v>
      </c>
      <c r="G519" s="548">
        <f>'FR-16(7)(v)-5 DISTR Dem Alloc'!$I$519</f>
        <v>352896</v>
      </c>
      <c r="H519" s="539">
        <f>'FR-16(7)(v)-3 PROD Comm Alloc'!$I$519</f>
        <v>32454</v>
      </c>
      <c r="I519" s="540">
        <f>'FR-16(7)(v)-6 DISTR Cust Alloc'!$I$519</f>
        <v>13703</v>
      </c>
      <c r="J519" s="347">
        <f>SUM($G$519:$I$519)</f>
        <v>399053</v>
      </c>
      <c r="K519" s="347">
        <f>F519-$J$519</f>
        <v>0</v>
      </c>
    </row>
    <row r="520" spans="1:11">
      <c r="A520" s="333">
        <v>8</v>
      </c>
      <c r="C520" s="332" t="str">
        <f>'FR-16(7)(v)-1 Functional'!C520</f>
        <v>PERMANENT DIFFERENCES</v>
      </c>
      <c r="D520" s="344" t="str">
        <f>'FR-16(7)(v)-1 Functional'!D520</f>
        <v>AG39</v>
      </c>
      <c r="E520" s="196"/>
      <c r="F520" s="479">
        <f>'FR-16(7)(v)-8 TOT CLASS Alloc'!I520</f>
        <v>-5935</v>
      </c>
      <c r="G520" s="548">
        <f>'FR-16(7)(v)-5 DISTR Dem Alloc'!$I$520</f>
        <v>-3271</v>
      </c>
      <c r="H520" s="539">
        <f>'FR-16(7)(v)-3 PROD Comm Alloc'!$I$520</f>
        <v>-2101</v>
      </c>
      <c r="I520" s="540">
        <f>'FR-16(7)(v)-6 DISTR Cust Alloc'!$I$520</f>
        <v>-563</v>
      </c>
      <c r="J520" s="347">
        <f>SUM($G$520:$I$520)</f>
        <v>-5935</v>
      </c>
      <c r="K520" s="347">
        <f>F520-$J$520</f>
        <v>0</v>
      </c>
    </row>
    <row r="521" spans="1:11">
      <c r="A521" s="333">
        <v>9</v>
      </c>
      <c r="C521" s="359" t="str">
        <f>'FR-16(7)(v)-1 Functional'!C521</f>
        <v>TEMPORARY DIFFERENCES</v>
      </c>
      <c r="D521" s="344" t="str">
        <f>'FR-16(7)(v)-1 Functional'!D521</f>
        <v>DE49</v>
      </c>
      <c r="E521" s="196"/>
      <c r="F521" s="479">
        <f>'FR-16(7)(v)-8 TOT CLASS Alloc'!I521</f>
        <v>14475</v>
      </c>
      <c r="G521" s="548">
        <f>'FR-16(7)(v)-5 DISTR Dem Alloc'!$I$521</f>
        <v>12801</v>
      </c>
      <c r="H521" s="539">
        <f>'FR-16(7)(v)-3 PROD Comm Alloc'!$I$521</f>
        <v>1177</v>
      </c>
      <c r="I521" s="540">
        <f>'FR-16(7)(v)-6 DISTR Cust Alloc'!$I$521</f>
        <v>497</v>
      </c>
      <c r="J521" s="347">
        <f>SUM($G$521:$I$521)</f>
        <v>14475</v>
      </c>
      <c r="K521" s="347">
        <f>F521-$J$521</f>
        <v>0</v>
      </c>
    </row>
    <row r="522" spans="1:11">
      <c r="A522" s="333">
        <v>10</v>
      </c>
      <c r="C522" s="332" t="str">
        <f>'FR-16(7)(v)-1 Functional'!C522</f>
        <v xml:space="preserve">  TOTAL OTHER DEDUCTIONS</v>
      </c>
      <c r="D522" s="344"/>
      <c r="E522" s="196"/>
      <c r="F522" s="348">
        <f>SUM(F519:F521)</f>
        <v>407593</v>
      </c>
      <c r="G522" s="549">
        <f>SUM($G$519:$G$521)</f>
        <v>362426</v>
      </c>
      <c r="H522" s="541">
        <f>SUM($H$519:$H$521)</f>
        <v>31530</v>
      </c>
      <c r="I522" s="542">
        <f>SUM($I$519:$I$521)</f>
        <v>13637</v>
      </c>
      <c r="J522" s="348">
        <f>SUM($J$519:$J$521)</f>
        <v>407593</v>
      </c>
      <c r="K522" s="348">
        <f>SUM($K$519:$K$521)</f>
        <v>0</v>
      </c>
    </row>
    <row r="523" spans="1:11">
      <c r="A523" s="333">
        <v>11</v>
      </c>
      <c r="D523" s="344"/>
      <c r="E523" s="196"/>
      <c r="F523" s="353"/>
      <c r="G523" s="547"/>
      <c r="H523" s="537"/>
      <c r="I523" s="538"/>
    </row>
    <row r="524" spans="1:11">
      <c r="A524" s="333">
        <v>12</v>
      </c>
      <c r="B524" s="332" t="s">
        <v>72</v>
      </c>
      <c r="D524" s="344"/>
      <c r="E524" s="196"/>
      <c r="F524" s="349">
        <f>F522+F516</f>
        <v>840290</v>
      </c>
      <c r="G524" s="548">
        <f>$G$522+$G$516</f>
        <v>757697</v>
      </c>
      <c r="H524" s="539">
        <f>$H$522+$H$516</f>
        <v>58633</v>
      </c>
      <c r="I524" s="540">
        <f>$I$522+$I$516</f>
        <v>23960</v>
      </c>
      <c r="J524" s="347">
        <f>$J$522+$J$516</f>
        <v>840290</v>
      </c>
      <c r="K524" s="347">
        <f>$K$522+$K$516</f>
        <v>0</v>
      </c>
    </row>
    <row r="525" spans="1:11">
      <c r="A525" s="333">
        <v>13</v>
      </c>
      <c r="D525" s="344"/>
      <c r="E525" s="196"/>
      <c r="F525" s="353"/>
      <c r="G525" s="547"/>
      <c r="H525" s="537"/>
      <c r="I525" s="538"/>
    </row>
    <row r="526" spans="1:11">
      <c r="A526" s="333">
        <v>14</v>
      </c>
      <c r="B526" s="340" t="s">
        <v>544</v>
      </c>
      <c r="D526" s="344"/>
      <c r="E526" s="196"/>
      <c r="F526" s="353"/>
      <c r="G526" s="547"/>
      <c r="H526" s="537"/>
      <c r="I526" s="538"/>
    </row>
    <row r="527" spans="1:11">
      <c r="A527" s="333">
        <v>15</v>
      </c>
      <c r="C527" s="332" t="str">
        <f>'FR-16(7)(v)-1 Functional'!C527</f>
        <v>DEFERRED INCOME TAXES - NET</v>
      </c>
      <c r="D527" s="344" t="str">
        <f>'FR-16(7)(v)-1 Functional'!D527</f>
        <v>OM39</v>
      </c>
      <c r="E527" s="196"/>
      <c r="F527" s="479">
        <f>'FR-16(7)(v)-8 TOT CLASS Alloc'!I527</f>
        <v>186373</v>
      </c>
      <c r="G527" s="548">
        <f>'FR-16(7)(v)-5 DISTR Dem Alloc'!$I$527</f>
        <v>19432</v>
      </c>
      <c r="H527" s="539">
        <f>'FR-16(7)(v)-3 PROD Comm Alloc'!$I$527</f>
        <v>163652</v>
      </c>
      <c r="I527" s="540">
        <f>'FR-16(7)(v)-6 DISTR Cust Alloc'!$I$527</f>
        <v>3289</v>
      </c>
      <c r="J527" s="347">
        <f>SUM($G$527:$I$527)</f>
        <v>186373</v>
      </c>
      <c r="K527" s="347">
        <f>F527-$J$527</f>
        <v>0</v>
      </c>
    </row>
    <row r="528" spans="1:11">
      <c r="A528" s="333">
        <v>16</v>
      </c>
      <c r="C528" s="332" t="str">
        <f>'FR-16(7)(v)-1 Functional'!C528</f>
        <v>AMORT OF DEFERRED MERGER COST</v>
      </c>
      <c r="D528" s="344" t="str">
        <f>'FR-16(7)(v)-1 Functional'!D528</f>
        <v>AG39</v>
      </c>
      <c r="E528" s="196"/>
      <c r="F528" s="479">
        <f>'FR-16(7)(v)-8 TOT CLASS Alloc'!I528</f>
        <v>0</v>
      </c>
      <c r="G528" s="548">
        <f>'FR-16(7)(v)-5 DISTR Dem Alloc'!$I$528</f>
        <v>0</v>
      </c>
      <c r="H528" s="539">
        <f>'FR-16(7)(v)-3 PROD Comm Alloc'!$I$528</f>
        <v>0</v>
      </c>
      <c r="I528" s="540">
        <f>'FR-16(7)(v)-6 DISTR Cust Alloc'!$I$528</f>
        <v>0</v>
      </c>
      <c r="J528" s="347">
        <f>SUM($G$528:$I$528)</f>
        <v>0</v>
      </c>
      <c r="K528" s="347">
        <f>F528-$J$528</f>
        <v>0</v>
      </c>
    </row>
    <row r="529" spans="1:11">
      <c r="A529" s="333">
        <v>17</v>
      </c>
      <c r="C529" s="618" t="str">
        <f>'FR-16(7)(v)-1 Functional'!C529</f>
        <v>DIT ADJUSTMENT - S/L DEPRECIATION</v>
      </c>
      <c r="D529" s="344" t="str">
        <f>'FR-16(7)(v)-1 Functional'!D529</f>
        <v>DE49</v>
      </c>
      <c r="E529" s="196"/>
      <c r="F529" s="479">
        <f>'FR-16(7)(v)-8 TOT CLASS Alloc'!I529</f>
        <v>0</v>
      </c>
      <c r="G529" s="548">
        <f>'FR-16(7)(v)-5 DISTR Dem Alloc'!$I$529</f>
        <v>0</v>
      </c>
      <c r="H529" s="539">
        <f>'FR-16(7)(v)-3 PROD Comm Alloc'!$I$529</f>
        <v>0</v>
      </c>
      <c r="I529" s="540">
        <f>'FR-16(7)(v)-6 DISTR Cust Alloc'!$I$529</f>
        <v>0</v>
      </c>
      <c r="J529" s="347">
        <f>SUM($G$529:$I$529)</f>
        <v>0</v>
      </c>
      <c r="K529" s="347">
        <f>F529-$J$529</f>
        <v>0</v>
      </c>
    </row>
    <row r="530" spans="1:11">
      <c r="A530" s="333">
        <v>18</v>
      </c>
      <c r="C530" s="332" t="str">
        <f>'FR-16(7)(v)-1 Functional'!C530</f>
        <v>DIT ADJUSTMENT - ARAM</v>
      </c>
      <c r="D530" s="344" t="str">
        <f>'FR-16(7)(v)-1 Functional'!D530</f>
        <v>K201</v>
      </c>
      <c r="E530" s="196"/>
      <c r="F530" s="479">
        <f>'FR-16(7)(v)-8 TOT CLASS Alloc'!I530</f>
        <v>-3380</v>
      </c>
      <c r="G530" s="548">
        <f>'FR-16(7)(v)-5 DISTR Dem Alloc'!$I$530</f>
        <v>0</v>
      </c>
      <c r="H530" s="539">
        <f>'FR-16(7)(v)-3 PROD Comm Alloc'!$I$530</f>
        <v>-3380</v>
      </c>
      <c r="I530" s="540">
        <f>'FR-16(7)(v)-6 DISTR Cust Alloc'!$I$530</f>
        <v>0</v>
      </c>
      <c r="J530" s="347">
        <f>SUM($G$530:$I$530)</f>
        <v>-3380</v>
      </c>
      <c r="K530" s="347">
        <f>F530-$J$530</f>
        <v>0</v>
      </c>
    </row>
    <row r="531" spans="1:11">
      <c r="A531" s="333">
        <v>19</v>
      </c>
      <c r="C531" s="359" t="s">
        <v>1495</v>
      </c>
      <c r="D531" s="344" t="str">
        <f>'FR-16(7)(v)-1 Functional'!D531</f>
        <v>AG39</v>
      </c>
      <c r="E531" s="196"/>
      <c r="F531" s="479">
        <f>'FR-16(7)(v)-8 TOT CLASS Alloc'!I531</f>
        <v>-34900</v>
      </c>
      <c r="G531" s="548">
        <f>'FR-16(7)(v)-5 DISTR Dem Alloc'!$I$531</f>
        <v>-19234</v>
      </c>
      <c r="H531" s="539">
        <f>'FR-16(7)(v)-3 PROD Comm Alloc'!$I$531</f>
        <v>-12356</v>
      </c>
      <c r="I531" s="540">
        <f>'FR-16(7)(v)-6 DISTR Cust Alloc'!$I$531</f>
        <v>-3310</v>
      </c>
      <c r="J531" s="347">
        <f>SUM($G$531:$I$531)</f>
        <v>-34900</v>
      </c>
      <c r="K531" s="347">
        <f>F531-$J$531</f>
        <v>0</v>
      </c>
    </row>
    <row r="532" spans="1:11">
      <c r="A532" s="333">
        <v>20</v>
      </c>
      <c r="C532" s="332" t="str">
        <f>'FR-16(7)(v)-1 Functional'!C532</f>
        <v xml:space="preserve">  TOTAL FED DEF IT (410 &amp; 411)</v>
      </c>
      <c r="D532" s="344"/>
      <c r="E532" s="196"/>
      <c r="F532" s="348">
        <f>SUM(F527:F531)</f>
        <v>148093</v>
      </c>
      <c r="G532" s="549">
        <f>SUM($G$527:$G$531)</f>
        <v>198</v>
      </c>
      <c r="H532" s="541">
        <f>SUM($H$527:$H$531)</f>
        <v>147916</v>
      </c>
      <c r="I532" s="542">
        <f>SUM($I$527:$I$531)</f>
        <v>-21</v>
      </c>
      <c r="J532" s="348">
        <f>SUM($J$527:$J$531)</f>
        <v>148093</v>
      </c>
      <c r="K532" s="348">
        <f>SUM($K$527:$K$531)</f>
        <v>0</v>
      </c>
    </row>
    <row r="533" spans="1:11">
      <c r="A533" s="333">
        <v>21</v>
      </c>
      <c r="D533" s="344"/>
      <c r="E533" s="196"/>
      <c r="F533" s="353"/>
      <c r="G533" s="547"/>
      <c r="H533" s="537"/>
      <c r="I533" s="538"/>
    </row>
    <row r="534" spans="1:11">
      <c r="A534" s="333">
        <v>22</v>
      </c>
      <c r="B534" s="332" t="s">
        <v>419</v>
      </c>
      <c r="D534" s="344"/>
      <c r="E534" s="196"/>
      <c r="F534" s="353"/>
      <c r="G534" s="547"/>
      <c r="H534" s="537"/>
      <c r="I534" s="538"/>
    </row>
    <row r="535" spans="1:11">
      <c r="A535" s="333">
        <v>23</v>
      </c>
      <c r="C535" s="359" t="str">
        <f>'FR-16(7)(v)-1 Functional'!C535</f>
        <v>AMORTIZE ITC</v>
      </c>
      <c r="D535" s="344" t="str">
        <f>'FR-16(7)(v)-1 Functional'!D535</f>
        <v>NP29</v>
      </c>
      <c r="E535" s="196"/>
      <c r="F535" s="479">
        <f>'FR-16(7)(v)-8 TOT CLASS Alloc'!I535</f>
        <v>4049</v>
      </c>
      <c r="G535" s="548">
        <f>'FR-16(7)(v)-5 DISTR Dem Alloc'!$I$535</f>
        <v>3858</v>
      </c>
      <c r="H535" s="539">
        <f>'FR-16(7)(v)-3 PROD Comm Alloc'!$I$535</f>
        <v>82</v>
      </c>
      <c r="I535" s="540">
        <f>'FR-16(7)(v)-6 DISTR Cust Alloc'!$I$535</f>
        <v>109</v>
      </c>
      <c r="J535" s="347">
        <f>SUM($G$535:$I$535)</f>
        <v>4049</v>
      </c>
      <c r="K535" s="512">
        <f>F535-$J$535</f>
        <v>0</v>
      </c>
    </row>
    <row r="536" spans="1:11">
      <c r="A536" s="333">
        <v>24</v>
      </c>
      <c r="C536" s="332" t="str">
        <f>'FR-16(7)(v)-1 Functional'!C536</f>
        <v xml:space="preserve">  TOTAL AMORTIZED ITC</v>
      </c>
      <c r="D536" s="344"/>
      <c r="E536" s="196"/>
      <c r="F536" s="348">
        <f>SUM(F535:F535)</f>
        <v>4049</v>
      </c>
      <c r="G536" s="549">
        <f>SUM($G$535:$G$535)</f>
        <v>3858</v>
      </c>
      <c r="H536" s="541">
        <f>SUM($H$535:$H$535)</f>
        <v>82</v>
      </c>
      <c r="I536" s="542">
        <f>SUM($I$535:$I$535)</f>
        <v>109</v>
      </c>
      <c r="J536" s="348">
        <f>SUM($J$535:$J$535)</f>
        <v>4049</v>
      </c>
      <c r="K536" s="348">
        <f>SUM($K$535:$K$535)</f>
        <v>0</v>
      </c>
    </row>
    <row r="537" spans="1:11">
      <c r="A537" s="333">
        <v>25</v>
      </c>
      <c r="D537" s="344"/>
      <c r="E537" s="196"/>
      <c r="F537" s="510"/>
      <c r="G537" s="572"/>
      <c r="H537" s="573"/>
      <c r="I537" s="574"/>
      <c r="J537" s="510"/>
      <c r="K537" s="510"/>
    </row>
    <row r="538" spans="1:11" ht="15.75">
      <c r="A538" s="333">
        <v>26</v>
      </c>
      <c r="B538" s="332" t="s">
        <v>73</v>
      </c>
      <c r="D538" s="735"/>
      <c r="E538" s="1"/>
      <c r="F538" s="510"/>
      <c r="G538" s="572"/>
      <c r="H538" s="573"/>
      <c r="I538" s="574"/>
      <c r="J538" s="510"/>
      <c r="K538" s="510"/>
    </row>
    <row r="539" spans="1:11">
      <c r="A539" s="333">
        <v>27</v>
      </c>
      <c r="C539" s="332" t="str">
        <f>'FR-16(7)(v)-1 Functional'!C539</f>
        <v>PROV INVEST TAX CREDIT</v>
      </c>
      <c r="D539" s="344" t="s">
        <v>315</v>
      </c>
      <c r="F539" s="479">
        <f>'FR-16(7)(v)-8 TOT CLASS Alloc'!I539</f>
        <v>0</v>
      </c>
      <c r="G539" s="548">
        <f>'FR-16(7)(v)-5 DISTR Dem Alloc'!$I$539</f>
        <v>0</v>
      </c>
      <c r="H539" s="539">
        <f>'FR-16(7)(v)-3 PROD Comm Alloc'!$I$539</f>
        <v>0</v>
      </c>
      <c r="I539" s="540">
        <f>'FR-16(7)(v)-6 DISTR Cust Alloc'!$I$539</f>
        <v>0</v>
      </c>
      <c r="J539" s="347">
        <f>SUM($G$539:$I$539)</f>
        <v>0</v>
      </c>
      <c r="K539" s="347">
        <f>F539-$J$539</f>
        <v>0</v>
      </c>
    </row>
    <row r="540" spans="1:11" ht="15.75">
      <c r="A540" s="333">
        <v>28</v>
      </c>
      <c r="C540" s="339" t="str">
        <f>'FR-16(7)(v)-1 Functional'!C540</f>
        <v xml:space="preserve">  TEST YEAR INV TAX CREDIT</v>
      </c>
      <c r="D540" s="735"/>
      <c r="E540" s="1"/>
      <c r="F540" s="348">
        <f>SUM(F539:F539)</f>
        <v>0</v>
      </c>
      <c r="G540" s="549">
        <f>SUM($G$539:$G$539)</f>
        <v>0</v>
      </c>
      <c r="H540" s="541">
        <f>SUM($H$539:$H$539)</f>
        <v>0</v>
      </c>
      <c r="I540" s="542">
        <f>SUM($I$539:$I$539)</f>
        <v>0</v>
      </c>
      <c r="J540" s="348">
        <f>SUM($J$539:$J$539)</f>
        <v>0</v>
      </c>
      <c r="K540" s="348">
        <f>SUM($K$539:$K$539)</f>
        <v>0</v>
      </c>
    </row>
    <row r="541" spans="1:11" ht="15.75">
      <c r="A541" s="333">
        <v>29</v>
      </c>
      <c r="B541" s="193"/>
      <c r="C541" s="193"/>
      <c r="D541" s="735"/>
      <c r="E541" s="1"/>
      <c r="F541" s="510"/>
      <c r="G541" s="572"/>
      <c r="H541" s="573"/>
      <c r="I541" s="574"/>
      <c r="J541" s="510"/>
      <c r="K541" s="510"/>
    </row>
    <row r="542" spans="1:11" ht="15.75">
      <c r="A542" s="333">
        <v>30</v>
      </c>
      <c r="B542" s="332" t="s">
        <v>40</v>
      </c>
      <c r="C542" s="193"/>
      <c r="D542" s="735"/>
      <c r="E542" s="1"/>
      <c r="F542" s="510"/>
      <c r="G542" s="572"/>
      <c r="H542" s="573"/>
      <c r="I542" s="574"/>
      <c r="J542" s="510"/>
      <c r="K542" s="510"/>
    </row>
    <row r="543" spans="1:11">
      <c r="A543" s="333">
        <v>31</v>
      </c>
      <c r="C543" s="332" t="str">
        <f>'FR-16(7)(v)-1 Functional'!C543</f>
        <v>TOTAL FED DEF IT (410 &amp; 411)</v>
      </c>
      <c r="D543" s="344"/>
      <c r="E543" s="196"/>
      <c r="F543" s="349">
        <f>F532</f>
        <v>148093</v>
      </c>
      <c r="G543" s="548">
        <f>$G$532</f>
        <v>198</v>
      </c>
      <c r="H543" s="539">
        <f>$H$532</f>
        <v>147916</v>
      </c>
      <c r="I543" s="540">
        <f>$I$532</f>
        <v>-21</v>
      </c>
      <c r="J543" s="347">
        <f>$J$532</f>
        <v>148093</v>
      </c>
      <c r="K543" s="347">
        <f>$K$532</f>
        <v>0</v>
      </c>
    </row>
    <row r="544" spans="1:11">
      <c r="A544" s="333">
        <v>32</v>
      </c>
      <c r="C544" s="359" t="str">
        <f>'FR-16(7)(v)-1 Functional'!C544</f>
        <v>TOTAL AMORTIZED ITC</v>
      </c>
      <c r="D544" s="344"/>
      <c r="E544" s="196"/>
      <c r="F544" s="349">
        <f>-F536</f>
        <v>-4049</v>
      </c>
      <c r="G544" s="548">
        <f>-$G$536</f>
        <v>-3858</v>
      </c>
      <c r="H544" s="539">
        <f>-$H$536</f>
        <v>-82</v>
      </c>
      <c r="I544" s="540">
        <f>-$I$536</f>
        <v>-109</v>
      </c>
      <c r="J544" s="347">
        <f>-$J$536</f>
        <v>-4049</v>
      </c>
      <c r="K544" s="347">
        <f>-$K$536</f>
        <v>0</v>
      </c>
    </row>
    <row r="545" spans="1:11">
      <c r="A545" s="333">
        <v>33</v>
      </c>
      <c r="C545" s="332" t="str">
        <f>'FR-16(7)(v)-1 Functional'!C545</f>
        <v xml:space="preserve">  TOTAL FEDERAL TAX ADJUSTMENTS</v>
      </c>
      <c r="D545" s="344"/>
      <c r="E545" s="196"/>
      <c r="F545" s="348">
        <f>SUM(F543:F544)</f>
        <v>144044</v>
      </c>
      <c r="G545" s="549">
        <f>SUM($G$543:$G$544)</f>
        <v>-3660</v>
      </c>
      <c r="H545" s="541">
        <f>SUM($H$543:$H$544)</f>
        <v>147834</v>
      </c>
      <c r="I545" s="542">
        <f>SUM($I$543:$I$544)</f>
        <v>-130</v>
      </c>
      <c r="J545" s="348">
        <f>SUM($J$543:$J$544)</f>
        <v>144044</v>
      </c>
      <c r="K545" s="348">
        <f>SUM($K$543:$K$544)</f>
        <v>0</v>
      </c>
    </row>
    <row r="546" spans="1:11">
      <c r="A546" s="333">
        <v>34</v>
      </c>
      <c r="D546" s="344"/>
      <c r="E546" s="196"/>
      <c r="F546" s="353"/>
      <c r="G546" s="547"/>
      <c r="H546" s="537"/>
      <c r="I546" s="538"/>
    </row>
    <row r="547" spans="1:11">
      <c r="A547" s="333">
        <v>35</v>
      </c>
      <c r="B547" s="332" t="s">
        <v>74</v>
      </c>
      <c r="D547" s="344"/>
      <c r="E547" s="196"/>
      <c r="F547" s="353"/>
      <c r="G547" s="547"/>
      <c r="H547" s="537"/>
      <c r="I547" s="538"/>
    </row>
    <row r="548" spans="1:11">
      <c r="A548" s="333">
        <v>36</v>
      </c>
      <c r="C548" s="332" t="str">
        <f>'FR-16(7)(v)-1 Functional'!C548</f>
        <v>RETURN ON RATE BASE</v>
      </c>
      <c r="D548" s="344"/>
      <c r="E548" s="196"/>
      <c r="F548" s="349">
        <f t="shared" ref="F548:K548" si="96">F334</f>
        <v>1441452</v>
      </c>
      <c r="G548" s="548">
        <f t="shared" si="96"/>
        <v>1316796</v>
      </c>
      <c r="H548" s="539">
        <f t="shared" si="96"/>
        <v>90300</v>
      </c>
      <c r="I548" s="540">
        <f t="shared" si="96"/>
        <v>34356</v>
      </c>
      <c r="J548" s="347">
        <f t="shared" si="96"/>
        <v>1441452</v>
      </c>
      <c r="K548" s="347">
        <f t="shared" si="96"/>
        <v>0</v>
      </c>
    </row>
    <row r="549" spans="1:11">
      <c r="A549" s="333">
        <v>37</v>
      </c>
      <c r="C549" s="332" t="str">
        <f>'FR-16(7)(v)-1 Functional'!C549</f>
        <v>NET DEDUCTIONS AND ADDITIONS</v>
      </c>
      <c r="D549" s="344"/>
      <c r="E549" s="196"/>
      <c r="F549" s="349">
        <f>-F524</f>
        <v>-840290</v>
      </c>
      <c r="G549" s="548">
        <f>-$G$524</f>
        <v>-757697</v>
      </c>
      <c r="H549" s="539">
        <f>-$H$524</f>
        <v>-58633</v>
      </c>
      <c r="I549" s="540">
        <f>-$I$524</f>
        <v>-23960</v>
      </c>
      <c r="J549" s="347">
        <f>-$J$524</f>
        <v>-840290</v>
      </c>
      <c r="K549" s="347">
        <f>-$K$524</f>
        <v>0</v>
      </c>
    </row>
    <row r="550" spans="1:11">
      <c r="A550" s="333">
        <v>38</v>
      </c>
      <c r="C550" s="332" t="s">
        <v>1496</v>
      </c>
      <c r="D550" s="344"/>
      <c r="E550" s="196"/>
      <c r="F550" s="349">
        <f t="shared" ref="F550:K550" ca="1" si="97">F591</f>
        <v>27555</v>
      </c>
      <c r="G550" s="548">
        <f t="shared" ca="1" si="97"/>
        <v>202</v>
      </c>
      <c r="H550" s="539">
        <f t="shared" ca="1" si="97"/>
        <v>0</v>
      </c>
      <c r="I550" s="540">
        <f t="shared" ca="1" si="97"/>
        <v>27352</v>
      </c>
      <c r="J550" s="347">
        <f t="shared" ca="1" si="97"/>
        <v>27554</v>
      </c>
      <c r="K550" s="347">
        <f t="shared" ca="1" si="97"/>
        <v>1</v>
      </c>
    </row>
    <row r="551" spans="1:11">
      <c r="A551" s="333">
        <v>39</v>
      </c>
      <c r="C551" s="359" t="str">
        <f>'FR-16(7)(v)-1 Functional'!C551</f>
        <v>TOTAL FEDERAL TAX ADJUSTMENTS</v>
      </c>
      <c r="D551" s="344"/>
      <c r="E551" s="196"/>
      <c r="F551" s="349">
        <f>F545</f>
        <v>144044</v>
      </c>
      <c r="G551" s="548">
        <f>$G$545</f>
        <v>-3660</v>
      </c>
      <c r="H551" s="539">
        <f>$H$545</f>
        <v>147834</v>
      </c>
      <c r="I551" s="540">
        <f>$I$545</f>
        <v>-130</v>
      </c>
      <c r="J551" s="347">
        <f>$J$545</f>
        <v>144044</v>
      </c>
      <c r="K551" s="347">
        <f>$K$545</f>
        <v>0</v>
      </c>
    </row>
    <row r="552" spans="1:11">
      <c r="A552" s="333">
        <v>40</v>
      </c>
      <c r="C552" s="332" t="str">
        <f>'FR-16(7)(v)-1 Functional'!C552</f>
        <v xml:space="preserve">  BASE FOR FIT COMPUATION</v>
      </c>
      <c r="D552" s="344"/>
      <c r="E552" s="196"/>
      <c r="F552" s="348">
        <f ca="1">SUM(F548:F551)</f>
        <v>772761</v>
      </c>
      <c r="G552" s="549">
        <f ca="1">SUM($G$548:$G$551)</f>
        <v>555641</v>
      </c>
      <c r="H552" s="541">
        <f ca="1">SUM($H$548:$H$551)</f>
        <v>179501</v>
      </c>
      <c r="I552" s="542">
        <f ca="1">SUM($I$548:$I$551)</f>
        <v>37618</v>
      </c>
      <c r="J552" s="348">
        <f ca="1">SUM($J$548:$J$551)</f>
        <v>772760</v>
      </c>
      <c r="K552" s="348">
        <f ca="1">SUM($K$548:$K$551)</f>
        <v>1</v>
      </c>
    </row>
    <row r="553" spans="1:11">
      <c r="A553" s="333">
        <v>41</v>
      </c>
      <c r="D553" s="344"/>
      <c r="E553" s="196"/>
      <c r="F553" s="353"/>
      <c r="G553" s="547"/>
      <c r="H553" s="537"/>
      <c r="I553" s="538"/>
    </row>
    <row r="554" spans="1:11">
      <c r="A554" s="333">
        <v>42</v>
      </c>
      <c r="C554" s="332" t="str">
        <f>'FR-16(7)(v)-1 Functional'!C554</f>
        <v>FIT FACTOR K190/(1-K190)</v>
      </c>
      <c r="D554" s="344"/>
      <c r="E554" s="196"/>
      <c r="F554" s="356">
        <f>ROUND(F692/(1-F692),9)</f>
        <v>0.26582278500000001</v>
      </c>
      <c r="G554" s="566">
        <f>ROUND(G692/(1-G692),9)</f>
        <v>0.26582278500000001</v>
      </c>
      <c r="H554" s="567">
        <f>ROUND(H692/(1-H692),9)</f>
        <v>0.26582278500000001</v>
      </c>
      <c r="I554" s="568">
        <f>ROUND(I692/(1-I692),9)</f>
        <v>0.26582278500000001</v>
      </c>
      <c r="J554" s="350"/>
      <c r="K554" s="350">
        <f>ROUND(K692/(1-K692),9)</f>
        <v>0.26582278500000001</v>
      </c>
    </row>
    <row r="555" spans="1:11">
      <c r="A555" s="333">
        <v>43</v>
      </c>
      <c r="C555" s="332" t="str">
        <f>'FR-16(7)(v)-1 Functional'!C555</f>
        <v>PRELIM FED INCOME TAX</v>
      </c>
      <c r="D555" s="344"/>
      <c r="E555" s="196"/>
      <c r="F555" s="349">
        <f ca="1">ROUND(F554*F552,0)</f>
        <v>205417</v>
      </c>
      <c r="G555" s="560">
        <f ca="1">ROUND($G$552*$G$554,0)</f>
        <v>147702</v>
      </c>
      <c r="H555" s="561">
        <f ca="1">ROUND($H$552*$H$554,0)</f>
        <v>47715</v>
      </c>
      <c r="I555" s="562">
        <f ca="1">ROUND($I$552*$I$554,0)</f>
        <v>10000</v>
      </c>
      <c r="J555" s="347">
        <f ca="1">SUM($G$555:$I$555)</f>
        <v>205417</v>
      </c>
      <c r="K555" s="347">
        <f ca="1">ROUND($K$552*$K$554,0)</f>
        <v>0</v>
      </c>
    </row>
    <row r="556" spans="1:11">
      <c r="A556" s="333">
        <v>44</v>
      </c>
      <c r="C556" s="359" t="str">
        <f>'FR-16(7)(v)-1 Functional'!C556</f>
        <v>TOTAL FEDERAL TAX ADJUSTMENTS</v>
      </c>
      <c r="D556" s="344"/>
      <c r="E556" s="196"/>
      <c r="F556" s="349">
        <f>F545</f>
        <v>144044</v>
      </c>
      <c r="G556" s="548">
        <f>$G$545</f>
        <v>-3660</v>
      </c>
      <c r="H556" s="539">
        <f>$H$545</f>
        <v>147834</v>
      </c>
      <c r="I556" s="540">
        <f>$I$545</f>
        <v>-130</v>
      </c>
      <c r="J556" s="347">
        <f>$J$545</f>
        <v>144044</v>
      </c>
      <c r="K556" s="347">
        <f>$K$545</f>
        <v>0</v>
      </c>
    </row>
    <row r="557" spans="1:11">
      <c r="A557" s="333">
        <v>45</v>
      </c>
      <c r="C557" s="353" t="str">
        <f>'FR-16(7)(v)-1 Functional'!C557</f>
        <v xml:space="preserve">  NET FED INCOME TAX ALLOWABLE</v>
      </c>
      <c r="D557" s="344"/>
      <c r="E557" s="196"/>
      <c r="F557" s="348">
        <f ca="1">SUM(F555:F556)</f>
        <v>349461</v>
      </c>
      <c r="G557" s="549">
        <f ca="1">SUM($G$555:$G$556)</f>
        <v>144042</v>
      </c>
      <c r="H557" s="541">
        <f ca="1">SUM($H$555:$H$556)</f>
        <v>195549</v>
      </c>
      <c r="I557" s="542">
        <f ca="1">SUM($I$555:$I$556)</f>
        <v>9870</v>
      </c>
      <c r="J557" s="348">
        <f ca="1">SUM($J$555:$J$556)</f>
        <v>349461</v>
      </c>
      <c r="K557" s="348">
        <f ca="1">SUM($K$555:$K$556)</f>
        <v>0</v>
      </c>
    </row>
    <row r="558" spans="1:11">
      <c r="A558" s="333">
        <v>46</v>
      </c>
      <c r="D558" s="344"/>
      <c r="E558" s="196"/>
      <c r="F558" s="353"/>
      <c r="G558" s="547"/>
      <c r="H558" s="537"/>
      <c r="I558" s="538"/>
    </row>
    <row r="559" spans="1:11">
      <c r="A559" s="333">
        <v>47</v>
      </c>
      <c r="B559" s="332" t="s">
        <v>68</v>
      </c>
      <c r="D559" s="344"/>
      <c r="E559" s="196"/>
      <c r="F559" s="353"/>
      <c r="G559" s="547"/>
      <c r="H559" s="537"/>
      <c r="I559" s="538"/>
    </row>
    <row r="560" spans="1:11">
      <c r="A560" s="333">
        <v>48</v>
      </c>
      <c r="B560" s="332" t="s">
        <v>75</v>
      </c>
      <c r="D560" s="344"/>
      <c r="E560" s="196"/>
      <c r="F560" s="353"/>
      <c r="G560" s="547"/>
      <c r="H560" s="537"/>
      <c r="I560" s="538"/>
    </row>
    <row r="561" spans="1:11">
      <c r="A561" s="333">
        <v>49</v>
      </c>
      <c r="C561" s="332" t="str">
        <f>'FR-16(7)(v)-1 Functional'!C561</f>
        <v>PRELIM FEDERAL INCOME TAX</v>
      </c>
      <c r="D561" s="344"/>
      <c r="E561" s="196"/>
      <c r="F561" s="349">
        <f ca="1">F555</f>
        <v>205417</v>
      </c>
      <c r="G561" s="548">
        <f ca="1">$G$555</f>
        <v>147702</v>
      </c>
      <c r="H561" s="539">
        <f ca="1">$H$555</f>
        <v>47715</v>
      </c>
      <c r="I561" s="540">
        <f ca="1">$I$555</f>
        <v>10000</v>
      </c>
      <c r="J561" s="347">
        <f ca="1">$J$555</f>
        <v>205417</v>
      </c>
      <c r="K561" s="347">
        <f ca="1">$K$555</f>
        <v>0</v>
      </c>
    </row>
    <row r="562" spans="1:11">
      <c r="A562" s="333">
        <v>50</v>
      </c>
      <c r="C562" s="359" t="str">
        <f>'FR-16(7)(v)-1 Functional'!C562</f>
        <v>TEST YEAR INV TAX CREDIT</v>
      </c>
      <c r="D562" s="344"/>
      <c r="E562" s="196"/>
      <c r="F562" s="347">
        <f>-F540</f>
        <v>0</v>
      </c>
      <c r="G562" s="550">
        <f>-$G$540</f>
        <v>0</v>
      </c>
      <c r="H562" s="543">
        <f>-$H$540</f>
        <v>0</v>
      </c>
      <c r="I562" s="544">
        <f>-$I$540</f>
        <v>0</v>
      </c>
      <c r="J562" s="347">
        <f>-$J$540</f>
        <v>0</v>
      </c>
      <c r="K562" s="347">
        <f>-$K$540</f>
        <v>0</v>
      </c>
    </row>
    <row r="563" spans="1:11">
      <c r="A563" s="333">
        <v>51</v>
      </c>
      <c r="C563" s="332" t="str">
        <f>'FR-16(7)(v)-1 Functional'!C563</f>
        <v xml:space="preserve">  NET FED INCOME TAX PAYABLE</v>
      </c>
      <c r="D563" s="344"/>
      <c r="E563" s="196"/>
      <c r="F563" s="348">
        <f ca="1">SUM(F560:F562)</f>
        <v>205417</v>
      </c>
      <c r="G563" s="549">
        <f ca="1">SUM($G$560:$G$562)</f>
        <v>147702</v>
      </c>
      <c r="H563" s="541">
        <f ca="1">SUM($H$560:$H$562)</f>
        <v>47715</v>
      </c>
      <c r="I563" s="542">
        <f ca="1">SUM($I$560:$I$562)</f>
        <v>10000</v>
      </c>
      <c r="J563" s="348">
        <f ca="1">SUM($J$560:$J$562)</f>
        <v>205417</v>
      </c>
      <c r="K563" s="348">
        <f ca="1">SUM($K$560:$K$562)</f>
        <v>0</v>
      </c>
    </row>
    <row r="564" spans="1:11">
      <c r="A564" s="333">
        <v>52</v>
      </c>
      <c r="D564" s="344"/>
      <c r="E564" s="196"/>
      <c r="G564" s="547"/>
      <c r="H564" s="537"/>
      <c r="I564" s="538"/>
    </row>
    <row r="565" spans="1:11">
      <c r="A565" s="333">
        <v>53</v>
      </c>
      <c r="B565" s="332" t="s">
        <v>76</v>
      </c>
      <c r="D565" s="344"/>
      <c r="E565" s="196"/>
      <c r="F565" s="332">
        <f>ROUND((F693*(1-F692))+((1-F693)*(1-F692)*F694)+F692,5)</f>
        <v>0.24925</v>
      </c>
      <c r="G565" s="569">
        <f>ROUND((G693*(1-G692))+((1-G693)*(1-G692)*G694)+G692,5)</f>
        <v>0.24925</v>
      </c>
      <c r="H565" s="570">
        <f>ROUND((H693*(1-H692))+((1-H693)*(1-H692)*H694)+H692,5)</f>
        <v>0.24925</v>
      </c>
      <c r="I565" s="571">
        <f>ROUND((I693*(1-I692))+((1-I693)*(1-I692)*I694)+I692,5)</f>
        <v>0.24925</v>
      </c>
      <c r="K565" s="332">
        <f>ROUND((K693*(1-K692))+((1-K693)*(1-K692)*K694)+K692,5)</f>
        <v>0.24925</v>
      </c>
    </row>
    <row r="566" spans="1:11">
      <c r="B566" s="343"/>
      <c r="C566" s="196"/>
      <c r="D566" s="344"/>
      <c r="E566" s="196"/>
      <c r="F566" s="196"/>
      <c r="G566" s="196"/>
      <c r="H566" s="196"/>
      <c r="I566" s="196"/>
      <c r="J566" s="196"/>
      <c r="K566" s="196"/>
    </row>
    <row r="567" spans="1:11">
      <c r="A567" s="343" t="str">
        <f>co_name</f>
        <v>DUKE ENERGY KENTUCKY, INC.</v>
      </c>
      <c r="C567" s="196"/>
      <c r="D567" s="344"/>
      <c r="E567" s="196"/>
      <c r="F567" s="196"/>
      <c r="G567" s="196"/>
      <c r="H567" s="196"/>
      <c r="I567" s="196"/>
      <c r="J567" s="196" t="str">
        <f>$J$1</f>
        <v>FR-16(7)(v)-11</v>
      </c>
      <c r="K567" s="196"/>
    </row>
    <row r="568" spans="1:11">
      <c r="A568" s="343" t="str">
        <f>$A$2</f>
        <v>FT-L CLASSIFIED - GAS COST OF SERVICE</v>
      </c>
      <c r="C568" s="196"/>
      <c r="D568" s="344"/>
      <c r="E568" s="196"/>
      <c r="F568" s="196"/>
      <c r="G568" s="196"/>
      <c r="H568" s="196"/>
      <c r="I568" s="196"/>
      <c r="J568" s="196" t="str">
        <f>$J$2</f>
        <v>WITNESS RESPONSIBLE:</v>
      </c>
      <c r="K568" s="196"/>
    </row>
    <row r="569" spans="1:11">
      <c r="A569" s="343" t="str">
        <f>case_name</f>
        <v>CASE NO: 2018-00261</v>
      </c>
      <c r="C569" s="196"/>
      <c r="D569" s="344"/>
      <c r="E569" s="196"/>
      <c r="F569" s="196"/>
      <c r="G569" s="196"/>
      <c r="H569" s="196"/>
      <c r="I569" s="196"/>
      <c r="J569" s="196" t="str">
        <f>Witness</f>
        <v>JAMES E. ZIOLKOWSKI</v>
      </c>
      <c r="K569" s="196"/>
    </row>
    <row r="570" spans="1:11">
      <c r="A570" s="343" t="str">
        <f>data_filing</f>
        <v>DATA: 12 MONTH FORECASTED PERIOD</v>
      </c>
      <c r="C570" s="196"/>
      <c r="D570" s="344"/>
      <c r="E570" s="196"/>
      <c r="F570" s="196"/>
      <c r="G570" s="196"/>
      <c r="H570" s="196"/>
      <c r="I570" s="196"/>
      <c r="J570" s="196" t="str">
        <f>"PAGE "&amp;Pages2-2&amp;" OF "&amp;Pages2</f>
        <v>PAGE 13 OF 15</v>
      </c>
      <c r="K570" s="196"/>
    </row>
    <row r="571" spans="1:11">
      <c r="A571" s="343" t="str">
        <f>type</f>
        <v xml:space="preserve">TYPE OF FILING: "X" ORIGINAL   UPDATED    REVISED  </v>
      </c>
      <c r="C571" s="196"/>
      <c r="D571" s="344"/>
      <c r="E571" s="196"/>
      <c r="F571" s="196"/>
      <c r="G571" s="196"/>
      <c r="H571" s="196"/>
      <c r="I571" s="196"/>
      <c r="J571" s="196"/>
      <c r="K571" s="196"/>
    </row>
    <row r="574" spans="1:11">
      <c r="A574" s="344" t="s">
        <v>914</v>
      </c>
      <c r="B574" s="1392"/>
      <c r="C574" s="1091"/>
      <c r="D574" s="1091"/>
      <c r="E574" s="342"/>
      <c r="F574" s="354" t="s">
        <v>229</v>
      </c>
      <c r="G574" s="545" t="s">
        <v>1005</v>
      </c>
      <c r="H574" s="533"/>
      <c r="I574" s="534"/>
      <c r="J574" s="344" t="s">
        <v>229</v>
      </c>
      <c r="K574" s="344" t="s">
        <v>342</v>
      </c>
    </row>
    <row r="575" spans="1:11">
      <c r="A575" s="346" t="s">
        <v>915</v>
      </c>
      <c r="B575" s="1394" t="s">
        <v>1453</v>
      </c>
      <c r="C575" s="1395"/>
      <c r="D575" s="1396" t="s">
        <v>1454</v>
      </c>
      <c r="E575" s="1397"/>
      <c r="F575" s="355" t="str">
        <f>$F$9</f>
        <v>FT-L</v>
      </c>
      <c r="G575" s="546" t="s">
        <v>847</v>
      </c>
      <c r="H575" s="535" t="s">
        <v>848</v>
      </c>
      <c r="I575" s="536" t="s">
        <v>849</v>
      </c>
      <c r="J575" s="346" t="s">
        <v>341</v>
      </c>
      <c r="K575" s="346" t="s">
        <v>340</v>
      </c>
    </row>
    <row r="576" spans="1:11" ht="15">
      <c r="A576" s="1398"/>
      <c r="B576" s="1399"/>
      <c r="C576" s="1400" t="s">
        <v>1455</v>
      </c>
      <c r="D576" s="1401"/>
      <c r="E576" s="342"/>
      <c r="F576" s="353"/>
      <c r="G576" s="1447">
        <f>$G$10</f>
        <v>3</v>
      </c>
      <c r="H576" s="1448">
        <f>$H$10</f>
        <v>4</v>
      </c>
      <c r="I576" s="1449">
        <f>$I$10</f>
        <v>5</v>
      </c>
    </row>
    <row r="577" spans="1:11">
      <c r="A577" s="968">
        <v>1</v>
      </c>
      <c r="B577" s="1405" t="s">
        <v>1456</v>
      </c>
      <c r="C577" s="1392"/>
      <c r="D577" s="1392"/>
      <c r="E577" s="342"/>
      <c r="F577" s="342"/>
      <c r="G577" s="1450"/>
      <c r="H577" s="1451"/>
      <c r="I577" s="1452"/>
      <c r="J577" s="196"/>
      <c r="K577" s="196"/>
    </row>
    <row r="578" spans="1:11">
      <c r="A578" s="968">
        <v>2</v>
      </c>
      <c r="B578" s="1409" t="s">
        <v>1457</v>
      </c>
      <c r="C578" s="1392"/>
      <c r="D578" s="1410" t="s">
        <v>315</v>
      </c>
      <c r="E578" s="342"/>
      <c r="F578" s="479">
        <f ca="1">'FR-16(7)(v)-8 TOT CLASS Alloc'!I578</f>
        <v>347131</v>
      </c>
      <c r="G578" s="548">
        <f ca="1">ROUND(F578*VLOOKUP(D578,AllocTable_Functional,$G$10,FALSE),0)</f>
        <v>2555</v>
      </c>
      <c r="H578" s="539">
        <f ca="1">ROUND(F578*VLOOKUP(D578,AllocTable_Functional,$H$10,FALSE),0)</f>
        <v>0</v>
      </c>
      <c r="I578" s="540">
        <f ca="1">ROUND(F578*VLOOKUP(D578,AllocTable_Functional,$I$10,FALSE),0)</f>
        <v>344576</v>
      </c>
      <c r="J578" s="347">
        <f ca="1">SUM(G578:I578)</f>
        <v>347131</v>
      </c>
      <c r="K578" s="347">
        <f ca="1">F578-J578</f>
        <v>0</v>
      </c>
    </row>
    <row r="579" spans="1:11">
      <c r="A579" s="968">
        <v>3</v>
      </c>
      <c r="B579" s="1409" t="s">
        <v>1171</v>
      </c>
      <c r="C579" s="1411"/>
      <c r="D579" s="1410" t="s">
        <v>315</v>
      </c>
      <c r="E579" s="342"/>
      <c r="F579" s="1412">
        <f>'FR-16(7)(v)-8 TOT CLASS Alloc'!I579</f>
        <v>0</v>
      </c>
      <c r="G579" s="550">
        <f>ROUND(F579*VLOOKUP(D579,AllocTable_Functional,$G$10,FALSE),0)</f>
        <v>0</v>
      </c>
      <c r="H579" s="543">
        <f>ROUND(F579*VLOOKUP(D579,AllocTable_Functional,$H$10,FALSE),0)</f>
        <v>0</v>
      </c>
      <c r="I579" s="544">
        <f>ROUND(F579*VLOOKUP(D579,AllocTable_Functional,$I$10,FALSE),0)</f>
        <v>0</v>
      </c>
      <c r="J579" s="502">
        <f>SUM(G579:I579)</f>
        <v>0</v>
      </c>
      <c r="K579" s="502">
        <f>F579-J579</f>
        <v>0</v>
      </c>
    </row>
    <row r="580" spans="1:11">
      <c r="A580" s="968">
        <v>4</v>
      </c>
      <c r="B580" s="1413" t="s">
        <v>1458</v>
      </c>
      <c r="C580" s="1392"/>
      <c r="D580" s="1414"/>
      <c r="E580" s="342"/>
      <c r="F580" s="1291">
        <f t="shared" ref="F580:K580" ca="1" si="98">SUM(F578:F579)</f>
        <v>347131</v>
      </c>
      <c r="G580" s="1453">
        <f t="shared" ca="1" si="98"/>
        <v>2555</v>
      </c>
      <c r="H580" s="1454">
        <f t="shared" ca="1" si="98"/>
        <v>0</v>
      </c>
      <c r="I580" s="1455">
        <f t="shared" ca="1" si="98"/>
        <v>344576</v>
      </c>
      <c r="J580" s="335">
        <f t="shared" ca="1" si="98"/>
        <v>347131</v>
      </c>
      <c r="K580" s="335">
        <f t="shared" ca="1" si="98"/>
        <v>0</v>
      </c>
    </row>
    <row r="581" spans="1:11" ht="15">
      <c r="A581" s="968">
        <v>5</v>
      </c>
      <c r="B581" s="1398"/>
      <c r="C581" s="1401"/>
      <c r="D581" s="1415"/>
      <c r="E581" s="342"/>
      <c r="F581" s="353"/>
      <c r="G581" s="547"/>
      <c r="H581" s="537"/>
      <c r="I581" s="538"/>
    </row>
    <row r="582" spans="1:11">
      <c r="A582" s="968">
        <v>6</v>
      </c>
      <c r="B582" s="1416" t="s">
        <v>1459</v>
      </c>
      <c r="C582" s="1392"/>
      <c r="D582" s="1414"/>
      <c r="E582" s="342"/>
      <c r="F582" s="353"/>
      <c r="G582" s="547"/>
      <c r="H582" s="537"/>
      <c r="I582" s="538"/>
    </row>
    <row r="583" spans="1:11">
      <c r="A583" s="968">
        <v>7</v>
      </c>
      <c r="B583" s="1417" t="s">
        <v>1460</v>
      </c>
      <c r="C583" s="1392"/>
      <c r="D583" s="1414"/>
      <c r="E583" s="342"/>
      <c r="F583" s="353"/>
      <c r="G583" s="547"/>
      <c r="H583" s="537"/>
      <c r="I583" s="538"/>
    </row>
    <row r="584" spans="1:11">
      <c r="A584" s="968">
        <v>8</v>
      </c>
      <c r="B584" s="1418" t="s">
        <v>1461</v>
      </c>
      <c r="C584" s="1411"/>
      <c r="D584" s="1410" t="s">
        <v>315</v>
      </c>
      <c r="E584" s="342"/>
      <c r="F584" s="1471">
        <f ca="1">'FR-16(7)(v)-8 TOT CLASS Alloc'!I584</f>
        <v>27556</v>
      </c>
      <c r="G584" s="550">
        <f ca="1">F584-SUM(H584:I584)</f>
        <v>204</v>
      </c>
      <c r="H584" s="543">
        <f ca="1">ROUND(F584*VLOOKUP(D584,AllocTable_Functional,$H$10,FALSE),0)</f>
        <v>0</v>
      </c>
      <c r="I584" s="544">
        <f ca="1">ROUND(F584*VLOOKUP(D584,AllocTable_Functional,$I$10,FALSE),0)</f>
        <v>27353</v>
      </c>
      <c r="J584" s="502">
        <f ca="1">SUM(G584:I584)</f>
        <v>27557</v>
      </c>
      <c r="K584" s="502">
        <f ca="1">F584-J584</f>
        <v>-1</v>
      </c>
    </row>
    <row r="585" spans="1:11">
      <c r="A585" s="968">
        <v>9</v>
      </c>
      <c r="B585" s="1413" t="s">
        <v>1463</v>
      </c>
      <c r="C585" s="1392"/>
      <c r="D585" s="1414"/>
      <c r="E585" s="342"/>
      <c r="F585" s="1291">
        <f t="shared" ref="F585:K585" ca="1" si="99">SUM(F584)</f>
        <v>27556</v>
      </c>
      <c r="G585" s="1453">
        <f t="shared" ca="1" si="99"/>
        <v>204</v>
      </c>
      <c r="H585" s="1454">
        <f t="shared" ca="1" si="99"/>
        <v>0</v>
      </c>
      <c r="I585" s="1455">
        <f t="shared" ca="1" si="99"/>
        <v>27353</v>
      </c>
      <c r="J585" s="335">
        <f t="shared" ca="1" si="99"/>
        <v>27557</v>
      </c>
      <c r="K585" s="335">
        <f t="shared" ca="1" si="99"/>
        <v>-1</v>
      </c>
    </row>
    <row r="586" spans="1:11">
      <c r="A586" s="968">
        <v>10</v>
      </c>
      <c r="B586" s="1090"/>
      <c r="C586" s="1392"/>
      <c r="D586" s="1414"/>
      <c r="E586" s="342"/>
      <c r="F586" s="353"/>
      <c r="G586" s="547"/>
      <c r="H586" s="537"/>
      <c r="I586" s="538"/>
    </row>
    <row r="587" spans="1:11">
      <c r="A587" s="968">
        <v>11</v>
      </c>
      <c r="B587" s="1419" t="s">
        <v>1464</v>
      </c>
      <c r="C587" s="1420"/>
      <c r="D587" s="1421"/>
      <c r="E587" s="342"/>
      <c r="F587" s="353"/>
      <c r="G587" s="547"/>
      <c r="H587" s="537"/>
      <c r="I587" s="538"/>
    </row>
    <row r="588" spans="1:11">
      <c r="A588" s="968">
        <v>12</v>
      </c>
      <c r="B588" s="1409" t="s">
        <v>1465</v>
      </c>
      <c r="C588" s="1411"/>
      <c r="D588" s="1410" t="s">
        <v>315</v>
      </c>
      <c r="E588" s="342"/>
      <c r="F588" s="1471">
        <f ca="1">'FR-16(7)(v)-8 TOT CLASS Alloc'!I588</f>
        <v>0</v>
      </c>
      <c r="G588" s="550">
        <f ca="1">ROUND(F588*VLOOKUP(D588,AllocTable_Functional,$G$10,FALSE),0)</f>
        <v>0</v>
      </c>
      <c r="H588" s="543">
        <f ca="1">ROUND(F588*VLOOKUP(D588,AllocTable_Functional,$H$10,FALSE),0)</f>
        <v>0</v>
      </c>
      <c r="I588" s="544">
        <f ca="1">ROUND(F588*VLOOKUP(D588,AllocTable_Functional,$I$10,FALSE),0)</f>
        <v>0</v>
      </c>
      <c r="J588" s="502">
        <f ca="1">SUM(G588:I588)</f>
        <v>0</v>
      </c>
      <c r="K588" s="502">
        <f ca="1">F588-J588</f>
        <v>0</v>
      </c>
    </row>
    <row r="589" spans="1:11">
      <c r="A589" s="968">
        <v>13</v>
      </c>
      <c r="B589" s="1413" t="s">
        <v>1466</v>
      </c>
      <c r="C589" s="1392"/>
      <c r="D589" s="1414"/>
      <c r="E589" s="342"/>
      <c r="F589" s="1291">
        <f t="shared" ref="F589:K589" ca="1" si="100">SUM(F588)</f>
        <v>0</v>
      </c>
      <c r="G589" s="1453">
        <f t="shared" ca="1" si="100"/>
        <v>0</v>
      </c>
      <c r="H589" s="1454">
        <f t="shared" ca="1" si="100"/>
        <v>0</v>
      </c>
      <c r="I589" s="1455">
        <f t="shared" ca="1" si="100"/>
        <v>0</v>
      </c>
      <c r="J589" s="335">
        <f t="shared" ca="1" si="100"/>
        <v>0</v>
      </c>
      <c r="K589" s="335">
        <f t="shared" ca="1" si="100"/>
        <v>0</v>
      </c>
    </row>
    <row r="590" spans="1:11">
      <c r="A590" s="968">
        <v>14</v>
      </c>
      <c r="B590" s="1392"/>
      <c r="C590" s="1392"/>
      <c r="D590" s="1414"/>
      <c r="E590" s="342"/>
      <c r="F590" s="353"/>
      <c r="G590" s="547"/>
      <c r="H590" s="537"/>
      <c r="I590" s="538"/>
    </row>
    <row r="591" spans="1:11">
      <c r="A591" s="968">
        <v>15</v>
      </c>
      <c r="B591" s="1392" t="s">
        <v>1467</v>
      </c>
      <c r="C591" s="1392"/>
      <c r="D591" s="1414"/>
      <c r="E591" s="342"/>
      <c r="F591" s="1291">
        <f ca="1">F589+F585</f>
        <v>27556</v>
      </c>
      <c r="G591" s="1453">
        <f t="shared" ref="G591:K591" ca="1" si="101">G589+G585</f>
        <v>204</v>
      </c>
      <c r="H591" s="1454">
        <f t="shared" ca="1" si="101"/>
        <v>0</v>
      </c>
      <c r="I591" s="1455">
        <f t="shared" ca="1" si="101"/>
        <v>27353</v>
      </c>
      <c r="J591" s="335">
        <f t="shared" ca="1" si="101"/>
        <v>27557</v>
      </c>
      <c r="K591" s="335">
        <f t="shared" ca="1" si="101"/>
        <v>-1</v>
      </c>
    </row>
    <row r="592" spans="1:11">
      <c r="A592" s="968">
        <v>16</v>
      </c>
      <c r="B592" s="1392"/>
      <c r="C592" s="1392"/>
      <c r="D592" s="1414"/>
      <c r="E592" s="342"/>
      <c r="F592" s="353"/>
      <c r="G592" s="547"/>
      <c r="H592" s="537"/>
      <c r="I592" s="538"/>
    </row>
    <row r="593" spans="1:11">
      <c r="A593" s="968">
        <v>17</v>
      </c>
      <c r="B593" s="1422" t="s">
        <v>68</v>
      </c>
      <c r="C593" s="1423"/>
      <c r="D593" s="968"/>
      <c r="E593" s="342"/>
      <c r="F593" s="353"/>
      <c r="G593" s="547"/>
      <c r="H593" s="537"/>
      <c r="I593" s="538"/>
    </row>
    <row r="594" spans="1:11">
      <c r="A594" s="968">
        <v>18</v>
      </c>
      <c r="B594" s="1417" t="s">
        <v>1468</v>
      </c>
      <c r="C594" s="1392"/>
      <c r="D594" s="1414"/>
      <c r="E594" s="342"/>
      <c r="F594" s="353"/>
      <c r="G594" s="547"/>
      <c r="H594" s="537"/>
      <c r="I594" s="538"/>
    </row>
    <row r="595" spans="1:11">
      <c r="A595" s="968">
        <v>19</v>
      </c>
      <c r="B595" s="1392" t="s">
        <v>43</v>
      </c>
      <c r="C595" s="1392"/>
      <c r="D595" s="1414"/>
      <c r="E595" s="342"/>
      <c r="F595" s="1291">
        <f>F334</f>
        <v>1441452</v>
      </c>
      <c r="G595" s="1453">
        <f>G334</f>
        <v>1316796</v>
      </c>
      <c r="H595" s="1454">
        <f>H334</f>
        <v>90300</v>
      </c>
      <c r="I595" s="1455">
        <f>I334</f>
        <v>34356</v>
      </c>
      <c r="J595" s="1291">
        <f>J334</f>
        <v>1441452</v>
      </c>
      <c r="K595" s="1291">
        <f t="shared" ref="K595" si="102">K316</f>
        <v>0</v>
      </c>
    </row>
    <row r="596" spans="1:11">
      <c r="A596" s="968">
        <v>20</v>
      </c>
      <c r="B596" s="1392" t="s">
        <v>199</v>
      </c>
      <c r="C596" s="1392"/>
      <c r="D596" s="1414"/>
      <c r="E596" s="342"/>
      <c r="F596" s="1291">
        <f t="shared" ref="F596:K596" ca="1" si="103">F557</f>
        <v>349461</v>
      </c>
      <c r="G596" s="1453">
        <f t="shared" ca="1" si="103"/>
        <v>144042</v>
      </c>
      <c r="H596" s="1454">
        <f t="shared" ca="1" si="103"/>
        <v>195549</v>
      </c>
      <c r="I596" s="1455">
        <f t="shared" ca="1" si="103"/>
        <v>9870</v>
      </c>
      <c r="J596" s="335">
        <f t="shared" ca="1" si="103"/>
        <v>349461</v>
      </c>
      <c r="K596" s="335">
        <f t="shared" ca="1" si="103"/>
        <v>0</v>
      </c>
    </row>
    <row r="597" spans="1:11">
      <c r="A597" s="968">
        <v>21</v>
      </c>
      <c r="B597" s="1392" t="s">
        <v>1469</v>
      </c>
      <c r="C597" s="1392"/>
      <c r="D597" s="1414"/>
      <c r="E597" s="342"/>
      <c r="F597" s="1291">
        <f>-F524</f>
        <v>-840290</v>
      </c>
      <c r="G597" s="1453">
        <f t="shared" ref="G597:K597" si="104">-G524</f>
        <v>-757697</v>
      </c>
      <c r="H597" s="1454">
        <f t="shared" si="104"/>
        <v>-58633</v>
      </c>
      <c r="I597" s="1455">
        <f t="shared" si="104"/>
        <v>-23960</v>
      </c>
      <c r="J597" s="335">
        <f t="shared" si="104"/>
        <v>-840290</v>
      </c>
      <c r="K597" s="335">
        <f t="shared" si="104"/>
        <v>0</v>
      </c>
    </row>
    <row r="598" spans="1:11">
      <c r="A598" s="968">
        <v>22</v>
      </c>
      <c r="B598" s="1392" t="s">
        <v>1470</v>
      </c>
      <c r="C598" s="1392"/>
      <c r="D598" s="1414"/>
      <c r="E598" s="342"/>
      <c r="F598" s="1291">
        <f t="shared" ref="F598:K598" ca="1" si="105">-F580</f>
        <v>-347131</v>
      </c>
      <c r="G598" s="1453">
        <f t="shared" ca="1" si="105"/>
        <v>-2555</v>
      </c>
      <c r="H598" s="1454">
        <f t="shared" ca="1" si="105"/>
        <v>0</v>
      </c>
      <c r="I598" s="1455">
        <f t="shared" ca="1" si="105"/>
        <v>-344576</v>
      </c>
      <c r="J598" s="335">
        <f t="shared" ca="1" si="105"/>
        <v>-347131</v>
      </c>
      <c r="K598" s="335">
        <f t="shared" ca="1" si="105"/>
        <v>0</v>
      </c>
    </row>
    <row r="599" spans="1:11">
      <c r="A599" s="968">
        <v>23</v>
      </c>
      <c r="B599" s="1411" t="s">
        <v>1471</v>
      </c>
      <c r="C599" s="1411"/>
      <c r="D599" s="1414"/>
      <c r="E599" s="342"/>
      <c r="F599" s="1424">
        <f t="shared" ref="F599:K599" ca="1" si="106">F591</f>
        <v>27556</v>
      </c>
      <c r="G599" s="1456">
        <f t="shared" ca="1" si="106"/>
        <v>204</v>
      </c>
      <c r="H599" s="1457">
        <f t="shared" ca="1" si="106"/>
        <v>0</v>
      </c>
      <c r="I599" s="1458">
        <f t="shared" ca="1" si="106"/>
        <v>27353</v>
      </c>
      <c r="J599" s="1428">
        <f t="shared" ca="1" si="106"/>
        <v>27557</v>
      </c>
      <c r="K599" s="1428">
        <f t="shared" ca="1" si="106"/>
        <v>-1</v>
      </c>
    </row>
    <row r="600" spans="1:11">
      <c r="A600" s="968">
        <v>24</v>
      </c>
      <c r="B600" s="1090" t="s">
        <v>1472</v>
      </c>
      <c r="C600" s="1392"/>
      <c r="D600" s="1414"/>
      <c r="E600" s="342"/>
      <c r="F600" s="1291">
        <f t="shared" ref="F600:K600" ca="1" si="107">SUM(F595:F599)</f>
        <v>631048</v>
      </c>
      <c r="G600" s="1453">
        <f t="shared" ca="1" si="107"/>
        <v>700790</v>
      </c>
      <c r="H600" s="1454">
        <f t="shared" ca="1" si="107"/>
        <v>227216</v>
      </c>
      <c r="I600" s="1455">
        <f t="shared" ca="1" si="107"/>
        <v>-296957</v>
      </c>
      <c r="J600" s="335">
        <f t="shared" ca="1" si="107"/>
        <v>631049</v>
      </c>
      <c r="K600" s="335">
        <f t="shared" ca="1" si="107"/>
        <v>-1</v>
      </c>
    </row>
    <row r="601" spans="1:11">
      <c r="A601" s="968">
        <v>25</v>
      </c>
      <c r="B601" s="1392"/>
      <c r="C601" s="1392"/>
      <c r="D601" s="1414"/>
      <c r="E601" s="342"/>
      <c r="F601" s="353"/>
      <c r="G601" s="547"/>
      <c r="H601" s="537"/>
      <c r="I601" s="538"/>
    </row>
    <row r="602" spans="1:11">
      <c r="A602" s="968">
        <v>26</v>
      </c>
      <c r="B602" s="1392" t="s">
        <v>1473</v>
      </c>
      <c r="C602" s="1392"/>
      <c r="D602" s="1414"/>
      <c r="E602" s="342"/>
      <c r="F602" s="1429">
        <f>ROUND(SIT/(1-SIT),8)</f>
        <v>5.2282660000000002E-2</v>
      </c>
      <c r="G602" s="1459">
        <f t="shared" ref="G602:K602" si="108">ROUND(SIT/(1-SIT),8)</f>
        <v>5.2282660000000002E-2</v>
      </c>
      <c r="H602" s="1460">
        <f t="shared" si="108"/>
        <v>5.2282660000000002E-2</v>
      </c>
      <c r="I602" s="1461">
        <f t="shared" si="108"/>
        <v>5.2282660000000002E-2</v>
      </c>
      <c r="J602" s="1429">
        <f t="shared" si="108"/>
        <v>5.2282660000000002E-2</v>
      </c>
      <c r="K602" s="1429">
        <f t="shared" si="108"/>
        <v>5.2282660000000002E-2</v>
      </c>
    </row>
    <row r="603" spans="1:11">
      <c r="A603" s="968">
        <v>27</v>
      </c>
      <c r="B603" s="1392" t="s">
        <v>1474</v>
      </c>
      <c r="C603" s="1392"/>
      <c r="D603" s="1433" t="s">
        <v>1475</v>
      </c>
      <c r="E603" s="342"/>
      <c r="F603" s="1434">
        <f ca="1">ROUND(F600*F602,0)</f>
        <v>32993</v>
      </c>
      <c r="G603" s="1454">
        <f ca="1">ROUND(G600*G602,0)</f>
        <v>36639</v>
      </c>
      <c r="H603" s="1454">
        <f ca="1">ROUND(H600*H602,0)</f>
        <v>11879</v>
      </c>
      <c r="I603" s="1455">
        <f ca="1">ROUND(I600*I602,0)</f>
        <v>-15526</v>
      </c>
      <c r="J603" s="347">
        <f ca="1">SUM(G603:I603)</f>
        <v>32992</v>
      </c>
      <c r="K603" s="347">
        <f ca="1">F603-J603</f>
        <v>1</v>
      </c>
    </row>
    <row r="604" spans="1:11">
      <c r="A604" s="968">
        <v>28</v>
      </c>
      <c r="B604" s="1411" t="s">
        <v>1476</v>
      </c>
      <c r="C604" s="1411"/>
      <c r="D604" s="1414"/>
      <c r="E604" s="1435"/>
      <c r="F604" s="1434">
        <f ca="1">F591</f>
        <v>27556</v>
      </c>
      <c r="G604" s="1462">
        <f ca="1">G591</f>
        <v>204</v>
      </c>
      <c r="H604" s="1463">
        <f ca="1">H591</f>
        <v>0</v>
      </c>
      <c r="I604" s="1464">
        <f ca="1">I591</f>
        <v>27353</v>
      </c>
      <c r="J604" s="347">
        <f ca="1">SUM(G604:I604)</f>
        <v>27557</v>
      </c>
      <c r="K604" s="347">
        <f ca="1">F604-J604</f>
        <v>-1</v>
      </c>
    </row>
    <row r="605" spans="1:11">
      <c r="A605" s="968">
        <v>29</v>
      </c>
      <c r="B605" s="1090" t="s">
        <v>1477</v>
      </c>
      <c r="C605" s="1392"/>
      <c r="D605" s="1414"/>
      <c r="E605" s="342"/>
      <c r="F605" s="1439">
        <f t="shared" ref="F605:K605" ca="1" si="109">F604+F603</f>
        <v>60549</v>
      </c>
      <c r="G605" s="1465">
        <f t="shared" ca="1" si="109"/>
        <v>36843</v>
      </c>
      <c r="H605" s="1466">
        <f t="shared" ca="1" si="109"/>
        <v>11879</v>
      </c>
      <c r="I605" s="1467">
        <f t="shared" ca="1" si="109"/>
        <v>11827</v>
      </c>
      <c r="J605" s="1439">
        <f t="shared" ca="1" si="109"/>
        <v>60549</v>
      </c>
      <c r="K605" s="1439">
        <f t="shared" ca="1" si="109"/>
        <v>0</v>
      </c>
    </row>
    <row r="606" spans="1:11">
      <c r="A606" s="968">
        <v>30</v>
      </c>
      <c r="B606" s="1392"/>
      <c r="C606" s="1392"/>
      <c r="D606" s="1414"/>
      <c r="E606" s="342"/>
      <c r="F606" s="353"/>
      <c r="G606" s="547"/>
      <c r="H606" s="537"/>
      <c r="I606" s="538"/>
    </row>
    <row r="607" spans="1:11">
      <c r="A607" s="968">
        <v>31</v>
      </c>
      <c r="B607" s="1392" t="s">
        <v>1478</v>
      </c>
      <c r="C607" s="1392"/>
      <c r="D607" s="1414"/>
      <c r="E607" s="342"/>
      <c r="F607" s="353"/>
      <c r="G607" s="547"/>
      <c r="H607" s="537"/>
      <c r="I607" s="538"/>
    </row>
    <row r="608" spans="1:11">
      <c r="A608" s="968">
        <v>32</v>
      </c>
      <c r="B608" s="1392" t="s">
        <v>1474</v>
      </c>
      <c r="C608" s="1392"/>
      <c r="D608" s="1414"/>
      <c r="E608" s="342"/>
      <c r="F608" s="1434">
        <f t="shared" ref="F608:K608" ca="1" si="110">F603</f>
        <v>32993</v>
      </c>
      <c r="G608" s="1462">
        <f t="shared" ca="1" si="110"/>
        <v>36639</v>
      </c>
      <c r="H608" s="1463">
        <f t="shared" ca="1" si="110"/>
        <v>11879</v>
      </c>
      <c r="I608" s="1464">
        <f t="shared" ca="1" si="110"/>
        <v>-15526</v>
      </c>
      <c r="J608" s="1434">
        <f t="shared" ca="1" si="110"/>
        <v>32992</v>
      </c>
      <c r="K608" s="1434">
        <f t="shared" ca="1" si="110"/>
        <v>1</v>
      </c>
    </row>
    <row r="609" spans="1:11">
      <c r="A609" s="968">
        <v>33</v>
      </c>
      <c r="B609" s="1411" t="s">
        <v>1464</v>
      </c>
      <c r="C609" s="1411"/>
      <c r="D609" s="1414"/>
      <c r="E609" s="342"/>
      <c r="F609" s="1434">
        <f t="shared" ref="F609:K609" ca="1" si="111">F589</f>
        <v>0</v>
      </c>
      <c r="G609" s="1462">
        <f t="shared" ca="1" si="111"/>
        <v>0</v>
      </c>
      <c r="H609" s="1463">
        <f t="shared" ca="1" si="111"/>
        <v>0</v>
      </c>
      <c r="I609" s="1464">
        <f t="shared" ca="1" si="111"/>
        <v>0</v>
      </c>
      <c r="J609" s="1434">
        <f t="shared" ca="1" si="111"/>
        <v>0</v>
      </c>
      <c r="K609" s="1434">
        <f t="shared" ca="1" si="111"/>
        <v>0</v>
      </c>
    </row>
    <row r="610" spans="1:11">
      <c r="A610" s="968">
        <v>34</v>
      </c>
      <c r="B610" s="1090" t="s">
        <v>1479</v>
      </c>
      <c r="C610" s="1392"/>
      <c r="D610" s="1414"/>
      <c r="E610" s="342"/>
      <c r="F610" s="1439">
        <f t="shared" ref="F610:K610" ca="1" si="112">F608+F609</f>
        <v>32993</v>
      </c>
      <c r="G610" s="1465">
        <f t="shared" ca="1" si="112"/>
        <v>36639</v>
      </c>
      <c r="H610" s="1466">
        <f t="shared" ca="1" si="112"/>
        <v>11879</v>
      </c>
      <c r="I610" s="1467">
        <f t="shared" ca="1" si="112"/>
        <v>-15526</v>
      </c>
      <c r="J610" s="1439">
        <f t="shared" ca="1" si="112"/>
        <v>32992</v>
      </c>
      <c r="K610" s="1439">
        <f t="shared" ca="1" si="112"/>
        <v>1</v>
      </c>
    </row>
    <row r="611" spans="1:11">
      <c r="A611" s="968">
        <v>35</v>
      </c>
      <c r="B611" s="1392"/>
      <c r="C611" s="1392"/>
      <c r="D611" s="1392"/>
      <c r="E611" s="342"/>
      <c r="F611" s="1434"/>
      <c r="G611" s="1462"/>
      <c r="H611" s="1463"/>
      <c r="I611" s="1464"/>
      <c r="J611" s="1434"/>
      <c r="K611" s="1434"/>
    </row>
    <row r="612" spans="1:11">
      <c r="A612" s="968">
        <v>36</v>
      </c>
      <c r="B612" s="1392" t="s">
        <v>76</v>
      </c>
      <c r="C612" s="1392"/>
      <c r="D612" s="1392"/>
      <c r="E612" s="342"/>
      <c r="F612" s="1443">
        <f t="shared" ref="F612:K612" si="113">(SIT*(1-FIT))+((1-SIT)*(1-FIT)*RevTax)+FIT</f>
        <v>0.24925115</v>
      </c>
      <c r="G612" s="1468">
        <f t="shared" si="113"/>
        <v>0.24925115</v>
      </c>
      <c r="H612" s="1469">
        <f t="shared" si="113"/>
        <v>0.24925115</v>
      </c>
      <c r="I612" s="1470">
        <f t="shared" si="113"/>
        <v>0.24925115</v>
      </c>
      <c r="J612" s="1443">
        <f t="shared" si="113"/>
        <v>0.24925115</v>
      </c>
      <c r="K612" s="1443">
        <f t="shared" si="113"/>
        <v>0.24925115</v>
      </c>
    </row>
    <row r="614" spans="1:11">
      <c r="A614" s="343" t="str">
        <f>co_name</f>
        <v>DUKE ENERGY KENTUCKY, INC.</v>
      </c>
      <c r="C614" s="196"/>
      <c r="D614" s="344"/>
      <c r="E614" s="196"/>
      <c r="F614" s="196"/>
      <c r="G614" s="196"/>
      <c r="H614" s="196"/>
      <c r="I614" s="196"/>
      <c r="J614" s="196" t="str">
        <f>$J$1</f>
        <v>FR-16(7)(v)-11</v>
      </c>
      <c r="K614" s="196"/>
    </row>
    <row r="615" spans="1:11">
      <c r="A615" s="343" t="str">
        <f>$A$2</f>
        <v>FT-L CLASSIFIED - GAS COST OF SERVICE</v>
      </c>
      <c r="C615" s="196"/>
      <c r="D615" s="344"/>
      <c r="E615" s="196"/>
      <c r="F615" s="196"/>
      <c r="G615" s="196"/>
      <c r="H615" s="196"/>
      <c r="I615" s="196"/>
      <c r="J615" s="196" t="str">
        <f>$J$2</f>
        <v>WITNESS RESPONSIBLE:</v>
      </c>
      <c r="K615" s="196"/>
    </row>
    <row r="616" spans="1:11">
      <c r="A616" s="343" t="str">
        <f>case_name</f>
        <v>CASE NO: 2018-00261</v>
      </c>
      <c r="C616" s="196"/>
      <c r="D616" s="344"/>
      <c r="E616" s="196"/>
      <c r="F616" s="196"/>
      <c r="G616" s="196"/>
      <c r="H616" s="196"/>
      <c r="I616" s="196"/>
      <c r="J616" s="196" t="str">
        <f>Witness</f>
        <v>JAMES E. ZIOLKOWSKI</v>
      </c>
      <c r="K616" s="196"/>
    </row>
    <row r="617" spans="1:11">
      <c r="A617" s="343" t="str">
        <f>data_filing</f>
        <v>DATA: 12 MONTH FORECASTED PERIOD</v>
      </c>
      <c r="C617" s="196"/>
      <c r="D617" s="344"/>
      <c r="E617" s="196"/>
      <c r="F617" s="196"/>
      <c r="G617" s="196"/>
      <c r="H617" s="196"/>
      <c r="I617" s="196"/>
      <c r="J617" s="196" t="str">
        <f>"PAGE "&amp;Pages2-1&amp;" OF "&amp;Pages2</f>
        <v>PAGE 14 OF 15</v>
      </c>
      <c r="K617" s="196"/>
    </row>
    <row r="618" spans="1:11">
      <c r="A618" s="343" t="str">
        <f>type</f>
        <v xml:space="preserve">TYPE OF FILING: "X" ORIGINAL   UPDATED    REVISED  </v>
      </c>
      <c r="C618" s="196"/>
      <c r="D618" s="344"/>
      <c r="E618" s="196"/>
      <c r="F618" s="196"/>
      <c r="G618" s="196"/>
      <c r="H618" s="196"/>
      <c r="I618" s="196"/>
      <c r="J618" s="196"/>
      <c r="K618" s="196"/>
    </row>
    <row r="619" spans="1:11">
      <c r="B619" s="343"/>
      <c r="C619" s="196"/>
      <c r="D619" s="344"/>
      <c r="E619" s="196"/>
      <c r="F619" s="196"/>
      <c r="G619" s="196"/>
      <c r="H619" s="196"/>
      <c r="I619" s="196"/>
      <c r="J619" s="196"/>
      <c r="K619" s="196"/>
    </row>
    <row r="620" spans="1:11">
      <c r="B620" s="343"/>
      <c r="C620" s="196"/>
      <c r="D620" s="344"/>
      <c r="E620" s="196"/>
      <c r="F620" s="196"/>
      <c r="G620" s="196"/>
      <c r="H620" s="196"/>
      <c r="I620" s="196"/>
      <c r="J620" s="196"/>
      <c r="K620" s="196"/>
    </row>
    <row r="621" spans="1:11">
      <c r="A621" s="344" t="s">
        <v>914</v>
      </c>
      <c r="B621" s="196"/>
      <c r="C621" s="196"/>
      <c r="D621" s="344"/>
      <c r="E621" s="196"/>
      <c r="F621" s="344" t="s">
        <v>229</v>
      </c>
      <c r="G621" s="545" t="s">
        <v>1005</v>
      </c>
      <c r="H621" s="533"/>
      <c r="I621" s="534"/>
      <c r="J621" s="344" t="s">
        <v>229</v>
      </c>
      <c r="K621" s="344" t="s">
        <v>342</v>
      </c>
    </row>
    <row r="622" spans="1:11">
      <c r="A622" s="346" t="s">
        <v>915</v>
      </c>
      <c r="B622" s="345" t="s">
        <v>77</v>
      </c>
      <c r="C622" s="345"/>
      <c r="D622" s="346" t="s">
        <v>337</v>
      </c>
      <c r="E622" s="345"/>
      <c r="F622" s="346" t="str">
        <f>$F$9</f>
        <v>FT-L</v>
      </c>
      <c r="G622" s="546" t="s">
        <v>847</v>
      </c>
      <c r="H622" s="535" t="s">
        <v>848</v>
      </c>
      <c r="I622" s="536" t="s">
        <v>849</v>
      </c>
      <c r="J622" s="346" t="s">
        <v>341</v>
      </c>
      <c r="K622" s="346" t="s">
        <v>340</v>
      </c>
    </row>
    <row r="623" spans="1:11">
      <c r="C623" s="578" t="s">
        <v>352</v>
      </c>
      <c r="D623" s="344"/>
      <c r="E623" s="196"/>
      <c r="G623" s="800">
        <f>$G$10</f>
        <v>3</v>
      </c>
      <c r="H623" s="801">
        <f>$H$10</f>
        <v>4</v>
      </c>
      <c r="I623" s="802">
        <f>$I$10</f>
        <v>5</v>
      </c>
    </row>
    <row r="624" spans="1:11">
      <c r="A624" s="333">
        <v>1</v>
      </c>
      <c r="B624" s="332" t="s">
        <v>78</v>
      </c>
      <c r="D624" s="344"/>
      <c r="E624" s="196"/>
      <c r="G624" s="547"/>
      <c r="H624" s="537"/>
      <c r="I624" s="538"/>
    </row>
    <row r="625" spans="1:11">
      <c r="A625" s="333">
        <v>2</v>
      </c>
      <c r="C625" s="332" t="str">
        <f>'FR-16(7)(v)-1 Functional'!C625</f>
        <v>MISC SERVICE REVENUE</v>
      </c>
      <c r="D625" s="344" t="str">
        <f>'FR-16(7)(v)-1 Functional'!D625</f>
        <v>K401</v>
      </c>
      <c r="E625" s="196"/>
      <c r="F625" s="479">
        <f>'FR-16(7)(v)-8 TOT CLASS Alloc'!I625</f>
        <v>49</v>
      </c>
      <c r="G625" s="548">
        <f>'FR-16(7)(v)-5 DISTR Dem Alloc'!$I$625</f>
        <v>0</v>
      </c>
      <c r="H625" s="539">
        <f>'FR-16(7)(v)-3 PROD Comm Alloc'!$I$625</f>
        <v>0</v>
      </c>
      <c r="I625" s="540">
        <f>'FR-16(7)(v)-6 DISTR Cust Alloc'!$I$625</f>
        <v>49</v>
      </c>
      <c r="J625" s="347">
        <f>SUM($G$625:$I$625)</f>
        <v>49</v>
      </c>
      <c r="K625" s="347">
        <f>F625-$J$625</f>
        <v>0</v>
      </c>
    </row>
    <row r="626" spans="1:11">
      <c r="A626" s="333">
        <v>3</v>
      </c>
      <c r="C626" s="332" t="str">
        <f>'FR-16(7)(v)-1 Functional'!C626</f>
        <v>INTERDEPARTMENTAL</v>
      </c>
      <c r="D626" s="344" t="str">
        <f>'FR-16(7)(v)-1 Functional'!D626</f>
        <v>AG39</v>
      </c>
      <c r="E626" s="196"/>
      <c r="F626" s="479">
        <f>'FR-16(7)(v)-8 TOT CLASS Alloc'!I626</f>
        <v>1654</v>
      </c>
      <c r="G626" s="548">
        <f>'FR-16(7)(v)-5 DISTR Dem Alloc'!$I$626</f>
        <v>911</v>
      </c>
      <c r="H626" s="539">
        <f>'FR-16(7)(v)-3 PROD Comm Alloc'!$I$626</f>
        <v>586</v>
      </c>
      <c r="I626" s="540">
        <f>'FR-16(7)(v)-6 DISTR Cust Alloc'!$I$626</f>
        <v>157</v>
      </c>
      <c r="J626" s="347">
        <f>SUM($G$626:$I$626)</f>
        <v>1654</v>
      </c>
      <c r="K626" s="347">
        <f>F626-$J$626</f>
        <v>0</v>
      </c>
    </row>
    <row r="627" spans="1:11">
      <c r="A627" s="333">
        <v>4</v>
      </c>
      <c r="C627" s="332" t="str">
        <f>'FR-16(7)(v)-1 Functional'!C627</f>
        <v>OTH MISC REVENUE</v>
      </c>
      <c r="D627" s="344" t="str">
        <f>'FR-16(7)(v)-1 Functional'!D627</f>
        <v>K401</v>
      </c>
      <c r="E627" s="196"/>
      <c r="F627" s="479">
        <f>'FR-16(7)(v)-8 TOT CLASS Alloc'!I627</f>
        <v>2</v>
      </c>
      <c r="G627" s="548">
        <f>'FR-16(7)(v)-5 DISTR Dem Alloc'!$I$627</f>
        <v>0</v>
      </c>
      <c r="H627" s="539">
        <f>'FR-16(7)(v)-3 PROD Comm Alloc'!$I$627</f>
        <v>0</v>
      </c>
      <c r="I627" s="540">
        <f>'FR-16(7)(v)-6 DISTR Cust Alloc'!$I$627</f>
        <v>2</v>
      </c>
      <c r="J627" s="347">
        <f>SUM($G$627:$I$627)</f>
        <v>2</v>
      </c>
      <c r="K627" s="347">
        <f>F627-$J$627</f>
        <v>0</v>
      </c>
    </row>
    <row r="628" spans="1:11">
      <c r="A628" s="333">
        <v>5</v>
      </c>
      <c r="C628" s="332" t="str">
        <f>'FR-16(7)(v)-1 Functional'!C628</f>
        <v>RENTS</v>
      </c>
      <c r="D628" s="344" t="str">
        <f>'FR-16(7)(v)-1 Functional'!D628</f>
        <v>D249</v>
      </c>
      <c r="E628" s="196"/>
      <c r="F628" s="479">
        <f>'FR-16(7)(v)-8 TOT CLASS Alloc'!I628</f>
        <v>887</v>
      </c>
      <c r="G628" s="548">
        <f>'FR-16(7)(v)-5 DISTR Dem Alloc'!$I$628</f>
        <v>866</v>
      </c>
      <c r="H628" s="539">
        <f>'FR-16(7)(v)-3 PROD Comm Alloc'!$I$628</f>
        <v>0</v>
      </c>
      <c r="I628" s="540">
        <f>'FR-16(7)(v)-6 DISTR Cust Alloc'!$I$628</f>
        <v>21</v>
      </c>
      <c r="J628" s="347">
        <f>SUM($G$628:$I$628)</f>
        <v>887</v>
      </c>
      <c r="K628" s="347">
        <f>F628-$J$628</f>
        <v>0</v>
      </c>
    </row>
    <row r="629" spans="1:11">
      <c r="A629" s="333">
        <v>6</v>
      </c>
      <c r="C629" s="359" t="str">
        <f>'FR-16(7)(v)-1 Functional'!C629</f>
        <v>IT TRANSPORT SPECIAL CONTRACTS</v>
      </c>
      <c r="D629" s="344" t="str">
        <f>'FR-16(7)(v)-1 Functional'!D629</f>
        <v>AG39</v>
      </c>
      <c r="E629" s="196"/>
      <c r="F629" s="479">
        <f>'FR-16(7)(v)-8 TOT CLASS Alloc'!I629</f>
        <v>0</v>
      </c>
      <c r="G629" s="548">
        <f>'FR-16(7)(v)-5 DISTR Dem Alloc'!$I$629</f>
        <v>0</v>
      </c>
      <c r="H629" s="539">
        <f>'FR-16(7)(v)-3 PROD Comm Alloc'!$I$629</f>
        <v>0</v>
      </c>
      <c r="I629" s="540">
        <f>'FR-16(7)(v)-6 DISTR Cust Alloc'!$I$629</f>
        <v>0</v>
      </c>
      <c r="J629" s="347">
        <f>SUM($G$629:$I$629)</f>
        <v>0</v>
      </c>
      <c r="K629" s="347">
        <f>F629-$J$629</f>
        <v>0</v>
      </c>
    </row>
    <row r="630" spans="1:11">
      <c r="A630" s="333">
        <v>7</v>
      </c>
      <c r="C630" s="332" t="str">
        <f>'FR-16(7)(v)-1 Functional'!C630</f>
        <v xml:space="preserve">  TOTAL OTHER OPERATING REVS</v>
      </c>
      <c r="D630" s="344"/>
      <c r="E630" s="196"/>
      <c r="F630" s="348">
        <f>SUM(F625:F629)</f>
        <v>2592</v>
      </c>
      <c r="G630" s="549">
        <f>SUM($G$625:$G$629)</f>
        <v>1777</v>
      </c>
      <c r="H630" s="541">
        <f>SUM($H$625:$H$629)</f>
        <v>586</v>
      </c>
      <c r="I630" s="542">
        <f>SUM($I$625:$I$629)</f>
        <v>229</v>
      </c>
      <c r="J630" s="348">
        <f>SUM($J$625:$J$629)</f>
        <v>2592</v>
      </c>
      <c r="K630" s="348">
        <f>SUM($K$625:$K$629)</f>
        <v>0</v>
      </c>
    </row>
    <row r="631" spans="1:11">
      <c r="A631" s="333">
        <v>8</v>
      </c>
      <c r="D631" s="344"/>
      <c r="E631" s="196"/>
      <c r="G631" s="547"/>
      <c r="H631" s="537"/>
      <c r="I631" s="538"/>
    </row>
    <row r="632" spans="1:11">
      <c r="A632" s="333">
        <v>9</v>
      </c>
      <c r="B632" s="332" t="s">
        <v>77</v>
      </c>
      <c r="D632" s="344"/>
      <c r="E632" s="196"/>
      <c r="G632" s="547"/>
      <c r="H632" s="537"/>
      <c r="I632" s="538"/>
    </row>
    <row r="633" spans="1:11">
      <c r="A633" s="333">
        <v>10</v>
      </c>
      <c r="C633" s="332" t="str">
        <f>'FR-16(7)(v)-1 Functional'!C633</f>
        <v>TOTAL OP EXP EXC INC &amp; REV TAX</v>
      </c>
      <c r="D633" s="344"/>
      <c r="E633" s="196"/>
      <c r="F633" s="347">
        <f>F501</f>
        <v>9977384</v>
      </c>
      <c r="G633" s="548">
        <f>$G$501</f>
        <v>1939593</v>
      </c>
      <c r="H633" s="539">
        <f>$H$501</f>
        <v>7841383</v>
      </c>
      <c r="I633" s="540">
        <f>$I$501</f>
        <v>196408</v>
      </c>
      <c r="J633" s="347">
        <f>$J$501</f>
        <v>9977384</v>
      </c>
      <c r="K633" s="347">
        <f>$K$501</f>
        <v>0</v>
      </c>
    </row>
    <row r="634" spans="1:11">
      <c r="A634" s="333">
        <v>11</v>
      </c>
      <c r="C634" s="332" t="str">
        <f>'FR-16(7)(v)-1 Functional'!C634</f>
        <v>RETURN ON RATE BASE</v>
      </c>
      <c r="D634" s="344"/>
      <c r="E634" s="196"/>
      <c r="F634" s="347">
        <f t="shared" ref="F634:K634" si="114">F334</f>
        <v>1441452</v>
      </c>
      <c r="G634" s="548">
        <f t="shared" si="114"/>
        <v>1316796</v>
      </c>
      <c r="H634" s="539">
        <f t="shared" si="114"/>
        <v>90300</v>
      </c>
      <c r="I634" s="540">
        <f t="shared" si="114"/>
        <v>34356</v>
      </c>
      <c r="J634" s="347">
        <f t="shared" si="114"/>
        <v>1441452</v>
      </c>
      <c r="K634" s="347">
        <f t="shared" si="114"/>
        <v>0</v>
      </c>
    </row>
    <row r="635" spans="1:11">
      <c r="A635" s="333">
        <v>12</v>
      </c>
      <c r="C635" s="332" t="str">
        <f>'FR-16(7)(v)-1 Functional'!C635</f>
        <v>NET FED INCOME TAX ALLOWABLE</v>
      </c>
      <c r="D635" s="344"/>
      <c r="E635" s="196"/>
      <c r="F635" s="347">
        <f ca="1">F557</f>
        <v>349461</v>
      </c>
      <c r="G635" s="548">
        <f ca="1">$G$557</f>
        <v>144042</v>
      </c>
      <c r="H635" s="539">
        <f ca="1">$H$557</f>
        <v>195549</v>
      </c>
      <c r="I635" s="540">
        <f ca="1">$I$557</f>
        <v>9870</v>
      </c>
      <c r="J635" s="347">
        <f ca="1">$J$557</f>
        <v>349461</v>
      </c>
      <c r="K635" s="347">
        <f ca="1">$K$557</f>
        <v>0</v>
      </c>
    </row>
    <row r="636" spans="1:11">
      <c r="A636" s="333">
        <v>13</v>
      </c>
      <c r="C636" s="359" t="str">
        <f>'FR-16(7)(v)-1 Functional'!C636</f>
        <v>TOTAL OTHER OPERATING REVENUES</v>
      </c>
      <c r="D636" s="344"/>
      <c r="E636" s="196"/>
      <c r="F636" s="347">
        <f>-F630</f>
        <v>-2592</v>
      </c>
      <c r="G636" s="548">
        <f>-$G$630</f>
        <v>-1777</v>
      </c>
      <c r="H636" s="539">
        <f>-$H$630</f>
        <v>-586</v>
      </c>
      <c r="I636" s="540">
        <f>-$I$630</f>
        <v>-229</v>
      </c>
      <c r="J636" s="347">
        <f>-$J$630</f>
        <v>-2592</v>
      </c>
      <c r="K636" s="347">
        <f>-$K$630</f>
        <v>0</v>
      </c>
    </row>
    <row r="637" spans="1:11">
      <c r="A637" s="333">
        <v>14</v>
      </c>
      <c r="C637" s="332" t="str">
        <f>'FR-16(7)(v)-1 Functional'!C637</f>
        <v xml:space="preserve">  SUBTOTAL B</v>
      </c>
      <c r="D637" s="344"/>
      <c r="E637" s="196"/>
      <c r="F637" s="348">
        <f ca="1">SUM(F632:F636)</f>
        <v>11765705</v>
      </c>
      <c r="G637" s="549">
        <f ca="1">SUM($G$632:$G$636)</f>
        <v>3398654</v>
      </c>
      <c r="H637" s="541">
        <f ca="1">SUM($H$632:$H$636)</f>
        <v>8126646</v>
      </c>
      <c r="I637" s="542">
        <f ca="1">SUM($I$632:$I$636)</f>
        <v>240405</v>
      </c>
      <c r="J637" s="348">
        <f ca="1">SUM($J$632:$J$636)</f>
        <v>11765705</v>
      </c>
      <c r="K637" s="348">
        <f ca="1">$J$637-F637</f>
        <v>0</v>
      </c>
    </row>
    <row r="638" spans="1:11">
      <c r="A638" s="333">
        <v>15</v>
      </c>
      <c r="D638" s="344"/>
      <c r="E638" s="196"/>
      <c r="G638" s="547"/>
      <c r="H638" s="537"/>
      <c r="I638" s="538"/>
    </row>
    <row r="639" spans="1:11">
      <c r="A639" s="333">
        <v>16</v>
      </c>
      <c r="C639" s="332" t="str">
        <f>'FR-16(7)(v)-1 Functional'!C639</f>
        <v>TOTAL OTHER OPERATING REVENUES</v>
      </c>
      <c r="D639" s="344"/>
      <c r="E639" s="196"/>
      <c r="F639" s="347">
        <f>-F636</f>
        <v>2592</v>
      </c>
      <c r="G639" s="548">
        <f>-$G$636</f>
        <v>1777</v>
      </c>
      <c r="H639" s="539">
        <f>-$H$636</f>
        <v>586</v>
      </c>
      <c r="I639" s="540">
        <f>-$I$636</f>
        <v>229</v>
      </c>
      <c r="J639" s="347">
        <f>-$J$636</f>
        <v>2592</v>
      </c>
      <c r="K639" s="347">
        <f>-$K$636</f>
        <v>0</v>
      </c>
    </row>
    <row r="640" spans="1:11">
      <c r="A640" s="333">
        <v>17</v>
      </c>
      <c r="C640" s="359" t="str">
        <f>'FR-16(7)(v)-1 Functional'!C640</f>
        <v>LESS: REVS EXCL FROM REV TAX CALC</v>
      </c>
      <c r="D640" s="344"/>
      <c r="E640" s="196"/>
      <c r="F640" s="479">
        <f>'FR-16(7)(v)-8 TOT CLASS Alloc'!I640</f>
        <v>0</v>
      </c>
      <c r="G640" s="548">
        <f>'FR-16(7)(v)-5 DISTR Dem Alloc'!I640</f>
        <v>0</v>
      </c>
      <c r="H640" s="539">
        <f>'FR-16(7)(v)-3 PROD Comm Alloc'!I640</f>
        <v>0</v>
      </c>
      <c r="I640" s="540">
        <f>'FR-16(7)(v)-6 DISTR Cust Alloc'!I640</f>
        <v>0</v>
      </c>
      <c r="J640" s="347">
        <f>SUM(G640:I640)</f>
        <v>0</v>
      </c>
      <c r="K640" s="347">
        <f>'FR-16(7)(v)-3 PROD Comm Alloc'!L855</f>
        <v>0</v>
      </c>
    </row>
    <row r="641" spans="1:11">
      <c r="A641" s="333">
        <v>18</v>
      </c>
      <c r="C641" s="332" t="str">
        <f>'FR-16(7)(v)-1 Functional'!C641</f>
        <v>OTHER OPERATING REVS TO BE TAXED</v>
      </c>
      <c r="D641" s="344"/>
      <c r="E641" s="196"/>
      <c r="F641" s="348">
        <f>F639-F640</f>
        <v>2592</v>
      </c>
      <c r="G641" s="549">
        <f>$G$639-G640</f>
        <v>1777</v>
      </c>
      <c r="H641" s="541">
        <f>$H$639-H640</f>
        <v>586</v>
      </c>
      <c r="I641" s="542">
        <f>$I$639-I640</f>
        <v>229</v>
      </c>
      <c r="J641" s="348">
        <f>$J$639-J640</f>
        <v>2592</v>
      </c>
      <c r="K641" s="348">
        <f>$K$639-K640</f>
        <v>0</v>
      </c>
    </row>
    <row r="642" spans="1:11">
      <c r="A642" s="333">
        <v>19</v>
      </c>
      <c r="D642" s="344"/>
      <c r="E642" s="196"/>
      <c r="G642" s="547"/>
      <c r="H642" s="537"/>
      <c r="I642" s="538"/>
    </row>
    <row r="643" spans="1:11">
      <c r="A643" s="333">
        <v>20</v>
      </c>
      <c r="C643" s="332" t="str">
        <f>'FR-16(7)(v)-1 Functional'!C643</f>
        <v>REVENUE TAX FACTOR</v>
      </c>
      <c r="D643" s="344"/>
      <c r="E643" s="196"/>
      <c r="F643" s="350">
        <f t="shared" ref="F643:K643" si="115">ROUND(F694/(1-F694),8)</f>
        <v>0</v>
      </c>
      <c r="G643" s="566">
        <f t="shared" si="115"/>
        <v>0</v>
      </c>
      <c r="H643" s="567">
        <f t="shared" si="115"/>
        <v>0</v>
      </c>
      <c r="I643" s="568">
        <f t="shared" si="115"/>
        <v>0</v>
      </c>
      <c r="J643" s="350">
        <f t="shared" si="115"/>
        <v>0</v>
      </c>
      <c r="K643" s="350">
        <f t="shared" si="115"/>
        <v>0</v>
      </c>
    </row>
    <row r="644" spans="1:11">
      <c r="A644" s="333">
        <v>21</v>
      </c>
      <c r="C644" s="332" t="str">
        <f>'FR-16(7)(v)-1 Functional'!C644</f>
        <v>REVENUE TAX ON OTHER OPER. REVS</v>
      </c>
      <c r="D644" s="344"/>
      <c r="E644" s="196"/>
      <c r="F644" s="347">
        <f>ROUND(F643*F641,0)</f>
        <v>0</v>
      </c>
      <c r="G644" s="548">
        <f>ROUND(G643*G641,0)</f>
        <v>0</v>
      </c>
      <c r="H644" s="539">
        <f>ROUND(H643*H641,0)</f>
        <v>0</v>
      </c>
      <c r="I644" s="540">
        <f>ROUND(I643*I641,0)</f>
        <v>0</v>
      </c>
      <c r="J644" s="347">
        <f>SUM(G644:I644)</f>
        <v>0</v>
      </c>
      <c r="K644" s="347">
        <f>ROUND(K643*K641,0)</f>
        <v>0</v>
      </c>
    </row>
    <row r="645" spans="1:11">
      <c r="A645" s="333">
        <v>22</v>
      </c>
      <c r="C645" s="332" t="str">
        <f>'FR-16(7)(v)-1 Functional'!C645</f>
        <v>REVENUE TAX ON COST OF SERVICE</v>
      </c>
      <c r="D645" s="344"/>
      <c r="E645" s="196"/>
      <c r="F645" s="512">
        <f ca="1">ROUND(F643*F637,0)</f>
        <v>0</v>
      </c>
      <c r="G645" s="548">
        <f ca="1">ROUND(G643*$G$637,0)</f>
        <v>0</v>
      </c>
      <c r="H645" s="539">
        <f ca="1">ROUND(H643*$H$637,0)</f>
        <v>0</v>
      </c>
      <c r="I645" s="540">
        <f ca="1">ROUND(I643*$I$637,0)</f>
        <v>0</v>
      </c>
      <c r="J645" s="512">
        <f ca="1">SUM(G645:I645)</f>
        <v>0</v>
      </c>
      <c r="K645" s="512">
        <f ca="1">ROUND(K643*$K$637,0)</f>
        <v>0</v>
      </c>
    </row>
    <row r="646" spans="1:11">
      <c r="A646" s="333">
        <v>23</v>
      </c>
      <c r="C646" s="359" t="str">
        <f>'FR-16(7)(v)-1 Functional'!C646</f>
        <v>TOTAL REVENUE TAX</v>
      </c>
      <c r="D646" s="344"/>
      <c r="E646" s="196"/>
      <c r="F646" s="510">
        <f t="shared" ref="F646:K646" ca="1" si="116">F645+F644</f>
        <v>0</v>
      </c>
      <c r="G646" s="572">
        <f t="shared" ca="1" si="116"/>
        <v>0</v>
      </c>
      <c r="H646" s="573">
        <f t="shared" ca="1" si="116"/>
        <v>0</v>
      </c>
      <c r="I646" s="574">
        <f t="shared" ca="1" si="116"/>
        <v>0</v>
      </c>
      <c r="J646" s="510">
        <f t="shared" ca="1" si="116"/>
        <v>0</v>
      </c>
      <c r="K646" s="510">
        <f t="shared" ca="1" si="116"/>
        <v>0</v>
      </c>
    </row>
    <row r="647" spans="1:11">
      <c r="A647" s="333">
        <v>24</v>
      </c>
      <c r="C647" s="332" t="str">
        <f>'FR-16(7)(v)-1 Functional'!C647</f>
        <v xml:space="preserve">  TOTAL GAS COST OF SERVICE</v>
      </c>
      <c r="D647" s="344"/>
      <c r="E647" s="196"/>
      <c r="F647" s="348">
        <f ca="1">F646+F637</f>
        <v>11765705</v>
      </c>
      <c r="G647" s="549">
        <f ca="1">G646+$G$637</f>
        <v>3398654</v>
      </c>
      <c r="H647" s="541">
        <f ca="1">H646+$H$637</f>
        <v>8126646</v>
      </c>
      <c r="I647" s="542">
        <f ca="1">I646+$I$637</f>
        <v>240405</v>
      </c>
      <c r="J647" s="348">
        <f ca="1">J646+$J$637</f>
        <v>11765705</v>
      </c>
      <c r="K647" s="348">
        <f ca="1">K646+$K$637</f>
        <v>0</v>
      </c>
    </row>
    <row r="648" spans="1:11">
      <c r="A648" s="333">
        <v>25</v>
      </c>
      <c r="D648" s="344"/>
      <c r="E648" s="196"/>
      <c r="G648" s="547"/>
      <c r="H648" s="537"/>
      <c r="I648" s="538"/>
    </row>
    <row r="649" spans="1:11">
      <c r="A649" s="333">
        <v>26</v>
      </c>
      <c r="B649" s="332" t="s">
        <v>1194</v>
      </c>
      <c r="D649" s="344"/>
      <c r="E649" s="196"/>
      <c r="F649" s="479">
        <f>'FR-16(7)(v)-8 TOT CLASS Alloc'!I649</f>
        <v>5042683</v>
      </c>
      <c r="G649" s="548">
        <f>'FR-16(7)(v)-5 DISTR Dem Alloc'!I649</f>
        <v>1597864</v>
      </c>
      <c r="H649" s="539">
        <f>'FR-16(7)(v)-3 PROD Comm Alloc'!I649</f>
        <v>1922220</v>
      </c>
      <c r="I649" s="540">
        <f>'FR-16(7)(v)-6 DISTR Cust Alloc'!I649</f>
        <v>1522599</v>
      </c>
      <c r="J649" s="347">
        <f>SUM(G649:I649)</f>
        <v>5042683</v>
      </c>
      <c r="K649" s="347">
        <f>F649-J649</f>
        <v>0</v>
      </c>
    </row>
    <row r="650" spans="1:11">
      <c r="A650" s="333">
        <v>27</v>
      </c>
      <c r="B650" s="332" t="s">
        <v>79</v>
      </c>
      <c r="D650" s="344"/>
      <c r="E650" s="196"/>
      <c r="F650" s="347">
        <f t="shared" ref="F650:K650" ca="1" si="117">-F647</f>
        <v>-11765705</v>
      </c>
      <c r="G650" s="548">
        <f t="shared" ca="1" si="117"/>
        <v>-3398654</v>
      </c>
      <c r="H650" s="539">
        <f t="shared" ca="1" si="117"/>
        <v>-8126646</v>
      </c>
      <c r="I650" s="540">
        <f t="shared" ca="1" si="117"/>
        <v>-240405</v>
      </c>
      <c r="J650" s="347">
        <f t="shared" ca="1" si="117"/>
        <v>-11765705</v>
      </c>
      <c r="K650" s="347">
        <f t="shared" ca="1" si="117"/>
        <v>0</v>
      </c>
    </row>
    <row r="651" spans="1:11">
      <c r="A651" s="333">
        <v>28</v>
      </c>
      <c r="B651" s="332" t="s">
        <v>80</v>
      </c>
      <c r="D651" s="344"/>
      <c r="E651" s="196"/>
      <c r="F651" s="347">
        <f ca="1">F650+F649</f>
        <v>-6723022</v>
      </c>
      <c r="G651" s="548">
        <f ca="1">G650+G649</f>
        <v>-1800790</v>
      </c>
      <c r="H651" s="539">
        <f ca="1">H650+H649</f>
        <v>-6204426</v>
      </c>
      <c r="I651" s="540">
        <f ca="1">I650+I649</f>
        <v>1282194</v>
      </c>
      <c r="J651" s="347">
        <f ca="1">SUM(G651:I651)</f>
        <v>-6723022</v>
      </c>
      <c r="K651" s="347">
        <f ca="1">K650+K649</f>
        <v>0</v>
      </c>
    </row>
    <row r="652" spans="1:11">
      <c r="A652" s="333">
        <v>29</v>
      </c>
      <c r="B652" s="332" t="s">
        <v>76</v>
      </c>
      <c r="D652" s="344"/>
      <c r="E652" s="196"/>
      <c r="F652" s="350">
        <f>F565</f>
        <v>0.24925</v>
      </c>
      <c r="G652" s="566">
        <f>$G$565</f>
        <v>0.24925</v>
      </c>
      <c r="H652" s="567">
        <f>$H$565</f>
        <v>0.24925</v>
      </c>
      <c r="I652" s="568">
        <f>$I$565</f>
        <v>0.24925</v>
      </c>
      <c r="J652" s="350">
        <f>$K$565</f>
        <v>0.24925</v>
      </c>
      <c r="K652" s="350">
        <f>$K$565</f>
        <v>0.24925</v>
      </c>
    </row>
    <row r="653" spans="1:11">
      <c r="A653" s="333">
        <v>30</v>
      </c>
      <c r="B653" s="332" t="s">
        <v>81</v>
      </c>
      <c r="D653" s="344"/>
      <c r="E653" s="196"/>
      <c r="F653" s="347">
        <f ca="1">ROUND(F652*F651,0)</f>
        <v>-1675713</v>
      </c>
      <c r="G653" s="548">
        <f ca="1">ROUND(F652*F651,0)-H653-I653</f>
        <v>-448847</v>
      </c>
      <c r="H653" s="539">
        <f ca="1">ROUND(H652*H651,0)</f>
        <v>-1546453</v>
      </c>
      <c r="I653" s="540">
        <f ca="1">ROUND(I652*I651,0)</f>
        <v>319587</v>
      </c>
      <c r="J653" s="347">
        <f ca="1">SUM(G653:I653)</f>
        <v>-1675713</v>
      </c>
      <c r="K653" s="512">
        <f t="shared" ref="K653:K654" ca="1" si="118">F653-J653</f>
        <v>0</v>
      </c>
    </row>
    <row r="654" spans="1:11">
      <c r="A654" s="333">
        <v>31</v>
      </c>
      <c r="B654" s="332" t="s">
        <v>82</v>
      </c>
      <c r="D654" s="344"/>
      <c r="E654" s="196"/>
      <c r="F654" s="347">
        <f ca="1">F651-F653</f>
        <v>-5047309</v>
      </c>
      <c r="G654" s="550">
        <f ca="1">G651-G653</f>
        <v>-1351943</v>
      </c>
      <c r="H654" s="543">
        <f ca="1">H651-H653</f>
        <v>-4657973</v>
      </c>
      <c r="I654" s="544">
        <f ca="1">I651-I653</f>
        <v>962607</v>
      </c>
      <c r="J654" s="347">
        <f ca="1">SUM(G654:I654)</f>
        <v>-5047309</v>
      </c>
      <c r="K654" s="512">
        <f t="shared" ca="1" si="118"/>
        <v>0</v>
      </c>
    </row>
    <row r="655" spans="1:11">
      <c r="A655" s="532"/>
      <c r="B655" s="584"/>
      <c r="C655" s="584"/>
      <c r="D655" s="736"/>
      <c r="E655" s="584"/>
      <c r="F655" s="532"/>
      <c r="G655" s="532"/>
      <c r="H655" s="532"/>
      <c r="I655" s="532"/>
      <c r="J655" s="532"/>
      <c r="K655" s="532"/>
    </row>
    <row r="656" spans="1:11">
      <c r="A656" s="343" t="str">
        <f>co_name</f>
        <v>DUKE ENERGY KENTUCKY, INC.</v>
      </c>
      <c r="C656" s="196"/>
      <c r="D656" s="344"/>
      <c r="E656" s="196"/>
      <c r="F656" s="196"/>
      <c r="G656" s="196"/>
      <c r="H656" s="196"/>
      <c r="I656" s="196"/>
      <c r="J656" s="196" t="str">
        <f>$J$1</f>
        <v>FR-16(7)(v)-11</v>
      </c>
      <c r="K656" s="196"/>
    </row>
    <row r="657" spans="1:11">
      <c r="A657" s="343" t="str">
        <f>$A$2</f>
        <v>FT-L CLASSIFIED - GAS COST OF SERVICE</v>
      </c>
      <c r="C657" s="196"/>
      <c r="D657" s="344"/>
      <c r="E657" s="196"/>
      <c r="F657" s="196"/>
      <c r="G657" s="196"/>
      <c r="H657" s="196"/>
      <c r="I657" s="196"/>
      <c r="J657" s="196" t="str">
        <f>$J$2</f>
        <v>WITNESS RESPONSIBLE:</v>
      </c>
      <c r="K657" s="196"/>
    </row>
    <row r="658" spans="1:11">
      <c r="A658" s="343" t="str">
        <f>case_name</f>
        <v>CASE NO: 2018-00261</v>
      </c>
      <c r="C658" s="196"/>
      <c r="D658" s="344"/>
      <c r="E658" s="196"/>
      <c r="F658" s="196"/>
      <c r="G658" s="196"/>
      <c r="H658" s="196"/>
      <c r="I658" s="196"/>
      <c r="J658" s="196" t="str">
        <f>Witness</f>
        <v>JAMES E. ZIOLKOWSKI</v>
      </c>
      <c r="K658" s="196"/>
    </row>
    <row r="659" spans="1:11">
      <c r="A659" s="343" t="str">
        <f>data_filing</f>
        <v>DATA: 12 MONTH FORECASTED PERIOD</v>
      </c>
      <c r="C659" s="196"/>
      <c r="D659" s="344"/>
      <c r="E659" s="196"/>
      <c r="F659" s="196"/>
      <c r="G659" s="196"/>
      <c r="H659" s="196"/>
      <c r="I659" s="196"/>
      <c r="J659" s="196" t="str">
        <f>"PAGE "&amp;Pages2&amp;" OF "&amp;Pages2</f>
        <v>PAGE 15 OF 15</v>
      </c>
      <c r="K659" s="196"/>
    </row>
    <row r="660" spans="1:11">
      <c r="A660" s="343" t="str">
        <f>type</f>
        <v xml:space="preserve">TYPE OF FILING: "X" ORIGINAL   UPDATED    REVISED  </v>
      </c>
      <c r="C660" s="196"/>
      <c r="D660" s="344"/>
      <c r="E660" s="196"/>
      <c r="F660" s="196"/>
      <c r="G660" s="196"/>
      <c r="H660" s="196"/>
      <c r="I660" s="196"/>
      <c r="J660" s="196"/>
      <c r="K660" s="196"/>
    </row>
    <row r="661" spans="1:11">
      <c r="B661" s="343"/>
      <c r="C661" s="196"/>
      <c r="D661" s="344"/>
      <c r="E661" s="196"/>
      <c r="F661" s="196"/>
      <c r="G661" s="196"/>
      <c r="H661" s="196"/>
      <c r="I661" s="196"/>
      <c r="J661" s="196"/>
      <c r="K661" s="196"/>
    </row>
    <row r="662" spans="1:11">
      <c r="B662" s="343"/>
      <c r="C662" s="196"/>
      <c r="D662" s="344"/>
      <c r="E662" s="196"/>
      <c r="F662" s="196"/>
      <c r="G662" s="196"/>
      <c r="H662" s="196"/>
      <c r="I662" s="196"/>
      <c r="J662" s="196"/>
      <c r="K662" s="196"/>
    </row>
    <row r="663" spans="1:11">
      <c r="A663" s="344" t="s">
        <v>914</v>
      </c>
      <c r="B663" s="196"/>
      <c r="C663" s="196"/>
      <c r="D663" s="344"/>
      <c r="E663" s="196"/>
      <c r="F663" s="344" t="s">
        <v>229</v>
      </c>
      <c r="G663" s="545" t="s">
        <v>1005</v>
      </c>
      <c r="H663" s="533"/>
      <c r="I663" s="534"/>
      <c r="J663" s="344" t="s">
        <v>229</v>
      </c>
      <c r="K663" s="344" t="s">
        <v>342</v>
      </c>
    </row>
    <row r="664" spans="1:11">
      <c r="A664" s="346" t="s">
        <v>915</v>
      </c>
      <c r="B664" s="345" t="s">
        <v>83</v>
      </c>
      <c r="C664" s="345"/>
      <c r="D664" s="346" t="s">
        <v>337</v>
      </c>
      <c r="E664" s="345"/>
      <c r="F664" s="346" t="str">
        <f>$F$9</f>
        <v>FT-L</v>
      </c>
      <c r="G664" s="546" t="s">
        <v>847</v>
      </c>
      <c r="H664" s="535" t="s">
        <v>848</v>
      </c>
      <c r="I664" s="536" t="s">
        <v>849</v>
      </c>
      <c r="J664" s="346" t="s">
        <v>341</v>
      </c>
      <c r="K664" s="346" t="s">
        <v>340</v>
      </c>
    </row>
    <row r="665" spans="1:11">
      <c r="C665" s="578" t="s">
        <v>353</v>
      </c>
      <c r="D665" s="344"/>
      <c r="E665" s="196"/>
      <c r="G665" s="824">
        <f>$G$10</f>
        <v>3</v>
      </c>
      <c r="H665" s="824">
        <f>$H$10</f>
        <v>4</v>
      </c>
      <c r="I665" s="824">
        <f>$I$10</f>
        <v>5</v>
      </c>
    </row>
    <row r="666" spans="1:11">
      <c r="A666" s="333">
        <v>1</v>
      </c>
      <c r="B666" s="332" t="s">
        <v>84</v>
      </c>
      <c r="D666" s="344"/>
      <c r="E666" s="196"/>
    </row>
    <row r="667" spans="1:11">
      <c r="A667" s="333">
        <v>2</v>
      </c>
      <c r="B667" s="332" t="s">
        <v>85</v>
      </c>
      <c r="D667" s="344"/>
      <c r="E667" s="196"/>
      <c r="G667" s="519" t="s">
        <v>339</v>
      </c>
    </row>
    <row r="668" spans="1:11">
      <c r="A668" s="333">
        <v>3</v>
      </c>
      <c r="C668" s="332" t="str">
        <f>'FR-16(7)(v)-1 Functional'!C668</f>
        <v>LONG TERM DEBT</v>
      </c>
      <c r="D668" s="344"/>
      <c r="E668" s="196"/>
      <c r="F668" s="479">
        <f>'FR-16(7)(v)-1 Functional'!$F$668</f>
        <v>518128763</v>
      </c>
      <c r="G668" s="350">
        <f>IF($F$673=0,0,ROUND(F668/$F$673,5))</f>
        <v>0.42338999999999999</v>
      </c>
    </row>
    <row r="669" spans="1:11">
      <c r="A669" s="333">
        <v>4</v>
      </c>
      <c r="C669" s="332" t="str">
        <f>'FR-16(7)(v)-1 Functional'!C669</f>
        <v>PREFERRED STOCK</v>
      </c>
      <c r="D669" s="344"/>
      <c r="E669" s="196"/>
      <c r="F669" s="479">
        <f>'FR-16(7)(v)-1 Functional'!$F$669</f>
        <v>0</v>
      </c>
      <c r="G669" s="350">
        <f>IF($F$673=0,0,ROUND(F669/$F$673,5))</f>
        <v>0</v>
      </c>
    </row>
    <row r="670" spans="1:11">
      <c r="A670" s="333">
        <v>5</v>
      </c>
      <c r="C670" s="332" t="str">
        <f>'FR-16(7)(v)-1 Functional'!C670</f>
        <v>COMMON STOCK</v>
      </c>
      <c r="D670" s="344"/>
      <c r="E670" s="196"/>
      <c r="F670" s="479">
        <f>'FR-16(7)(v)-1 Functional'!$F$670</f>
        <v>621113054</v>
      </c>
      <c r="G670" s="350">
        <f>1-G668-G669-G671-G672</f>
        <v>0.50755000000000006</v>
      </c>
    </row>
    <row r="671" spans="1:11">
      <c r="A671" s="333">
        <v>6</v>
      </c>
      <c r="C671" s="332" t="str">
        <f>'FR-16(7)(v)-1 Functional'!C671</f>
        <v>SHORT TERM DEBT</v>
      </c>
      <c r="D671" s="344"/>
      <c r="E671" s="196"/>
      <c r="F671" s="479">
        <f>'FR-16(7)(v)-1 Functional'!$F$671</f>
        <v>84508435</v>
      </c>
      <c r="G671" s="350">
        <f>IF($F$673=0,0,ROUND(F671/$F$673,5))</f>
        <v>6.9059999999999996E-2</v>
      </c>
    </row>
    <row r="672" spans="1:11">
      <c r="A672" s="333">
        <v>7</v>
      </c>
      <c r="C672" s="332" t="str">
        <f>'FR-16(7)(v)-1 Functional'!C672</f>
        <v>UNAMORTIZED DISCOUNT</v>
      </c>
      <c r="D672" s="344"/>
      <c r="E672" s="196"/>
      <c r="F672" s="479">
        <f>'FR-16(7)(v)-1 Functional'!$F$672</f>
        <v>0</v>
      </c>
      <c r="G672" s="350">
        <f>IF($F$673=0,0,ROUND(F672/$F$673,5))</f>
        <v>0</v>
      </c>
    </row>
    <row r="673" spans="1:9">
      <c r="A673" s="333">
        <v>8</v>
      </c>
      <c r="C673" s="332" t="str">
        <f>'FR-16(7)(v)-1 Functional'!C673</f>
        <v xml:space="preserve">  TOTAL</v>
      </c>
      <c r="D673" s="344"/>
      <c r="E673" s="196"/>
      <c r="F673" s="480">
        <f>SUM(F667:F672)</f>
        <v>1223750252</v>
      </c>
      <c r="G673" s="521">
        <f>SUM(G668:G672)</f>
        <v>1</v>
      </c>
    </row>
    <row r="674" spans="1:9">
      <c r="A674" s="333">
        <v>9</v>
      </c>
      <c r="D674" s="344"/>
      <c r="E674" s="196"/>
    </row>
    <row r="675" spans="1:9">
      <c r="A675" s="333">
        <v>10</v>
      </c>
      <c r="B675" s="332" t="s">
        <v>86</v>
      </c>
      <c r="D675" s="344"/>
      <c r="E675" s="196"/>
    </row>
    <row r="676" spans="1:9">
      <c r="A676" s="333">
        <v>11</v>
      </c>
      <c r="C676" s="332" t="str">
        <f>'FR-16(7)(v)-1 Functional'!C676</f>
        <v>LONG TERM DEBT</v>
      </c>
      <c r="D676" s="344"/>
      <c r="E676" s="196"/>
      <c r="F676" s="586">
        <f>'FR-16(7)(v)-1 Functional'!$F$676</f>
        <v>4.3979999999999998E-2</v>
      </c>
      <c r="G676" s="522"/>
      <c r="H676" s="522"/>
      <c r="I676" s="522"/>
    </row>
    <row r="677" spans="1:9">
      <c r="A677" s="333">
        <v>12</v>
      </c>
      <c r="C677" s="332" t="str">
        <f>'FR-16(7)(v)-1 Functional'!C677</f>
        <v>PREFERRED STOCK</v>
      </c>
      <c r="D677" s="344"/>
      <c r="E677" s="196"/>
      <c r="F677" s="586">
        <f>'FR-16(7)(v)-1 Functional'!$F$677</f>
        <v>0</v>
      </c>
      <c r="G677" s="522"/>
      <c r="H677" s="522"/>
      <c r="I677" s="522"/>
    </row>
    <row r="678" spans="1:9">
      <c r="A678" s="333">
        <v>13</v>
      </c>
      <c r="C678" s="332" t="str">
        <f>'FR-16(7)(v)-1 Functional'!C678</f>
        <v>COMMON STOCK</v>
      </c>
      <c r="D678" s="344"/>
      <c r="E678" s="196"/>
      <c r="F678" s="586">
        <f>'FR-16(7)(v)-1 Functional'!$F$678</f>
        <v>9.9000000000000005E-2</v>
      </c>
      <c r="G678" s="522"/>
      <c r="H678" s="522"/>
      <c r="I678" s="522"/>
    </row>
    <row r="679" spans="1:9">
      <c r="A679" s="333">
        <v>14</v>
      </c>
      <c r="C679" s="332" t="str">
        <f>'FR-16(7)(v)-1 Functional'!C679</f>
        <v>SHORT TERM DEBT</v>
      </c>
      <c r="D679" s="344"/>
      <c r="E679" s="196"/>
      <c r="F679" s="586">
        <f>'FR-16(7)(v)-1 Functional'!$F$679</f>
        <v>4.2500000000000003E-2</v>
      </c>
      <c r="G679" s="522"/>
      <c r="H679" s="522"/>
      <c r="I679" s="522"/>
    </row>
    <row r="680" spans="1:9">
      <c r="A680" s="333">
        <v>15</v>
      </c>
      <c r="C680" s="332" t="str">
        <f>'FR-16(7)(v)-1 Functional'!C680</f>
        <v>UNAMORTIZED DISCOUNT</v>
      </c>
      <c r="D680" s="344"/>
      <c r="E680" s="196"/>
      <c r="F680" s="586">
        <f>'FR-16(7)(v)-1 Functional'!$F$680</f>
        <v>0</v>
      </c>
      <c r="G680" s="522"/>
      <c r="H680" s="522"/>
      <c r="I680" s="522"/>
    </row>
    <row r="681" spans="1:9">
      <c r="A681" s="333">
        <v>16</v>
      </c>
      <c r="D681" s="344"/>
      <c r="E681" s="196"/>
    </row>
    <row r="682" spans="1:9">
      <c r="A682" s="333">
        <v>17</v>
      </c>
      <c r="B682" s="332" t="s">
        <v>87</v>
      </c>
      <c r="D682" s="344"/>
      <c r="E682" s="196"/>
    </row>
    <row r="683" spans="1:9">
      <c r="A683" s="333">
        <v>18</v>
      </c>
      <c r="C683" s="332" t="str">
        <f>'FR-16(7)(v)-1 Functional'!C683</f>
        <v>LONG TERM DEBT</v>
      </c>
      <c r="D683" s="344"/>
      <c r="E683" s="196"/>
      <c r="F683" s="350">
        <f>ROUND(G668*F676,5)</f>
        <v>1.8620000000000001E-2</v>
      </c>
      <c r="G683" s="520"/>
      <c r="H683" s="520"/>
      <c r="I683" s="520"/>
    </row>
    <row r="684" spans="1:9">
      <c r="A684" s="333">
        <v>19</v>
      </c>
      <c r="C684" s="332" t="str">
        <f>'FR-16(7)(v)-1 Functional'!C684</f>
        <v>PREFERRED STOCK</v>
      </c>
      <c r="D684" s="344"/>
      <c r="E684" s="196"/>
      <c r="F684" s="350">
        <f>ROUND(G669*F677,5)</f>
        <v>0</v>
      </c>
      <c r="G684" s="520"/>
      <c r="H684" s="520"/>
      <c r="I684" s="520"/>
    </row>
    <row r="685" spans="1:9">
      <c r="A685" s="333">
        <v>20</v>
      </c>
      <c r="C685" s="332" t="str">
        <f>'FR-16(7)(v)-1 Functional'!C685</f>
        <v>COMMON STOCK</v>
      </c>
      <c r="D685" s="344"/>
      <c r="E685" s="196"/>
      <c r="F685" s="350">
        <f>ROUND(G670*F678,5)</f>
        <v>5.0250000000000003E-2</v>
      </c>
      <c r="G685" s="520"/>
      <c r="H685" s="520"/>
      <c r="I685" s="520"/>
    </row>
    <row r="686" spans="1:9">
      <c r="A686" s="333">
        <v>21</v>
      </c>
      <c r="C686" s="332" t="str">
        <f>'FR-16(7)(v)-1 Functional'!C686</f>
        <v>SHORT TERM DEBT</v>
      </c>
      <c r="D686" s="344"/>
      <c r="E686" s="196"/>
      <c r="F686" s="350">
        <f>ROUND(G671*F679,5)</f>
        <v>2.9399999999999999E-3</v>
      </c>
      <c r="G686" s="520"/>
      <c r="H686" s="520"/>
      <c r="I686" s="520"/>
    </row>
    <row r="687" spans="1:9">
      <c r="A687" s="333">
        <v>22</v>
      </c>
      <c r="C687" s="332" t="str">
        <f>'FR-16(7)(v)-1 Functional'!C687</f>
        <v>UNAMORTIZED DISCOUNT</v>
      </c>
      <c r="D687" s="344"/>
      <c r="E687" s="196"/>
      <c r="F687" s="350">
        <f>ROUND(G672*F680,5)</f>
        <v>0</v>
      </c>
      <c r="G687" s="520"/>
      <c r="H687" s="520"/>
      <c r="I687" s="520"/>
    </row>
    <row r="688" spans="1:9">
      <c r="A688" s="333">
        <v>23</v>
      </c>
      <c r="C688" s="332" t="str">
        <f>'FR-16(7)(v)-1 Functional'!C688</f>
        <v xml:space="preserve">  TOT RATE OF RETURN ALLOWABLE</v>
      </c>
      <c r="D688" s="344"/>
      <c r="E688" s="196"/>
      <c r="F688" s="1487">
        <f>SUM(F683:F687)</f>
        <v>7.1809999999999999E-2</v>
      </c>
      <c r="G688" s="524"/>
      <c r="H688" s="524"/>
      <c r="I688" s="524"/>
    </row>
    <row r="689" spans="1:11">
      <c r="A689" s="333">
        <v>24</v>
      </c>
      <c r="D689" s="344"/>
      <c r="E689" s="196"/>
    </row>
    <row r="690" spans="1:11">
      <c r="A690" s="333">
        <v>25</v>
      </c>
      <c r="B690" s="332" t="s">
        <v>88</v>
      </c>
      <c r="D690" s="344"/>
      <c r="E690" s="196"/>
      <c r="F690" s="365"/>
    </row>
    <row r="691" spans="1:11">
      <c r="A691" s="333">
        <v>26</v>
      </c>
      <c r="C691" s="332" t="str">
        <f>'FR-16(7)(v)-1 Functional'!C691</f>
        <v>SHORT TERM DEBT COST</v>
      </c>
      <c r="D691" s="344"/>
      <c r="E691" s="196"/>
      <c r="F691" s="766">
        <v>0</v>
      </c>
      <c r="G691" s="525">
        <f>$F$691</f>
        <v>0</v>
      </c>
      <c r="H691" s="525">
        <f>$F$691</f>
        <v>0</v>
      </c>
      <c r="I691" s="525">
        <f>$F$691</f>
        <v>0</v>
      </c>
      <c r="J691" s="525">
        <f>$F$691</f>
        <v>0</v>
      </c>
      <c r="K691" s="525">
        <f>$F$691</f>
        <v>0</v>
      </c>
    </row>
    <row r="692" spans="1:11">
      <c r="A692" s="333">
        <v>27</v>
      </c>
      <c r="C692" s="332" t="str">
        <f>'FR-16(7)(v)-1 Functional'!C692</f>
        <v>FEDERAL INCOME TAX RATE</v>
      </c>
      <c r="D692" s="344"/>
      <c r="E692" s="196"/>
      <c r="F692" s="525">
        <f t="shared" ref="F692:K692" si="119">FIT</f>
        <v>0.21</v>
      </c>
      <c r="G692" s="525">
        <f t="shared" si="119"/>
        <v>0.21</v>
      </c>
      <c r="H692" s="525">
        <f t="shared" si="119"/>
        <v>0.21</v>
      </c>
      <c r="I692" s="525">
        <f t="shared" si="119"/>
        <v>0.21</v>
      </c>
      <c r="J692" s="525">
        <f t="shared" si="119"/>
        <v>0.21</v>
      </c>
      <c r="K692" s="525">
        <f t="shared" si="119"/>
        <v>0.21</v>
      </c>
    </row>
    <row r="693" spans="1:11">
      <c r="A693" s="333">
        <v>28</v>
      </c>
      <c r="C693" s="332" t="str">
        <f>'FR-16(7)(v)-1 Functional'!C693</f>
        <v>STATE INCOME TAX RATE</v>
      </c>
      <c r="D693" s="344"/>
      <c r="E693" s="196"/>
      <c r="F693" s="525">
        <f t="shared" ref="F693:K693" si="120">SIT</f>
        <v>4.9685000000000007E-2</v>
      </c>
      <c r="G693" s="525">
        <f t="shared" si="120"/>
        <v>4.9685000000000007E-2</v>
      </c>
      <c r="H693" s="525">
        <f t="shared" si="120"/>
        <v>4.9685000000000007E-2</v>
      </c>
      <c r="I693" s="525">
        <f t="shared" si="120"/>
        <v>4.9685000000000007E-2</v>
      </c>
      <c r="J693" s="525">
        <f t="shared" si="120"/>
        <v>4.9685000000000007E-2</v>
      </c>
      <c r="K693" s="525">
        <f t="shared" si="120"/>
        <v>4.9685000000000007E-2</v>
      </c>
    </row>
    <row r="694" spans="1:11">
      <c r="A694" s="333">
        <v>29</v>
      </c>
      <c r="C694" s="332" t="str">
        <f>'FR-16(7)(v)-1 Functional'!C694</f>
        <v>REVENUE TAX RATE</v>
      </c>
      <c r="D694" s="344"/>
      <c r="E694" s="196"/>
      <c r="F694" s="522">
        <v>0</v>
      </c>
      <c r="G694" s="525">
        <f>RevTax</f>
        <v>0</v>
      </c>
      <c r="H694" s="525">
        <f>RevTax</f>
        <v>0</v>
      </c>
      <c r="I694" s="525">
        <f>RevTax</f>
        <v>0</v>
      </c>
      <c r="J694" s="525">
        <f>RevTax</f>
        <v>0</v>
      </c>
      <c r="K694" s="525">
        <f>RevTax</f>
        <v>0</v>
      </c>
    </row>
    <row r="696" spans="1:11">
      <c r="A696" s="343"/>
      <c r="C696" s="196"/>
      <c r="D696" s="344"/>
      <c r="E696" s="196"/>
      <c r="F696" s="196"/>
      <c r="G696" s="196"/>
      <c r="H696" s="196"/>
      <c r="I696" s="196"/>
      <c r="J696" s="196"/>
      <c r="K696" s="196"/>
    </row>
    <row r="697" spans="1:11">
      <c r="A697" s="343"/>
      <c r="C697" s="196"/>
      <c r="D697" s="344"/>
      <c r="E697" s="196"/>
      <c r="F697" s="196"/>
      <c r="G697" s="196"/>
      <c r="H697" s="196"/>
      <c r="I697" s="196"/>
      <c r="J697" s="196"/>
      <c r="K697" s="196"/>
    </row>
    <row r="698" spans="1:11">
      <c r="A698" s="343"/>
      <c r="C698" s="196"/>
      <c r="D698" s="344"/>
      <c r="E698" s="196"/>
      <c r="F698" s="196"/>
      <c r="G698" s="196"/>
      <c r="H698" s="196"/>
      <c r="I698" s="196"/>
      <c r="J698" s="196"/>
      <c r="K698" s="196"/>
    </row>
    <row r="699" spans="1:11">
      <c r="A699" s="343"/>
      <c r="C699" s="196"/>
      <c r="D699" s="344"/>
      <c r="E699" s="196"/>
      <c r="F699" s="196"/>
      <c r="G699" s="196"/>
      <c r="H699" s="196"/>
      <c r="I699" s="196"/>
      <c r="J699" s="196"/>
      <c r="K699" s="196"/>
    </row>
    <row r="700" spans="1:11">
      <c r="A700" s="343"/>
      <c r="C700" s="196"/>
      <c r="D700" s="344"/>
      <c r="E700" s="196"/>
      <c r="F700" s="196"/>
      <c r="G700" s="196"/>
      <c r="H700" s="196"/>
      <c r="I700" s="196"/>
      <c r="J700" s="196"/>
      <c r="K700" s="196"/>
    </row>
    <row r="747" spans="1:11">
      <c r="A747" s="343"/>
      <c r="C747" s="196"/>
      <c r="D747" s="344"/>
      <c r="E747" s="196"/>
      <c r="F747" s="196"/>
      <c r="G747" s="196"/>
      <c r="H747" s="196"/>
      <c r="I747" s="196"/>
      <c r="J747" s="196"/>
      <c r="K747" s="196"/>
    </row>
    <row r="748" spans="1:11">
      <c r="A748" s="343"/>
      <c r="C748" s="196"/>
      <c r="D748" s="344"/>
      <c r="E748" s="196"/>
      <c r="F748" s="196"/>
      <c r="G748" s="196"/>
      <c r="H748" s="196"/>
      <c r="I748" s="196"/>
      <c r="J748" s="196"/>
      <c r="K748" s="196"/>
    </row>
    <row r="749" spans="1:11">
      <c r="A749" s="343"/>
      <c r="C749" s="196"/>
      <c r="D749" s="344"/>
      <c r="E749" s="196"/>
      <c r="F749" s="196"/>
      <c r="G749" s="196"/>
      <c r="H749" s="196"/>
      <c r="I749" s="196"/>
      <c r="J749" s="196"/>
      <c r="K749" s="196"/>
    </row>
    <row r="750" spans="1:11">
      <c r="A750" s="343"/>
      <c r="C750" s="196"/>
      <c r="D750" s="344"/>
      <c r="E750" s="196"/>
      <c r="F750" s="196"/>
      <c r="G750" s="196"/>
      <c r="H750" s="196"/>
      <c r="I750" s="196"/>
      <c r="J750" s="196"/>
      <c r="K750" s="196"/>
    </row>
    <row r="751" spans="1:11">
      <c r="A751" s="343"/>
      <c r="C751" s="196"/>
      <c r="D751" s="344"/>
      <c r="E751" s="196"/>
      <c r="F751" s="196"/>
      <c r="G751" s="196"/>
      <c r="H751" s="196"/>
      <c r="I751" s="196"/>
      <c r="J751" s="196"/>
      <c r="K751" s="196"/>
    </row>
    <row r="805" spans="1:11">
      <c r="A805" s="343"/>
      <c r="C805" s="196"/>
      <c r="D805" s="344"/>
      <c r="E805" s="196"/>
      <c r="F805" s="196"/>
      <c r="G805" s="196"/>
      <c r="H805" s="196"/>
      <c r="I805" s="196"/>
      <c r="J805" s="196"/>
      <c r="K805" s="196"/>
    </row>
    <row r="806" spans="1:11">
      <c r="A806" s="343"/>
      <c r="C806" s="196"/>
      <c r="D806" s="344"/>
      <c r="E806" s="196"/>
      <c r="F806" s="196"/>
      <c r="G806" s="196"/>
      <c r="H806" s="196"/>
      <c r="I806" s="196"/>
      <c r="J806" s="196"/>
      <c r="K806" s="196"/>
    </row>
    <row r="807" spans="1:11">
      <c r="A807" s="343"/>
      <c r="C807" s="196"/>
      <c r="D807" s="344"/>
      <c r="E807" s="196"/>
      <c r="F807" s="196"/>
      <c r="G807" s="196"/>
      <c r="H807" s="196"/>
      <c r="I807" s="196"/>
      <c r="J807" s="196"/>
      <c r="K807" s="196"/>
    </row>
    <row r="808" spans="1:11">
      <c r="A808" s="343"/>
      <c r="C808" s="196"/>
      <c r="D808" s="344"/>
      <c r="E808" s="196"/>
      <c r="F808" s="196"/>
      <c r="G808" s="196"/>
      <c r="H808" s="196"/>
      <c r="I808" s="196"/>
      <c r="J808" s="196"/>
      <c r="K808" s="196"/>
    </row>
    <row r="809" spans="1:11">
      <c r="A809" s="343"/>
      <c r="C809" s="196"/>
      <c r="D809" s="344"/>
      <c r="E809" s="196"/>
      <c r="F809" s="196"/>
      <c r="G809" s="196"/>
      <c r="H809" s="196"/>
      <c r="I809" s="196"/>
      <c r="J809" s="196"/>
      <c r="K809" s="196"/>
    </row>
    <row r="861" spans="1:11" ht="20.25">
      <c r="A861" s="1192" t="s">
        <v>1215</v>
      </c>
    </row>
    <row r="863" spans="1:11">
      <c r="A863" s="344" t="s">
        <v>914</v>
      </c>
      <c r="B863" s="196"/>
      <c r="C863" s="196"/>
      <c r="D863" s="344"/>
      <c r="E863" s="196"/>
      <c r="F863" s="344" t="s">
        <v>229</v>
      </c>
      <c r="G863" s="545" t="s">
        <v>1005</v>
      </c>
      <c r="H863" s="533"/>
      <c r="I863" s="534"/>
      <c r="J863" s="344" t="s">
        <v>229</v>
      </c>
      <c r="K863" s="344" t="s">
        <v>342</v>
      </c>
    </row>
    <row r="864" spans="1:11">
      <c r="A864" s="346" t="s">
        <v>915</v>
      </c>
      <c r="B864" s="345" t="s">
        <v>99</v>
      </c>
      <c r="C864" s="345"/>
      <c r="D864" s="346" t="s">
        <v>337</v>
      </c>
      <c r="E864" s="345"/>
      <c r="F864" s="346" t="str">
        <f>$F$9</f>
        <v>FT-L</v>
      </c>
      <c r="G864" s="546" t="s">
        <v>847</v>
      </c>
      <c r="H864" s="535" t="s">
        <v>848</v>
      </c>
      <c r="I864" s="536" t="s">
        <v>849</v>
      </c>
      <c r="J864" s="346" t="s">
        <v>341</v>
      </c>
      <c r="K864" s="346" t="s">
        <v>340</v>
      </c>
    </row>
    <row r="865" spans="1:11">
      <c r="B865" s="196"/>
      <c r="C865" s="578" t="s">
        <v>4</v>
      </c>
      <c r="D865" s="344"/>
      <c r="E865" s="196"/>
      <c r="G865" s="800">
        <f>$G$10</f>
        <v>3</v>
      </c>
      <c r="H865" s="801">
        <f>$H$10</f>
        <v>4</v>
      </c>
      <c r="I865" s="802">
        <f>$I$10</f>
        <v>5</v>
      </c>
    </row>
    <row r="866" spans="1:11">
      <c r="A866" s="333">
        <v>1</v>
      </c>
      <c r="B866" s="332" t="s">
        <v>100</v>
      </c>
      <c r="D866" s="344"/>
      <c r="E866" s="196"/>
      <c r="G866" s="547"/>
      <c r="H866" s="537"/>
      <c r="I866" s="538"/>
    </row>
    <row r="867" spans="1:11">
      <c r="A867" s="333">
        <v>2</v>
      </c>
      <c r="C867" s="332" t="str">
        <f>'FR-16(7)(v)-1 Functional'!C867</f>
        <v>TOTAL GAS COST OF SERVICE</v>
      </c>
      <c r="D867" s="344"/>
      <c r="E867" s="196"/>
      <c r="F867" s="347">
        <f t="shared" ref="F867:K867" ca="1" si="121">F647</f>
        <v>11765705</v>
      </c>
      <c r="G867" s="548">
        <f t="shared" ca="1" si="121"/>
        <v>3398654</v>
      </c>
      <c r="H867" s="539">
        <f t="shared" ca="1" si="121"/>
        <v>8126646</v>
      </c>
      <c r="I867" s="540">
        <f t="shared" ca="1" si="121"/>
        <v>240405</v>
      </c>
      <c r="J867" s="347">
        <f t="shared" ca="1" si="121"/>
        <v>11765705</v>
      </c>
      <c r="K867" s="347">
        <f t="shared" ca="1" si="121"/>
        <v>0</v>
      </c>
    </row>
    <row r="868" spans="1:11">
      <c r="A868" s="333">
        <v>3</v>
      </c>
      <c r="C868" s="359" t="str">
        <f>'FR-16(7)(v)-1 Functional'!C868</f>
        <v>TOTAL OTHER OPERATING REVENUES</v>
      </c>
      <c r="D868" s="344"/>
      <c r="E868" s="196"/>
      <c r="F868" s="347">
        <f>F630</f>
        <v>2592</v>
      </c>
      <c r="G868" s="548">
        <f>$G$630</f>
        <v>1777</v>
      </c>
      <c r="H868" s="539">
        <f>$H$630</f>
        <v>586</v>
      </c>
      <c r="I868" s="540">
        <f>$I$630</f>
        <v>229</v>
      </c>
      <c r="J868" s="347">
        <f>$J$630</f>
        <v>2592</v>
      </c>
      <c r="K868" s="347">
        <f>$K$630</f>
        <v>0</v>
      </c>
    </row>
    <row r="869" spans="1:11">
      <c r="A869" s="333">
        <v>4</v>
      </c>
      <c r="C869" s="332" t="str">
        <f>'FR-16(7)(v)-1 Functional'!C869</f>
        <v xml:space="preserve">  TOTAL GAS REVENUE</v>
      </c>
      <c r="D869" s="344"/>
      <c r="E869" s="196"/>
      <c r="F869" s="348">
        <f t="shared" ref="F869:K869" ca="1" si="122">SUM(F866:F868)</f>
        <v>11768297</v>
      </c>
      <c r="G869" s="549">
        <f t="shared" ca="1" si="122"/>
        <v>3400431</v>
      </c>
      <c r="H869" s="541">
        <f t="shared" ca="1" si="122"/>
        <v>8127232</v>
      </c>
      <c r="I869" s="542">
        <f t="shared" ca="1" si="122"/>
        <v>240634</v>
      </c>
      <c r="J869" s="348">
        <f t="shared" ca="1" si="122"/>
        <v>11768297</v>
      </c>
      <c r="K869" s="348">
        <f t="shared" ca="1" si="122"/>
        <v>0</v>
      </c>
    </row>
    <row r="870" spans="1:11">
      <c r="A870" s="333">
        <v>5</v>
      </c>
      <c r="C870" s="332" t="str">
        <f>'FR-16(7)(v)-1 Functional'!C870</f>
        <v>TOTAL OP EXP EX INC &amp; REV TAX</v>
      </c>
      <c r="D870" s="344"/>
      <c r="E870" s="196"/>
      <c r="F870" s="347">
        <f>-F501</f>
        <v>-9977384</v>
      </c>
      <c r="G870" s="548">
        <f>-$G$501</f>
        <v>-1939593</v>
      </c>
      <c r="H870" s="539">
        <f>-$H$501</f>
        <v>-7841383</v>
      </c>
      <c r="I870" s="540">
        <f>-$I$501</f>
        <v>-196408</v>
      </c>
      <c r="J870" s="512">
        <f>-$J$501</f>
        <v>-9977384</v>
      </c>
      <c r="K870" s="347">
        <f>-$K$501</f>
        <v>0</v>
      </c>
    </row>
    <row r="871" spans="1:11">
      <c r="A871" s="333">
        <v>6</v>
      </c>
      <c r="C871" s="359" t="str">
        <f>'FR-16(7)(v)-1 Functional'!C871</f>
        <v>FIRM SERVICE REVENUE TAX</v>
      </c>
      <c r="D871" s="344"/>
      <c r="E871" s="196"/>
      <c r="F871" s="347">
        <f ca="1">-ROUND(F694*F867,0)</f>
        <v>0</v>
      </c>
      <c r="G871" s="548">
        <f ca="1">-ROUND(G694*G867,0)</f>
        <v>0</v>
      </c>
      <c r="H871" s="539">
        <f ca="1">-ROUND(H694*H867,0)</f>
        <v>0</v>
      </c>
      <c r="I871" s="540">
        <f ca="1">-ROUND(I694*I867,0)</f>
        <v>0</v>
      </c>
      <c r="J871" s="510">
        <f ca="1">SUM(G871:I871)</f>
        <v>0</v>
      </c>
      <c r="K871" s="347">
        <f ca="1">-ROUND('FR-16(7)(v)-1 Functional'!K694*K867,0)</f>
        <v>0</v>
      </c>
    </row>
    <row r="872" spans="1:11">
      <c r="A872" s="333">
        <v>7</v>
      </c>
      <c r="C872" s="332" t="str">
        <f>'FR-16(7)(v)-1 Functional'!C872</f>
        <v xml:space="preserve">  NET INCOME</v>
      </c>
      <c r="D872" s="344"/>
      <c r="E872" s="196"/>
      <c r="F872" s="348">
        <f ca="1">SUM(F869:F871)</f>
        <v>1790913</v>
      </c>
      <c r="G872" s="549">
        <f ca="1">SUM(G869:G871)</f>
        <v>1460838</v>
      </c>
      <c r="H872" s="541">
        <f ca="1">SUM(H869:H871)</f>
        <v>285849</v>
      </c>
      <c r="I872" s="542">
        <f ca="1">SUM(I869:I871)</f>
        <v>44226</v>
      </c>
      <c r="J872" s="348">
        <f ca="1">SUM(G872:I872)</f>
        <v>1790913</v>
      </c>
      <c r="K872" s="348">
        <f ca="1">SUM(K869:K871)</f>
        <v>0</v>
      </c>
    </row>
    <row r="873" spans="1:11">
      <c r="A873" s="333">
        <v>8</v>
      </c>
      <c r="D873" s="344"/>
      <c r="E873" s="196"/>
      <c r="G873" s="547"/>
      <c r="H873" s="537"/>
      <c r="I873" s="538"/>
    </row>
    <row r="874" spans="1:11">
      <c r="A874" s="333">
        <v>9</v>
      </c>
      <c r="B874" s="332" t="s">
        <v>101</v>
      </c>
      <c r="D874" s="344"/>
      <c r="E874" s="196"/>
      <c r="G874" s="547"/>
      <c r="H874" s="537"/>
      <c r="I874" s="538"/>
    </row>
    <row r="875" spans="1:11">
      <c r="A875" s="333">
        <v>10</v>
      </c>
      <c r="C875" s="332" t="str">
        <f>'FR-16(7)(v)-1 Functional'!C875</f>
        <v>TOTAL INTEREST EXPENSE</v>
      </c>
      <c r="D875" s="344"/>
      <c r="E875" s="196"/>
      <c r="F875" s="347">
        <f>-F516</f>
        <v>-432697</v>
      </c>
      <c r="G875" s="548">
        <f>-$G$516</f>
        <v>-395271</v>
      </c>
      <c r="H875" s="539">
        <f>-$H$516</f>
        <v>-27103</v>
      </c>
      <c r="I875" s="540">
        <f>-$I$516</f>
        <v>-10323</v>
      </c>
      <c r="J875" s="347">
        <f>-$J$516</f>
        <v>-432697</v>
      </c>
      <c r="K875" s="347">
        <f>-$K$516</f>
        <v>0</v>
      </c>
    </row>
    <row r="876" spans="1:11">
      <c r="A876" s="333">
        <v>11</v>
      </c>
      <c r="C876" s="359" t="str">
        <f>'FR-16(7)(v)-1 Functional'!C876</f>
        <v>TOTAL OTHER DEDUCTIONS</v>
      </c>
      <c r="D876" s="344"/>
      <c r="E876" s="196"/>
      <c r="F876" s="347">
        <f>-F522</f>
        <v>-407593</v>
      </c>
      <c r="G876" s="548">
        <f>-$G$522</f>
        <v>-362426</v>
      </c>
      <c r="H876" s="539">
        <f>-$H$522</f>
        <v>-31530</v>
      </c>
      <c r="I876" s="540">
        <f>-$I$522</f>
        <v>-13637</v>
      </c>
      <c r="J876" s="347">
        <f>-$J$522</f>
        <v>-407593</v>
      </c>
      <c r="K876" s="347">
        <f>-$K$522</f>
        <v>0</v>
      </c>
    </row>
    <row r="877" spans="1:11">
      <c r="A877" s="333">
        <v>12</v>
      </c>
      <c r="C877" s="332" t="str">
        <f>'FR-16(7)(v)-1 Functional'!C877</f>
        <v xml:space="preserve">  PRELIMINARY TAXABLE INCOME</v>
      </c>
      <c r="D877" s="344"/>
      <c r="E877" s="196"/>
      <c r="F877" s="348">
        <f ca="1">SUM(F874:F876)+F872</f>
        <v>950623</v>
      </c>
      <c r="G877" s="549">
        <f ca="1">SUM(G874:G876)+G872</f>
        <v>703141</v>
      </c>
      <c r="H877" s="541">
        <f ca="1">SUM(H874:H876)+H872</f>
        <v>227216</v>
      </c>
      <c r="I877" s="542">
        <f ca="1">SUM(I874:I876)+I872</f>
        <v>20266</v>
      </c>
      <c r="J877" s="348">
        <f ca="1">SUM(G877:I877)</f>
        <v>950623</v>
      </c>
      <c r="K877" s="348">
        <f ca="1">SUM(K874:K876)+K872</f>
        <v>0</v>
      </c>
    </row>
    <row r="878" spans="1:11">
      <c r="A878" s="333">
        <v>13</v>
      </c>
      <c r="D878" s="344"/>
      <c r="E878" s="196"/>
      <c r="G878" s="547"/>
      <c r="H878" s="537"/>
      <c r="I878" s="538"/>
    </row>
    <row r="879" spans="1:11">
      <c r="A879" s="333">
        <v>14</v>
      </c>
      <c r="B879" s="332" t="s">
        <v>99</v>
      </c>
      <c r="D879" s="344"/>
      <c r="E879" s="196"/>
      <c r="G879" s="547"/>
      <c r="H879" s="537"/>
      <c r="I879" s="538"/>
    </row>
    <row r="880" spans="1:11">
      <c r="A880" s="333">
        <v>15</v>
      </c>
      <c r="B880" s="332" t="s">
        <v>74</v>
      </c>
      <c r="D880" s="344"/>
      <c r="E880" s="196"/>
      <c r="G880" s="547"/>
      <c r="H880" s="537"/>
      <c r="I880" s="538"/>
    </row>
    <row r="881" spans="1:11">
      <c r="A881" s="333">
        <v>16</v>
      </c>
      <c r="C881" s="332" t="str">
        <f>'FR-16(7)(v)-1 Functional'!C881</f>
        <v>PRELIMINARY TAXABLE INCOME</v>
      </c>
      <c r="D881" s="344"/>
      <c r="E881" s="196"/>
      <c r="F881" s="347">
        <f t="shared" ref="F881:K881" ca="1" si="123">F877</f>
        <v>950623</v>
      </c>
      <c r="G881" s="548">
        <f t="shared" ca="1" si="123"/>
        <v>703141</v>
      </c>
      <c r="H881" s="539">
        <f t="shared" ca="1" si="123"/>
        <v>227216</v>
      </c>
      <c r="I881" s="540">
        <f t="shared" ca="1" si="123"/>
        <v>20266</v>
      </c>
      <c r="J881" s="347">
        <f t="shared" ca="1" si="123"/>
        <v>950623</v>
      </c>
      <c r="K881" s="347">
        <f t="shared" ca="1" si="123"/>
        <v>0</v>
      </c>
    </row>
    <row r="882" spans="1:11">
      <c r="A882" s="333">
        <v>17</v>
      </c>
      <c r="C882" s="332" t="str">
        <f>'FR-16(7)(v)-1 Functional'!C882</f>
        <v xml:space="preserve">  NET FEDERAL TAXABLE INCOME</v>
      </c>
      <c r="D882" s="344"/>
      <c r="E882" s="196"/>
      <c r="F882" s="347">
        <f t="shared" ref="F882:K882" ca="1" si="124">SUM(F881:F881)</f>
        <v>950623</v>
      </c>
      <c r="G882" s="548">
        <f t="shared" ca="1" si="124"/>
        <v>703141</v>
      </c>
      <c r="H882" s="539">
        <f t="shared" ca="1" si="124"/>
        <v>227216</v>
      </c>
      <c r="I882" s="540">
        <f t="shared" ca="1" si="124"/>
        <v>20266</v>
      </c>
      <c r="J882" s="347">
        <f t="shared" ca="1" si="124"/>
        <v>950623</v>
      </c>
      <c r="K882" s="347">
        <f t="shared" ca="1" si="124"/>
        <v>0</v>
      </c>
    </row>
    <row r="883" spans="1:11">
      <c r="A883" s="333">
        <v>18</v>
      </c>
      <c r="C883" s="332" t="str">
        <f>'FR-16(7)(v)-1 Functional'!C883</f>
        <v xml:space="preserve">  FEDERAL INCOME TAX RATE</v>
      </c>
      <c r="D883" s="344"/>
      <c r="E883" s="196"/>
      <c r="F883" s="350">
        <f>F692</f>
        <v>0.21</v>
      </c>
      <c r="G883" s="566">
        <f>G692</f>
        <v>0.21</v>
      </c>
      <c r="H883" s="567">
        <f>H692</f>
        <v>0.21</v>
      </c>
      <c r="I883" s="568">
        <f>I692</f>
        <v>0.21</v>
      </c>
      <c r="J883" s="350"/>
      <c r="K883" s="350">
        <f>'FR-16(7)(v)-1 Functional'!K692</f>
        <v>0.21</v>
      </c>
    </row>
    <row r="884" spans="1:11">
      <c r="A884" s="333">
        <v>19</v>
      </c>
      <c r="C884" s="332" t="str">
        <f>'FR-16(7)(v)-1 Functional'!C884</f>
        <v>PRELIMINARY FIT = FI01 * K190</v>
      </c>
      <c r="D884" s="344"/>
      <c r="E884" s="196"/>
      <c r="F884" s="347">
        <f ca="1">ROUND(F883*F882,0)</f>
        <v>199631</v>
      </c>
      <c r="G884" s="548">
        <f ca="1">ROUND(G883*G882,0)</f>
        <v>147660</v>
      </c>
      <c r="H884" s="539">
        <f ca="1">ROUND(H883*H882,0)</f>
        <v>47715</v>
      </c>
      <c r="I884" s="540">
        <f ca="1">ROUND(I883*I882,0)</f>
        <v>4256</v>
      </c>
      <c r="J884" s="347">
        <f ca="1">SUM(G884:I884)</f>
        <v>199631</v>
      </c>
      <c r="K884" s="347">
        <f ca="1">ROUND(K883*K882,0)</f>
        <v>0</v>
      </c>
    </row>
    <row r="885" spans="1:11">
      <c r="A885" s="333">
        <v>20</v>
      </c>
      <c r="C885" s="332" t="str">
        <f>'FR-16(7)(v)-1 Functional'!C885</f>
        <v>TOTAL FED DEF IT (410 &amp; 411)</v>
      </c>
      <c r="D885" s="344"/>
      <c r="E885" s="196"/>
      <c r="F885" s="347">
        <f>F532</f>
        <v>148093</v>
      </c>
      <c r="G885" s="548">
        <f>$G$532</f>
        <v>198</v>
      </c>
      <c r="H885" s="539">
        <f>$H$532</f>
        <v>147916</v>
      </c>
      <c r="I885" s="540">
        <f>$I$532</f>
        <v>-21</v>
      </c>
      <c r="J885" s="347">
        <f>$J$532</f>
        <v>148093</v>
      </c>
      <c r="K885" s="347">
        <f>$K$532</f>
        <v>0</v>
      </c>
    </row>
    <row r="886" spans="1:11">
      <c r="A886" s="333">
        <v>21</v>
      </c>
      <c r="C886" s="359" t="str">
        <f>'FR-16(7)(v)-1 Functional'!C886</f>
        <v>TOTAL AMORTIZED ITC</v>
      </c>
      <c r="D886" s="344"/>
      <c r="E886" s="196"/>
      <c r="F886" s="347">
        <f>-F536</f>
        <v>-4049</v>
      </c>
      <c r="G886" s="548">
        <f>-$G$536</f>
        <v>-3858</v>
      </c>
      <c r="H886" s="539">
        <f>-$H$536</f>
        <v>-82</v>
      </c>
      <c r="I886" s="540">
        <f>-$I$536</f>
        <v>-109</v>
      </c>
      <c r="J886" s="347">
        <f>-$J$536</f>
        <v>-4049</v>
      </c>
      <c r="K886" s="347">
        <f>-$K$536</f>
        <v>0</v>
      </c>
    </row>
    <row r="887" spans="1:11">
      <c r="A887" s="333">
        <v>22</v>
      </c>
      <c r="C887" s="332" t="str">
        <f>'FR-16(7)(v)-1 Functional'!C887</f>
        <v xml:space="preserve">  NET FED INC TAX ALLOWABLE</v>
      </c>
      <c r="D887" s="344"/>
      <c r="E887" s="196"/>
      <c r="F887" s="348">
        <f t="shared" ref="F887:K887" ca="1" si="125">SUM(F884:F886)</f>
        <v>343675</v>
      </c>
      <c r="G887" s="549">
        <f t="shared" ca="1" si="125"/>
        <v>144000</v>
      </c>
      <c r="H887" s="541">
        <f t="shared" ca="1" si="125"/>
        <v>195549</v>
      </c>
      <c r="I887" s="542">
        <f t="shared" ca="1" si="125"/>
        <v>4126</v>
      </c>
      <c r="J887" s="348">
        <f t="shared" ca="1" si="125"/>
        <v>343675</v>
      </c>
      <c r="K887" s="348">
        <f t="shared" ca="1" si="125"/>
        <v>0</v>
      </c>
    </row>
    <row r="888" spans="1:11">
      <c r="A888" s="333">
        <v>23</v>
      </c>
      <c r="D888" s="344"/>
      <c r="E888" s="196"/>
      <c r="G888" s="547"/>
      <c r="H888" s="537"/>
      <c r="I888" s="538"/>
    </row>
    <row r="889" spans="1:11">
      <c r="A889" s="333">
        <v>24</v>
      </c>
      <c r="B889" s="332" t="s">
        <v>75</v>
      </c>
      <c r="D889" s="344"/>
      <c r="E889" s="196"/>
      <c r="G889" s="547"/>
      <c r="H889" s="537"/>
      <c r="I889" s="538"/>
    </row>
    <row r="890" spans="1:11">
      <c r="A890" s="333">
        <v>25</v>
      </c>
      <c r="C890" s="332" t="str">
        <f>'FR-16(7)(v)-1 Functional'!C890</f>
        <v>PRELIM FIT</v>
      </c>
      <c r="D890" s="344"/>
      <c r="E890" s="196"/>
      <c r="F890" s="347">
        <f t="shared" ref="F890:K890" ca="1" si="126">F884</f>
        <v>199631</v>
      </c>
      <c r="G890" s="548">
        <f t="shared" ca="1" si="126"/>
        <v>147660</v>
      </c>
      <c r="H890" s="539">
        <f t="shared" ca="1" si="126"/>
        <v>47715</v>
      </c>
      <c r="I890" s="540">
        <f t="shared" ca="1" si="126"/>
        <v>4256</v>
      </c>
      <c r="J890" s="347">
        <f t="shared" ca="1" si="126"/>
        <v>199631</v>
      </c>
      <c r="K890" s="347">
        <f t="shared" ca="1" si="126"/>
        <v>0</v>
      </c>
    </row>
    <row r="891" spans="1:11">
      <c r="A891" s="333">
        <v>26</v>
      </c>
      <c r="C891" s="359" t="str">
        <f>'FR-16(7)(v)-1 Functional'!C891</f>
        <v>TEST YEAR INV TAX CREDIT</v>
      </c>
      <c r="D891" s="344"/>
      <c r="E891" s="196"/>
      <c r="F891" s="347">
        <f>-F540</f>
        <v>0</v>
      </c>
      <c r="G891" s="550">
        <f>-$G$540</f>
        <v>0</v>
      </c>
      <c r="H891" s="543">
        <f>-$H$540</f>
        <v>0</v>
      </c>
      <c r="I891" s="544">
        <f>-$I$540</f>
        <v>0</v>
      </c>
      <c r="J891" s="347">
        <f>-$J$540</f>
        <v>0</v>
      </c>
      <c r="K891" s="347">
        <f>-$K$540</f>
        <v>0</v>
      </c>
    </row>
    <row r="892" spans="1:11">
      <c r="A892" s="333">
        <v>27</v>
      </c>
      <c r="C892" s="332" t="str">
        <f>'FR-16(7)(v)-1 Functional'!C892</f>
        <v xml:space="preserve">  FED INC TAX PAYABLE</v>
      </c>
      <c r="D892" s="344"/>
      <c r="E892" s="196"/>
      <c r="F892" s="348">
        <f t="shared" ref="F892:K892" ca="1" si="127">SUM(F889:F891)</f>
        <v>199631</v>
      </c>
      <c r="G892" s="549">
        <f t="shared" ca="1" si="127"/>
        <v>147660</v>
      </c>
      <c r="H892" s="541">
        <f t="shared" ca="1" si="127"/>
        <v>47715</v>
      </c>
      <c r="I892" s="542">
        <f t="shared" ca="1" si="127"/>
        <v>4256</v>
      </c>
      <c r="J892" s="348">
        <f t="shared" ca="1" si="127"/>
        <v>199631</v>
      </c>
      <c r="K892" s="348">
        <f t="shared" ca="1" si="127"/>
        <v>0</v>
      </c>
    </row>
    <row r="893" spans="1:11">
      <c r="A893" s="333">
        <v>28</v>
      </c>
      <c r="D893" s="344"/>
      <c r="E893" s="196"/>
      <c r="G893" s="547"/>
      <c r="H893" s="537"/>
      <c r="I893" s="538"/>
    </row>
    <row r="894" spans="1:11">
      <c r="A894" s="333">
        <v>29</v>
      </c>
      <c r="B894" s="332" t="s">
        <v>40</v>
      </c>
      <c r="D894" s="344"/>
      <c r="E894" s="196"/>
      <c r="G894" s="547"/>
      <c r="H894" s="537"/>
      <c r="I894" s="538"/>
    </row>
    <row r="895" spans="1:11">
      <c r="A895" s="333">
        <v>30</v>
      </c>
      <c r="C895" s="332" t="str">
        <f>'FR-16(7)(v)-1 Functional'!C895</f>
        <v>NET INCOME</v>
      </c>
      <c r="D895" s="344"/>
      <c r="E895" s="196"/>
      <c r="F895" s="347">
        <f t="shared" ref="F895:K895" ca="1" si="128">F872</f>
        <v>1790913</v>
      </c>
      <c r="G895" s="548">
        <f t="shared" ca="1" si="128"/>
        <v>1460838</v>
      </c>
      <c r="H895" s="539">
        <f t="shared" ca="1" si="128"/>
        <v>285849</v>
      </c>
      <c r="I895" s="540">
        <f t="shared" ca="1" si="128"/>
        <v>44226</v>
      </c>
      <c r="J895" s="347">
        <f t="shared" ca="1" si="128"/>
        <v>1790913</v>
      </c>
      <c r="K895" s="347">
        <f t="shared" ca="1" si="128"/>
        <v>0</v>
      </c>
    </row>
    <row r="896" spans="1:11">
      <c r="A896" s="333">
        <v>31</v>
      </c>
      <c r="C896" s="359" t="str">
        <f>'FR-16(7)(v)-1 Functional'!C896</f>
        <v>NET FED INC TAX ALLOWABLE</v>
      </c>
      <c r="D896" s="344"/>
      <c r="E896" s="196"/>
      <c r="F896" s="347">
        <f t="shared" ref="F896:K896" ca="1" si="129">-F887</f>
        <v>-343675</v>
      </c>
      <c r="G896" s="548">
        <f t="shared" ca="1" si="129"/>
        <v>-144000</v>
      </c>
      <c r="H896" s="539">
        <f t="shared" ca="1" si="129"/>
        <v>-195549</v>
      </c>
      <c r="I896" s="540">
        <f t="shared" ca="1" si="129"/>
        <v>-4126</v>
      </c>
      <c r="J896" s="347">
        <f t="shared" ca="1" si="129"/>
        <v>-343675</v>
      </c>
      <c r="K896" s="347">
        <f t="shared" ca="1" si="129"/>
        <v>0</v>
      </c>
    </row>
    <row r="897" spans="1:11">
      <c r="A897" s="333">
        <v>32</v>
      </c>
      <c r="C897" s="332" t="str">
        <f>'FR-16(7)(v)-1 Functional'!C897</f>
        <v xml:space="preserve">  OVERALL RETURN EARNED</v>
      </c>
      <c r="D897" s="344"/>
      <c r="E897" s="196"/>
      <c r="F897" s="348">
        <f t="shared" ref="F897:K897" ca="1" si="130">SUM(F894:F896)</f>
        <v>1447238</v>
      </c>
      <c r="G897" s="549">
        <f t="shared" ca="1" si="130"/>
        <v>1316838</v>
      </c>
      <c r="H897" s="541">
        <f t="shared" ca="1" si="130"/>
        <v>90300</v>
      </c>
      <c r="I897" s="542">
        <f t="shared" ca="1" si="130"/>
        <v>40100</v>
      </c>
      <c r="J897" s="348">
        <f t="shared" ca="1" si="130"/>
        <v>1447238</v>
      </c>
      <c r="K897" s="348">
        <f t="shared" ca="1" si="130"/>
        <v>0</v>
      </c>
    </row>
    <row r="898" spans="1:11">
      <c r="A898" s="333">
        <v>33</v>
      </c>
      <c r="D898" s="344"/>
      <c r="E898" s="196"/>
      <c r="G898" s="547"/>
      <c r="H898" s="537"/>
      <c r="I898" s="538"/>
    </row>
    <row r="899" spans="1:11">
      <c r="A899" s="333">
        <v>34</v>
      </c>
      <c r="C899" s="332" t="str">
        <f>'FR-16(7)(v)-1 Functional'!C899</f>
        <v xml:space="preserve">  RATE OF RETURN EARNED</v>
      </c>
      <c r="D899" s="344"/>
      <c r="E899" s="196"/>
      <c r="F899" s="350">
        <f t="shared" ref="F899:K899" ca="1" si="131">IF(F331=0,0,ROUND(F897/F331,5))</f>
        <v>7.2099999999999997E-2</v>
      </c>
      <c r="G899" s="575">
        <f t="shared" ca="1" si="131"/>
        <v>7.1809999999999999E-2</v>
      </c>
      <c r="H899" s="576">
        <f t="shared" ca="1" si="131"/>
        <v>7.1809999999999999E-2</v>
      </c>
      <c r="I899" s="577">
        <f t="shared" ca="1" si="131"/>
        <v>8.3820000000000006E-2</v>
      </c>
      <c r="J899" s="350">
        <f t="shared" ca="1" si="131"/>
        <v>7.2099999999999997E-2</v>
      </c>
      <c r="K899" s="350">
        <f t="shared" si="131"/>
        <v>0</v>
      </c>
    </row>
  </sheetData>
  <pageMargins left="1" right="1" top="1" bottom="1" header="1" footer="0.5"/>
  <pageSetup scale="67" orientation="landscape" blackAndWhite="1" r:id="rId1"/>
  <headerFooter alignWithMargins="0"/>
  <rowBreaks count="13" manualBreakCount="13">
    <brk id="44" max="10" man="1"/>
    <brk id="101" max="10" man="1"/>
    <brk id="151" max="10" man="1"/>
    <brk id="191" max="10" man="1"/>
    <brk id="238" max="10" man="1"/>
    <brk id="283" max="10" man="1"/>
    <brk id="334" max="10" man="1"/>
    <brk id="389" max="10" man="1"/>
    <brk id="433" max="10" man="1"/>
    <brk id="465" max="10" man="1"/>
    <brk id="501" max="10" man="1"/>
    <brk id="565" max="10" man="1"/>
    <brk id="654" max="10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tabColor rgb="FFFFFF00"/>
    <pageSetUpPr fitToPage="1"/>
  </sheetPr>
  <dimension ref="A1:N899"/>
  <sheetViews>
    <sheetView topLeftCell="A653" zoomScale="80" zoomScaleNormal="80" zoomScaleSheetLayoutView="80" workbookViewId="0">
      <selection activeCell="A656" sqref="A656:K694"/>
    </sheetView>
  </sheetViews>
  <sheetFormatPr defaultColWidth="8.77734375" defaultRowHeight="12.75"/>
  <cols>
    <col min="1" max="1" width="6.44140625" style="332" customWidth="1"/>
    <col min="2" max="2" width="3.5546875" style="332" customWidth="1"/>
    <col min="3" max="3" width="41.6640625" style="332" customWidth="1"/>
    <col min="4" max="4" width="8.33203125" style="333" customWidth="1"/>
    <col min="5" max="5" width="8.77734375" style="332" customWidth="1"/>
    <col min="6" max="6" width="14" style="332" customWidth="1"/>
    <col min="7" max="8" width="11.88671875" style="332" customWidth="1"/>
    <col min="9" max="9" width="13.77734375" style="332" customWidth="1"/>
    <col min="10" max="11" width="11.88671875" style="332" customWidth="1"/>
    <col min="12" max="16384" width="8.77734375" style="332"/>
  </cols>
  <sheetData>
    <row r="1" spans="1:11">
      <c r="A1" s="343" t="str">
        <f>co_name</f>
        <v>DUKE ENERGY KENTUCKY, INC.</v>
      </c>
      <c r="C1" s="196"/>
      <c r="D1" s="344"/>
      <c r="E1" s="196"/>
      <c r="F1" s="196"/>
      <c r="G1" s="196"/>
      <c r="H1" s="196"/>
      <c r="I1" s="196"/>
      <c r="J1" s="583" t="s">
        <v>1549</v>
      </c>
      <c r="K1" s="196"/>
    </row>
    <row r="2" spans="1:11">
      <c r="A2" s="583" t="s">
        <v>1228</v>
      </c>
      <c r="C2" s="196"/>
      <c r="D2" s="344"/>
      <c r="E2" s="196"/>
      <c r="F2" s="196"/>
      <c r="G2" s="196"/>
      <c r="H2" s="196"/>
      <c r="I2" s="196"/>
      <c r="J2" s="583" t="s">
        <v>437</v>
      </c>
      <c r="K2" s="196"/>
    </row>
    <row r="3" spans="1:11">
      <c r="A3" s="343" t="str">
        <f>case_name</f>
        <v>CASE NO: 2018-00261</v>
      </c>
      <c r="C3" s="196"/>
      <c r="D3" s="344"/>
      <c r="E3" s="196"/>
      <c r="F3" s="196"/>
      <c r="G3" s="196"/>
      <c r="H3" s="196"/>
      <c r="I3" s="196"/>
      <c r="J3" s="196" t="str">
        <f>Witness</f>
        <v>JAMES E. ZIOLKOWSKI</v>
      </c>
      <c r="K3" s="196"/>
    </row>
    <row r="4" spans="1:11">
      <c r="A4" s="343" t="str">
        <f>data_filing</f>
        <v>DATA: 12 MONTH FORECASTED PERIOD</v>
      </c>
      <c r="C4" s="196"/>
      <c r="D4" s="344"/>
      <c r="E4" s="196"/>
      <c r="F4" s="196"/>
      <c r="G4" s="196"/>
      <c r="H4" s="196"/>
      <c r="I4" s="196"/>
      <c r="J4" s="196" t="str">
        <f>"PAGE "&amp;Pages2-14&amp;" OF "&amp;Pages2</f>
        <v>PAGE 1 OF 15</v>
      </c>
      <c r="K4" s="196"/>
    </row>
    <row r="5" spans="1:11">
      <c r="A5" s="343" t="str">
        <f>type</f>
        <v xml:space="preserve">TYPE OF FILING: "X" ORIGINAL   UPDATED    REVISED  </v>
      </c>
      <c r="C5" s="196"/>
      <c r="D5" s="344"/>
      <c r="E5" s="196"/>
      <c r="F5" s="196"/>
      <c r="G5" s="196"/>
      <c r="H5" s="196"/>
      <c r="I5" s="196"/>
      <c r="J5" s="196"/>
      <c r="K5" s="196"/>
    </row>
    <row r="6" spans="1:11">
      <c r="A6" s="343"/>
      <c r="C6" s="196"/>
      <c r="D6" s="344"/>
      <c r="E6" s="196"/>
      <c r="F6" s="196"/>
      <c r="G6" s="196"/>
      <c r="H6" s="196"/>
      <c r="I6" s="196"/>
      <c r="J6" s="196"/>
      <c r="K6" s="196"/>
    </row>
    <row r="7" spans="1:11">
      <c r="A7" s="343"/>
      <c r="C7" s="196"/>
      <c r="D7" s="344"/>
      <c r="E7" s="196"/>
      <c r="F7" s="196"/>
      <c r="G7" s="196"/>
      <c r="H7" s="196"/>
      <c r="I7" s="196"/>
      <c r="J7" s="196"/>
      <c r="K7" s="196"/>
    </row>
    <row r="8" spans="1:11">
      <c r="A8" s="344" t="s">
        <v>914</v>
      </c>
      <c r="B8" s="196"/>
      <c r="C8" s="196"/>
      <c r="D8" s="344"/>
      <c r="E8" s="196"/>
      <c r="F8" s="344" t="s">
        <v>229</v>
      </c>
      <c r="G8" s="545" t="s">
        <v>1005</v>
      </c>
      <c r="H8" s="533"/>
      <c r="I8" s="534"/>
      <c r="J8" s="344" t="s">
        <v>229</v>
      </c>
      <c r="K8" s="344" t="s">
        <v>342</v>
      </c>
    </row>
    <row r="9" spans="1:11">
      <c r="A9" s="346" t="s">
        <v>915</v>
      </c>
      <c r="B9" s="345" t="s">
        <v>102</v>
      </c>
      <c r="C9" s="345"/>
      <c r="D9" s="346" t="s">
        <v>337</v>
      </c>
      <c r="E9" s="345"/>
      <c r="F9" s="829" t="s">
        <v>1198</v>
      </c>
      <c r="G9" s="546" t="s">
        <v>847</v>
      </c>
      <c r="H9" s="535" t="s">
        <v>848</v>
      </c>
      <c r="I9" s="536" t="s">
        <v>849</v>
      </c>
      <c r="J9" s="346" t="s">
        <v>341</v>
      </c>
      <c r="K9" s="346" t="s">
        <v>340</v>
      </c>
    </row>
    <row r="10" spans="1:11">
      <c r="C10" s="578" t="s">
        <v>354</v>
      </c>
      <c r="D10" s="344"/>
      <c r="E10" s="196"/>
      <c r="G10" s="785">
        <v>3</v>
      </c>
      <c r="H10" s="786">
        <v>4</v>
      </c>
      <c r="I10" s="787">
        <v>5</v>
      </c>
    </row>
    <row r="11" spans="1:11">
      <c r="A11" s="333">
        <v>1</v>
      </c>
      <c r="B11" s="332" t="s">
        <v>100</v>
      </c>
      <c r="D11" s="344"/>
      <c r="E11" s="196"/>
      <c r="G11" s="547"/>
      <c r="H11" s="537"/>
      <c r="I11" s="538"/>
    </row>
    <row r="12" spans="1:11">
      <c r="A12" s="333">
        <v>2</v>
      </c>
      <c r="C12" s="332" t="str">
        <f>'FR-16(7)(v)-1 Functional'!C12</f>
        <v>GROSS GAS PLANT IN SERVICE</v>
      </c>
      <c r="D12" s="344"/>
      <c r="E12" s="196"/>
      <c r="F12" s="347">
        <f>F101</f>
        <v>10907847</v>
      </c>
      <c r="G12" s="548">
        <f>G101</f>
        <v>9927145</v>
      </c>
      <c r="H12" s="539">
        <f>H101</f>
        <v>5675</v>
      </c>
      <c r="I12" s="540">
        <f>I101</f>
        <v>975027</v>
      </c>
      <c r="J12" s="347">
        <f>J101</f>
        <v>10907847</v>
      </c>
      <c r="K12" s="347">
        <f>F12-J12</f>
        <v>0</v>
      </c>
    </row>
    <row r="13" spans="1:11">
      <c r="A13" s="333">
        <v>3</v>
      </c>
      <c r="C13" s="332" t="str">
        <f>'FR-16(7)(v)-1 Functional'!C13</f>
        <v>TOTAL DEPRECIATION RESERVE</v>
      </c>
      <c r="D13" s="344"/>
      <c r="E13" s="196"/>
      <c r="F13" s="347">
        <f>-F151</f>
        <v>-3596043</v>
      </c>
      <c r="G13" s="548">
        <f>-G151</f>
        <v>-3294823</v>
      </c>
      <c r="H13" s="539">
        <f>-H151</f>
        <v>-3047</v>
      </c>
      <c r="I13" s="540">
        <f>-I151</f>
        <v>-298173</v>
      </c>
      <c r="J13" s="347">
        <f>-J151</f>
        <v>-3596043</v>
      </c>
      <c r="K13" s="347">
        <f>F13-J13</f>
        <v>0</v>
      </c>
    </row>
    <row r="14" spans="1:11">
      <c r="A14" s="333">
        <v>4</v>
      </c>
      <c r="C14" s="359" t="str">
        <f>'FR-16(7)(v)-1 Functional'!C14</f>
        <v>TOTAL RATE BASE ADJUSTMENTS</v>
      </c>
      <c r="D14" s="344"/>
      <c r="E14" s="196"/>
      <c r="F14" s="347">
        <f>F326</f>
        <v>-1473075</v>
      </c>
      <c r="G14" s="548">
        <f>G326</f>
        <v>-1434061</v>
      </c>
      <c r="H14" s="539">
        <f>H326</f>
        <v>120872</v>
      </c>
      <c r="I14" s="540">
        <f>I326</f>
        <v>-159885</v>
      </c>
      <c r="J14" s="347">
        <f>J326</f>
        <v>-1473074</v>
      </c>
      <c r="K14" s="347">
        <f>F14-J14</f>
        <v>-1</v>
      </c>
    </row>
    <row r="15" spans="1:11">
      <c r="A15" s="333">
        <v>5</v>
      </c>
      <c r="C15" s="332" t="str">
        <f>'FR-16(7)(v)-1 Functional'!C15</f>
        <v xml:space="preserve">  TOTAL RATE BASE</v>
      </c>
      <c r="D15" s="344"/>
      <c r="E15" s="196"/>
      <c r="F15" s="348">
        <f t="shared" ref="F15:K15" si="0">SUM(F12:F14)</f>
        <v>5838729</v>
      </c>
      <c r="G15" s="549">
        <f t="shared" si="0"/>
        <v>5198261</v>
      </c>
      <c r="H15" s="541">
        <f t="shared" si="0"/>
        <v>123500</v>
      </c>
      <c r="I15" s="542">
        <f t="shared" si="0"/>
        <v>516969</v>
      </c>
      <c r="J15" s="348">
        <f t="shared" si="0"/>
        <v>5838730</v>
      </c>
      <c r="K15" s="348">
        <f t="shared" si="0"/>
        <v>-1</v>
      </c>
    </row>
    <row r="16" spans="1:11">
      <c r="A16" s="333">
        <v>6</v>
      </c>
      <c r="D16" s="344"/>
      <c r="E16" s="196"/>
      <c r="G16" s="547"/>
      <c r="H16" s="537"/>
      <c r="I16" s="538"/>
    </row>
    <row r="17" spans="1:11">
      <c r="A17" s="333">
        <v>7</v>
      </c>
      <c r="B17" s="332" t="s">
        <v>98</v>
      </c>
      <c r="D17" s="344"/>
      <c r="E17" s="196"/>
      <c r="G17" s="547"/>
      <c r="H17" s="537"/>
      <c r="I17" s="538"/>
    </row>
    <row r="18" spans="1:11">
      <c r="A18" s="333">
        <v>8</v>
      </c>
      <c r="C18" s="332" t="str">
        <f>'FR-16(7)(v)-1 Functional'!C18</f>
        <v>TOTAL O&amp;M EXPENSE</v>
      </c>
      <c r="D18" s="344"/>
      <c r="E18" s="196"/>
      <c r="F18" s="347">
        <f>F433</f>
        <v>408864</v>
      </c>
      <c r="G18" s="548">
        <f>G433</f>
        <v>226142</v>
      </c>
      <c r="H18" s="539">
        <f>H433</f>
        <v>126324</v>
      </c>
      <c r="I18" s="540">
        <f>I433</f>
        <v>56398</v>
      </c>
      <c r="J18" s="347">
        <f>J433</f>
        <v>408864</v>
      </c>
      <c r="K18" s="347">
        <f t="shared" ref="K18:K24" si="1">F18-J18</f>
        <v>0</v>
      </c>
    </row>
    <row r="19" spans="1:11">
      <c r="A19" s="333">
        <v>9</v>
      </c>
      <c r="C19" s="332" t="str">
        <f>'FR-16(7)(v)-1 Functional'!C19</f>
        <v>TOTAL DEPRECIATION EXPENSE</v>
      </c>
      <c r="D19" s="344"/>
      <c r="E19" s="196"/>
      <c r="F19" s="347">
        <f>F465</f>
        <v>248951</v>
      </c>
      <c r="G19" s="548">
        <f>G465</f>
        <v>223637</v>
      </c>
      <c r="H19" s="539">
        <f>H465</f>
        <v>352</v>
      </c>
      <c r="I19" s="540">
        <f>I465</f>
        <v>24962</v>
      </c>
      <c r="J19" s="347">
        <f>J465</f>
        <v>248951</v>
      </c>
      <c r="K19" s="347">
        <f t="shared" si="1"/>
        <v>0</v>
      </c>
    </row>
    <row r="20" spans="1:11">
      <c r="A20" s="333">
        <v>10</v>
      </c>
      <c r="C20" s="359" t="str">
        <f>'FR-16(7)(v)-1 Functional'!C20</f>
        <v>TOTAL OTHER TAX &amp; MISC EXPENSE</v>
      </c>
      <c r="D20" s="344"/>
      <c r="E20" s="196"/>
      <c r="F20" s="347">
        <f>F495</f>
        <v>69296</v>
      </c>
      <c r="G20" s="548">
        <f>$G$495</f>
        <v>61935</v>
      </c>
      <c r="H20" s="539">
        <f>$H$495</f>
        <v>164</v>
      </c>
      <c r="I20" s="540">
        <f>$I$495</f>
        <v>7197</v>
      </c>
      <c r="J20" s="347">
        <f>$J$495</f>
        <v>69296</v>
      </c>
      <c r="K20" s="347">
        <f t="shared" si="1"/>
        <v>0</v>
      </c>
    </row>
    <row r="21" spans="1:11">
      <c r="A21" s="333">
        <v>11</v>
      </c>
      <c r="C21" s="332" t="str">
        <f>'FR-16(7)(v)-1 Functional'!C21</f>
        <v xml:space="preserve">  TOTAL OP EXP EXCLUDING INC &amp; REV TAX</v>
      </c>
      <c r="D21" s="344"/>
      <c r="E21" s="196"/>
      <c r="F21" s="348">
        <f>SUM(F17:F20)</f>
        <v>727111</v>
      </c>
      <c r="G21" s="549">
        <f>SUM(G17:G20)</f>
        <v>511714</v>
      </c>
      <c r="H21" s="541">
        <f>SUM(H17:H20)</f>
        <v>126840</v>
      </c>
      <c r="I21" s="542">
        <f>SUM(I17:I20)</f>
        <v>88557</v>
      </c>
      <c r="J21" s="348">
        <f>SUM(J17:J20)</f>
        <v>727111</v>
      </c>
      <c r="K21" s="348">
        <f t="shared" si="1"/>
        <v>0</v>
      </c>
    </row>
    <row r="22" spans="1:11">
      <c r="A22" s="333">
        <v>12</v>
      </c>
      <c r="C22" s="332" t="str">
        <f>'FR-16(7)(v)-1 Functional'!C22</f>
        <v>NET FED INCOME TAX EXP ALLOWABLE</v>
      </c>
      <c r="D22" s="344"/>
      <c r="E22" s="196"/>
      <c r="F22" s="347">
        <f>F557</f>
        <v>51956</v>
      </c>
      <c r="G22" s="548">
        <f>$G$557</f>
        <v>41093</v>
      </c>
      <c r="H22" s="539">
        <f>$H$557</f>
        <v>4844</v>
      </c>
      <c r="I22" s="540">
        <f>$I$557</f>
        <v>6019</v>
      </c>
      <c r="J22" s="347">
        <f>$J$557</f>
        <v>51956</v>
      </c>
      <c r="K22" s="347">
        <f t="shared" si="1"/>
        <v>0</v>
      </c>
    </row>
    <row r="23" spans="1:11">
      <c r="A23" s="333">
        <v>13</v>
      </c>
      <c r="C23" s="359" t="str">
        <f>'FR-16(7)(v)-1 Functional'!C23</f>
        <v>NET STATE INCOME TAX EXP ALLOWABLE</v>
      </c>
      <c r="D23" s="344"/>
      <c r="E23" s="196"/>
      <c r="F23" s="347">
        <f>F605</f>
        <v>15489</v>
      </c>
      <c r="G23" s="548">
        <f>G605</f>
        <v>10512</v>
      </c>
      <c r="H23" s="539">
        <f>H605</f>
        <v>570</v>
      </c>
      <c r="I23" s="540">
        <f>I605</f>
        <v>4407</v>
      </c>
      <c r="J23" s="347">
        <f>J605</f>
        <v>15489</v>
      </c>
      <c r="K23" s="347">
        <f t="shared" si="1"/>
        <v>0</v>
      </c>
    </row>
    <row r="24" spans="1:11">
      <c r="A24" s="333">
        <v>14</v>
      </c>
      <c r="C24" s="332" t="str">
        <f>'FR-16(7)(v)-1 Functional'!C24</f>
        <v xml:space="preserve">  TOTAL OPERATING EXPENSE</v>
      </c>
      <c r="D24" s="344"/>
      <c r="E24" s="196"/>
      <c r="F24" s="348">
        <f>SUM(F21:F23)</f>
        <v>794556</v>
      </c>
      <c r="G24" s="549">
        <f>SUM(G21:G23)</f>
        <v>563319</v>
      </c>
      <c r="H24" s="541">
        <f>SUM(H21:H23)</f>
        <v>132254</v>
      </c>
      <c r="I24" s="542">
        <f>SUM(I21:I23)</f>
        <v>98983</v>
      </c>
      <c r="J24" s="348">
        <f>SUM(J21:J23)</f>
        <v>794556</v>
      </c>
      <c r="K24" s="348">
        <f t="shared" si="1"/>
        <v>0</v>
      </c>
    </row>
    <row r="25" spans="1:11">
      <c r="A25" s="333">
        <v>15</v>
      </c>
      <c r="D25" s="344"/>
      <c r="E25" s="196"/>
      <c r="G25" s="547"/>
      <c r="H25" s="537"/>
      <c r="I25" s="538"/>
    </row>
    <row r="26" spans="1:11">
      <c r="A26" s="333">
        <v>16</v>
      </c>
      <c r="B26" s="332" t="s">
        <v>43</v>
      </c>
      <c r="D26" s="344"/>
      <c r="E26" s="196"/>
      <c r="F26" s="347">
        <f>F334</f>
        <v>419279</v>
      </c>
      <c r="G26" s="548">
        <f>G334</f>
        <v>373287</v>
      </c>
      <c r="H26" s="539">
        <f>H334</f>
        <v>8869</v>
      </c>
      <c r="I26" s="540">
        <f>I334</f>
        <v>37124</v>
      </c>
      <c r="J26" s="347">
        <f>J334</f>
        <v>419280</v>
      </c>
      <c r="K26" s="347">
        <f t="shared" ref="K26:K31" si="2">F26-J26</f>
        <v>-1</v>
      </c>
    </row>
    <row r="27" spans="1:11">
      <c r="A27" s="333">
        <v>17</v>
      </c>
      <c r="B27" s="359" t="s">
        <v>103</v>
      </c>
      <c r="C27" s="359"/>
      <c r="D27" s="344"/>
      <c r="E27" s="196"/>
      <c r="F27" s="347">
        <f>-F630</f>
        <v>-566</v>
      </c>
      <c r="G27" s="548">
        <f>-$G$630</f>
        <v>-470</v>
      </c>
      <c r="H27" s="539">
        <f>-$H$630</f>
        <v>-5</v>
      </c>
      <c r="I27" s="540">
        <f>-$I$630</f>
        <v>-91</v>
      </c>
      <c r="J27" s="347">
        <f>-$J$630</f>
        <v>-566</v>
      </c>
      <c r="K27" s="347">
        <f t="shared" si="2"/>
        <v>0</v>
      </c>
    </row>
    <row r="28" spans="1:11">
      <c r="A28" s="333">
        <v>18</v>
      </c>
      <c r="C28" s="332" t="str">
        <f>'FR-16(7)(v)-1 Functional'!C28</f>
        <v>TOTAL GAS COST OF SERVICE</v>
      </c>
      <c r="D28" s="344"/>
      <c r="E28" s="196"/>
      <c r="F28" s="348">
        <f>SUM(F24:F27)</f>
        <v>1213269</v>
      </c>
      <c r="G28" s="557">
        <f>SUM(G24:G27)</f>
        <v>936136</v>
      </c>
      <c r="H28" s="558">
        <f>SUM(H24:H27)</f>
        <v>141118</v>
      </c>
      <c r="I28" s="559">
        <f>SUM(I24:I27)</f>
        <v>136016</v>
      </c>
      <c r="J28" s="348">
        <f>SUM(J24:J27)</f>
        <v>1213270</v>
      </c>
      <c r="K28" s="348">
        <f t="shared" si="2"/>
        <v>-1</v>
      </c>
    </row>
    <row r="29" spans="1:11">
      <c r="A29" s="1112">
        <v>19</v>
      </c>
      <c r="B29" s="1113" t="s">
        <v>1206</v>
      </c>
      <c r="C29" s="1114"/>
      <c r="D29" s="1115">
        <f>1-'WP FR-16(7)(v)Rate Incr (15.0%)'!I11</f>
        <v>0.85</v>
      </c>
      <c r="E29" s="1116"/>
      <c r="F29" s="1114"/>
      <c r="G29" s="1118"/>
      <c r="H29" s="1114"/>
      <c r="I29" s="1119"/>
      <c r="J29" s="1114"/>
      <c r="K29" s="1120">
        <f t="shared" si="2"/>
        <v>0</v>
      </c>
    </row>
    <row r="30" spans="1:11">
      <c r="A30" s="1112">
        <v>20</v>
      </c>
      <c r="B30" s="1121" t="s">
        <v>1207</v>
      </c>
      <c r="C30" s="1024"/>
      <c r="D30" s="1122"/>
      <c r="E30" s="1116"/>
      <c r="F30" s="1123">
        <f t="shared" ref="F30:K30" si="3">F28+F29</f>
        <v>1213269</v>
      </c>
      <c r="G30" s="1182">
        <f t="shared" si="3"/>
        <v>936136</v>
      </c>
      <c r="H30" s="1180">
        <f t="shared" si="3"/>
        <v>141118</v>
      </c>
      <c r="I30" s="1181">
        <f t="shared" si="3"/>
        <v>136016</v>
      </c>
      <c r="J30" s="1123">
        <f t="shared" si="3"/>
        <v>1213270</v>
      </c>
      <c r="K30" s="1123">
        <f t="shared" si="3"/>
        <v>-1</v>
      </c>
    </row>
    <row r="31" spans="1:11">
      <c r="A31" s="1112">
        <v>21</v>
      </c>
      <c r="B31" s="1128" t="s">
        <v>850</v>
      </c>
      <c r="C31" s="1114"/>
      <c r="D31" s="1122"/>
      <c r="E31" s="1116"/>
      <c r="F31" s="1148">
        <f>'FR-16(7)(v)-8 TOT CLASS Alloc'!J31</f>
        <v>1524248</v>
      </c>
      <c r="G31" s="1124">
        <f>'FR-16(7)(v)-5 DISTR Dem Alloc'!J31</f>
        <v>482985</v>
      </c>
      <c r="H31" s="1125">
        <f>'FR-16(7)(v)-3 PROD Comm Alloc'!J31</f>
        <v>581028</v>
      </c>
      <c r="I31" s="1126">
        <f>'FR-16(7)(v)-6 DISTR Cust Alloc'!J31</f>
        <v>460235</v>
      </c>
      <c r="J31" s="1127">
        <f>SUM(G31:I31)</f>
        <v>1524248</v>
      </c>
      <c r="K31" s="1127">
        <f t="shared" si="2"/>
        <v>0</v>
      </c>
    </row>
    <row r="32" spans="1:11">
      <c r="A32" s="1112">
        <v>22</v>
      </c>
      <c r="B32" s="1129" t="s">
        <v>1208</v>
      </c>
      <c r="C32" s="1024"/>
      <c r="D32" s="1122"/>
      <c r="E32" s="1116"/>
      <c r="F32" s="1132">
        <f t="shared" ref="F32:K32" si="4">F30-F31</f>
        <v>-310979</v>
      </c>
      <c r="G32" s="1151">
        <f t="shared" si="4"/>
        <v>453151</v>
      </c>
      <c r="H32" s="1169">
        <f t="shared" si="4"/>
        <v>-439910</v>
      </c>
      <c r="I32" s="1152">
        <f t="shared" si="4"/>
        <v>-324219</v>
      </c>
      <c r="J32" s="1132">
        <f t="shared" si="4"/>
        <v>-310978</v>
      </c>
      <c r="K32" s="1132">
        <f t="shared" si="4"/>
        <v>-1</v>
      </c>
    </row>
    <row r="33" spans="1:14">
      <c r="A33" s="1112">
        <v>23</v>
      </c>
      <c r="B33" s="1024"/>
      <c r="C33" s="1024"/>
      <c r="D33" s="1122"/>
      <c r="E33" s="1116"/>
      <c r="F33" s="1024"/>
      <c r="G33" s="1134"/>
      <c r="H33" s="1135"/>
      <c r="I33" s="1136"/>
      <c r="J33" s="1024"/>
      <c r="K33" s="1024"/>
    </row>
    <row r="34" spans="1:14">
      <c r="A34" s="1112">
        <v>24</v>
      </c>
      <c r="B34" s="1024" t="s">
        <v>104</v>
      </c>
      <c r="C34" s="1024"/>
      <c r="D34" s="1122"/>
      <c r="E34" s="1116"/>
      <c r="F34" s="1127">
        <f>F654+F26</f>
        <v>664375</v>
      </c>
      <c r="G34" s="1124">
        <f>G654+G26</f>
        <v>40976</v>
      </c>
      <c r="H34" s="1125">
        <f>H654+H26</f>
        <v>339559</v>
      </c>
      <c r="I34" s="1126">
        <f>I654+I26</f>
        <v>283840</v>
      </c>
      <c r="J34" s="1127">
        <f>J654+J26</f>
        <v>664375</v>
      </c>
      <c r="K34" s="1127">
        <f>F34-J34</f>
        <v>0</v>
      </c>
    </row>
    <row r="35" spans="1:14">
      <c r="A35" s="1112">
        <v>25</v>
      </c>
      <c r="B35" s="1024" t="s">
        <v>105</v>
      </c>
      <c r="C35" s="1024"/>
      <c r="D35" s="1122"/>
      <c r="E35" s="1116"/>
      <c r="F35" s="1137">
        <f t="shared" ref="F35:K35" si="5">IF(F331=0,0,ROUND(F34/F331,5))</f>
        <v>0.11379</v>
      </c>
      <c r="G35" s="1138">
        <f t="shared" si="5"/>
        <v>7.8799999999999999E-3</v>
      </c>
      <c r="H35" s="1139">
        <f t="shared" si="5"/>
        <v>2.7494700000000001</v>
      </c>
      <c r="I35" s="1140">
        <f t="shared" si="5"/>
        <v>0.54905000000000004</v>
      </c>
      <c r="J35" s="1137">
        <f t="shared" si="5"/>
        <v>0.11379</v>
      </c>
      <c r="K35" s="1137">
        <f t="shared" si="5"/>
        <v>0</v>
      </c>
    </row>
    <row r="36" spans="1:14">
      <c r="A36" s="1112">
        <v>26</v>
      </c>
      <c r="B36" s="1024" t="s">
        <v>42</v>
      </c>
      <c r="C36" s="1024"/>
      <c r="D36" s="1122"/>
      <c r="E36" s="1116"/>
      <c r="F36" s="1137">
        <f>$F$688</f>
        <v>7.1809999999999999E-2</v>
      </c>
      <c r="G36" s="1138">
        <f>F688</f>
        <v>7.1809999999999999E-2</v>
      </c>
      <c r="H36" s="1139">
        <f>F688</f>
        <v>7.1809999999999999E-2</v>
      </c>
      <c r="I36" s="1140">
        <f>F688</f>
        <v>7.1809999999999999E-2</v>
      </c>
      <c r="J36" s="1137">
        <f>$F$688</f>
        <v>7.1809999999999999E-2</v>
      </c>
      <c r="K36" s="1137">
        <f>IF(K35=0,0,$F$688)</f>
        <v>0</v>
      </c>
      <c r="N36" s="659" t="s">
        <v>1210</v>
      </c>
    </row>
    <row r="37" spans="1:14">
      <c r="A37" s="1112">
        <v>27</v>
      </c>
      <c r="B37" s="1024" t="s">
        <v>106</v>
      </c>
      <c r="C37" s="1024"/>
      <c r="D37" s="1122"/>
      <c r="E37" s="1116"/>
      <c r="F37" s="1137">
        <f>IF(F670=0,0,(F35-$F$683-$F$684-$F$686)*$F$673/$F$670)</f>
        <v>0.18171649269821979</v>
      </c>
      <c r="G37" s="1138">
        <f>IF(F670=0,0,(G35-F683-F684-F686)*F673/F670)</f>
        <v>-2.6953069718222346E-2</v>
      </c>
      <c r="H37" s="1139">
        <f>IF(F670=0,0,(H35-F683-F684-F686)*F673/F670)</f>
        <v>5.3746745917423917</v>
      </c>
      <c r="I37" s="1140">
        <f>IF(F670=0,0,(I35-F683-F684-F686)*F673/F670)</f>
        <v>1.0392890895954023</v>
      </c>
      <c r="J37" s="1137">
        <f>IF(F670=0,0,(J35-F683-F684-F686)*F673/F670)</f>
        <v>0.18171649269821979</v>
      </c>
      <c r="K37" s="1137">
        <f>IF(OR(E670=0,K35=0)=TRUE,0,(K35-E683-E684-E686)*E673/E670)</f>
        <v>0</v>
      </c>
      <c r="N37" s="659" t="s">
        <v>1211</v>
      </c>
    </row>
    <row r="38" spans="1:14">
      <c r="A38" s="1112">
        <v>28</v>
      </c>
      <c r="B38" s="1024" t="s">
        <v>107</v>
      </c>
      <c r="C38" s="1024"/>
      <c r="D38" s="1122"/>
      <c r="E38" s="1116"/>
      <c r="F38" s="1137">
        <f>IF(F670=0,0,(F36-$F$683-$F$684-$F$686)*$F$673/$F$670)</f>
        <v>9.9005245127242167E-2</v>
      </c>
      <c r="G38" s="1138">
        <f>IF(F670=0,0,(G36-F683-F684-F686)*F673/F670)</f>
        <v>9.9005245127242167E-2</v>
      </c>
      <c r="H38" s="1139">
        <f>IF(F670=0,0,(H36-F683-F684-F686)*F673/F670)</f>
        <v>9.9005245127242167E-2</v>
      </c>
      <c r="I38" s="1140">
        <f>IF(F670=0,0,(I36-F683-F684-F686)*F673/F670)</f>
        <v>9.9005245127242167E-2</v>
      </c>
      <c r="J38" s="1137">
        <f>IF($F$670=0,0,(J36-$F$683-$F$684-$F$686)*$F$673/$F$670)</f>
        <v>9.9005245127242167E-2</v>
      </c>
      <c r="K38" s="1137">
        <f>IF(OR($F$670=0,K36=0)=TRUE,0,(K36-$F$683-$F$684-$F$686)*$F$673/$F$670)</f>
        <v>0</v>
      </c>
    </row>
    <row r="39" spans="1:14">
      <c r="A39" s="1112">
        <v>29</v>
      </c>
      <c r="B39" s="1024"/>
      <c r="C39" s="1024"/>
      <c r="D39" s="1122"/>
      <c r="E39" s="1116"/>
      <c r="F39" s="1024" t="s">
        <v>343</v>
      </c>
      <c r="G39" s="1134"/>
      <c r="H39" s="1135"/>
      <c r="I39" s="1136"/>
      <c r="J39" s="1024"/>
      <c r="K39" s="1024"/>
    </row>
    <row r="40" spans="1:14">
      <c r="A40" s="1112">
        <v>30</v>
      </c>
      <c r="B40" s="1024" t="s">
        <v>108</v>
      </c>
      <c r="C40" s="1024"/>
      <c r="D40" s="1122"/>
      <c r="E40" s="1116"/>
      <c r="F40" s="1148">
        <f>'FR-16(7)(v)-8 TOT CLASS Alloc'!J40</f>
        <v>1524248</v>
      </c>
      <c r="G40" s="1124">
        <f>'FR-16(7)(v)-5 DISTR Dem Alloc'!J40</f>
        <v>482985</v>
      </c>
      <c r="H40" s="1125">
        <f>'FR-16(7)(v)-3 PROD Comm Alloc'!J40</f>
        <v>581028</v>
      </c>
      <c r="I40" s="1126">
        <f>'FR-16(7)(v)-6 DISTR Cust Alloc'!J40</f>
        <v>460235</v>
      </c>
      <c r="J40" s="1127">
        <f>SUM(G40:I40)</f>
        <v>1524248</v>
      </c>
      <c r="K40" s="1127">
        <f>F40-J40</f>
        <v>0</v>
      </c>
    </row>
    <row r="41" spans="1:14">
      <c r="A41" s="1112">
        <v>31</v>
      </c>
      <c r="B41" s="1024" t="s">
        <v>109</v>
      </c>
      <c r="C41" s="1024"/>
      <c r="D41" s="1122"/>
      <c r="E41" s="1116"/>
      <c r="F41" s="1127">
        <f t="shared" ref="F41:K41" si="6">F28-F40</f>
        <v>-310979</v>
      </c>
      <c r="G41" s="1124">
        <f t="shared" si="6"/>
        <v>453151</v>
      </c>
      <c r="H41" s="1125">
        <f t="shared" si="6"/>
        <v>-439910</v>
      </c>
      <c r="I41" s="1126">
        <f t="shared" si="6"/>
        <v>-324219</v>
      </c>
      <c r="J41" s="1127">
        <f t="shared" si="6"/>
        <v>-310978</v>
      </c>
      <c r="K41" s="1127">
        <f t="shared" si="6"/>
        <v>-1</v>
      </c>
    </row>
    <row r="42" spans="1:14">
      <c r="A42" s="1112">
        <v>32</v>
      </c>
      <c r="B42" s="1024"/>
      <c r="C42" s="1024" t="s">
        <v>283</v>
      </c>
      <c r="D42" s="1122"/>
      <c r="E42" s="1116"/>
      <c r="F42" s="1141">
        <f t="shared" ref="F42:K42" si="7">IF(F40=0,0,ROUND(F41/F40,5))</f>
        <v>-0.20402000000000001</v>
      </c>
      <c r="G42" s="1142">
        <f t="shared" si="7"/>
        <v>0.93823000000000001</v>
      </c>
      <c r="H42" s="1143">
        <f t="shared" si="7"/>
        <v>-0.75712000000000002</v>
      </c>
      <c r="I42" s="1144">
        <f t="shared" si="7"/>
        <v>-0.70445999999999998</v>
      </c>
      <c r="J42" s="1141">
        <f t="shared" si="7"/>
        <v>-0.20402000000000001</v>
      </c>
      <c r="K42" s="1127">
        <f t="shared" si="7"/>
        <v>0</v>
      </c>
    </row>
    <row r="43" spans="1:14">
      <c r="A43" s="1112">
        <v>33</v>
      </c>
      <c r="B43" s="1024" t="s">
        <v>110</v>
      </c>
      <c r="C43" s="1024"/>
      <c r="D43" s="1122"/>
      <c r="E43" s="1116"/>
      <c r="F43" s="1127">
        <f t="shared" ref="F43:K43" si="8">F31-F40</f>
        <v>0</v>
      </c>
      <c r="G43" s="1124">
        <f t="shared" si="8"/>
        <v>0</v>
      </c>
      <c r="H43" s="1125">
        <f t="shared" si="8"/>
        <v>0</v>
      </c>
      <c r="I43" s="1126">
        <f t="shared" si="8"/>
        <v>0</v>
      </c>
      <c r="J43" s="1127">
        <f t="shared" si="8"/>
        <v>0</v>
      </c>
      <c r="K43" s="1127">
        <f t="shared" si="8"/>
        <v>0</v>
      </c>
    </row>
    <row r="44" spans="1:14">
      <c r="A44" s="1112">
        <v>34</v>
      </c>
      <c r="B44" s="1024"/>
      <c r="C44" s="1024" t="s">
        <v>283</v>
      </c>
      <c r="D44" s="1122"/>
      <c r="E44" s="1116"/>
      <c r="F44" s="1141">
        <f t="shared" ref="F44:K44" si="9">IF(F40=0,0,ROUND(F43/F40,5))</f>
        <v>0</v>
      </c>
      <c r="G44" s="1145">
        <f t="shared" si="9"/>
        <v>0</v>
      </c>
      <c r="H44" s="1146">
        <f t="shared" si="9"/>
        <v>0</v>
      </c>
      <c r="I44" s="1147">
        <f t="shared" si="9"/>
        <v>0</v>
      </c>
      <c r="J44" s="1141">
        <f t="shared" si="9"/>
        <v>0</v>
      </c>
      <c r="K44" s="1127">
        <f t="shared" si="9"/>
        <v>0</v>
      </c>
    </row>
    <row r="45" spans="1:14">
      <c r="A45" s="343"/>
      <c r="C45" s="196"/>
      <c r="D45" s="344"/>
      <c r="E45" s="196"/>
      <c r="F45" s="196"/>
      <c r="G45" s="196"/>
      <c r="H45" s="196"/>
      <c r="I45" s="196"/>
      <c r="J45" s="196"/>
      <c r="K45" s="196"/>
    </row>
    <row r="46" spans="1:14">
      <c r="A46" s="343" t="str">
        <f>co_name</f>
        <v>DUKE ENERGY KENTUCKY, INC.</v>
      </c>
      <c r="C46" s="196"/>
      <c r="D46" s="344"/>
      <c r="E46" s="196"/>
      <c r="F46" s="196"/>
      <c r="G46" s="196"/>
      <c r="H46" s="196"/>
      <c r="I46" s="196"/>
      <c r="J46" s="196" t="str">
        <f>$J$1</f>
        <v>FR-16(7)(v)-12</v>
      </c>
      <c r="K46" s="196"/>
    </row>
    <row r="47" spans="1:14">
      <c r="A47" s="343" t="str">
        <f>$A$2</f>
        <v>INTERRUPTIBLE TRANSPORTATION CLASSIFIED - GAS COST OF SERVICE</v>
      </c>
      <c r="C47" s="196"/>
      <c r="D47" s="344"/>
      <c r="E47" s="196"/>
      <c r="F47" s="196"/>
      <c r="G47" s="196"/>
      <c r="H47" s="196"/>
      <c r="I47" s="196"/>
      <c r="J47" s="196" t="str">
        <f>$J$2</f>
        <v>WITNESS RESPONSIBLE:</v>
      </c>
      <c r="K47" s="196"/>
    </row>
    <row r="48" spans="1:14">
      <c r="A48" s="343" t="str">
        <f>case_name</f>
        <v>CASE NO: 2018-00261</v>
      </c>
      <c r="C48" s="196"/>
      <c r="D48" s="344"/>
      <c r="E48" s="196"/>
      <c r="F48" s="196"/>
      <c r="G48" s="196"/>
      <c r="H48" s="196"/>
      <c r="I48" s="196"/>
      <c r="J48" s="196" t="str">
        <f>Witness</f>
        <v>JAMES E. ZIOLKOWSKI</v>
      </c>
      <c r="K48" s="196"/>
    </row>
    <row r="49" spans="1:11">
      <c r="A49" s="343" t="str">
        <f>data_filing</f>
        <v>DATA: 12 MONTH FORECASTED PERIOD</v>
      </c>
      <c r="C49" s="196"/>
      <c r="D49" s="344"/>
      <c r="E49" s="196"/>
      <c r="F49" s="196"/>
      <c r="G49" s="196"/>
      <c r="H49" s="196"/>
      <c r="I49" s="196"/>
      <c r="J49" s="196" t="str">
        <f>"PAGE "&amp;Pages2-13&amp;" OF "&amp;Pages2</f>
        <v>PAGE 2 OF 15</v>
      </c>
      <c r="K49" s="196"/>
    </row>
    <row r="50" spans="1:11">
      <c r="A50" s="343" t="str">
        <f>type</f>
        <v xml:space="preserve">TYPE OF FILING: "X" ORIGINAL   UPDATED    REVISED  </v>
      </c>
      <c r="C50" s="196"/>
      <c r="D50" s="344"/>
      <c r="E50" s="196"/>
      <c r="F50" s="196"/>
      <c r="G50" s="196"/>
      <c r="H50" s="196"/>
      <c r="I50" s="196"/>
      <c r="J50" s="196"/>
      <c r="K50" s="196"/>
    </row>
    <row r="51" spans="1:11">
      <c r="A51" s="343"/>
      <c r="C51" s="196"/>
      <c r="D51" s="344"/>
      <c r="E51" s="196"/>
      <c r="F51" s="196"/>
      <c r="G51" s="196"/>
      <c r="H51" s="196"/>
      <c r="I51" s="196"/>
      <c r="J51" s="196"/>
      <c r="K51" s="196"/>
    </row>
    <row r="52" spans="1:11">
      <c r="A52" s="343"/>
      <c r="C52" s="196"/>
      <c r="D52" s="344"/>
      <c r="E52" s="196"/>
      <c r="F52" s="196"/>
      <c r="G52" s="196"/>
      <c r="H52" s="196"/>
      <c r="I52" s="196"/>
      <c r="J52" s="196"/>
      <c r="K52" s="196"/>
    </row>
    <row r="53" spans="1:11">
      <c r="A53" s="344" t="s">
        <v>914</v>
      </c>
      <c r="B53" s="196"/>
      <c r="C53" s="196"/>
      <c r="D53" s="344"/>
      <c r="E53" s="196"/>
      <c r="F53" s="344" t="s">
        <v>229</v>
      </c>
      <c r="G53" s="545" t="s">
        <v>1005</v>
      </c>
      <c r="H53" s="533"/>
      <c r="I53" s="534"/>
      <c r="J53" s="344" t="s">
        <v>229</v>
      </c>
      <c r="K53" s="344" t="s">
        <v>342</v>
      </c>
    </row>
    <row r="54" spans="1:11">
      <c r="A54" s="346" t="s">
        <v>915</v>
      </c>
      <c r="B54" s="345" t="s">
        <v>95</v>
      </c>
      <c r="C54" s="345"/>
      <c r="D54" s="346" t="s">
        <v>337</v>
      </c>
      <c r="E54" s="345"/>
      <c r="F54" s="346" t="str">
        <f>$F$9</f>
        <v>INTERRUPTIBLE</v>
      </c>
      <c r="G54" s="546" t="s">
        <v>847</v>
      </c>
      <c r="H54" s="535" t="s">
        <v>848</v>
      </c>
      <c r="I54" s="536" t="s">
        <v>849</v>
      </c>
      <c r="J54" s="346" t="s">
        <v>341</v>
      </c>
      <c r="K54" s="346" t="s">
        <v>340</v>
      </c>
    </row>
    <row r="55" spans="1:11">
      <c r="C55" s="578" t="s">
        <v>344</v>
      </c>
      <c r="D55" s="344"/>
      <c r="E55" s="196"/>
      <c r="G55" s="800">
        <f>$G$10</f>
        <v>3</v>
      </c>
      <c r="H55" s="801">
        <f>$H$10</f>
        <v>4</v>
      </c>
      <c r="I55" s="802">
        <f>$I$10</f>
        <v>5</v>
      </c>
      <c r="K55" s="332" t="s">
        <v>343</v>
      </c>
    </row>
    <row r="56" spans="1:11">
      <c r="A56" s="333">
        <v>1</v>
      </c>
      <c r="B56" s="332" t="s">
        <v>14</v>
      </c>
      <c r="E56" s="196"/>
      <c r="G56" s="547"/>
      <c r="H56" s="537"/>
      <c r="I56" s="538"/>
    </row>
    <row r="57" spans="1:11">
      <c r="A57" s="333">
        <v>2</v>
      </c>
      <c r="C57" s="365" t="str">
        <f>'FR-16(7)(v)-1 Functional'!C57</f>
        <v>PRODUCTION PLANT</v>
      </c>
      <c r="D57" s="344" t="str">
        <f>'FR-16(7)(v)-1 Functional'!D57</f>
        <v>K205</v>
      </c>
      <c r="E57" s="196"/>
      <c r="F57" s="479">
        <f>'FR-16(7)(v)-8 TOT CLASS Alloc'!J57</f>
        <v>0</v>
      </c>
      <c r="G57" s="548">
        <f>'FR-16(7)(v)-5 DISTR Dem Alloc'!$J$57</f>
        <v>0</v>
      </c>
      <c r="H57" s="539">
        <f>'FR-16(7)(v)-3 PROD Comm Alloc'!$J$57</f>
        <v>0</v>
      </c>
      <c r="I57" s="540">
        <f>'FR-16(7)(v)-6 DISTR Cust Alloc'!$J$57</f>
        <v>0</v>
      </c>
      <c r="J57" s="347">
        <f>SUM($G$57:$I$57)</f>
        <v>0</v>
      </c>
      <c r="K57" s="347">
        <f>F57-$J$57</f>
        <v>0</v>
      </c>
    </row>
    <row r="58" spans="1:11">
      <c r="A58" s="333">
        <v>3</v>
      </c>
      <c r="C58" s="359" t="str">
        <f>'FR-16(7)(v)-1 Functional'!C58</f>
        <v>GAS PRODUCTION -CPMPL NOT CLASS</v>
      </c>
      <c r="D58" s="344" t="str">
        <f>'FR-16(7)(v)-1 Functional'!D58</f>
        <v>K205</v>
      </c>
      <c r="E58" s="196"/>
      <c r="F58" s="479">
        <f>'FR-16(7)(v)-8 TOT CLASS Alloc'!J58</f>
        <v>0</v>
      </c>
      <c r="G58" s="548">
        <f>'FR-16(7)(v)-5 DISTR Dem Alloc'!$J$58</f>
        <v>0</v>
      </c>
      <c r="H58" s="539">
        <f>'FR-16(7)(v)-3 PROD Comm Alloc'!$J$58</f>
        <v>0</v>
      </c>
      <c r="I58" s="540">
        <f>'FR-16(7)(v)-6 DISTR Cust Alloc'!$J$58</f>
        <v>0</v>
      </c>
      <c r="J58" s="347">
        <f>SUM($G$58:$I$58)</f>
        <v>0</v>
      </c>
      <c r="K58" s="347">
        <f>F58-$J$58</f>
        <v>0</v>
      </c>
    </row>
    <row r="59" spans="1:11">
      <c r="A59" s="333">
        <v>4</v>
      </c>
      <c r="C59" s="332" t="str">
        <f>'FR-16(7)(v)-1 Functional'!C59</f>
        <v xml:space="preserve">  PRODUCTION PLANT IN SERVICE</v>
      </c>
      <c r="D59" s="344"/>
      <c r="E59" s="196"/>
      <c r="F59" s="348">
        <f>SUM(F57:F58)</f>
        <v>0</v>
      </c>
      <c r="G59" s="549">
        <f>SUM($G$57:$G$58)</f>
        <v>0</v>
      </c>
      <c r="H59" s="541">
        <f>SUM($H$57:$H$58)</f>
        <v>0</v>
      </c>
      <c r="I59" s="542">
        <f>SUM($I$57:$I$58)</f>
        <v>0</v>
      </c>
      <c r="J59" s="348">
        <f>SUM($J$57:$J$58)</f>
        <v>0</v>
      </c>
      <c r="K59" s="348">
        <f>SUM($K$57:$K$58)</f>
        <v>0</v>
      </c>
    </row>
    <row r="60" spans="1:11">
      <c r="A60" s="333">
        <v>5</v>
      </c>
      <c r="D60" s="344"/>
      <c r="E60" s="196"/>
      <c r="G60" s="547"/>
      <c r="H60" s="537"/>
      <c r="I60" s="538"/>
    </row>
    <row r="61" spans="1:11">
      <c r="A61" s="333">
        <v>6</v>
      </c>
      <c r="B61" s="332" t="s">
        <v>15</v>
      </c>
      <c r="D61" s="344"/>
      <c r="E61" s="196"/>
      <c r="G61" s="547"/>
      <c r="H61" s="537"/>
      <c r="I61" s="538"/>
    </row>
    <row r="62" spans="1:11">
      <c r="A62" s="333">
        <v>7</v>
      </c>
      <c r="C62" s="359" t="str">
        <f>'FR-16(7)(v)-1 Functional'!C62</f>
        <v>TRANSMISSION PLANT</v>
      </c>
      <c r="D62" s="344" t="s">
        <v>343</v>
      </c>
      <c r="E62" s="196"/>
      <c r="F62" s="477"/>
      <c r="G62" s="548"/>
      <c r="H62" s="539"/>
      <c r="I62" s="540"/>
      <c r="J62" s="347"/>
      <c r="K62" s="347"/>
    </row>
    <row r="63" spans="1:11">
      <c r="A63" s="333">
        <v>8</v>
      </c>
      <c r="C63" s="332" t="str">
        <f>'FR-16(7)(v)-1 Functional'!C63</f>
        <v xml:space="preserve">  TRANSMISSION PLANT IN SERVICE</v>
      </c>
      <c r="D63" s="344"/>
      <c r="E63" s="196"/>
      <c r="F63" s="348">
        <f>SUM(F62)</f>
        <v>0</v>
      </c>
      <c r="G63" s="549">
        <f>SUM($G$62)</f>
        <v>0</v>
      </c>
      <c r="H63" s="541">
        <f>SUM($H$62)</f>
        <v>0</v>
      </c>
      <c r="I63" s="542">
        <f>SUM($I$62)</f>
        <v>0</v>
      </c>
      <c r="J63" s="348">
        <f>SUM($J$62)</f>
        <v>0</v>
      </c>
      <c r="K63" s="348">
        <f>SUM($K$62)</f>
        <v>0</v>
      </c>
    </row>
    <row r="64" spans="1:11">
      <c r="A64" s="333">
        <v>9</v>
      </c>
      <c r="D64" s="344"/>
      <c r="E64" s="196"/>
      <c r="G64" s="547"/>
      <c r="H64" s="537"/>
      <c r="I64" s="538"/>
    </row>
    <row r="65" spans="1:11">
      <c r="A65" s="333">
        <v>10</v>
      </c>
      <c r="B65" s="332" t="s">
        <v>16</v>
      </c>
      <c r="D65" s="344"/>
      <c r="E65" s="196"/>
      <c r="F65" s="347">
        <f>F63+F59</f>
        <v>0</v>
      </c>
      <c r="G65" s="548">
        <f>$G$63+$G$59</f>
        <v>0</v>
      </c>
      <c r="H65" s="539">
        <f>$H$63+$H$59</f>
        <v>0</v>
      </c>
      <c r="I65" s="540">
        <f>$I$63+$I$59</f>
        <v>0</v>
      </c>
      <c r="J65" s="347">
        <f>$J$63+$J$59</f>
        <v>0</v>
      </c>
      <c r="K65" s="347">
        <f>$K$63+$K$59</f>
        <v>0</v>
      </c>
    </row>
    <row r="66" spans="1:11">
      <c r="A66" s="333">
        <v>11</v>
      </c>
      <c r="D66" s="344"/>
      <c r="E66" s="196"/>
      <c r="G66" s="547"/>
      <c r="H66" s="537"/>
      <c r="I66" s="538"/>
    </row>
    <row r="67" spans="1:11">
      <c r="A67" s="333">
        <v>12</v>
      </c>
      <c r="B67" s="332" t="s">
        <v>17</v>
      </c>
      <c r="D67" s="344"/>
      <c r="E67" s="196"/>
      <c r="G67" s="547"/>
      <c r="H67" s="537"/>
      <c r="I67" s="538"/>
    </row>
    <row r="68" spans="1:11">
      <c r="A68" s="333">
        <v>13</v>
      </c>
      <c r="C68" s="332" t="str">
        <f>'FR-16(7)(v)-1 Functional'!C68</f>
        <v>SYSTEM M&amp;R - (2780, 2781)</v>
      </c>
      <c r="D68" s="344" t="str">
        <f>'FR-16(7)(v)-1 Functional'!D68</f>
        <v>K203</v>
      </c>
      <c r="E68" s="196"/>
      <c r="F68" s="479">
        <f>'FR-16(7)(v)-8 TOT CLASS Alloc'!J68</f>
        <v>253796</v>
      </c>
      <c r="G68" s="548">
        <f>'FR-16(7)(v)-5 DISTR Dem Alloc'!J68</f>
        <v>253796</v>
      </c>
      <c r="H68" s="539">
        <f>'FR-16(7)(v)-3 PROD Comm Alloc'!J68</f>
        <v>0</v>
      </c>
      <c r="I68" s="540">
        <f>'FR-16(7)(v)-6 DISTR Cust Alloc'!J68</f>
        <v>0</v>
      </c>
      <c r="J68" s="347">
        <f t="shared" ref="J68:J77" si="10">SUM(G68:I68)</f>
        <v>253796</v>
      </c>
      <c r="K68" s="347">
        <f t="shared" ref="K68:K77" si="11">F68-J68</f>
        <v>0</v>
      </c>
    </row>
    <row r="69" spans="1:11">
      <c r="A69" s="333">
        <v>14</v>
      </c>
      <c r="C69" s="332" t="str">
        <f>'FR-16(7)(v)-1 Functional'!C69</f>
        <v xml:space="preserve">DIST REG EQUIP &amp; CITY GATE M&amp;R- (2782, 2790) </v>
      </c>
      <c r="D69" s="344" t="str">
        <f>'FR-16(7)(v)-1 Functional'!D69</f>
        <v>K203</v>
      </c>
      <c r="E69" s="196"/>
      <c r="F69" s="479">
        <f>'FR-16(7)(v)-8 TOT CLASS Alloc'!J69</f>
        <v>74922</v>
      </c>
      <c r="G69" s="548">
        <f>'FR-16(7)(v)-5 DISTR Dem Alloc'!J69</f>
        <v>74922</v>
      </c>
      <c r="H69" s="539">
        <f>'FR-16(7)(v)-3 PROD Comm Alloc'!J69</f>
        <v>0</v>
      </c>
      <c r="I69" s="540">
        <f>'FR-16(7)(v)-6 DISTR Cust Alloc'!J69</f>
        <v>0</v>
      </c>
      <c r="J69" s="347">
        <f t="shared" si="10"/>
        <v>74922</v>
      </c>
      <c r="K69" s="347">
        <f t="shared" si="11"/>
        <v>0</v>
      </c>
    </row>
    <row r="70" spans="1:11">
      <c r="A70" s="333">
        <v>15</v>
      </c>
      <c r="C70" s="332" t="str">
        <f>'FR-16(7)(v)-1 Functional'!C70</f>
        <v>LARGE IND M&amp;R - (2850, 2851)</v>
      </c>
      <c r="D70" s="344" t="str">
        <f>'FR-16(7)(v)-1 Functional'!D70</f>
        <v>K595</v>
      </c>
      <c r="E70" s="196"/>
      <c r="F70" s="479">
        <f>'FR-16(7)(v)-8 TOT CLASS Alloc'!J70</f>
        <v>217791</v>
      </c>
      <c r="G70" s="548">
        <f>'FR-16(7)(v)-5 DISTR Dem Alloc'!J70</f>
        <v>217791</v>
      </c>
      <c r="H70" s="539">
        <f>'FR-16(7)(v)-3 PROD Comm Alloc'!J70</f>
        <v>0</v>
      </c>
      <c r="I70" s="540">
        <f>'FR-16(7)(v)-6 DISTR Cust Alloc'!J70</f>
        <v>0</v>
      </c>
      <c r="J70" s="347">
        <f t="shared" si="10"/>
        <v>217791</v>
      </c>
      <c r="K70" s="347">
        <f t="shared" si="11"/>
        <v>0</v>
      </c>
    </row>
    <row r="71" spans="1:11">
      <c r="A71" s="333">
        <v>16</v>
      </c>
      <c r="C71" s="332" t="str">
        <f>'FR-16(7)(v)-1 Functional'!C71</f>
        <v>MAINS - (2761, 2762, 2763, 2765)</v>
      </c>
      <c r="D71" s="344" t="str">
        <f>'FR-16(7)(v)-1 Functional'!D71</f>
        <v>K415</v>
      </c>
      <c r="E71" s="196"/>
      <c r="F71" s="479">
        <f>'FR-16(7)(v)-8 TOT CLASS Alloc'!J71</f>
        <v>7383785</v>
      </c>
      <c r="G71" s="548">
        <f>'FR-16(7)(v)-5 DISTR Dem Alloc'!J71</f>
        <v>7373808</v>
      </c>
      <c r="H71" s="539">
        <f>'FR-16(7)(v)-3 PROD Comm Alloc'!J71</f>
        <v>0</v>
      </c>
      <c r="I71" s="540">
        <f>'FR-16(7)(v)-6 DISTR Cust Alloc'!J71</f>
        <v>9977</v>
      </c>
      <c r="J71" s="347">
        <f t="shared" si="10"/>
        <v>7383785</v>
      </c>
      <c r="K71" s="347">
        <f t="shared" si="11"/>
        <v>0</v>
      </c>
    </row>
    <row r="72" spans="1:11">
      <c r="A72" s="333">
        <v>17</v>
      </c>
      <c r="C72" s="332" t="str">
        <f>'FR-16(7)(v)-1 Functional'!C72</f>
        <v>SERVICES - (2801, 2802, 2803)</v>
      </c>
      <c r="D72" s="344" t="str">
        <f>'FR-16(7)(v)-1 Functional'!D72</f>
        <v>K403</v>
      </c>
      <c r="E72" s="196"/>
      <c r="F72" s="479">
        <f>'FR-16(7)(v)-8 TOT CLASS Alloc'!J72</f>
        <v>774385</v>
      </c>
      <c r="G72" s="548">
        <f>'FR-16(7)(v)-5 DISTR Dem Alloc'!J72</f>
        <v>0</v>
      </c>
      <c r="H72" s="539">
        <f>'FR-16(7)(v)-3 PROD Comm Alloc'!J72</f>
        <v>0</v>
      </c>
      <c r="I72" s="540">
        <f>'FR-16(7)(v)-6 DISTR Cust Alloc'!J72</f>
        <v>774385</v>
      </c>
      <c r="J72" s="347">
        <f t="shared" si="10"/>
        <v>774385</v>
      </c>
      <c r="K72" s="347">
        <f t="shared" si="11"/>
        <v>0</v>
      </c>
    </row>
    <row r="73" spans="1:11">
      <c r="A73" s="333">
        <v>18</v>
      </c>
      <c r="C73" s="332" t="str">
        <f>'FR-16(7)(v)-1 Functional'!C73</f>
        <v>MTRS &amp; MTR INST (2810, 2811, 2820, 2821)</v>
      </c>
      <c r="D73" s="344" t="str">
        <f>'FR-16(7)(v)-1 Functional'!D73</f>
        <v>K413</v>
      </c>
      <c r="E73" s="196"/>
      <c r="F73" s="479">
        <f>'FR-16(7)(v)-8 TOT CLASS Alloc'!J73</f>
        <v>91168</v>
      </c>
      <c r="G73" s="548">
        <f>'FR-16(7)(v)-5 DISTR Dem Alloc'!J73</f>
        <v>0</v>
      </c>
      <c r="H73" s="539">
        <f>'FR-16(7)(v)-3 PROD Comm Alloc'!J73</f>
        <v>0</v>
      </c>
      <c r="I73" s="540">
        <f>'FR-16(7)(v)-6 DISTR Cust Alloc'!J73</f>
        <v>91168</v>
      </c>
      <c r="J73" s="347">
        <f t="shared" si="10"/>
        <v>91168</v>
      </c>
      <c r="K73" s="347">
        <f t="shared" si="11"/>
        <v>0</v>
      </c>
    </row>
    <row r="74" spans="1:11">
      <c r="A74" s="333">
        <v>19</v>
      </c>
      <c r="C74" s="332" t="str">
        <f>'FR-16(7)(v)-1 Functional'!C74</f>
        <v>LAND, R OF W, STRUCT &amp; IMPROV</v>
      </c>
      <c r="D74" s="344" t="str">
        <f>'FR-16(7)(v)-1 Functional'!D74</f>
        <v>K203</v>
      </c>
      <c r="E74" s="196"/>
      <c r="F74" s="479">
        <f>'FR-16(7)(v)-8 TOT CLASS Alloc'!J74</f>
        <v>45228</v>
      </c>
      <c r="G74" s="548">
        <f>'FR-16(7)(v)-5 DISTR Dem Alloc'!J74</f>
        <v>45228</v>
      </c>
      <c r="H74" s="539">
        <f>'FR-16(7)(v)-3 PROD Comm Alloc'!J74</f>
        <v>0</v>
      </c>
      <c r="I74" s="540">
        <f>'FR-16(7)(v)-6 DISTR Cust Alloc'!J74</f>
        <v>0</v>
      </c>
      <c r="J74" s="347">
        <f t="shared" si="10"/>
        <v>45228</v>
      </c>
      <c r="K74" s="347">
        <f t="shared" si="11"/>
        <v>0</v>
      </c>
    </row>
    <row r="75" spans="1:11">
      <c r="A75" s="333">
        <v>20</v>
      </c>
      <c r="C75" s="332" t="str">
        <f>'FR-16(7)(v)-1 Functional'!C75</f>
        <v>HOUSE REG &amp; INSTALL (2830, 2840)</v>
      </c>
      <c r="D75" s="344" t="str">
        <f>'FR-16(7)(v)-1 Functional'!D75</f>
        <v>K417</v>
      </c>
      <c r="E75" s="196"/>
      <c r="F75" s="479">
        <f>'FR-16(7)(v)-8 TOT CLASS Alloc'!J75</f>
        <v>23619</v>
      </c>
      <c r="G75" s="548">
        <f>'FR-16(7)(v)-5 DISTR Dem Alloc'!J75</f>
        <v>0</v>
      </c>
      <c r="H75" s="539">
        <f>'FR-16(7)(v)-3 PROD Comm Alloc'!J75</f>
        <v>0</v>
      </c>
      <c r="I75" s="540">
        <f>'FR-16(7)(v)-6 DISTR Cust Alloc'!J75</f>
        <v>23619</v>
      </c>
      <c r="J75" s="347">
        <f t="shared" si="10"/>
        <v>23619</v>
      </c>
      <c r="K75" s="347">
        <f t="shared" si="11"/>
        <v>0</v>
      </c>
    </row>
    <row r="76" spans="1:11">
      <c r="A76" s="333">
        <v>21</v>
      </c>
      <c r="C76" s="365" t="str">
        <f>'FR-16(7)(v)-1 Functional'!C76</f>
        <v>STREET LIGHTING EQUIPMENT &amp; OTH</v>
      </c>
      <c r="D76" s="344" t="str">
        <f>'FR-16(7)(v)-1 Functional'!D76</f>
        <v>K597</v>
      </c>
      <c r="E76" s="196"/>
      <c r="F76" s="479">
        <f>'FR-16(7)(v)-8 TOT CLASS Alloc'!J76</f>
        <v>0</v>
      </c>
      <c r="G76" s="548">
        <f>'FR-16(7)(v)-5 DISTR Dem Alloc'!J76</f>
        <v>0</v>
      </c>
      <c r="H76" s="539">
        <f>'FR-16(7)(v)-3 PROD Comm Alloc'!J76</f>
        <v>0</v>
      </c>
      <c r="I76" s="540">
        <f>'FR-16(7)(v)-6 DISTR Cust Alloc'!J76</f>
        <v>0</v>
      </c>
      <c r="J76" s="347">
        <f t="shared" si="10"/>
        <v>0</v>
      </c>
      <c r="K76" s="347">
        <f t="shared" si="11"/>
        <v>0</v>
      </c>
    </row>
    <row r="77" spans="1:11">
      <c r="A77" s="333">
        <v>22</v>
      </c>
      <c r="C77" s="332" t="str">
        <f>'FR-16(7)(v)-1 Functional'!C77</f>
        <v>ASSET RETIREMENT COST FOR DISTRIBUTION PLANT</v>
      </c>
      <c r="D77" s="344" t="str">
        <f>'FR-16(7)(v)-1 Functional'!D77</f>
        <v>K203</v>
      </c>
      <c r="E77" s="196"/>
      <c r="F77" s="479">
        <f>'FR-16(7)(v)-8 TOT CLASS Alloc'!J77</f>
        <v>1660309</v>
      </c>
      <c r="G77" s="548">
        <f>'FR-16(7)(v)-5 DISTR Dem Alloc'!J77</f>
        <v>1660309</v>
      </c>
      <c r="H77" s="539">
        <f>'FR-16(7)(v)-3 PROD Comm Alloc'!J77</f>
        <v>0</v>
      </c>
      <c r="I77" s="540">
        <f>'FR-16(7)(v)-6 DISTR Cust Alloc'!J77</f>
        <v>0</v>
      </c>
      <c r="J77" s="347">
        <f t="shared" si="10"/>
        <v>1660309</v>
      </c>
      <c r="K77" s="347">
        <f t="shared" si="11"/>
        <v>0</v>
      </c>
    </row>
    <row r="78" spans="1:11">
      <c r="A78" s="333">
        <v>23</v>
      </c>
      <c r="C78" s="339" t="str">
        <f>'FR-16(7)(v)-1 Functional'!C78</f>
        <v xml:space="preserve">  DISTRIBUTION PLANT IN SERVICE</v>
      </c>
      <c r="D78" s="344"/>
      <c r="E78" s="196"/>
      <c r="F78" s="348">
        <f t="shared" ref="F78:K78" si="12">SUM(F68:F77)</f>
        <v>10525003</v>
      </c>
      <c r="G78" s="549">
        <f t="shared" si="12"/>
        <v>9625854</v>
      </c>
      <c r="H78" s="541">
        <f t="shared" si="12"/>
        <v>0</v>
      </c>
      <c r="I78" s="542">
        <f t="shared" si="12"/>
        <v>899149</v>
      </c>
      <c r="J78" s="348">
        <f t="shared" si="12"/>
        <v>10525003</v>
      </c>
      <c r="K78" s="348">
        <f t="shared" si="12"/>
        <v>0</v>
      </c>
    </row>
    <row r="79" spans="1:11">
      <c r="A79" s="333">
        <v>24</v>
      </c>
      <c r="D79" s="344"/>
      <c r="E79" s="196"/>
      <c r="G79" s="547"/>
      <c r="H79" s="537"/>
      <c r="I79" s="538"/>
    </row>
    <row r="80" spans="1:11">
      <c r="A80" s="333">
        <v>25</v>
      </c>
      <c r="B80" s="332" t="s">
        <v>18</v>
      </c>
      <c r="D80" s="344"/>
      <c r="E80" s="196"/>
      <c r="F80" s="347">
        <f>F78+F63</f>
        <v>10525003</v>
      </c>
      <c r="G80" s="548">
        <f>G78+$G$63</f>
        <v>9625854</v>
      </c>
      <c r="H80" s="539">
        <f>H78+$H$63</f>
        <v>0</v>
      </c>
      <c r="I80" s="540">
        <f>I78+$I$63</f>
        <v>899149</v>
      </c>
      <c r="J80" s="347">
        <f>J78+$J$63</f>
        <v>10525003</v>
      </c>
      <c r="K80" s="347">
        <f>K78+$K$63</f>
        <v>0</v>
      </c>
    </row>
    <row r="81" spans="1:11">
      <c r="A81" s="333">
        <v>26</v>
      </c>
      <c r="B81" s="332" t="s">
        <v>19</v>
      </c>
      <c r="D81" s="344"/>
      <c r="E81" s="196"/>
      <c r="F81" s="347">
        <f t="shared" ref="F81:K81" si="13">F78+F65</f>
        <v>10525003</v>
      </c>
      <c r="G81" s="548">
        <f t="shared" si="13"/>
        <v>9625854</v>
      </c>
      <c r="H81" s="539">
        <f t="shared" si="13"/>
        <v>0</v>
      </c>
      <c r="I81" s="540">
        <f t="shared" si="13"/>
        <v>899149</v>
      </c>
      <c r="J81" s="347">
        <f t="shared" si="13"/>
        <v>10525003</v>
      </c>
      <c r="K81" s="347">
        <f t="shared" si="13"/>
        <v>0</v>
      </c>
    </row>
    <row r="82" spans="1:11">
      <c r="A82" s="333">
        <v>27</v>
      </c>
      <c r="D82" s="344"/>
      <c r="E82" s="196"/>
      <c r="G82" s="547"/>
      <c r="H82" s="537"/>
      <c r="I82" s="538"/>
    </row>
    <row r="83" spans="1:11">
      <c r="A83" s="333">
        <v>28</v>
      </c>
      <c r="B83" s="332" t="s">
        <v>20</v>
      </c>
      <c r="D83" s="344"/>
      <c r="E83" s="196"/>
      <c r="G83" s="547"/>
      <c r="H83" s="537"/>
      <c r="I83" s="538"/>
    </row>
    <row r="84" spans="1:11">
      <c r="A84" s="333">
        <v>29</v>
      </c>
      <c r="C84" s="332" t="str">
        <f>'FR-16(7)(v)-1 Functional'!C84</f>
        <v>PRODUCTION PLANT</v>
      </c>
      <c r="D84" s="344" t="str">
        <f>'FR-16(7)(v)-1 Functional'!D84</f>
        <v>K201</v>
      </c>
      <c r="E84" s="196"/>
      <c r="F84" s="479">
        <f>'FR-16(7)(v)-8 TOT CLASS Alloc'!J84</f>
        <v>0</v>
      </c>
      <c r="G84" s="548">
        <f>'FR-16(7)(v)-5 DISTR Dem Alloc'!J84</f>
        <v>0</v>
      </c>
      <c r="H84" s="539">
        <f>'FR-16(7)(v)-3 PROD Comm Alloc'!J84</f>
        <v>0</v>
      </c>
      <c r="I84" s="540">
        <f>'FR-16(7)(v)-6 DISTR Cust Alloc'!J84</f>
        <v>0</v>
      </c>
      <c r="J84" s="347">
        <f t="shared" ref="J84:J89" si="14">SUM(G84:I84)</f>
        <v>0</v>
      </c>
      <c r="K84" s="347">
        <f t="shared" ref="K84:K89" si="15">F84-J84</f>
        <v>0</v>
      </c>
    </row>
    <row r="85" spans="1:11">
      <c r="A85" s="333">
        <v>30</v>
      </c>
      <c r="C85" s="332" t="str">
        <f>'FR-16(7)(v)-1 Functional'!C85</f>
        <v>PRODUCTION PLANT COMMODITY</v>
      </c>
      <c r="D85" s="344" t="str">
        <f>'FR-16(7)(v)-1 Functional'!D85</f>
        <v>P349</v>
      </c>
      <c r="E85" s="196"/>
      <c r="F85" s="479">
        <f>'FR-16(7)(v)-8 TOT CLASS Alloc'!J85</f>
        <v>3718</v>
      </c>
      <c r="G85" s="548">
        <f>'FR-16(7)(v)-5 DISTR Dem Alloc'!J85</f>
        <v>0</v>
      </c>
      <c r="H85" s="539">
        <f>'FR-16(7)(v)-3 PROD Comm Alloc'!J85</f>
        <v>3718</v>
      </c>
      <c r="I85" s="540">
        <f>'FR-16(7)(v)-6 DISTR Cust Alloc'!J85</f>
        <v>0</v>
      </c>
      <c r="J85" s="347">
        <f t="shared" si="14"/>
        <v>3718</v>
      </c>
      <c r="K85" s="347">
        <f t="shared" si="15"/>
        <v>0</v>
      </c>
    </row>
    <row r="86" spans="1:11">
      <c r="A86" s="333">
        <v>31</v>
      </c>
      <c r="C86" s="332" t="str">
        <f>'FR-16(7)(v)-1 Functional'!C86</f>
        <v>DISTRIBUTION PLANT</v>
      </c>
      <c r="D86" s="344" t="str">
        <f>'FR-16(7)(v)-1 Functional'!D86</f>
        <v>D349</v>
      </c>
      <c r="E86" s="196"/>
      <c r="F86" s="479">
        <f>'FR-16(7)(v)-8 TOT CLASS Alloc'!J86</f>
        <v>245585</v>
      </c>
      <c r="G86" s="548">
        <f>'FR-16(7)(v)-5 DISTR Dem Alloc'!J86</f>
        <v>197392</v>
      </c>
      <c r="H86" s="539">
        <f>'FR-16(7)(v)-3 PROD Comm Alloc'!J86</f>
        <v>0</v>
      </c>
      <c r="I86" s="540">
        <f>'FR-16(7)(v)-6 DISTR Cust Alloc'!J86</f>
        <v>48193</v>
      </c>
      <c r="J86" s="347">
        <f t="shared" si="14"/>
        <v>245585</v>
      </c>
      <c r="K86" s="347">
        <f t="shared" si="15"/>
        <v>0</v>
      </c>
    </row>
    <row r="87" spans="1:11">
      <c r="A87" s="333">
        <v>32</v>
      </c>
      <c r="C87" s="332" t="str">
        <f>'FR-16(7)(v)-1 Functional'!C87</f>
        <v>CUSTOMER ACCOUNTING</v>
      </c>
      <c r="D87" s="344" t="str">
        <f>'FR-16(7)(v)-1 Functional'!D87</f>
        <v>CA19</v>
      </c>
      <c r="E87" s="196"/>
      <c r="F87" s="479">
        <f>'FR-16(7)(v)-8 TOT CLASS Alloc'!J87</f>
        <v>1397</v>
      </c>
      <c r="G87" s="548">
        <f>'FR-16(7)(v)-5 DISTR Dem Alloc'!J87</f>
        <v>0</v>
      </c>
      <c r="H87" s="539">
        <f>'FR-16(7)(v)-3 PROD Comm Alloc'!J87</f>
        <v>0</v>
      </c>
      <c r="I87" s="540">
        <f>'FR-16(7)(v)-6 DISTR Cust Alloc'!J87</f>
        <v>1397</v>
      </c>
      <c r="J87" s="347">
        <f t="shared" si="14"/>
        <v>1397</v>
      </c>
      <c r="K87" s="347">
        <f t="shared" si="15"/>
        <v>0</v>
      </c>
    </row>
    <row r="88" spans="1:11">
      <c r="A88" s="333">
        <v>33</v>
      </c>
      <c r="C88" s="332" t="str">
        <f>'FR-16(7)(v)-1 Functional'!C88</f>
        <v>CUSTOMER SERVICE &amp; INFORMATION</v>
      </c>
      <c r="D88" s="344" t="str">
        <f>'FR-16(7)(v)-1 Functional'!D88</f>
        <v>CS19</v>
      </c>
      <c r="E88" s="196"/>
      <c r="F88" s="479">
        <f>'FR-16(7)(v)-8 TOT CLASS Alloc'!J88</f>
        <v>122</v>
      </c>
      <c r="G88" s="548">
        <f>'FR-16(7)(v)-5 DISTR Dem Alloc'!J88</f>
        <v>0</v>
      </c>
      <c r="H88" s="539">
        <f>'FR-16(7)(v)-3 PROD Comm Alloc'!J88</f>
        <v>0</v>
      </c>
      <c r="I88" s="540">
        <f>'FR-16(7)(v)-6 DISTR Cust Alloc'!J88</f>
        <v>122</v>
      </c>
      <c r="J88" s="347">
        <f t="shared" si="14"/>
        <v>122</v>
      </c>
      <c r="K88" s="347">
        <f t="shared" si="15"/>
        <v>0</v>
      </c>
    </row>
    <row r="89" spans="1:11">
      <c r="A89" s="333">
        <v>34</v>
      </c>
      <c r="C89" s="332" t="str">
        <f>'FR-16(7)(v)-1 Functional'!C89</f>
        <v>SALES</v>
      </c>
      <c r="D89" s="344" t="str">
        <f>'FR-16(7)(v)-1 Functional'!D89</f>
        <v>SE19</v>
      </c>
      <c r="E89" s="196"/>
      <c r="F89" s="479">
        <f>'FR-16(7)(v)-8 TOT CLASS Alloc'!J89</f>
        <v>0</v>
      </c>
      <c r="G89" s="548">
        <f>'FR-16(7)(v)-5 DISTR Dem Alloc'!J89</f>
        <v>0</v>
      </c>
      <c r="H89" s="539">
        <f>'FR-16(7)(v)-3 PROD Comm Alloc'!J89</f>
        <v>0</v>
      </c>
      <c r="I89" s="540">
        <f>'FR-16(7)(v)-6 DISTR Cust Alloc'!J89</f>
        <v>0</v>
      </c>
      <c r="J89" s="347">
        <f t="shared" si="14"/>
        <v>0</v>
      </c>
      <c r="K89" s="347">
        <f t="shared" si="15"/>
        <v>0</v>
      </c>
    </row>
    <row r="90" spans="1:11">
      <c r="A90" s="333">
        <v>35</v>
      </c>
      <c r="C90" s="339" t="str">
        <f>'FR-16(7)(v)-1 Functional'!C90</f>
        <v xml:space="preserve">  GEN &amp; INTANG PLANT IN SERVICE</v>
      </c>
      <c r="D90" s="344"/>
      <c r="E90" s="196"/>
      <c r="F90" s="480">
        <f t="shared" ref="F90:K90" si="16">SUM(F84:F89)</f>
        <v>250822</v>
      </c>
      <c r="G90" s="549">
        <f t="shared" si="16"/>
        <v>197392</v>
      </c>
      <c r="H90" s="541">
        <f t="shared" si="16"/>
        <v>3718</v>
      </c>
      <c r="I90" s="542">
        <f t="shared" si="16"/>
        <v>49712</v>
      </c>
      <c r="J90" s="348">
        <f t="shared" si="16"/>
        <v>250822</v>
      </c>
      <c r="K90" s="348">
        <f t="shared" si="16"/>
        <v>0</v>
      </c>
    </row>
    <row r="91" spans="1:11">
      <c r="A91" s="333">
        <v>36</v>
      </c>
      <c r="D91" s="344"/>
      <c r="E91" s="196"/>
      <c r="G91" s="547"/>
      <c r="H91" s="537"/>
      <c r="I91" s="538"/>
    </row>
    <row r="92" spans="1:11">
      <c r="A92" s="333">
        <v>37</v>
      </c>
      <c r="B92" s="332" t="s">
        <v>21</v>
      </c>
      <c r="D92" s="344"/>
      <c r="E92" s="196"/>
      <c r="G92" s="547"/>
      <c r="H92" s="537"/>
      <c r="I92" s="538"/>
    </row>
    <row r="93" spans="1:11">
      <c r="A93" s="333">
        <v>38</v>
      </c>
      <c r="C93" s="332" t="str">
        <f>'FR-16(7)(v)-1 Functional'!C93</f>
        <v>PRODUCTION PLANT</v>
      </c>
      <c r="D93" s="344" t="str">
        <f>'FR-16(7)(v)-1 Functional'!D93</f>
        <v>K201</v>
      </c>
      <c r="E93" s="196"/>
      <c r="F93" s="479">
        <f>'FR-16(7)(v)-8 TOT CLASS Alloc'!J93</f>
        <v>0</v>
      </c>
      <c r="G93" s="548">
        <f>'FR-16(7)(v)-5 DISTR Dem Alloc'!J93</f>
        <v>0</v>
      </c>
      <c r="H93" s="539">
        <f>'FR-16(7)(v)-3 PROD Comm Alloc'!J93</f>
        <v>0</v>
      </c>
      <c r="I93" s="540">
        <f>'FR-16(7)(v)-6 DISTR Cust Alloc'!J93</f>
        <v>0</v>
      </c>
      <c r="J93" s="347">
        <f t="shared" ref="J93:J98" si="17">SUM(G93:I93)</f>
        <v>0</v>
      </c>
      <c r="K93" s="347">
        <f t="shared" ref="K93:K98" si="18">F93-J93</f>
        <v>0</v>
      </c>
    </row>
    <row r="94" spans="1:11">
      <c r="A94" s="333">
        <v>39</v>
      </c>
      <c r="C94" s="332" t="str">
        <f>'FR-16(7)(v)-1 Functional'!C94</f>
        <v>PRODUCTION PLANT COMMODITY</v>
      </c>
      <c r="D94" s="344" t="str">
        <f>'FR-16(7)(v)-1 Functional'!D94</f>
        <v>P349</v>
      </c>
      <c r="E94" s="196"/>
      <c r="F94" s="479">
        <f>'FR-16(7)(v)-8 TOT CLASS Alloc'!J94</f>
        <v>1957</v>
      </c>
      <c r="G94" s="548">
        <f>'FR-16(7)(v)-5 DISTR Dem Alloc'!J94</f>
        <v>0</v>
      </c>
      <c r="H94" s="539">
        <f>'FR-16(7)(v)-3 PROD Comm Alloc'!J94</f>
        <v>1957</v>
      </c>
      <c r="I94" s="540">
        <f>'FR-16(7)(v)-6 DISTR Cust Alloc'!J94</f>
        <v>0</v>
      </c>
      <c r="J94" s="347">
        <f t="shared" si="17"/>
        <v>1957</v>
      </c>
      <c r="K94" s="347">
        <f t="shared" si="18"/>
        <v>0</v>
      </c>
    </row>
    <row r="95" spans="1:11">
      <c r="A95" s="333">
        <v>40</v>
      </c>
      <c r="C95" s="332" t="str">
        <f>'FR-16(7)(v)-1 Functional'!C95</f>
        <v>DISTRIBUTION PLANT</v>
      </c>
      <c r="D95" s="344" t="str">
        <f>'FR-16(7)(v)-1 Functional'!D95</f>
        <v>D349</v>
      </c>
      <c r="E95" s="196"/>
      <c r="F95" s="479">
        <f>'FR-16(7)(v)-8 TOT CLASS Alloc'!J95</f>
        <v>129266</v>
      </c>
      <c r="G95" s="548">
        <f>'FR-16(7)(v)-5 DISTR Dem Alloc'!J95</f>
        <v>103899</v>
      </c>
      <c r="H95" s="539">
        <f>'FR-16(7)(v)-3 PROD Comm Alloc'!J95</f>
        <v>0</v>
      </c>
      <c r="I95" s="540">
        <f>'FR-16(7)(v)-6 DISTR Cust Alloc'!J95</f>
        <v>25367</v>
      </c>
      <c r="J95" s="347">
        <f t="shared" si="17"/>
        <v>129266</v>
      </c>
      <c r="K95" s="347">
        <f t="shared" si="18"/>
        <v>0</v>
      </c>
    </row>
    <row r="96" spans="1:11">
      <c r="A96" s="333">
        <v>41</v>
      </c>
      <c r="C96" s="332" t="str">
        <f>'FR-16(7)(v)-1 Functional'!C96</f>
        <v>CUSTOMER ACCOUNTING</v>
      </c>
      <c r="D96" s="344" t="str">
        <f>'FR-16(7)(v)-1 Functional'!D96</f>
        <v>CA19</v>
      </c>
      <c r="E96" s="196"/>
      <c r="F96" s="479">
        <f>'FR-16(7)(v)-8 TOT CLASS Alloc'!J96</f>
        <v>735</v>
      </c>
      <c r="G96" s="548">
        <f>'FR-16(7)(v)-5 DISTR Dem Alloc'!J96</f>
        <v>0</v>
      </c>
      <c r="H96" s="539">
        <f>'FR-16(7)(v)-3 PROD Comm Alloc'!J96</f>
        <v>0</v>
      </c>
      <c r="I96" s="540">
        <f>'FR-16(7)(v)-6 DISTR Cust Alloc'!J96</f>
        <v>735</v>
      </c>
      <c r="J96" s="347">
        <f t="shared" si="17"/>
        <v>735</v>
      </c>
      <c r="K96" s="347">
        <f t="shared" si="18"/>
        <v>0</v>
      </c>
    </row>
    <row r="97" spans="1:11">
      <c r="A97" s="333">
        <v>42</v>
      </c>
      <c r="C97" s="332" t="str">
        <f>'FR-16(7)(v)-1 Functional'!C97</f>
        <v>CUSTOMER SERVICE &amp; INFORMATION</v>
      </c>
      <c r="D97" s="344" t="str">
        <f>'FR-16(7)(v)-1 Functional'!D97</f>
        <v>CS19</v>
      </c>
      <c r="E97" s="196"/>
      <c r="F97" s="479">
        <f>'FR-16(7)(v)-8 TOT CLASS Alloc'!J97</f>
        <v>64</v>
      </c>
      <c r="G97" s="548">
        <f>'FR-16(7)(v)-5 DISTR Dem Alloc'!J97</f>
        <v>0</v>
      </c>
      <c r="H97" s="539">
        <f>'FR-16(7)(v)-3 PROD Comm Alloc'!J97</f>
        <v>0</v>
      </c>
      <c r="I97" s="540">
        <f>'FR-16(7)(v)-6 DISTR Cust Alloc'!J97</f>
        <v>64</v>
      </c>
      <c r="J97" s="347">
        <f t="shared" si="17"/>
        <v>64</v>
      </c>
      <c r="K97" s="347">
        <f t="shared" si="18"/>
        <v>0</v>
      </c>
    </row>
    <row r="98" spans="1:11">
      <c r="A98" s="333">
        <v>43</v>
      </c>
      <c r="C98" s="365" t="str">
        <f>'FR-16(7)(v)-1 Functional'!C98</f>
        <v>SALES</v>
      </c>
      <c r="D98" s="344" t="str">
        <f>'FR-16(7)(v)-1 Functional'!D98</f>
        <v>SE19</v>
      </c>
      <c r="E98" s="196"/>
      <c r="F98" s="479">
        <f>'FR-16(7)(v)-8 TOT CLASS Alloc'!J98</f>
        <v>0</v>
      </c>
      <c r="G98" s="548">
        <f>'FR-16(7)(v)-5 DISTR Dem Alloc'!J98</f>
        <v>0</v>
      </c>
      <c r="H98" s="539">
        <f>'FR-16(7)(v)-3 PROD Comm Alloc'!J98</f>
        <v>0</v>
      </c>
      <c r="I98" s="540">
        <f>'FR-16(7)(v)-6 DISTR Cust Alloc'!J98</f>
        <v>0</v>
      </c>
      <c r="J98" s="347">
        <f t="shared" si="17"/>
        <v>0</v>
      </c>
      <c r="K98" s="347">
        <f t="shared" si="18"/>
        <v>0</v>
      </c>
    </row>
    <row r="99" spans="1:11">
      <c r="A99" s="333">
        <v>44</v>
      </c>
      <c r="C99" s="339" t="str">
        <f>'FR-16(7)(v)-1 Functional'!C99</f>
        <v xml:space="preserve">  COMMON &amp; OTHER PLANT IN SERVICE</v>
      </c>
      <c r="E99" s="196"/>
      <c r="F99" s="348">
        <f t="shared" ref="F99:K99" si="19">SUM(F93:F98)</f>
        <v>132022</v>
      </c>
      <c r="G99" s="549">
        <f t="shared" si="19"/>
        <v>103899</v>
      </c>
      <c r="H99" s="541">
        <f t="shared" si="19"/>
        <v>1957</v>
      </c>
      <c r="I99" s="542">
        <f t="shared" si="19"/>
        <v>26166</v>
      </c>
      <c r="J99" s="348">
        <f t="shared" si="19"/>
        <v>132022</v>
      </c>
      <c r="K99" s="348">
        <f t="shared" si="19"/>
        <v>0</v>
      </c>
    </row>
    <row r="100" spans="1:11">
      <c r="A100" s="333">
        <v>45</v>
      </c>
      <c r="E100" s="196"/>
      <c r="G100" s="547"/>
      <c r="H100" s="537"/>
      <c r="I100" s="538"/>
    </row>
    <row r="101" spans="1:11">
      <c r="A101" s="333">
        <v>46</v>
      </c>
      <c r="B101" s="332" t="s">
        <v>95</v>
      </c>
      <c r="E101" s="196"/>
      <c r="F101" s="347">
        <f t="shared" ref="F101:K101" si="20">F81+F90+F99</f>
        <v>10907847</v>
      </c>
      <c r="G101" s="550">
        <f t="shared" si="20"/>
        <v>9927145</v>
      </c>
      <c r="H101" s="543">
        <f t="shared" si="20"/>
        <v>5675</v>
      </c>
      <c r="I101" s="544">
        <f t="shared" si="20"/>
        <v>975027</v>
      </c>
      <c r="J101" s="347">
        <f t="shared" si="20"/>
        <v>10907847</v>
      </c>
      <c r="K101" s="347">
        <f t="shared" si="20"/>
        <v>0</v>
      </c>
    </row>
    <row r="102" spans="1:11">
      <c r="B102" s="343"/>
      <c r="C102" s="196"/>
      <c r="D102" s="344"/>
      <c r="E102" s="196"/>
      <c r="F102" s="196"/>
      <c r="G102" s="196"/>
      <c r="H102" s="196"/>
      <c r="I102" s="196"/>
      <c r="J102" s="196"/>
      <c r="K102" s="196"/>
    </row>
    <row r="103" spans="1:11">
      <c r="A103" s="343" t="str">
        <f>co_name</f>
        <v>DUKE ENERGY KENTUCKY, INC.</v>
      </c>
      <c r="C103" s="196"/>
      <c r="D103" s="344"/>
      <c r="E103" s="196"/>
      <c r="F103" s="196"/>
      <c r="G103" s="196"/>
      <c r="H103" s="196"/>
      <c r="I103" s="196"/>
      <c r="J103" s="196" t="str">
        <f>$J$1</f>
        <v>FR-16(7)(v)-12</v>
      </c>
      <c r="K103" s="196"/>
    </row>
    <row r="104" spans="1:11">
      <c r="A104" s="343" t="str">
        <f>$A$2</f>
        <v>INTERRUPTIBLE TRANSPORTATION CLASSIFIED - GAS COST OF SERVICE</v>
      </c>
      <c r="C104" s="196"/>
      <c r="D104" s="344"/>
      <c r="E104" s="196"/>
      <c r="F104" s="196"/>
      <c r="G104" s="196"/>
      <c r="H104" s="196"/>
      <c r="I104" s="196"/>
      <c r="J104" s="196" t="str">
        <f>$J$2</f>
        <v>WITNESS RESPONSIBLE:</v>
      </c>
      <c r="K104" s="196"/>
    </row>
    <row r="105" spans="1:11">
      <c r="A105" s="343" t="str">
        <f>case_name</f>
        <v>CASE NO: 2018-00261</v>
      </c>
      <c r="C105" s="196"/>
      <c r="D105" s="344"/>
      <c r="E105" s="196"/>
      <c r="F105" s="196"/>
      <c r="G105" s="196"/>
      <c r="H105" s="196"/>
      <c r="I105" s="196"/>
      <c r="J105" s="196" t="str">
        <f>Witness</f>
        <v>JAMES E. ZIOLKOWSKI</v>
      </c>
      <c r="K105" s="196"/>
    </row>
    <row r="106" spans="1:11">
      <c r="A106" s="343" t="str">
        <f>data_filing</f>
        <v>DATA: 12 MONTH FORECASTED PERIOD</v>
      </c>
      <c r="C106" s="196"/>
      <c r="D106" s="344"/>
      <c r="E106" s="196"/>
      <c r="F106" s="196"/>
      <c r="G106" s="196"/>
      <c r="H106" s="196"/>
      <c r="I106" s="196"/>
      <c r="J106" s="196" t="str">
        <f>"PAGE "&amp;Pages2-12&amp;" OF "&amp;Pages2</f>
        <v>PAGE 3 OF 15</v>
      </c>
      <c r="K106" s="196"/>
    </row>
    <row r="107" spans="1:11">
      <c r="A107" s="343" t="str">
        <f>type</f>
        <v xml:space="preserve">TYPE OF FILING: "X" ORIGINAL   UPDATED    REVISED  </v>
      </c>
      <c r="C107" s="196"/>
      <c r="D107" s="344"/>
      <c r="E107" s="196"/>
      <c r="F107" s="196"/>
      <c r="G107" s="196"/>
      <c r="H107" s="196"/>
      <c r="I107" s="196"/>
      <c r="J107" s="196"/>
      <c r="K107" s="196"/>
    </row>
    <row r="108" spans="1:11">
      <c r="A108" s="343"/>
      <c r="C108" s="196"/>
      <c r="D108" s="344"/>
      <c r="E108" s="196"/>
      <c r="F108" s="196"/>
      <c r="G108" s="196"/>
      <c r="H108" s="196"/>
      <c r="I108" s="196"/>
      <c r="J108" s="196"/>
      <c r="K108" s="196"/>
    </row>
    <row r="109" spans="1:11">
      <c r="B109" s="343"/>
      <c r="C109" s="196"/>
      <c r="D109" s="344"/>
      <c r="E109" s="196"/>
      <c r="F109" s="196"/>
      <c r="G109" s="196"/>
      <c r="H109" s="196"/>
      <c r="I109" s="196"/>
      <c r="J109" s="196"/>
      <c r="K109" s="196"/>
    </row>
    <row r="110" spans="1:11">
      <c r="A110" s="344" t="s">
        <v>914</v>
      </c>
      <c r="B110" s="196"/>
      <c r="C110" s="196"/>
      <c r="D110" s="344"/>
      <c r="E110" s="196"/>
      <c r="F110" s="344" t="s">
        <v>229</v>
      </c>
      <c r="G110" s="545" t="s">
        <v>1005</v>
      </c>
      <c r="H110" s="533"/>
      <c r="I110" s="534"/>
      <c r="J110" s="344" t="s">
        <v>229</v>
      </c>
      <c r="K110" s="344" t="s">
        <v>342</v>
      </c>
    </row>
    <row r="111" spans="1:11">
      <c r="A111" s="346" t="s">
        <v>915</v>
      </c>
      <c r="B111" s="345" t="s">
        <v>22</v>
      </c>
      <c r="C111" s="345"/>
      <c r="D111" s="346" t="s">
        <v>337</v>
      </c>
      <c r="E111" s="345"/>
      <c r="F111" s="346" t="str">
        <f>$F$9</f>
        <v>INTERRUPTIBLE</v>
      </c>
      <c r="G111" s="546" t="s">
        <v>847</v>
      </c>
      <c r="H111" s="535" t="s">
        <v>848</v>
      </c>
      <c r="I111" s="536" t="s">
        <v>849</v>
      </c>
      <c r="J111" s="346" t="s">
        <v>341</v>
      </c>
      <c r="K111" s="346" t="s">
        <v>340</v>
      </c>
    </row>
    <row r="112" spans="1:11">
      <c r="C112" s="578" t="s">
        <v>345</v>
      </c>
      <c r="D112" s="344"/>
      <c r="E112" s="196"/>
      <c r="G112" s="800">
        <f>$G$10</f>
        <v>3</v>
      </c>
      <c r="H112" s="801">
        <f>$H$10</f>
        <v>4</v>
      </c>
      <c r="I112" s="802">
        <f>$I$10</f>
        <v>5</v>
      </c>
    </row>
    <row r="113" spans="1:11">
      <c r="A113" s="333">
        <v>1</v>
      </c>
      <c r="B113" s="332" t="s">
        <v>14</v>
      </c>
      <c r="D113" s="344"/>
      <c r="E113" s="196"/>
      <c r="G113" s="547"/>
      <c r="H113" s="537"/>
      <c r="I113" s="538"/>
    </row>
    <row r="114" spans="1:11">
      <c r="A114" s="333">
        <v>2</v>
      </c>
      <c r="C114" s="365" t="str">
        <f>'FR-16(7)(v)-1 Functional'!C114</f>
        <v>PRODUCTION PLANT</v>
      </c>
      <c r="D114" s="344" t="str">
        <f>'FR-16(7)(v)-1 Functional'!D114</f>
        <v>K205</v>
      </c>
      <c r="E114" s="196"/>
      <c r="F114" s="479">
        <f>'FR-16(7)(v)-8 TOT CLASS Alloc'!J114</f>
        <v>0</v>
      </c>
      <c r="G114" s="548">
        <f>'FR-16(7)(v)-5 DISTR Dem Alloc'!J114</f>
        <v>0</v>
      </c>
      <c r="H114" s="539">
        <f>'FR-16(7)(v)-3 PROD Comm Alloc'!J114</f>
        <v>0</v>
      </c>
      <c r="I114" s="540">
        <f>'FR-16(7)(v)-6 DISTR Cust Alloc'!J114</f>
        <v>0</v>
      </c>
      <c r="J114" s="347">
        <f>SUM(G114:I114)</f>
        <v>0</v>
      </c>
      <c r="K114" s="347">
        <f>F114-J114</f>
        <v>0</v>
      </c>
    </row>
    <row r="115" spans="1:11">
      <c r="A115" s="333">
        <v>3</v>
      </c>
      <c r="C115" s="339" t="str">
        <f>'FR-16(7)(v)-1 Functional'!C115</f>
        <v xml:space="preserve">  TOTAL PROD DEPREC RESERVE</v>
      </c>
      <c r="D115" s="344"/>
      <c r="E115" s="196"/>
      <c r="F115" s="348">
        <f t="shared" ref="F115:K115" si="21">SUM(F114:F114)</f>
        <v>0</v>
      </c>
      <c r="G115" s="549">
        <f t="shared" si="21"/>
        <v>0</v>
      </c>
      <c r="H115" s="541">
        <f t="shared" si="21"/>
        <v>0</v>
      </c>
      <c r="I115" s="542">
        <f t="shared" si="21"/>
        <v>0</v>
      </c>
      <c r="J115" s="348">
        <f t="shared" si="21"/>
        <v>0</v>
      </c>
      <c r="K115" s="348">
        <f t="shared" si="21"/>
        <v>0</v>
      </c>
    </row>
    <row r="116" spans="1:11">
      <c r="A116" s="333">
        <v>4</v>
      </c>
      <c r="D116" s="344"/>
      <c r="E116" s="196"/>
      <c r="G116" s="547"/>
      <c r="H116" s="537"/>
      <c r="I116" s="538"/>
    </row>
    <row r="117" spans="1:11">
      <c r="A117" s="333">
        <v>5</v>
      </c>
      <c r="B117" s="332" t="s">
        <v>15</v>
      </c>
      <c r="D117" s="344"/>
      <c r="E117" s="196"/>
      <c r="G117" s="547"/>
      <c r="H117" s="537"/>
      <c r="I117" s="538"/>
    </row>
    <row r="118" spans="1:11">
      <c r="A118" s="333">
        <v>6</v>
      </c>
      <c r="C118" s="359" t="str">
        <f>'FR-16(7)(v)-1 Functional'!C118</f>
        <v>TRANSMISSION PLANT</v>
      </c>
      <c r="D118" s="344" t="s">
        <v>343</v>
      </c>
      <c r="E118" s="196"/>
      <c r="F118" s="477"/>
      <c r="G118" s="548"/>
      <c r="H118" s="539"/>
      <c r="I118" s="540"/>
      <c r="J118" s="347"/>
      <c r="K118" s="347"/>
    </row>
    <row r="119" spans="1:11">
      <c r="A119" s="333">
        <v>7</v>
      </c>
      <c r="C119" s="332" t="str">
        <f>'FR-16(7)(v)-1 Functional'!C119</f>
        <v>TOTAL TRANS DEPREC RESERVE</v>
      </c>
      <c r="D119" s="344"/>
      <c r="E119" s="196"/>
      <c r="F119" s="348">
        <f t="shared" ref="F119:K119" si="22">SUM(F118:F118)</f>
        <v>0</v>
      </c>
      <c r="G119" s="549">
        <f t="shared" si="22"/>
        <v>0</v>
      </c>
      <c r="H119" s="541">
        <f t="shared" si="22"/>
        <v>0</v>
      </c>
      <c r="I119" s="542">
        <f t="shared" si="22"/>
        <v>0</v>
      </c>
      <c r="J119" s="348">
        <f t="shared" si="22"/>
        <v>0</v>
      </c>
      <c r="K119" s="348">
        <f t="shared" si="22"/>
        <v>0</v>
      </c>
    </row>
    <row r="120" spans="1:11">
      <c r="A120" s="333">
        <v>8</v>
      </c>
      <c r="D120" s="344"/>
      <c r="E120" s="196"/>
      <c r="G120" s="547"/>
      <c r="H120" s="537"/>
      <c r="I120" s="538"/>
    </row>
    <row r="121" spans="1:11">
      <c r="A121" s="333">
        <v>9</v>
      </c>
      <c r="B121" s="332" t="s">
        <v>17</v>
      </c>
      <c r="D121" s="344"/>
      <c r="E121" s="196"/>
      <c r="G121" s="547"/>
      <c r="H121" s="537"/>
      <c r="I121" s="538"/>
    </row>
    <row r="122" spans="1:11">
      <c r="A122" s="333">
        <v>10</v>
      </c>
      <c r="C122" s="332" t="str">
        <f>'FR-16(7)(v)-1 Functional'!C122</f>
        <v>SYSTEM M&amp;R - (2780, 2781)</v>
      </c>
      <c r="D122" s="344" t="str">
        <f>'FR-16(7)(v)-1 Functional'!D122</f>
        <v>K203</v>
      </c>
      <c r="E122" s="196"/>
      <c r="F122" s="479">
        <f>'FR-16(7)(v)-8 TOT CLASS Alloc'!J122</f>
        <v>91603</v>
      </c>
      <c r="G122" s="548">
        <f>'FR-16(7)(v)-5 DISTR Dem Alloc'!J122</f>
        <v>91603</v>
      </c>
      <c r="H122" s="539">
        <f>'FR-16(7)(v)-3 PROD Comm Alloc'!J122</f>
        <v>0</v>
      </c>
      <c r="I122" s="540">
        <f>'FR-16(7)(v)-6 DISTR Cust Alloc'!J122</f>
        <v>0</v>
      </c>
      <c r="J122" s="347">
        <f t="shared" ref="J122:J130" si="23">SUM(G122:I122)</f>
        <v>91603</v>
      </c>
      <c r="K122" s="347">
        <f t="shared" ref="K122:K130" si="24">F122-J122</f>
        <v>0</v>
      </c>
    </row>
    <row r="123" spans="1:11">
      <c r="A123" s="333">
        <v>11</v>
      </c>
      <c r="C123" s="332" t="str">
        <f>'FR-16(7)(v)-1 Functional'!C123</f>
        <v xml:space="preserve">DIST REG EQUIP &amp; CITY GATE M&amp;R- (2782, 2790) </v>
      </c>
      <c r="D123" s="344" t="str">
        <f>'FR-16(7)(v)-1 Functional'!D123</f>
        <v>K203</v>
      </c>
      <c r="E123" s="196"/>
      <c r="F123" s="479">
        <f>'FR-16(7)(v)-8 TOT CLASS Alloc'!J123</f>
        <v>34386</v>
      </c>
      <c r="G123" s="548">
        <f>'FR-16(7)(v)-5 DISTR Dem Alloc'!J123</f>
        <v>34386</v>
      </c>
      <c r="H123" s="539">
        <f>'FR-16(7)(v)-3 PROD Comm Alloc'!J123</f>
        <v>0</v>
      </c>
      <c r="I123" s="540">
        <f>'FR-16(7)(v)-6 DISTR Cust Alloc'!J123</f>
        <v>0</v>
      </c>
      <c r="J123" s="347">
        <f t="shared" si="23"/>
        <v>34386</v>
      </c>
      <c r="K123" s="347">
        <f t="shared" si="24"/>
        <v>0</v>
      </c>
    </row>
    <row r="124" spans="1:11">
      <c r="A124" s="333">
        <v>12</v>
      </c>
      <c r="C124" s="332" t="str">
        <f>'FR-16(7)(v)-1 Functional'!C124</f>
        <v>LARGE IND M&amp;R - (2850, 2851)</v>
      </c>
      <c r="D124" s="344" t="str">
        <f>'FR-16(7)(v)-1 Functional'!D124</f>
        <v>K595</v>
      </c>
      <c r="E124" s="196"/>
      <c r="F124" s="479">
        <f>'FR-16(7)(v)-8 TOT CLASS Alloc'!J124</f>
        <v>208669</v>
      </c>
      <c r="G124" s="548">
        <f>'FR-16(7)(v)-5 DISTR Dem Alloc'!J124</f>
        <v>208669</v>
      </c>
      <c r="H124" s="539">
        <f>'FR-16(7)(v)-3 PROD Comm Alloc'!J124</f>
        <v>0</v>
      </c>
      <c r="I124" s="540">
        <f>'FR-16(7)(v)-6 DISTR Cust Alloc'!J124</f>
        <v>0</v>
      </c>
      <c r="J124" s="347">
        <f t="shared" si="23"/>
        <v>208669</v>
      </c>
      <c r="K124" s="347">
        <f t="shared" si="24"/>
        <v>0</v>
      </c>
    </row>
    <row r="125" spans="1:11">
      <c r="A125" s="333">
        <v>13</v>
      </c>
      <c r="C125" s="332" t="str">
        <f>'FR-16(7)(v)-1 Functional'!C125</f>
        <v>MAINS - (2761, 2762, 2763, 2765)</v>
      </c>
      <c r="D125" s="344" t="str">
        <f>'FR-16(7)(v)-1 Functional'!D125</f>
        <v>K415</v>
      </c>
      <c r="E125" s="196"/>
      <c r="F125" s="479">
        <f>'FR-16(7)(v)-8 TOT CLASS Alloc'!J125</f>
        <v>2781274</v>
      </c>
      <c r="G125" s="548">
        <f>'FR-16(7)(v)-5 DISTR Dem Alloc'!J125</f>
        <v>2777516</v>
      </c>
      <c r="H125" s="539">
        <f>'FR-16(7)(v)-3 PROD Comm Alloc'!J125</f>
        <v>0</v>
      </c>
      <c r="I125" s="540">
        <f>'FR-16(7)(v)-6 DISTR Cust Alloc'!J125</f>
        <v>3758</v>
      </c>
      <c r="J125" s="347">
        <f t="shared" si="23"/>
        <v>2781274</v>
      </c>
      <c r="K125" s="347">
        <f t="shared" si="24"/>
        <v>0</v>
      </c>
    </row>
    <row r="126" spans="1:11">
      <c r="A126" s="333">
        <v>14</v>
      </c>
      <c r="C126" s="332" t="str">
        <f>'FR-16(7)(v)-1 Functional'!C126</f>
        <v>SERVICES - (2801, 2802, 2803)</v>
      </c>
      <c r="D126" s="344" t="str">
        <f>'FR-16(7)(v)-1 Functional'!D126</f>
        <v>K403</v>
      </c>
      <c r="E126" s="196"/>
      <c r="F126" s="479">
        <f>'FR-16(7)(v)-8 TOT CLASS Alloc'!J126</f>
        <v>255416</v>
      </c>
      <c r="G126" s="548">
        <f>'FR-16(7)(v)-5 DISTR Dem Alloc'!J126</f>
        <v>0</v>
      </c>
      <c r="H126" s="539">
        <f>'FR-16(7)(v)-3 PROD Comm Alloc'!J126</f>
        <v>0</v>
      </c>
      <c r="I126" s="540">
        <f>'FR-16(7)(v)-6 DISTR Cust Alloc'!J126</f>
        <v>255416</v>
      </c>
      <c r="J126" s="347">
        <f t="shared" si="23"/>
        <v>255416</v>
      </c>
      <c r="K126" s="347">
        <f t="shared" si="24"/>
        <v>0</v>
      </c>
    </row>
    <row r="127" spans="1:11">
      <c r="A127" s="333">
        <v>15</v>
      </c>
      <c r="C127" s="332" t="str">
        <f>'FR-16(7)(v)-1 Functional'!C127</f>
        <v>MTRS &amp; MTR INST (2810, 2811, 2820, 2821)</v>
      </c>
      <c r="D127" s="344" t="str">
        <f>'FR-16(7)(v)-1 Functional'!D127</f>
        <v>K413</v>
      </c>
      <c r="E127" s="196"/>
      <c r="F127" s="479">
        <f>'FR-16(7)(v)-8 TOT CLASS Alloc'!J127</f>
        <v>-11441</v>
      </c>
      <c r="G127" s="548">
        <f>'FR-16(7)(v)-5 DISTR Dem Alloc'!J127</f>
        <v>0</v>
      </c>
      <c r="H127" s="539">
        <f>'FR-16(7)(v)-3 PROD Comm Alloc'!J127</f>
        <v>0</v>
      </c>
      <c r="I127" s="540">
        <f>'FR-16(7)(v)-6 DISTR Cust Alloc'!J127</f>
        <v>-11441</v>
      </c>
      <c r="J127" s="347">
        <f t="shared" si="23"/>
        <v>-11441</v>
      </c>
      <c r="K127" s="347">
        <f t="shared" si="24"/>
        <v>0</v>
      </c>
    </row>
    <row r="128" spans="1:11">
      <c r="A128" s="333">
        <v>16</v>
      </c>
      <c r="C128" s="332" t="str">
        <f>'FR-16(7)(v)-1 Functional'!C128</f>
        <v>LAND, R OF W, STRUCT &amp; IMPROV &amp; OTH</v>
      </c>
      <c r="D128" s="344" t="str">
        <f>'FR-16(7)(v)-1 Functional'!D128</f>
        <v>K203</v>
      </c>
      <c r="E128" s="196"/>
      <c r="F128" s="479">
        <f>'FR-16(7)(v)-8 TOT CLASS Alloc'!J128</f>
        <v>20885</v>
      </c>
      <c r="G128" s="548">
        <f>'FR-16(7)(v)-5 DISTR Dem Alloc'!J128</f>
        <v>20885</v>
      </c>
      <c r="H128" s="539">
        <f>'FR-16(7)(v)-3 PROD Comm Alloc'!J128</f>
        <v>0</v>
      </c>
      <c r="I128" s="540">
        <f>'FR-16(7)(v)-6 DISTR Cust Alloc'!J128</f>
        <v>0</v>
      </c>
      <c r="J128" s="347">
        <f t="shared" si="23"/>
        <v>20885</v>
      </c>
      <c r="K128" s="347">
        <f t="shared" si="24"/>
        <v>0</v>
      </c>
    </row>
    <row r="129" spans="1:11">
      <c r="A129" s="333">
        <v>17</v>
      </c>
      <c r="C129" s="332" t="str">
        <f>'FR-16(7)(v)-1 Functional'!C129</f>
        <v>HOUSE REG &amp; INSTALL (2830, 2840)</v>
      </c>
      <c r="D129" s="344" t="str">
        <f>'FR-16(7)(v)-1 Functional'!D129</f>
        <v>K417</v>
      </c>
      <c r="E129" s="196"/>
      <c r="F129" s="479">
        <f>'FR-16(7)(v)-8 TOT CLASS Alloc'!J129</f>
        <v>9701</v>
      </c>
      <c r="G129" s="548">
        <f>'FR-16(7)(v)-5 DISTR Dem Alloc'!J129</f>
        <v>0</v>
      </c>
      <c r="H129" s="539">
        <f>'FR-16(7)(v)-3 PROD Comm Alloc'!J129</f>
        <v>0</v>
      </c>
      <c r="I129" s="540">
        <f>'FR-16(7)(v)-6 DISTR Cust Alloc'!J129</f>
        <v>9701</v>
      </c>
      <c r="J129" s="347">
        <f t="shared" si="23"/>
        <v>9701</v>
      </c>
      <c r="K129" s="347">
        <f t="shared" si="24"/>
        <v>0</v>
      </c>
    </row>
    <row r="130" spans="1:11">
      <c r="A130" s="333">
        <v>18</v>
      </c>
      <c r="C130" s="359" t="str">
        <f>'FR-16(7)(v)-1 Functional'!C130</f>
        <v>STREET LIGHTING EQUIPMENT &amp; OTH</v>
      </c>
      <c r="D130" s="344" t="str">
        <f>'FR-16(7)(v)-1 Functional'!D130</f>
        <v>K597</v>
      </c>
      <c r="E130" s="196"/>
      <c r="F130" s="479">
        <f>'FR-16(7)(v)-8 TOT CLASS Alloc'!J130</f>
        <v>0</v>
      </c>
      <c r="G130" s="548">
        <f>'FR-16(7)(v)-5 DISTR Dem Alloc'!J130</f>
        <v>0</v>
      </c>
      <c r="H130" s="539">
        <f>'FR-16(7)(v)-3 PROD Comm Alloc'!J130</f>
        <v>0</v>
      </c>
      <c r="I130" s="540">
        <f>'FR-16(7)(v)-6 DISTR Cust Alloc'!J130</f>
        <v>0</v>
      </c>
      <c r="J130" s="347">
        <f t="shared" si="23"/>
        <v>0</v>
      </c>
      <c r="K130" s="347">
        <f t="shared" si="24"/>
        <v>0</v>
      </c>
    </row>
    <row r="131" spans="1:11">
      <c r="A131" s="333">
        <v>19</v>
      </c>
      <c r="C131" s="332" t="str">
        <f>'FR-16(7)(v)-1 Functional'!C131</f>
        <v xml:space="preserve">  TOTAL DIST DEPREC RESERVE</v>
      </c>
      <c r="D131" s="344"/>
      <c r="E131" s="196"/>
      <c r="F131" s="348">
        <f t="shared" ref="F131:K131" si="25">SUM(F121:F130)</f>
        <v>3390493</v>
      </c>
      <c r="G131" s="549">
        <f t="shared" si="25"/>
        <v>3133059</v>
      </c>
      <c r="H131" s="541">
        <f t="shared" si="25"/>
        <v>0</v>
      </c>
      <c r="I131" s="542">
        <f t="shared" si="25"/>
        <v>257434</v>
      </c>
      <c r="J131" s="348">
        <f t="shared" si="25"/>
        <v>3390493</v>
      </c>
      <c r="K131" s="348">
        <f t="shared" si="25"/>
        <v>0</v>
      </c>
    </row>
    <row r="132" spans="1:11">
      <c r="A132" s="333">
        <v>20</v>
      </c>
      <c r="D132" s="344"/>
      <c r="E132" s="196"/>
      <c r="G132" s="547"/>
      <c r="H132" s="537"/>
      <c r="I132" s="538"/>
    </row>
    <row r="133" spans="1:11">
      <c r="A133" s="333">
        <v>21</v>
      </c>
      <c r="B133" s="332" t="s">
        <v>20</v>
      </c>
      <c r="D133" s="344"/>
      <c r="E133" s="196"/>
      <c r="G133" s="547"/>
      <c r="H133" s="537"/>
      <c r="I133" s="538"/>
    </row>
    <row r="134" spans="1:11">
      <c r="A134" s="333">
        <v>22</v>
      </c>
      <c r="C134" s="332" t="str">
        <f>'FR-16(7)(v)-1 Functional'!C134</f>
        <v>PRODUCTION PLANT</v>
      </c>
      <c r="D134" s="344" t="str">
        <f>'FR-16(7)(v)-1 Functional'!D134</f>
        <v>K201</v>
      </c>
      <c r="E134" s="196"/>
      <c r="F134" s="479">
        <f>'FR-16(7)(v)-8 TOT CLASS Alloc'!J134</f>
        <v>0</v>
      </c>
      <c r="G134" s="548">
        <f>'FR-16(7)(v)-5 DISTR Dem Alloc'!J134</f>
        <v>0</v>
      </c>
      <c r="H134" s="539">
        <f>'FR-16(7)(v)-3 PROD Comm Alloc'!J134</f>
        <v>0</v>
      </c>
      <c r="I134" s="540">
        <f>'FR-16(7)(v)-6 DISTR Cust Alloc'!J134</f>
        <v>0</v>
      </c>
      <c r="J134" s="347">
        <f t="shared" ref="J134:J139" si="26">SUM(G134:I134)</f>
        <v>0</v>
      </c>
      <c r="K134" s="347">
        <f t="shared" ref="K134:K139" si="27">F134-J134</f>
        <v>0</v>
      </c>
    </row>
    <row r="135" spans="1:11">
      <c r="A135" s="333">
        <v>23</v>
      </c>
      <c r="C135" s="332" t="str">
        <f>'FR-16(7)(v)-1 Functional'!C135</f>
        <v>PRODUCTION PLANT COMMODITY</v>
      </c>
      <c r="D135" s="344" t="str">
        <f>'FR-16(7)(v)-1 Functional'!D135</f>
        <v>P349</v>
      </c>
      <c r="E135" s="196"/>
      <c r="F135" s="479">
        <f>'FR-16(7)(v)-8 TOT CLASS Alloc'!J135</f>
        <v>1433</v>
      </c>
      <c r="G135" s="548">
        <f>'FR-16(7)(v)-5 DISTR Dem Alloc'!J135</f>
        <v>0</v>
      </c>
      <c r="H135" s="539">
        <f>'FR-16(7)(v)-3 PROD Comm Alloc'!J135</f>
        <v>1433</v>
      </c>
      <c r="I135" s="540">
        <f>'FR-16(7)(v)-6 DISTR Cust Alloc'!J135</f>
        <v>0</v>
      </c>
      <c r="J135" s="347">
        <f t="shared" si="26"/>
        <v>1433</v>
      </c>
      <c r="K135" s="347">
        <f t="shared" si="27"/>
        <v>0</v>
      </c>
    </row>
    <row r="136" spans="1:11">
      <c r="A136" s="333">
        <v>24</v>
      </c>
      <c r="C136" s="332" t="str">
        <f>'FR-16(7)(v)-1 Functional'!C136</f>
        <v>DISTRIBUTION PLANT</v>
      </c>
      <c r="D136" s="344" t="str">
        <f>'FR-16(7)(v)-1 Functional'!D136</f>
        <v>D349</v>
      </c>
      <c r="E136" s="196"/>
      <c r="F136" s="479">
        <f>'FR-16(7)(v)-8 TOT CLASS Alloc'!J136</f>
        <v>94654</v>
      </c>
      <c r="G136" s="548">
        <f>'FR-16(7)(v)-5 DISTR Dem Alloc'!J136</f>
        <v>76079</v>
      </c>
      <c r="H136" s="539">
        <f>'FR-16(7)(v)-3 PROD Comm Alloc'!J136</f>
        <v>0</v>
      </c>
      <c r="I136" s="540">
        <f>'FR-16(7)(v)-6 DISTR Cust Alloc'!J136</f>
        <v>18575</v>
      </c>
      <c r="J136" s="347">
        <f t="shared" si="26"/>
        <v>94654</v>
      </c>
      <c r="K136" s="347">
        <f t="shared" si="27"/>
        <v>0</v>
      </c>
    </row>
    <row r="137" spans="1:11">
      <c r="A137" s="333">
        <v>25</v>
      </c>
      <c r="C137" s="332" t="str">
        <f>'FR-16(7)(v)-1 Functional'!C137</f>
        <v>CUSTOMER ACCOUNTING</v>
      </c>
      <c r="D137" s="344" t="str">
        <f>'FR-16(7)(v)-1 Functional'!D137</f>
        <v>CA19</v>
      </c>
      <c r="E137" s="196"/>
      <c r="F137" s="479">
        <f>'FR-16(7)(v)-8 TOT CLASS Alloc'!J137</f>
        <v>538</v>
      </c>
      <c r="G137" s="548">
        <f>'FR-16(7)(v)-5 DISTR Dem Alloc'!J137</f>
        <v>0</v>
      </c>
      <c r="H137" s="539">
        <f>'FR-16(7)(v)-3 PROD Comm Alloc'!J137</f>
        <v>0</v>
      </c>
      <c r="I137" s="540">
        <f>'FR-16(7)(v)-6 DISTR Cust Alloc'!J137</f>
        <v>538</v>
      </c>
      <c r="J137" s="347">
        <f t="shared" si="26"/>
        <v>538</v>
      </c>
      <c r="K137" s="347">
        <f t="shared" si="27"/>
        <v>0</v>
      </c>
    </row>
    <row r="138" spans="1:11">
      <c r="A138" s="333">
        <v>26</v>
      </c>
      <c r="C138" s="332" t="str">
        <f>'FR-16(7)(v)-1 Functional'!C138</f>
        <v>CUSTOMER SERVICE &amp; INFORMATION</v>
      </c>
      <c r="D138" s="344" t="str">
        <f>'FR-16(7)(v)-1 Functional'!D138</f>
        <v>CS19</v>
      </c>
      <c r="E138" s="196"/>
      <c r="F138" s="479">
        <f>'FR-16(7)(v)-8 TOT CLASS Alloc'!J138</f>
        <v>47</v>
      </c>
      <c r="G138" s="548">
        <f>'FR-16(7)(v)-5 DISTR Dem Alloc'!J138</f>
        <v>0</v>
      </c>
      <c r="H138" s="539">
        <f>'FR-16(7)(v)-3 PROD Comm Alloc'!J138</f>
        <v>0</v>
      </c>
      <c r="I138" s="540">
        <f>'FR-16(7)(v)-6 DISTR Cust Alloc'!J138</f>
        <v>47</v>
      </c>
      <c r="J138" s="347">
        <f t="shared" si="26"/>
        <v>47</v>
      </c>
      <c r="K138" s="347">
        <f t="shared" si="27"/>
        <v>0</v>
      </c>
    </row>
    <row r="139" spans="1:11">
      <c r="A139" s="333">
        <v>27</v>
      </c>
      <c r="C139" s="365" t="str">
        <f>'FR-16(7)(v)-1 Functional'!C139</f>
        <v>SALES</v>
      </c>
      <c r="D139" s="344" t="str">
        <f>'FR-16(7)(v)-1 Functional'!D139</f>
        <v>SE19</v>
      </c>
      <c r="E139" s="196"/>
      <c r="F139" s="479">
        <f>'FR-16(7)(v)-8 TOT CLASS Alloc'!J139</f>
        <v>0</v>
      </c>
      <c r="G139" s="548">
        <f>'FR-16(7)(v)-5 DISTR Dem Alloc'!J139</f>
        <v>0</v>
      </c>
      <c r="H139" s="539">
        <f>'FR-16(7)(v)-3 PROD Comm Alloc'!J139</f>
        <v>0</v>
      </c>
      <c r="I139" s="540">
        <f>'FR-16(7)(v)-6 DISTR Cust Alloc'!J139</f>
        <v>0</v>
      </c>
      <c r="J139" s="347">
        <f t="shared" si="26"/>
        <v>0</v>
      </c>
      <c r="K139" s="347">
        <f t="shared" si="27"/>
        <v>0</v>
      </c>
    </row>
    <row r="140" spans="1:11">
      <c r="A140" s="333">
        <v>28</v>
      </c>
      <c r="C140" s="339" t="str">
        <f>'FR-16(7)(v)-1 Functional'!C140</f>
        <v xml:space="preserve">  TOTAL GEN DEPREC RESERVE</v>
      </c>
      <c r="D140" s="344"/>
      <c r="E140" s="196"/>
      <c r="F140" s="348">
        <f t="shared" ref="F140:K140" si="28">SUM(F133:F139)</f>
        <v>96672</v>
      </c>
      <c r="G140" s="549">
        <f t="shared" si="28"/>
        <v>76079</v>
      </c>
      <c r="H140" s="541">
        <f t="shared" si="28"/>
        <v>1433</v>
      </c>
      <c r="I140" s="542">
        <f t="shared" si="28"/>
        <v>19160</v>
      </c>
      <c r="J140" s="348">
        <f t="shared" si="28"/>
        <v>96672</v>
      </c>
      <c r="K140" s="348">
        <f t="shared" si="28"/>
        <v>0</v>
      </c>
    </row>
    <row r="141" spans="1:11">
      <c r="A141" s="333">
        <v>29</v>
      </c>
      <c r="C141" s="365"/>
      <c r="D141" s="344"/>
      <c r="E141" s="196"/>
      <c r="G141" s="547"/>
      <c r="H141" s="537"/>
      <c r="I141" s="538"/>
    </row>
    <row r="142" spans="1:11">
      <c r="A142" s="333">
        <v>30</v>
      </c>
      <c r="B142" s="332" t="s">
        <v>21</v>
      </c>
      <c r="C142" s="365"/>
      <c r="D142" s="344"/>
      <c r="E142" s="196"/>
      <c r="G142" s="547"/>
      <c r="H142" s="537"/>
      <c r="I142" s="538"/>
    </row>
    <row r="143" spans="1:11">
      <c r="A143" s="333">
        <v>31</v>
      </c>
      <c r="C143" s="365" t="str">
        <f>'FR-16(7)(v)-1 Functional'!C143</f>
        <v>PRODUCTION PLANT</v>
      </c>
      <c r="D143" s="344" t="str">
        <f>'FR-16(7)(v)-1 Functional'!D143</f>
        <v>K201</v>
      </c>
      <c r="E143" s="196"/>
      <c r="F143" s="479">
        <f>'FR-16(7)(v)-8 TOT CLASS Alloc'!J143</f>
        <v>0</v>
      </c>
      <c r="G143" s="548">
        <f>'FR-16(7)(v)-5 DISTR Dem Alloc'!J143</f>
        <v>0</v>
      </c>
      <c r="H143" s="539">
        <f>'FR-16(7)(v)-3 PROD Comm Alloc'!J143</f>
        <v>0</v>
      </c>
      <c r="I143" s="540">
        <f>'FR-16(7)(v)-6 DISTR Cust Alloc'!J143</f>
        <v>0</v>
      </c>
      <c r="J143" s="347">
        <f t="shared" ref="J143:J148" si="29">SUM(G143:I143)</f>
        <v>0</v>
      </c>
      <c r="K143" s="347">
        <f t="shared" ref="K143:K148" si="30">F143-J143</f>
        <v>0</v>
      </c>
    </row>
    <row r="144" spans="1:11">
      <c r="A144" s="333">
        <v>32</v>
      </c>
      <c r="C144" s="365" t="str">
        <f>'FR-16(7)(v)-1 Functional'!C144</f>
        <v>PRODUCTION PLANT COMMODITY</v>
      </c>
      <c r="D144" s="344" t="str">
        <f>'FR-16(7)(v)-1 Functional'!D144</f>
        <v>P349</v>
      </c>
      <c r="E144" s="196"/>
      <c r="F144" s="479">
        <f>'FR-16(7)(v)-8 TOT CLASS Alloc'!J144</f>
        <v>1614</v>
      </c>
      <c r="G144" s="548">
        <f>'FR-16(7)(v)-5 DISTR Dem Alloc'!J144</f>
        <v>0</v>
      </c>
      <c r="H144" s="539">
        <f>'FR-16(7)(v)-3 PROD Comm Alloc'!J144</f>
        <v>1614</v>
      </c>
      <c r="I144" s="540">
        <f>'FR-16(7)(v)-6 DISTR Cust Alloc'!J144</f>
        <v>0</v>
      </c>
      <c r="J144" s="347">
        <f t="shared" si="29"/>
        <v>1614</v>
      </c>
      <c r="K144" s="347">
        <f t="shared" si="30"/>
        <v>0</v>
      </c>
    </row>
    <row r="145" spans="1:11">
      <c r="A145" s="333">
        <v>33</v>
      </c>
      <c r="C145" s="365" t="str">
        <f>'FR-16(7)(v)-1 Functional'!C145</f>
        <v>DISTRIBUTION PLANT</v>
      </c>
      <c r="D145" s="344" t="str">
        <f>'FR-16(7)(v)-1 Functional'!D145</f>
        <v>D349</v>
      </c>
      <c r="E145" s="196"/>
      <c r="F145" s="479">
        <f>'FR-16(7)(v)-8 TOT CLASS Alloc'!J145</f>
        <v>106605</v>
      </c>
      <c r="G145" s="548">
        <f>'FR-16(7)(v)-5 DISTR Dem Alloc'!J145</f>
        <v>85685</v>
      </c>
      <c r="H145" s="539">
        <f>'FR-16(7)(v)-3 PROD Comm Alloc'!J145</f>
        <v>0</v>
      </c>
      <c r="I145" s="540">
        <f>'FR-16(7)(v)-6 DISTR Cust Alloc'!J145</f>
        <v>20920</v>
      </c>
      <c r="J145" s="347">
        <f t="shared" si="29"/>
        <v>106605</v>
      </c>
      <c r="K145" s="347">
        <f t="shared" si="30"/>
        <v>0</v>
      </c>
    </row>
    <row r="146" spans="1:11">
      <c r="A146" s="333">
        <v>34</v>
      </c>
      <c r="C146" s="365" t="str">
        <f>'FR-16(7)(v)-1 Functional'!C146</f>
        <v>CUSTOMER ACCOUNTING</v>
      </c>
      <c r="D146" s="344" t="str">
        <f>'FR-16(7)(v)-1 Functional'!D146</f>
        <v>CA19</v>
      </c>
      <c r="E146" s="196"/>
      <c r="F146" s="479">
        <f>'FR-16(7)(v)-8 TOT CLASS Alloc'!J146</f>
        <v>606</v>
      </c>
      <c r="G146" s="548">
        <f>'FR-16(7)(v)-5 DISTR Dem Alloc'!J146</f>
        <v>0</v>
      </c>
      <c r="H146" s="539">
        <f>'FR-16(7)(v)-3 PROD Comm Alloc'!J146</f>
        <v>0</v>
      </c>
      <c r="I146" s="540">
        <f>'FR-16(7)(v)-6 DISTR Cust Alloc'!J146</f>
        <v>606</v>
      </c>
      <c r="J146" s="347">
        <f t="shared" si="29"/>
        <v>606</v>
      </c>
      <c r="K146" s="347">
        <f t="shared" si="30"/>
        <v>0</v>
      </c>
    </row>
    <row r="147" spans="1:11">
      <c r="A147" s="333">
        <v>35</v>
      </c>
      <c r="C147" s="365" t="str">
        <f>'FR-16(7)(v)-1 Functional'!C147</f>
        <v>CUSTOMER SERVICE &amp; INFORMATION</v>
      </c>
      <c r="D147" s="344" t="str">
        <f>'FR-16(7)(v)-1 Functional'!D147</f>
        <v>CS19</v>
      </c>
      <c r="E147" s="196"/>
      <c r="F147" s="479">
        <f>'FR-16(7)(v)-8 TOT CLASS Alloc'!J147</f>
        <v>53</v>
      </c>
      <c r="G147" s="548">
        <f>'FR-16(7)(v)-5 DISTR Dem Alloc'!J147</f>
        <v>0</v>
      </c>
      <c r="H147" s="539">
        <f>'FR-16(7)(v)-3 PROD Comm Alloc'!J147</f>
        <v>0</v>
      </c>
      <c r="I147" s="540">
        <f>'FR-16(7)(v)-6 DISTR Cust Alloc'!J147</f>
        <v>53</v>
      </c>
      <c r="J147" s="347">
        <f t="shared" si="29"/>
        <v>53</v>
      </c>
      <c r="K147" s="347">
        <f t="shared" si="30"/>
        <v>0</v>
      </c>
    </row>
    <row r="148" spans="1:11">
      <c r="A148" s="333">
        <v>36</v>
      </c>
      <c r="C148" s="365" t="str">
        <f>'FR-16(7)(v)-1 Functional'!C148</f>
        <v>SALES</v>
      </c>
      <c r="D148" s="344" t="str">
        <f>'FR-16(7)(v)-1 Functional'!D148</f>
        <v>SE19</v>
      </c>
      <c r="E148" s="196"/>
      <c r="F148" s="479">
        <f>'FR-16(7)(v)-8 TOT CLASS Alloc'!J148</f>
        <v>0</v>
      </c>
      <c r="G148" s="548">
        <f>'FR-16(7)(v)-5 DISTR Dem Alloc'!J148</f>
        <v>0</v>
      </c>
      <c r="H148" s="539">
        <f>'FR-16(7)(v)-3 PROD Comm Alloc'!J148</f>
        <v>0</v>
      </c>
      <c r="I148" s="540">
        <f>'FR-16(7)(v)-6 DISTR Cust Alloc'!J148</f>
        <v>0</v>
      </c>
      <c r="J148" s="347">
        <f t="shared" si="29"/>
        <v>0</v>
      </c>
      <c r="K148" s="347">
        <f t="shared" si="30"/>
        <v>0</v>
      </c>
    </row>
    <row r="149" spans="1:11">
      <c r="A149" s="333">
        <v>37</v>
      </c>
      <c r="C149" s="339" t="str">
        <f>'FR-16(7)(v)-1 Functional'!C149</f>
        <v xml:space="preserve">  TOTAL COM &amp; OTHER PLT RESERVE</v>
      </c>
      <c r="D149" s="344"/>
      <c r="E149" s="196"/>
      <c r="F149" s="348">
        <f>SUM(F143:F148)</f>
        <v>108878</v>
      </c>
      <c r="G149" s="549">
        <f>SUM(G142:G148)</f>
        <v>85685</v>
      </c>
      <c r="H149" s="541">
        <f>SUM(H142:H148)</f>
        <v>1614</v>
      </c>
      <c r="I149" s="542">
        <f>SUM(I142:I148)</f>
        <v>21579</v>
      </c>
      <c r="J149" s="348">
        <f>SUM(J142:J148)</f>
        <v>108878</v>
      </c>
      <c r="K149" s="348">
        <f>SUM(K142:K148)</f>
        <v>0</v>
      </c>
    </row>
    <row r="150" spans="1:11">
      <c r="A150" s="333">
        <v>38</v>
      </c>
      <c r="D150" s="344"/>
      <c r="E150" s="196"/>
      <c r="G150" s="547"/>
      <c r="H150" s="537"/>
      <c r="I150" s="538"/>
    </row>
    <row r="151" spans="1:11">
      <c r="A151" s="333">
        <v>39</v>
      </c>
      <c r="B151" s="332" t="s">
        <v>23</v>
      </c>
      <c r="D151" s="344"/>
      <c r="E151" s="196"/>
      <c r="F151" s="347">
        <f t="shared" ref="F151:K151" si="31">F149+F140+F131+F119+F115</f>
        <v>3596043</v>
      </c>
      <c r="G151" s="550">
        <f t="shared" si="31"/>
        <v>3294823</v>
      </c>
      <c r="H151" s="543">
        <f t="shared" si="31"/>
        <v>3047</v>
      </c>
      <c r="I151" s="544">
        <f t="shared" si="31"/>
        <v>298173</v>
      </c>
      <c r="J151" s="347">
        <f t="shared" si="31"/>
        <v>3596043</v>
      </c>
      <c r="K151" s="347">
        <f t="shared" si="31"/>
        <v>0</v>
      </c>
    </row>
    <row r="152" spans="1:11">
      <c r="B152" s="343"/>
      <c r="C152" s="196"/>
      <c r="D152" s="344"/>
      <c r="E152" s="196"/>
      <c r="F152" s="196"/>
      <c r="G152" s="196"/>
      <c r="H152" s="196"/>
      <c r="I152" s="196"/>
      <c r="J152" s="196"/>
    </row>
    <row r="153" spans="1:11">
      <c r="A153" s="343" t="str">
        <f>co_name</f>
        <v>DUKE ENERGY KENTUCKY, INC.</v>
      </c>
      <c r="C153" s="196"/>
      <c r="D153" s="344"/>
      <c r="E153" s="196"/>
      <c r="F153" s="196"/>
      <c r="G153" s="196"/>
      <c r="H153" s="196"/>
      <c r="I153" s="196"/>
      <c r="J153" s="196" t="str">
        <f>$J$1</f>
        <v>FR-16(7)(v)-12</v>
      </c>
      <c r="K153" s="196"/>
    </row>
    <row r="154" spans="1:11">
      <c r="A154" s="343" t="str">
        <f>$A$2</f>
        <v>INTERRUPTIBLE TRANSPORTATION CLASSIFIED - GAS COST OF SERVICE</v>
      </c>
      <c r="C154" s="196"/>
      <c r="D154" s="344"/>
      <c r="E154" s="196"/>
      <c r="F154" s="196"/>
      <c r="G154" s="196"/>
      <c r="H154" s="196"/>
      <c r="I154" s="196"/>
      <c r="J154" s="196" t="str">
        <f>$J$2</f>
        <v>WITNESS RESPONSIBLE:</v>
      </c>
      <c r="K154" s="196"/>
    </row>
    <row r="155" spans="1:11">
      <c r="A155" s="343" t="str">
        <f>case_name</f>
        <v>CASE NO: 2018-00261</v>
      </c>
      <c r="C155" s="196"/>
      <c r="D155" s="344"/>
      <c r="E155" s="196"/>
      <c r="F155" s="196"/>
      <c r="G155" s="196"/>
      <c r="H155" s="196"/>
      <c r="I155" s="196"/>
      <c r="J155" s="196" t="str">
        <f>Witness</f>
        <v>JAMES E. ZIOLKOWSKI</v>
      </c>
      <c r="K155" s="196"/>
    </row>
    <row r="156" spans="1:11">
      <c r="A156" s="343" t="str">
        <f>data_filing</f>
        <v>DATA: 12 MONTH FORECASTED PERIOD</v>
      </c>
      <c r="C156" s="196"/>
      <c r="D156" s="344"/>
      <c r="E156" s="196"/>
      <c r="F156" s="196"/>
      <c r="G156" s="196"/>
      <c r="H156" s="196"/>
      <c r="I156" s="196"/>
      <c r="J156" s="196" t="str">
        <f>"PAGE "&amp;Pages2-11&amp;" OF "&amp;Pages2</f>
        <v>PAGE 4 OF 15</v>
      </c>
      <c r="K156" s="196"/>
    </row>
    <row r="157" spans="1:11">
      <c r="A157" s="343" t="str">
        <f>type</f>
        <v xml:space="preserve">TYPE OF FILING: "X" ORIGINAL   UPDATED    REVISED  </v>
      </c>
      <c r="C157" s="196"/>
      <c r="D157" s="344"/>
      <c r="E157" s="196"/>
      <c r="F157" s="196"/>
      <c r="G157" s="196"/>
      <c r="H157" s="196"/>
      <c r="I157" s="196"/>
      <c r="J157" s="196"/>
      <c r="K157" s="196"/>
    </row>
    <row r="158" spans="1:11">
      <c r="A158" s="343"/>
      <c r="C158" s="196"/>
      <c r="D158" s="344"/>
      <c r="E158" s="196"/>
      <c r="F158" s="196"/>
      <c r="G158" s="196"/>
      <c r="H158" s="196"/>
      <c r="I158" s="196"/>
      <c r="J158" s="196"/>
      <c r="K158" s="196"/>
    </row>
    <row r="159" spans="1:11">
      <c r="B159" s="343"/>
      <c r="C159" s="196"/>
      <c r="D159" s="344"/>
      <c r="E159" s="196"/>
      <c r="F159" s="196"/>
      <c r="G159" s="196"/>
      <c r="H159" s="196"/>
      <c r="I159" s="196"/>
      <c r="J159" s="196"/>
    </row>
    <row r="160" spans="1:11">
      <c r="A160" s="344" t="s">
        <v>914</v>
      </c>
      <c r="B160" s="196"/>
      <c r="C160" s="196"/>
      <c r="D160" s="344"/>
      <c r="E160" s="196"/>
      <c r="F160" s="344" t="s">
        <v>229</v>
      </c>
      <c r="G160" s="545" t="s">
        <v>1005</v>
      </c>
      <c r="H160" s="533"/>
      <c r="I160" s="534"/>
      <c r="J160" s="344" t="s">
        <v>229</v>
      </c>
      <c r="K160" s="344" t="s">
        <v>342</v>
      </c>
    </row>
    <row r="161" spans="1:11">
      <c r="A161" s="346" t="s">
        <v>915</v>
      </c>
      <c r="B161" s="345" t="str">
        <f>"NET GAS PLANT"</f>
        <v>NET GAS PLANT</v>
      </c>
      <c r="C161" s="345"/>
      <c r="D161" s="346" t="s">
        <v>337</v>
      </c>
      <c r="E161" s="345"/>
      <c r="F161" s="346" t="str">
        <f>$F$9</f>
        <v>INTERRUPTIBLE</v>
      </c>
      <c r="G161" s="546" t="s">
        <v>847</v>
      </c>
      <c r="H161" s="535" t="s">
        <v>848</v>
      </c>
      <c r="I161" s="536" t="s">
        <v>849</v>
      </c>
      <c r="J161" s="346" t="s">
        <v>341</v>
      </c>
      <c r="K161" s="346" t="s">
        <v>340</v>
      </c>
    </row>
    <row r="162" spans="1:11">
      <c r="C162" s="578" t="s">
        <v>346</v>
      </c>
      <c r="D162" s="344"/>
      <c r="E162" s="196"/>
      <c r="G162" s="800">
        <f>$G$10</f>
        <v>3</v>
      </c>
      <c r="H162" s="801">
        <f>$H$10</f>
        <v>4</v>
      </c>
      <c r="I162" s="802">
        <f>$I$10</f>
        <v>5</v>
      </c>
    </row>
    <row r="163" spans="1:11">
      <c r="A163" s="333">
        <v>1</v>
      </c>
      <c r="B163" s="332" t="s">
        <v>14</v>
      </c>
      <c r="D163" s="344"/>
      <c r="E163" s="196"/>
      <c r="G163" s="547"/>
      <c r="H163" s="537"/>
      <c r="I163" s="538"/>
    </row>
    <row r="164" spans="1:11">
      <c r="A164" s="333">
        <v>2</v>
      </c>
      <c r="C164" s="332" t="str">
        <f>'FR-16(7)(v)-1 Functional'!C164</f>
        <v>PRODUCTION PLANT IN SERVICE</v>
      </c>
      <c r="D164" s="344"/>
      <c r="E164" s="196"/>
      <c r="F164" s="347">
        <f>F59</f>
        <v>0</v>
      </c>
      <c r="G164" s="548">
        <f>$G$59</f>
        <v>0</v>
      </c>
      <c r="H164" s="539">
        <f>$H$59</f>
        <v>0</v>
      </c>
      <c r="I164" s="540">
        <f>$I$59</f>
        <v>0</v>
      </c>
      <c r="J164" s="347">
        <f>$J$59</f>
        <v>0</v>
      </c>
      <c r="K164" s="347">
        <f>F164-J164</f>
        <v>0</v>
      </c>
    </row>
    <row r="165" spans="1:11">
      <c r="A165" s="333">
        <v>3</v>
      </c>
      <c r="C165" s="359" t="str">
        <f>'FR-16(7)(v)-1 Functional'!C165</f>
        <v>TOTAL PROD DEPRC RESERVE</v>
      </c>
      <c r="D165" s="344"/>
      <c r="E165" s="196"/>
      <c r="F165" s="347">
        <f>-F115</f>
        <v>0</v>
      </c>
      <c r="G165" s="548">
        <f>-G115</f>
        <v>0</v>
      </c>
      <c r="H165" s="539">
        <f>-H115</f>
        <v>0</v>
      </c>
      <c r="I165" s="540">
        <f>-I115</f>
        <v>0</v>
      </c>
      <c r="J165" s="347">
        <f>-J115</f>
        <v>0</v>
      </c>
      <c r="K165" s="347">
        <f>F165-J165</f>
        <v>0</v>
      </c>
    </row>
    <row r="166" spans="1:11">
      <c r="A166" s="333">
        <v>4</v>
      </c>
      <c r="C166" s="332" t="str">
        <f>'FR-16(7)(v)-1 Functional'!C166</f>
        <v xml:space="preserve">  NET PRODUCTION PLANT</v>
      </c>
      <c r="D166" s="344"/>
      <c r="E166" s="196"/>
      <c r="F166" s="348">
        <f t="shared" ref="F166:K166" si="32">SUM(F164:F165)</f>
        <v>0</v>
      </c>
      <c r="G166" s="549">
        <f t="shared" si="32"/>
        <v>0</v>
      </c>
      <c r="H166" s="541">
        <f t="shared" si="32"/>
        <v>0</v>
      </c>
      <c r="I166" s="542">
        <f t="shared" si="32"/>
        <v>0</v>
      </c>
      <c r="J166" s="348">
        <f t="shared" si="32"/>
        <v>0</v>
      </c>
      <c r="K166" s="348">
        <f t="shared" si="32"/>
        <v>0</v>
      </c>
    </row>
    <row r="167" spans="1:11">
      <c r="A167" s="333">
        <v>5</v>
      </c>
      <c r="D167" s="344"/>
      <c r="E167" s="196"/>
      <c r="G167" s="547"/>
      <c r="H167" s="537"/>
      <c r="I167" s="538"/>
    </row>
    <row r="168" spans="1:11">
      <c r="A168" s="333">
        <v>6</v>
      </c>
      <c r="B168" s="359" t="s">
        <v>15</v>
      </c>
      <c r="C168" s="359"/>
      <c r="D168" s="344"/>
      <c r="E168" s="196"/>
      <c r="F168" s="347"/>
      <c r="G168" s="548"/>
      <c r="H168" s="539"/>
      <c r="I168" s="540"/>
      <c r="J168" s="347"/>
    </row>
    <row r="169" spans="1:11">
      <c r="A169" s="333">
        <v>7</v>
      </c>
      <c r="C169" s="332" t="str">
        <f>'FR-16(7)(v)-1 Functional'!C169</f>
        <v>TRANSMISSION PLANT IN SERVICE</v>
      </c>
      <c r="D169" s="344"/>
      <c r="E169" s="196"/>
      <c r="F169" s="347">
        <f>F63</f>
        <v>0</v>
      </c>
      <c r="G169" s="548">
        <f>$G$63</f>
        <v>0</v>
      </c>
      <c r="H169" s="539">
        <f>$H$63</f>
        <v>0</v>
      </c>
      <c r="I169" s="540">
        <f>$I$63</f>
        <v>0</v>
      </c>
      <c r="J169" s="347">
        <f>$J$63</f>
        <v>0</v>
      </c>
      <c r="K169" s="347">
        <f>F169-J169</f>
        <v>0</v>
      </c>
    </row>
    <row r="170" spans="1:11">
      <c r="A170" s="333">
        <v>8</v>
      </c>
      <c r="C170" s="332" t="str">
        <f>'FR-16(7)(v)-1 Functional'!C170</f>
        <v>TOTAL TRANS DEPREC RESERVE</v>
      </c>
      <c r="D170" s="344"/>
      <c r="E170" s="196"/>
      <c r="F170" s="347">
        <f>-F119</f>
        <v>0</v>
      </c>
      <c r="G170" s="548">
        <f>-G119</f>
        <v>0</v>
      </c>
      <c r="H170" s="539">
        <f>-H119</f>
        <v>0</v>
      </c>
      <c r="I170" s="540">
        <f>-I119</f>
        <v>0</v>
      </c>
      <c r="J170" s="347">
        <f>-J119</f>
        <v>0</v>
      </c>
      <c r="K170" s="347">
        <f>F170-J170</f>
        <v>0</v>
      </c>
    </row>
    <row r="171" spans="1:11">
      <c r="A171" s="333">
        <v>9</v>
      </c>
      <c r="C171" s="332" t="str">
        <f>'FR-16(7)(v)-1 Functional'!C171</f>
        <v xml:space="preserve">    NET TRANSMISSION PLANT</v>
      </c>
      <c r="D171" s="344"/>
      <c r="E171" s="196"/>
      <c r="F171" s="348">
        <f t="shared" ref="F171:K171" si="33">SUM(F168:F170)</f>
        <v>0</v>
      </c>
      <c r="G171" s="549">
        <f t="shared" si="33"/>
        <v>0</v>
      </c>
      <c r="H171" s="541">
        <f t="shared" si="33"/>
        <v>0</v>
      </c>
      <c r="I171" s="542">
        <f t="shared" si="33"/>
        <v>0</v>
      </c>
      <c r="J171" s="348">
        <f t="shared" si="33"/>
        <v>0</v>
      </c>
      <c r="K171" s="348">
        <f t="shared" si="33"/>
        <v>0</v>
      </c>
    </row>
    <row r="172" spans="1:11">
      <c r="A172" s="333">
        <v>10</v>
      </c>
      <c r="D172" s="344"/>
      <c r="E172" s="196"/>
      <c r="G172" s="547"/>
      <c r="H172" s="537"/>
      <c r="I172" s="538"/>
    </row>
    <row r="173" spans="1:11">
      <c r="A173" s="333">
        <v>11</v>
      </c>
      <c r="B173" s="332" t="s">
        <v>17</v>
      </c>
      <c r="D173" s="344"/>
      <c r="E173" s="196"/>
      <c r="G173" s="547"/>
      <c r="H173" s="537"/>
      <c r="I173" s="538"/>
    </row>
    <row r="174" spans="1:11">
      <c r="A174" s="333">
        <v>12</v>
      </c>
      <c r="C174" s="332" t="str">
        <f>'FR-16(7)(v)-1 Functional'!C174</f>
        <v>DISTRIBUTION PLANT IN SERVICE</v>
      </c>
      <c r="D174" s="344"/>
      <c r="E174" s="196"/>
      <c r="F174" s="347">
        <f>F78</f>
        <v>10525003</v>
      </c>
      <c r="G174" s="548">
        <f>G78</f>
        <v>9625854</v>
      </c>
      <c r="H174" s="539">
        <f>H78</f>
        <v>0</v>
      </c>
      <c r="I174" s="540">
        <f>I78</f>
        <v>899149</v>
      </c>
      <c r="J174" s="347">
        <f>J78</f>
        <v>10525003</v>
      </c>
      <c r="K174" s="347">
        <f>F174-J174</f>
        <v>0</v>
      </c>
    </row>
    <row r="175" spans="1:11">
      <c r="A175" s="333">
        <v>13</v>
      </c>
      <c r="C175" s="359" t="str">
        <f>'FR-16(7)(v)-1 Functional'!C175</f>
        <v>TOTAL DIST DEPREC RESERVE</v>
      </c>
      <c r="D175" s="344"/>
      <c r="E175" s="196"/>
      <c r="F175" s="347">
        <f>-F131</f>
        <v>-3390493</v>
      </c>
      <c r="G175" s="548">
        <f>-G131</f>
        <v>-3133059</v>
      </c>
      <c r="H175" s="539">
        <f>-H131</f>
        <v>0</v>
      </c>
      <c r="I175" s="540">
        <f>-I131</f>
        <v>-257434</v>
      </c>
      <c r="J175" s="347">
        <f>-J131</f>
        <v>-3390493</v>
      </c>
      <c r="K175" s="347">
        <f>F175-J175</f>
        <v>0</v>
      </c>
    </row>
    <row r="176" spans="1:11">
      <c r="A176" s="333">
        <v>14</v>
      </c>
      <c r="C176" s="332" t="str">
        <f>'FR-16(7)(v)-1 Functional'!C176</f>
        <v xml:space="preserve">  NET DISTRIBUTION PLANT</v>
      </c>
      <c r="D176" s="344"/>
      <c r="E176" s="196"/>
      <c r="F176" s="348">
        <f t="shared" ref="F176:K176" si="34">SUM(F173:F175)</f>
        <v>7134510</v>
      </c>
      <c r="G176" s="549">
        <f t="shared" si="34"/>
        <v>6492795</v>
      </c>
      <c r="H176" s="541">
        <f t="shared" si="34"/>
        <v>0</v>
      </c>
      <c r="I176" s="542">
        <f t="shared" si="34"/>
        <v>641715</v>
      </c>
      <c r="J176" s="348">
        <f t="shared" si="34"/>
        <v>7134510</v>
      </c>
      <c r="K176" s="348">
        <f t="shared" si="34"/>
        <v>0</v>
      </c>
    </row>
    <row r="177" spans="1:11">
      <c r="A177" s="333">
        <v>15</v>
      </c>
      <c r="D177" s="344"/>
      <c r="E177" s="196"/>
      <c r="G177" s="547"/>
      <c r="H177" s="537"/>
      <c r="I177" s="538"/>
    </row>
    <row r="178" spans="1:11">
      <c r="A178" s="333">
        <v>16</v>
      </c>
      <c r="B178" s="332" t="s">
        <v>430</v>
      </c>
      <c r="D178" s="344"/>
      <c r="E178" s="196"/>
      <c r="F178" s="347">
        <f t="shared" ref="F178:K178" si="35">F176+F171+F166</f>
        <v>7134510</v>
      </c>
      <c r="G178" s="548">
        <f t="shared" si="35"/>
        <v>6492795</v>
      </c>
      <c r="H178" s="539">
        <f t="shared" si="35"/>
        <v>0</v>
      </c>
      <c r="I178" s="540">
        <f t="shared" si="35"/>
        <v>641715</v>
      </c>
      <c r="J178" s="347">
        <f t="shared" si="35"/>
        <v>7134510</v>
      </c>
      <c r="K178" s="347">
        <f t="shared" si="35"/>
        <v>0</v>
      </c>
    </row>
    <row r="179" spans="1:11">
      <c r="A179" s="333">
        <v>17</v>
      </c>
      <c r="B179" s="332" t="s">
        <v>24</v>
      </c>
      <c r="D179" s="344"/>
      <c r="E179" s="196"/>
      <c r="F179" s="347">
        <f t="shared" ref="F179:K179" si="36">F176+F171</f>
        <v>7134510</v>
      </c>
      <c r="G179" s="548">
        <f t="shared" si="36"/>
        <v>6492795</v>
      </c>
      <c r="H179" s="539">
        <f t="shared" si="36"/>
        <v>0</v>
      </c>
      <c r="I179" s="540">
        <f t="shared" si="36"/>
        <v>641715</v>
      </c>
      <c r="J179" s="347">
        <f t="shared" si="36"/>
        <v>7134510</v>
      </c>
      <c r="K179" s="347">
        <f t="shared" si="36"/>
        <v>0</v>
      </c>
    </row>
    <row r="180" spans="1:11">
      <c r="A180" s="333">
        <v>18</v>
      </c>
      <c r="D180" s="344"/>
      <c r="E180" s="196"/>
      <c r="G180" s="547"/>
      <c r="H180" s="537"/>
      <c r="I180" s="538"/>
    </row>
    <row r="181" spans="1:11">
      <c r="A181" s="333">
        <v>19</v>
      </c>
      <c r="B181" s="332" t="s">
        <v>20</v>
      </c>
      <c r="D181" s="344"/>
      <c r="E181" s="196"/>
      <c r="G181" s="547"/>
      <c r="H181" s="537"/>
      <c r="I181" s="538"/>
    </row>
    <row r="182" spans="1:11">
      <c r="A182" s="333">
        <v>20</v>
      </c>
      <c r="C182" s="332" t="str">
        <f>'FR-16(7)(v)-1 Functional'!C182</f>
        <v>GEN &amp; INTANG PLANT IN SERVICE</v>
      </c>
      <c r="D182" s="344"/>
      <c r="E182" s="196"/>
      <c r="F182" s="347">
        <f>F90</f>
        <v>250822</v>
      </c>
      <c r="G182" s="548">
        <f>G90</f>
        <v>197392</v>
      </c>
      <c r="H182" s="539">
        <f>H90</f>
        <v>3718</v>
      </c>
      <c r="I182" s="540">
        <f>I90</f>
        <v>49712</v>
      </c>
      <c r="J182" s="347">
        <f>J90</f>
        <v>250822</v>
      </c>
      <c r="K182" s="347">
        <f>F182-J182</f>
        <v>0</v>
      </c>
    </row>
    <row r="183" spans="1:11">
      <c r="A183" s="333">
        <v>21</v>
      </c>
      <c r="C183" s="359" t="str">
        <f>'FR-16(7)(v)-1 Functional'!C183</f>
        <v>TOTAL GEN &amp; INTG DEPREC RESERVE</v>
      </c>
      <c r="D183" s="344"/>
      <c r="E183" s="196"/>
      <c r="F183" s="347">
        <f>-F140</f>
        <v>-96672</v>
      </c>
      <c r="G183" s="548">
        <f>-G140</f>
        <v>-76079</v>
      </c>
      <c r="H183" s="539">
        <f>-H140</f>
        <v>-1433</v>
      </c>
      <c r="I183" s="540">
        <f>-I140</f>
        <v>-19160</v>
      </c>
      <c r="J183" s="347">
        <f>-J140</f>
        <v>-96672</v>
      </c>
      <c r="K183" s="347">
        <f>F183-J183</f>
        <v>0</v>
      </c>
    </row>
    <row r="184" spans="1:11">
      <c r="A184" s="333">
        <v>22</v>
      </c>
      <c r="C184" s="332" t="str">
        <f>'FR-16(7)(v)-1 Functional'!C184</f>
        <v xml:space="preserve">  NET GENERAL &amp; INTANG PLANT</v>
      </c>
      <c r="D184" s="344"/>
      <c r="E184" s="196"/>
      <c r="F184" s="348">
        <f t="shared" ref="F184:K184" si="37">SUM(F181:F183)</f>
        <v>154150</v>
      </c>
      <c r="G184" s="549">
        <f t="shared" si="37"/>
        <v>121313</v>
      </c>
      <c r="H184" s="541">
        <f t="shared" si="37"/>
        <v>2285</v>
      </c>
      <c r="I184" s="542">
        <f t="shared" si="37"/>
        <v>30552</v>
      </c>
      <c r="J184" s="348">
        <f t="shared" si="37"/>
        <v>154150</v>
      </c>
      <c r="K184" s="348">
        <f t="shared" si="37"/>
        <v>0</v>
      </c>
    </row>
    <row r="185" spans="1:11">
      <c r="A185" s="333">
        <v>23</v>
      </c>
      <c r="D185" s="344"/>
      <c r="E185" s="196"/>
      <c r="F185" s="347"/>
      <c r="G185" s="548"/>
      <c r="H185" s="539"/>
      <c r="I185" s="540"/>
      <c r="J185" s="347"/>
    </row>
    <row r="186" spans="1:11">
      <c r="A186" s="333">
        <v>24</v>
      </c>
      <c r="B186" s="332" t="s">
        <v>21</v>
      </c>
      <c r="D186" s="344"/>
      <c r="E186" s="196"/>
      <c r="F186" s="347"/>
      <c r="G186" s="548"/>
      <c r="H186" s="539"/>
      <c r="I186" s="540"/>
      <c r="J186" s="347"/>
    </row>
    <row r="187" spans="1:11">
      <c r="A187" s="333">
        <v>25</v>
      </c>
      <c r="C187" s="332" t="str">
        <f>'FR-16(7)(v)-1 Functional'!C187</f>
        <v>COMMON &amp; OTH PLT IN SERVICE</v>
      </c>
      <c r="D187" s="344"/>
      <c r="E187" s="196"/>
      <c r="F187" s="347">
        <f>F99</f>
        <v>132022</v>
      </c>
      <c r="G187" s="548">
        <f>G99</f>
        <v>103899</v>
      </c>
      <c r="H187" s="539">
        <f>H99</f>
        <v>1957</v>
      </c>
      <c r="I187" s="540">
        <f>I99</f>
        <v>26166</v>
      </c>
      <c r="J187" s="347">
        <f>J99</f>
        <v>132022</v>
      </c>
      <c r="K187" s="347">
        <f>F187-J187</f>
        <v>0</v>
      </c>
    </row>
    <row r="188" spans="1:11">
      <c r="A188" s="333">
        <v>26</v>
      </c>
      <c r="C188" s="359" t="str">
        <f>'FR-16(7)(v)-1 Functional'!C188</f>
        <v>TOTAL COM &amp; OTH DEPREC RESERVE</v>
      </c>
      <c r="D188" s="344"/>
      <c r="E188" s="196"/>
      <c r="F188" s="347">
        <f>-F149</f>
        <v>-108878</v>
      </c>
      <c r="G188" s="548">
        <f>-G149</f>
        <v>-85685</v>
      </c>
      <c r="H188" s="539">
        <f>-H149</f>
        <v>-1614</v>
      </c>
      <c r="I188" s="540">
        <f>-I149</f>
        <v>-21579</v>
      </c>
      <c r="J188" s="347">
        <f>-J149</f>
        <v>-108878</v>
      </c>
      <c r="K188" s="347">
        <f>F188-J188</f>
        <v>0</v>
      </c>
    </row>
    <row r="189" spans="1:11">
      <c r="A189" s="333">
        <v>27</v>
      </c>
      <c r="C189" s="332" t="str">
        <f>'FR-16(7)(v)-1 Functional'!C189</f>
        <v xml:space="preserve">  NET COMMON &amp; OTHER PLANT</v>
      </c>
      <c r="D189" s="344"/>
      <c r="E189" s="196"/>
      <c r="F189" s="348">
        <f t="shared" ref="F189:K189" si="38">SUM(F186:F188)</f>
        <v>23144</v>
      </c>
      <c r="G189" s="549">
        <f t="shared" si="38"/>
        <v>18214</v>
      </c>
      <c r="H189" s="541">
        <f t="shared" si="38"/>
        <v>343</v>
      </c>
      <c r="I189" s="542">
        <f t="shared" si="38"/>
        <v>4587</v>
      </c>
      <c r="J189" s="348">
        <f t="shared" si="38"/>
        <v>23144</v>
      </c>
      <c r="K189" s="348">
        <f t="shared" si="38"/>
        <v>0</v>
      </c>
    </row>
    <row r="190" spans="1:11">
      <c r="A190" s="333">
        <v>28</v>
      </c>
      <c r="D190" s="344"/>
      <c r="E190" s="196"/>
      <c r="F190" s="347"/>
      <c r="G190" s="548"/>
      <c r="H190" s="539"/>
      <c r="I190" s="540"/>
      <c r="J190" s="347"/>
      <c r="K190" s="347"/>
    </row>
    <row r="191" spans="1:11">
      <c r="A191" s="333">
        <v>29</v>
      </c>
      <c r="C191" s="332" t="str">
        <f>'FR-16(7)(v)-1 Functional'!C191</f>
        <v>NET GAS PLANT IN SERVICE</v>
      </c>
      <c r="D191" s="344"/>
      <c r="E191" s="196"/>
      <c r="F191" s="347">
        <f t="shared" ref="F191:K191" si="39">F189+F184+F176+F171+F166</f>
        <v>7311804</v>
      </c>
      <c r="G191" s="550">
        <f t="shared" si="39"/>
        <v>6632322</v>
      </c>
      <c r="H191" s="543">
        <f t="shared" si="39"/>
        <v>2628</v>
      </c>
      <c r="I191" s="544">
        <f t="shared" si="39"/>
        <v>676854</v>
      </c>
      <c r="J191" s="347">
        <f t="shared" si="39"/>
        <v>7311804</v>
      </c>
      <c r="K191" s="347">
        <f t="shared" si="39"/>
        <v>0</v>
      </c>
    </row>
    <row r="192" spans="1:11">
      <c r="B192" s="343"/>
      <c r="C192" s="196"/>
      <c r="D192" s="344"/>
      <c r="E192" s="196"/>
      <c r="F192" s="196"/>
      <c r="G192" s="196"/>
      <c r="H192" s="196"/>
      <c r="I192" s="196"/>
      <c r="J192" s="196"/>
      <c r="K192" s="196"/>
    </row>
    <row r="193" spans="1:11">
      <c r="A193" s="343" t="str">
        <f>co_name</f>
        <v>DUKE ENERGY KENTUCKY, INC.</v>
      </c>
      <c r="C193" s="196"/>
      <c r="D193" s="344"/>
      <c r="E193" s="196"/>
      <c r="F193" s="196"/>
      <c r="G193" s="196"/>
      <c r="H193" s="196"/>
      <c r="I193" s="196"/>
      <c r="J193" s="196" t="str">
        <f>$J$1</f>
        <v>FR-16(7)(v)-12</v>
      </c>
      <c r="K193" s="196"/>
    </row>
    <row r="194" spans="1:11">
      <c r="A194" s="343" t="str">
        <f>$A$2</f>
        <v>INTERRUPTIBLE TRANSPORTATION CLASSIFIED - GAS COST OF SERVICE</v>
      </c>
      <c r="C194" s="196"/>
      <c r="D194" s="344"/>
      <c r="E194" s="196"/>
      <c r="F194" s="196"/>
      <c r="G194" s="196"/>
      <c r="H194" s="196"/>
      <c r="I194" s="196"/>
      <c r="J194" s="196" t="str">
        <f>$J$2</f>
        <v>WITNESS RESPONSIBLE:</v>
      </c>
      <c r="K194" s="196"/>
    </row>
    <row r="195" spans="1:11">
      <c r="A195" s="343" t="str">
        <f>case_name</f>
        <v>CASE NO: 2018-00261</v>
      </c>
      <c r="C195" s="196"/>
      <c r="D195" s="344"/>
      <c r="E195" s="196"/>
      <c r="F195" s="196"/>
      <c r="G195" s="196"/>
      <c r="H195" s="196"/>
      <c r="I195" s="196"/>
      <c r="J195" s="196" t="str">
        <f>Witness</f>
        <v>JAMES E. ZIOLKOWSKI</v>
      </c>
      <c r="K195" s="196"/>
    </row>
    <row r="196" spans="1:11">
      <c r="A196" s="343" t="str">
        <f>data_filing</f>
        <v>DATA: 12 MONTH FORECASTED PERIOD</v>
      </c>
      <c r="C196" s="196"/>
      <c r="D196" s="344"/>
      <c r="E196" s="196"/>
      <c r="F196" s="196"/>
      <c r="G196" s="196"/>
      <c r="H196" s="196"/>
      <c r="I196" s="196"/>
      <c r="J196" s="196" t="str">
        <f>"PAGE "&amp;Pages2-10&amp;" OF "&amp;Pages2</f>
        <v>PAGE 5 OF 15</v>
      </c>
      <c r="K196" s="196"/>
    </row>
    <row r="197" spans="1:11">
      <c r="A197" s="343" t="str">
        <f>type</f>
        <v xml:space="preserve">TYPE OF FILING: "X" ORIGINAL   UPDATED    REVISED  </v>
      </c>
      <c r="C197" s="196"/>
      <c r="D197" s="344"/>
      <c r="E197" s="196"/>
      <c r="F197" s="196"/>
      <c r="G197" s="196"/>
      <c r="H197" s="196"/>
      <c r="I197" s="196"/>
      <c r="J197" s="196"/>
      <c r="K197" s="196"/>
    </row>
    <row r="198" spans="1:11">
      <c r="B198" s="343"/>
      <c r="C198" s="196"/>
      <c r="D198" s="344"/>
      <c r="E198" s="196"/>
      <c r="F198" s="196"/>
      <c r="G198" s="196"/>
      <c r="H198" s="196"/>
      <c r="I198" s="196"/>
      <c r="J198" s="196"/>
      <c r="K198" s="196"/>
    </row>
    <row r="199" spans="1:11">
      <c r="B199" s="343"/>
      <c r="C199" s="196"/>
      <c r="D199" s="344"/>
      <c r="E199" s="196"/>
      <c r="F199" s="196"/>
      <c r="G199" s="196"/>
      <c r="H199" s="196"/>
      <c r="I199" s="196"/>
      <c r="J199" s="196"/>
      <c r="K199" s="196"/>
    </row>
    <row r="200" spans="1:11">
      <c r="A200" s="344" t="s">
        <v>914</v>
      </c>
      <c r="B200" s="196"/>
      <c r="C200" s="196"/>
      <c r="D200" s="344"/>
      <c r="E200" s="196"/>
      <c r="F200" s="344" t="s">
        <v>229</v>
      </c>
      <c r="G200" s="545" t="s">
        <v>1005</v>
      </c>
      <c r="H200" s="533"/>
      <c r="I200" s="534"/>
      <c r="J200" s="344" t="s">
        <v>229</v>
      </c>
      <c r="K200" s="344" t="s">
        <v>342</v>
      </c>
    </row>
    <row r="201" spans="1:11">
      <c r="A201" s="346" t="s">
        <v>915</v>
      </c>
      <c r="B201" s="345" t="s">
        <v>953</v>
      </c>
      <c r="C201" s="345"/>
      <c r="D201" s="346" t="s">
        <v>337</v>
      </c>
      <c r="E201" s="345"/>
      <c r="F201" s="346" t="str">
        <f>$F$9</f>
        <v>INTERRUPTIBLE</v>
      </c>
      <c r="G201" s="546" t="s">
        <v>847</v>
      </c>
      <c r="H201" s="535" t="s">
        <v>848</v>
      </c>
      <c r="I201" s="536" t="s">
        <v>849</v>
      </c>
      <c r="J201" s="346" t="s">
        <v>341</v>
      </c>
      <c r="K201" s="346" t="s">
        <v>340</v>
      </c>
    </row>
    <row r="202" spans="1:11">
      <c r="C202" s="578" t="s">
        <v>347</v>
      </c>
      <c r="D202" s="344"/>
      <c r="E202" s="196"/>
      <c r="G202" s="800">
        <f>$G$10</f>
        <v>3</v>
      </c>
      <c r="H202" s="801">
        <f>$H$10</f>
        <v>4</v>
      </c>
      <c r="I202" s="802">
        <f>$I$10</f>
        <v>5</v>
      </c>
    </row>
    <row r="203" spans="1:11">
      <c r="A203" s="333">
        <v>1</v>
      </c>
      <c r="B203" s="332" t="s">
        <v>26</v>
      </c>
      <c r="D203" s="344"/>
      <c r="E203" s="196"/>
      <c r="G203" s="547"/>
      <c r="H203" s="537"/>
      <c r="I203" s="538"/>
    </row>
    <row r="204" spans="1:11">
      <c r="A204" s="333">
        <v>2</v>
      </c>
      <c r="B204" s="332" t="s">
        <v>823</v>
      </c>
      <c r="D204" s="344"/>
      <c r="E204" s="196"/>
      <c r="G204" s="547"/>
      <c r="H204" s="537"/>
      <c r="I204" s="538"/>
    </row>
    <row r="205" spans="1:11">
      <c r="A205" s="333">
        <v>3</v>
      </c>
      <c r="B205" s="332" t="s">
        <v>27</v>
      </c>
      <c r="D205" s="344"/>
      <c r="E205" s="196"/>
      <c r="G205" s="547"/>
      <c r="H205" s="537"/>
      <c r="I205" s="538"/>
    </row>
    <row r="206" spans="1:11">
      <c r="A206" s="333">
        <v>4</v>
      </c>
      <c r="C206" s="332" t="str">
        <f>'FR-16(7)(v)-1 Functional'!C206</f>
        <v>LIBERALIZED DEPRECIATION</v>
      </c>
      <c r="D206" s="344" t="str">
        <f>'FR-16(7)(v)-1 Functional'!D206</f>
        <v>NP29</v>
      </c>
      <c r="E206" s="332" t="s">
        <v>343</v>
      </c>
      <c r="F206" s="479">
        <f>'FR-16(7)(v)-8 TOT CLASS Alloc'!J206</f>
        <v>962916</v>
      </c>
      <c r="G206" s="548">
        <f>'FR-16(7)(v)-5 DISTR Dem Alloc'!J206</f>
        <v>873507</v>
      </c>
      <c r="H206" s="539">
        <f>'FR-16(7)(v)-3 PROD Comm Alloc'!J206</f>
        <v>346</v>
      </c>
      <c r="I206" s="540">
        <f>'FR-16(7)(v)-6 DISTR Cust Alloc'!J206</f>
        <v>89063</v>
      </c>
      <c r="J206" s="347">
        <f t="shared" ref="J206:J214" si="40">SUM(G206:I206)</f>
        <v>962916</v>
      </c>
      <c r="K206" s="347">
        <f t="shared" ref="K206:K214" si="41">F206-J206</f>
        <v>0</v>
      </c>
    </row>
    <row r="207" spans="1:11">
      <c r="A207" s="333">
        <v>5</v>
      </c>
      <c r="C207" s="332" t="str">
        <f>'FR-16(7)(v)-1 Functional'!C207</f>
        <v>LEASED METERS</v>
      </c>
      <c r="D207" s="344" t="str">
        <f>'FR-16(7)(v)-1 Functional'!D207</f>
        <v>K413</v>
      </c>
      <c r="E207" s="332" t="s">
        <v>343</v>
      </c>
      <c r="F207" s="479">
        <f>'FR-16(7)(v)-8 TOT CLASS Alloc'!J207</f>
        <v>6623</v>
      </c>
      <c r="G207" s="548">
        <f>'FR-16(7)(v)-5 DISTR Dem Alloc'!J207</f>
        <v>0</v>
      </c>
      <c r="H207" s="539">
        <f>'FR-16(7)(v)-3 PROD Comm Alloc'!J207</f>
        <v>0</v>
      </c>
      <c r="I207" s="540">
        <f>'FR-16(7)(v)-6 DISTR Cust Alloc'!J207</f>
        <v>6623</v>
      </c>
      <c r="J207" s="347">
        <f t="shared" si="40"/>
        <v>6623</v>
      </c>
      <c r="K207" s="347">
        <f t="shared" si="41"/>
        <v>0</v>
      </c>
    </row>
    <row r="208" spans="1:11">
      <c r="A208" s="333">
        <v>6</v>
      </c>
      <c r="C208" s="332" t="str">
        <f>'FR-16(7)(v)-1 Functional'!C208</f>
        <v>CONTRIB AID CONSTR</v>
      </c>
      <c r="D208" s="344" t="str">
        <f>'FR-16(7)(v)-1 Functional'!D208</f>
        <v>D249</v>
      </c>
      <c r="E208" s="332" t="s">
        <v>343</v>
      </c>
      <c r="F208" s="479">
        <f>'FR-16(7)(v)-8 TOT CLASS Alloc'!J208</f>
        <v>-3451</v>
      </c>
      <c r="G208" s="548">
        <f>'FR-16(7)(v)-5 DISTR Dem Alloc'!J208</f>
        <v>-3141</v>
      </c>
      <c r="H208" s="539">
        <f>'FR-16(7)(v)-3 PROD Comm Alloc'!J208</f>
        <v>0</v>
      </c>
      <c r="I208" s="540">
        <f>'FR-16(7)(v)-6 DISTR Cust Alloc'!J208</f>
        <v>-310</v>
      </c>
      <c r="J208" s="347">
        <f t="shared" si="40"/>
        <v>-3451</v>
      </c>
      <c r="K208" s="347">
        <f t="shared" si="41"/>
        <v>0</v>
      </c>
    </row>
    <row r="209" spans="1:11">
      <c r="A209" s="333">
        <v>7</v>
      </c>
      <c r="C209" s="332" t="str">
        <f>'FR-16(7)(v)-1 Functional'!C209</f>
        <v>CAPITALIZED INTEREST</v>
      </c>
      <c r="D209" s="344" t="str">
        <f>'FR-16(7)(v)-1 Functional'!D209</f>
        <v>NP29</v>
      </c>
      <c r="E209" s="332" t="s">
        <v>343</v>
      </c>
      <c r="F209" s="479">
        <f>'FR-16(7)(v)-8 TOT CLASS Alloc'!J209</f>
        <v>-17122</v>
      </c>
      <c r="G209" s="548">
        <f>'FR-16(7)(v)-5 DISTR Dem Alloc'!J209</f>
        <v>-15532</v>
      </c>
      <c r="H209" s="539">
        <f>'FR-16(7)(v)-3 PROD Comm Alloc'!J209</f>
        <v>-6</v>
      </c>
      <c r="I209" s="540">
        <f>'FR-16(7)(v)-6 DISTR Cust Alloc'!J209</f>
        <v>-1584</v>
      </c>
      <c r="J209" s="347">
        <f t="shared" si="40"/>
        <v>-17122</v>
      </c>
      <c r="K209" s="347">
        <f t="shared" si="41"/>
        <v>0</v>
      </c>
    </row>
    <row r="210" spans="1:11">
      <c r="A210" s="333">
        <v>8</v>
      </c>
      <c r="C210" s="332" t="str">
        <f>'FR-16(7)(v)-1 Functional'!C210</f>
        <v>AFUDC IN DEBT</v>
      </c>
      <c r="D210" s="344" t="str">
        <f>'FR-16(7)(v)-1 Functional'!D210</f>
        <v>NP29</v>
      </c>
      <c r="E210" s="332" t="s">
        <v>343</v>
      </c>
      <c r="F210" s="479">
        <f>'FR-16(7)(v)-8 TOT CLASS Alloc'!J210</f>
        <v>4617</v>
      </c>
      <c r="G210" s="548">
        <f>'FR-16(7)(v)-5 DISTR Dem Alloc'!J210</f>
        <v>4188</v>
      </c>
      <c r="H210" s="539">
        <f>'FR-16(7)(v)-3 PROD Comm Alloc'!J210</f>
        <v>2</v>
      </c>
      <c r="I210" s="540">
        <f>'FR-16(7)(v)-6 DISTR Cust Alloc'!J210</f>
        <v>427</v>
      </c>
      <c r="J210" s="347">
        <f t="shared" si="40"/>
        <v>4617</v>
      </c>
      <c r="K210" s="347">
        <f t="shared" si="41"/>
        <v>0</v>
      </c>
    </row>
    <row r="211" spans="1:11">
      <c r="A211" s="333">
        <v>9</v>
      </c>
      <c r="C211" s="332" t="str">
        <f>'FR-16(7)(v)-1 Functional'!C211</f>
        <v>CWIP DIFFERENCES</v>
      </c>
      <c r="D211" s="344" t="str">
        <f>'FR-16(7)(v)-1 Functional'!D211</f>
        <v>NP29</v>
      </c>
      <c r="E211" s="332" t="s">
        <v>343</v>
      </c>
      <c r="F211" s="479">
        <f>'FR-16(7)(v)-8 TOT CLASS Alloc'!J211</f>
        <v>0</v>
      </c>
      <c r="G211" s="548">
        <f>'FR-16(7)(v)-5 DISTR Dem Alloc'!J211</f>
        <v>0</v>
      </c>
      <c r="H211" s="539">
        <f>'FR-16(7)(v)-3 PROD Comm Alloc'!J211</f>
        <v>0</v>
      </c>
      <c r="I211" s="540">
        <f>'FR-16(7)(v)-6 DISTR Cust Alloc'!J211</f>
        <v>0</v>
      </c>
      <c r="J211" s="347">
        <f t="shared" si="40"/>
        <v>0</v>
      </c>
      <c r="K211" s="347">
        <f t="shared" si="41"/>
        <v>0</v>
      </c>
    </row>
    <row r="212" spans="1:11">
      <c r="A212" s="333">
        <v>10</v>
      </c>
      <c r="C212" s="332" t="str">
        <f>'FR-16(7)(v)-1 Functional'!C212</f>
        <v>NON-CASH OVERHEADS</v>
      </c>
      <c r="D212" s="344" t="str">
        <f>'FR-16(7)(v)-1 Functional'!D212</f>
        <v>AG39</v>
      </c>
      <c r="E212" s="332" t="s">
        <v>343</v>
      </c>
      <c r="F212" s="479">
        <f>'FR-16(7)(v)-8 TOT CLASS Alloc'!J212</f>
        <v>-5527</v>
      </c>
      <c r="G212" s="548">
        <f>'FR-16(7)(v)-5 DISTR Dem Alloc'!J212</f>
        <v>-4332</v>
      </c>
      <c r="H212" s="539">
        <f>'FR-16(7)(v)-3 PROD Comm Alloc'!J212</f>
        <v>-104</v>
      </c>
      <c r="I212" s="540">
        <f>'FR-16(7)(v)-6 DISTR Cust Alloc'!J212</f>
        <v>-1091</v>
      </c>
      <c r="J212" s="347">
        <f t="shared" si="40"/>
        <v>-5527</v>
      </c>
      <c r="K212" s="347">
        <f t="shared" si="41"/>
        <v>0</v>
      </c>
    </row>
    <row r="213" spans="1:11">
      <c r="A213" s="333">
        <v>11</v>
      </c>
      <c r="C213" s="332" t="str">
        <f>'FR-16(7)(v)-1 Functional'!C213</f>
        <v>PLANT FAS 109</v>
      </c>
      <c r="D213" s="344" t="str">
        <f>'FR-16(7)(v)-1 Functional'!D213</f>
        <v>NP29</v>
      </c>
      <c r="E213" s="332" t="s">
        <v>343</v>
      </c>
      <c r="F213" s="479">
        <f>'FR-16(7)(v)-8 TOT CLASS Alloc'!J213</f>
        <v>0</v>
      </c>
      <c r="G213" s="548">
        <f>'FR-16(7)(v)-5 DISTR Dem Alloc'!J213</f>
        <v>0</v>
      </c>
      <c r="H213" s="539">
        <f>'FR-16(7)(v)-3 PROD Comm Alloc'!J213</f>
        <v>0</v>
      </c>
      <c r="I213" s="540">
        <f>'FR-16(7)(v)-6 DISTR Cust Alloc'!J213</f>
        <v>0</v>
      </c>
      <c r="J213" s="347">
        <f t="shared" si="40"/>
        <v>0</v>
      </c>
      <c r="K213" s="347">
        <f t="shared" si="41"/>
        <v>0</v>
      </c>
    </row>
    <row r="214" spans="1:11">
      <c r="A214" s="333">
        <v>12</v>
      </c>
      <c r="C214" s="365" t="str">
        <f>'FR-16(7)(v)-1 Functional'!C214</f>
        <v>MISCELLANEOUS</v>
      </c>
      <c r="D214" s="344" t="str">
        <f>'FR-16(7)(v)-1 Functional'!D214</f>
        <v>AG39</v>
      </c>
      <c r="F214" s="479">
        <f>'FR-16(7)(v)-8 TOT CLASS Alloc'!J214</f>
        <v>97329</v>
      </c>
      <c r="G214" s="548">
        <f>'FR-16(7)(v)-5 DISTR Dem Alloc'!J214</f>
        <v>76284</v>
      </c>
      <c r="H214" s="539">
        <f>'FR-16(7)(v)-3 PROD Comm Alloc'!J214</f>
        <v>1837</v>
      </c>
      <c r="I214" s="540">
        <f>'FR-16(7)(v)-6 DISTR Cust Alloc'!J214</f>
        <v>19208</v>
      </c>
      <c r="J214" s="347">
        <f t="shared" si="40"/>
        <v>97329</v>
      </c>
      <c r="K214" s="347">
        <f t="shared" si="41"/>
        <v>0</v>
      </c>
    </row>
    <row r="215" spans="1:11">
      <c r="A215" s="333">
        <v>13</v>
      </c>
      <c r="C215" s="339" t="str">
        <f>'FR-16(7)(v)-1 Functional'!C215</f>
        <v xml:space="preserve">  TOTAL ACCOUNT 282</v>
      </c>
      <c r="D215" s="344"/>
      <c r="F215" s="348">
        <f t="shared" ref="F215:K215" si="42">SUM(F206:F214)</f>
        <v>1045385</v>
      </c>
      <c r="G215" s="549">
        <f t="shared" si="42"/>
        <v>930974</v>
      </c>
      <c r="H215" s="541">
        <f t="shared" si="42"/>
        <v>2075</v>
      </c>
      <c r="I215" s="542">
        <f t="shared" si="42"/>
        <v>112336</v>
      </c>
      <c r="J215" s="348">
        <f t="shared" si="42"/>
        <v>1045385</v>
      </c>
      <c r="K215" s="348">
        <f t="shared" si="42"/>
        <v>0</v>
      </c>
    </row>
    <row r="216" spans="1:11">
      <c r="A216" s="333">
        <v>14</v>
      </c>
      <c r="D216" s="344"/>
      <c r="E216" s="196"/>
      <c r="G216" s="547"/>
      <c r="H216" s="537"/>
      <c r="I216" s="538"/>
    </row>
    <row r="217" spans="1:11">
      <c r="A217" s="333">
        <v>15</v>
      </c>
      <c r="B217" s="332" t="s">
        <v>28</v>
      </c>
      <c r="D217" s="344"/>
      <c r="E217" s="196"/>
      <c r="G217" s="547"/>
      <c r="H217" s="537"/>
      <c r="I217" s="538"/>
    </row>
    <row r="218" spans="1:11">
      <c r="A218" s="333">
        <v>16</v>
      </c>
      <c r="C218" s="332" t="str">
        <f>'FR-16(7)(v)-1 Functional'!C218</f>
        <v>BLANK</v>
      </c>
      <c r="D218" s="344" t="str">
        <f>'FR-16(7)(v)-1 Functional'!D218</f>
        <v>K413</v>
      </c>
      <c r="F218" s="479">
        <f>'FR-16(7)(v)-8 TOT CLASS Alloc'!J218</f>
        <v>0</v>
      </c>
      <c r="G218" s="548">
        <f>'FR-16(7)(v)-5 DISTR Dem Alloc'!J218</f>
        <v>0</v>
      </c>
      <c r="H218" s="539">
        <f>'FR-16(7)(v)-3 PROD Comm Alloc'!J218</f>
        <v>0</v>
      </c>
      <c r="I218" s="540">
        <f>'FR-16(7)(v)-6 DISTR Cust Alloc'!J218</f>
        <v>0</v>
      </c>
      <c r="J218" s="347">
        <f t="shared" ref="J218:J228" si="43">SUM(G218:I218)</f>
        <v>0</v>
      </c>
      <c r="K218" s="347">
        <f t="shared" ref="K218:K228" si="44">F218-J218</f>
        <v>0</v>
      </c>
    </row>
    <row r="219" spans="1:11">
      <c r="A219" s="333">
        <v>17</v>
      </c>
      <c r="C219" s="332" t="str">
        <f>'FR-16(7)(v)-1 Functional'!C219</f>
        <v>BLANK</v>
      </c>
      <c r="D219" s="344" t="str">
        <f>'FR-16(7)(v)-1 Functional'!D219</f>
        <v>K413</v>
      </c>
      <c r="F219" s="479">
        <f>'FR-16(7)(v)-8 TOT CLASS Alloc'!J219</f>
        <v>0</v>
      </c>
      <c r="G219" s="548">
        <f>'FR-16(7)(v)-5 DISTR Dem Alloc'!J219</f>
        <v>0</v>
      </c>
      <c r="H219" s="539">
        <f>'FR-16(7)(v)-3 PROD Comm Alloc'!J219</f>
        <v>0</v>
      </c>
      <c r="I219" s="540">
        <f>'FR-16(7)(v)-6 DISTR Cust Alloc'!J219</f>
        <v>0</v>
      </c>
      <c r="J219" s="347">
        <f t="shared" si="43"/>
        <v>0</v>
      </c>
      <c r="K219" s="347">
        <f t="shared" si="44"/>
        <v>0</v>
      </c>
    </row>
    <row r="220" spans="1:11">
      <c r="A220" s="333">
        <v>18</v>
      </c>
      <c r="C220" s="332" t="str">
        <f>'FR-16(7)(v)-1 Functional'!C220</f>
        <v>UNRECOVERED PURCHASED GAS COST</v>
      </c>
      <c r="D220" s="344" t="str">
        <f>'FR-16(7)(v)-1 Functional'!D220</f>
        <v>AG39</v>
      </c>
      <c r="F220" s="479">
        <f>'FR-16(7)(v)-8 TOT CLASS Alloc'!J220</f>
        <v>207</v>
      </c>
      <c r="G220" s="548">
        <f>'FR-16(7)(v)-5 DISTR Dem Alloc'!J220</f>
        <v>162</v>
      </c>
      <c r="H220" s="539">
        <f>'FR-16(7)(v)-3 PROD Comm Alloc'!J220</f>
        <v>4</v>
      </c>
      <c r="I220" s="540">
        <f>'FR-16(7)(v)-6 DISTR Cust Alloc'!J220</f>
        <v>41</v>
      </c>
      <c r="J220" s="347">
        <f t="shared" si="43"/>
        <v>207</v>
      </c>
      <c r="K220" s="347">
        <f t="shared" si="44"/>
        <v>0</v>
      </c>
    </row>
    <row r="221" spans="1:11">
      <c r="A221" s="333">
        <v>19</v>
      </c>
      <c r="C221" s="332" t="str">
        <f>'FR-16(7)(v)-1 Functional'!C221</f>
        <v>ENVIRONMENTAL RESERVE</v>
      </c>
      <c r="D221" s="344" t="str">
        <f>'FR-16(7)(v)-1 Functional'!D221</f>
        <v>NP29</v>
      </c>
      <c r="F221" s="479">
        <f>'FR-16(7)(v)-8 TOT CLASS Alloc'!J221</f>
        <v>0</v>
      </c>
      <c r="G221" s="548">
        <f>'FR-16(7)(v)-5 DISTR Dem Alloc'!J221</f>
        <v>0</v>
      </c>
      <c r="H221" s="539">
        <f>'FR-16(7)(v)-3 PROD Comm Alloc'!J221</f>
        <v>0</v>
      </c>
      <c r="I221" s="540">
        <f>'FR-16(7)(v)-6 DISTR Cust Alloc'!J221</f>
        <v>0</v>
      </c>
      <c r="J221" s="347">
        <f t="shared" si="43"/>
        <v>0</v>
      </c>
      <c r="K221" s="347">
        <f t="shared" si="44"/>
        <v>0</v>
      </c>
    </row>
    <row r="222" spans="1:11">
      <c r="A222" s="333">
        <v>20</v>
      </c>
      <c r="C222" s="332" t="str">
        <f>'FR-16(7)(v)-1 Functional'!C222</f>
        <v>POST IN-SERVICE CARRYING COSTS</v>
      </c>
      <c r="D222" s="344" t="str">
        <f>'FR-16(7)(v)-1 Functional'!D222</f>
        <v>K667</v>
      </c>
      <c r="F222" s="479">
        <f>'FR-16(7)(v)-8 TOT CLASS Alloc'!J222</f>
        <v>0</v>
      </c>
      <c r="G222" s="548">
        <f>'FR-16(7)(v)-5 DISTR Dem Alloc'!J222</f>
        <v>0</v>
      </c>
      <c r="H222" s="539">
        <f>'FR-16(7)(v)-3 PROD Comm Alloc'!J222</f>
        <v>0</v>
      </c>
      <c r="I222" s="540">
        <f>'FR-16(7)(v)-6 DISTR Cust Alloc'!J222</f>
        <v>0</v>
      </c>
      <c r="J222" s="347">
        <f t="shared" si="43"/>
        <v>0</v>
      </c>
      <c r="K222" s="347">
        <f t="shared" si="44"/>
        <v>0</v>
      </c>
    </row>
    <row r="223" spans="1:11">
      <c r="A223" s="333">
        <v>21</v>
      </c>
      <c r="C223" s="332" t="str">
        <f>'FR-16(7)(v)-1 Functional'!C223</f>
        <v>ARO CUMULATIVE EFFECT</v>
      </c>
      <c r="D223" s="344" t="str">
        <f>'FR-16(7)(v)-1 Functional'!D223</f>
        <v>NP29</v>
      </c>
      <c r="F223" s="479">
        <f>'FR-16(7)(v)-8 TOT CLASS Alloc'!J223</f>
        <v>0</v>
      </c>
      <c r="G223" s="548">
        <f>'FR-16(7)(v)-5 DISTR Dem Alloc'!J223</f>
        <v>0</v>
      </c>
      <c r="H223" s="539">
        <f>'FR-16(7)(v)-3 PROD Comm Alloc'!J223</f>
        <v>0</v>
      </c>
      <c r="I223" s="540">
        <f>'FR-16(7)(v)-6 DISTR Cust Alloc'!J223</f>
        <v>0</v>
      </c>
      <c r="J223" s="347">
        <f t="shared" si="43"/>
        <v>0</v>
      </c>
      <c r="K223" s="347">
        <f t="shared" si="44"/>
        <v>0</v>
      </c>
    </row>
    <row r="224" spans="1:11">
      <c r="A224" s="333">
        <v>22</v>
      </c>
      <c r="C224" s="332" t="str">
        <f>'FR-16(7)(v)-1 Functional'!C224</f>
        <v>LOSS ON REACQUIRED DEBT</v>
      </c>
      <c r="D224" s="344" t="str">
        <f>'FR-16(7)(v)-1 Functional'!D224</f>
        <v>NP29</v>
      </c>
      <c r="F224" s="479">
        <f>'FR-16(7)(v)-8 TOT CLASS Alloc'!J224</f>
        <v>312</v>
      </c>
      <c r="G224" s="548">
        <f>'FR-16(7)(v)-5 DISTR Dem Alloc'!J224</f>
        <v>283</v>
      </c>
      <c r="H224" s="539">
        <f>'FR-16(7)(v)-3 PROD Comm Alloc'!J224</f>
        <v>0</v>
      </c>
      <c r="I224" s="540">
        <f>'FR-16(7)(v)-6 DISTR Cust Alloc'!J224</f>
        <v>29</v>
      </c>
      <c r="J224" s="347">
        <f t="shared" si="43"/>
        <v>312</v>
      </c>
      <c r="K224" s="347">
        <f t="shared" si="44"/>
        <v>0</v>
      </c>
    </row>
    <row r="225" spans="1:11">
      <c r="A225" s="333">
        <v>23</v>
      </c>
      <c r="C225" s="332" t="str">
        <f>'FR-16(7)(v)-1 Functional'!C225</f>
        <v>VACATION PAY ACCRUAL</v>
      </c>
      <c r="D225" s="344" t="str">
        <f>'FR-16(7)(v)-1 Functional'!D225</f>
        <v>AG39</v>
      </c>
      <c r="F225" s="479">
        <f>'FR-16(7)(v)-8 TOT CLASS Alloc'!J225</f>
        <v>944</v>
      </c>
      <c r="G225" s="548">
        <f>'FR-16(7)(v)-5 DISTR Dem Alloc'!J225</f>
        <v>740</v>
      </c>
      <c r="H225" s="539">
        <f>'FR-16(7)(v)-3 PROD Comm Alloc'!J225</f>
        <v>18</v>
      </c>
      <c r="I225" s="540">
        <f>'FR-16(7)(v)-6 DISTR Cust Alloc'!J225</f>
        <v>186</v>
      </c>
      <c r="J225" s="347">
        <f t="shared" si="43"/>
        <v>944</v>
      </c>
      <c r="K225" s="347">
        <f t="shared" si="44"/>
        <v>0</v>
      </c>
    </row>
    <row r="226" spans="1:11">
      <c r="A226" s="333">
        <v>24</v>
      </c>
      <c r="C226" s="618" t="str">
        <f>'FR-16(7)(v)-1 Functional'!C226</f>
        <v>RATE CASE EXPENSE AMORT</v>
      </c>
      <c r="D226" s="344" t="str">
        <f>'FR-16(7)(v)-1 Functional'!D226</f>
        <v>AG39</v>
      </c>
      <c r="F226" s="479">
        <f>'FR-16(7)(v)-8 TOT CLASS Alloc'!J226</f>
        <v>-258</v>
      </c>
      <c r="G226" s="548">
        <f>'FR-16(7)(v)-5 DISTR Dem Alloc'!J226</f>
        <v>-202</v>
      </c>
      <c r="H226" s="539">
        <f>'FR-16(7)(v)-3 PROD Comm Alloc'!J226</f>
        <v>-5</v>
      </c>
      <c r="I226" s="540">
        <f>'FR-16(7)(v)-6 DISTR Cust Alloc'!J226</f>
        <v>-51</v>
      </c>
      <c r="J226" s="347">
        <f>SUM(G226:I226)</f>
        <v>-258</v>
      </c>
      <c r="K226" s="347">
        <f>F226-J226</f>
        <v>0</v>
      </c>
    </row>
    <row r="227" spans="1:11">
      <c r="A227" s="333">
        <v>25</v>
      </c>
      <c r="C227" s="332" t="str">
        <f>'FR-16(7)(v)-1 Functional'!C227</f>
        <v>PENSION</v>
      </c>
      <c r="D227" s="344" t="str">
        <f>'FR-16(7)(v)-1 Functional'!D227</f>
        <v>AG39</v>
      </c>
      <c r="F227" s="479">
        <f>'FR-16(7)(v)-8 TOT CLASS Alloc'!J227</f>
        <v>16505</v>
      </c>
      <c r="G227" s="548">
        <f>'FR-16(7)(v)-5 DISTR Dem Alloc'!J227</f>
        <v>12936</v>
      </c>
      <c r="H227" s="539">
        <f>'FR-16(7)(v)-3 PROD Comm Alloc'!J227</f>
        <v>312</v>
      </c>
      <c r="I227" s="540">
        <f>'FR-16(7)(v)-6 DISTR Cust Alloc'!J227</f>
        <v>3257</v>
      </c>
      <c r="J227" s="347">
        <f>SUM(G227:I227)</f>
        <v>16505</v>
      </c>
      <c r="K227" s="347">
        <f>F227-J227</f>
        <v>0</v>
      </c>
    </row>
    <row r="228" spans="1:11">
      <c r="A228" s="333">
        <v>26</v>
      </c>
      <c r="C228" s="365" t="str">
        <f>'FR-16(7)(v)-1 Functional'!C228</f>
        <v>MISCELLANEOUS</v>
      </c>
      <c r="D228" s="344" t="str">
        <f>'FR-16(7)(v)-1 Functional'!D228</f>
        <v>K406</v>
      </c>
      <c r="F228" s="479">
        <f>'FR-16(7)(v)-8 TOT CLASS Alloc'!J228</f>
        <v>159</v>
      </c>
      <c r="G228" s="548">
        <f>'FR-16(7)(v)-5 DISTR Dem Alloc'!J228</f>
        <v>0</v>
      </c>
      <c r="H228" s="539">
        <f>'FR-16(7)(v)-3 PROD Comm Alloc'!J228</f>
        <v>0</v>
      </c>
      <c r="I228" s="540">
        <f>'FR-16(7)(v)-6 DISTR Cust Alloc'!J228</f>
        <v>159</v>
      </c>
      <c r="J228" s="347">
        <f t="shared" si="43"/>
        <v>159</v>
      </c>
      <c r="K228" s="347">
        <f t="shared" si="44"/>
        <v>0</v>
      </c>
    </row>
    <row r="229" spans="1:11">
      <c r="A229" s="333">
        <v>27</v>
      </c>
      <c r="C229" s="339" t="str">
        <f>'FR-16(7)(v)-1 Functional'!C229</f>
        <v xml:space="preserve">  TOTAL ACCOUNT 283</v>
      </c>
      <c r="D229" s="344"/>
      <c r="F229" s="348">
        <f t="shared" ref="F229:K229" si="45">SUM(F217:F228)</f>
        <v>17869</v>
      </c>
      <c r="G229" s="549">
        <f t="shared" si="45"/>
        <v>13919</v>
      </c>
      <c r="H229" s="541">
        <f t="shared" si="45"/>
        <v>329</v>
      </c>
      <c r="I229" s="542">
        <f t="shared" si="45"/>
        <v>3621</v>
      </c>
      <c r="J229" s="348">
        <f t="shared" si="45"/>
        <v>17869</v>
      </c>
      <c r="K229" s="348">
        <f t="shared" si="45"/>
        <v>0</v>
      </c>
    </row>
    <row r="230" spans="1:11">
      <c r="A230" s="333">
        <v>28</v>
      </c>
      <c r="D230" s="344"/>
      <c r="E230" s="196"/>
      <c r="G230" s="547"/>
      <c r="H230" s="537"/>
      <c r="I230" s="538"/>
    </row>
    <row r="231" spans="1:11">
      <c r="A231" s="333">
        <v>29</v>
      </c>
      <c r="B231" s="353" t="s">
        <v>824</v>
      </c>
      <c r="C231" s="353"/>
      <c r="D231" s="344"/>
      <c r="E231" s="196"/>
      <c r="G231" s="547"/>
      <c r="H231" s="537"/>
      <c r="I231" s="538"/>
    </row>
    <row r="232" spans="1:11">
      <c r="A232" s="333">
        <v>30</v>
      </c>
      <c r="C232" s="332" t="str">
        <f>'FR-16(7)(v)-1 Functional'!C232</f>
        <v>CUSTOMER ADVANCES FOR CONSTRUCTION</v>
      </c>
      <c r="D232" s="344" t="s">
        <v>312</v>
      </c>
      <c r="E232" s="196"/>
      <c r="F232" s="479">
        <f>'FR-16(7)(v)-8 TOT CLASS Alloc'!J232</f>
        <v>29448</v>
      </c>
      <c r="G232" s="548">
        <f>'FR-16(7)(v)-5 DISTR Dem Alloc'!J232</f>
        <v>26800</v>
      </c>
      <c r="H232" s="539">
        <f>'FR-16(7)(v)-3 PROD Comm Alloc'!J232</f>
        <v>0</v>
      </c>
      <c r="I232" s="540">
        <f>'FR-16(7)(v)-6 DISTR Cust Alloc'!J232</f>
        <v>2648</v>
      </c>
      <c r="J232" s="347">
        <f>SUM(G232:I232)</f>
        <v>29448</v>
      </c>
      <c r="K232" s="347">
        <f>F232-J232</f>
        <v>0</v>
      </c>
    </row>
    <row r="233" spans="1:11">
      <c r="A233" s="333">
        <v>31</v>
      </c>
      <c r="C233" s="332" t="str">
        <f>'FR-16(7)(v)-1 Functional'!C233</f>
        <v>CUSTOMER SERVICE DEPOSITS</v>
      </c>
      <c r="D233" s="344" t="str">
        <f>'FR-16(7)(v)-1 Functional'!D233</f>
        <v>D249</v>
      </c>
      <c r="E233" s="196"/>
      <c r="F233" s="479">
        <f>'FR-16(7)(v)-8 TOT CLASS Alloc'!J233</f>
        <v>0</v>
      </c>
      <c r="G233" s="548">
        <f>'FR-16(7)(v)-5 DISTR Dem Alloc'!J233</f>
        <v>0</v>
      </c>
      <c r="H233" s="539">
        <f>'FR-16(7)(v)-3 PROD Comm Alloc'!J233</f>
        <v>0</v>
      </c>
      <c r="I233" s="540">
        <f>'FR-16(7)(v)-6 DISTR Cust Alloc'!J233</f>
        <v>0</v>
      </c>
      <c r="J233" s="347">
        <f>SUM(G233:I233)</f>
        <v>0</v>
      </c>
      <c r="K233" s="347">
        <f>F233-J233</f>
        <v>0</v>
      </c>
    </row>
    <row r="234" spans="1:11">
      <c r="A234" s="333">
        <v>32</v>
      </c>
      <c r="C234" s="332" t="str">
        <f>'FR-16(7)(v)-1 Functional'!C234</f>
        <v>POST RETIREMENT BENEFITS</v>
      </c>
      <c r="D234" s="344" t="str">
        <f>'FR-16(7)(v)-1 Functional'!D234</f>
        <v>AG39</v>
      </c>
      <c r="E234" s="196"/>
      <c r="F234" s="479">
        <f>'FR-16(7)(v)-8 TOT CLASS Alloc'!J234</f>
        <v>0</v>
      </c>
      <c r="G234" s="548">
        <f>'FR-16(7)(v)-5 DISTR Dem Alloc'!J234</f>
        <v>0</v>
      </c>
      <c r="H234" s="539">
        <f>'FR-16(7)(v)-3 PROD Comm Alloc'!J234</f>
        <v>0</v>
      </c>
      <c r="I234" s="540">
        <f>'FR-16(7)(v)-6 DISTR Cust Alloc'!J234</f>
        <v>0</v>
      </c>
      <c r="J234" s="347">
        <f>SUM(G234:I234)</f>
        <v>0</v>
      </c>
      <c r="K234" s="347">
        <f>F234-J234</f>
        <v>0</v>
      </c>
    </row>
    <row r="235" spans="1:11">
      <c r="A235" s="333">
        <v>33</v>
      </c>
      <c r="C235" s="365" t="str">
        <f>'FR-16(7)(v)-1 Functional'!C235</f>
        <v>EDIT</v>
      </c>
      <c r="D235" s="344" t="str">
        <f>'FR-16(7)(v)-1 Functional'!D235</f>
        <v>NP29</v>
      </c>
      <c r="E235" s="196"/>
      <c r="F235" s="479">
        <f>'FR-16(7)(v)-8 TOT CLASS Alloc'!J235</f>
        <v>571015</v>
      </c>
      <c r="G235" s="548">
        <f>'FR-16(7)(v)-5 DISTR Dem Alloc'!J235</f>
        <v>517995</v>
      </c>
      <c r="H235" s="539">
        <f>'FR-16(7)(v)-3 PROD Comm Alloc'!J235</f>
        <v>205</v>
      </c>
      <c r="I235" s="540">
        <f>'FR-16(7)(v)-6 DISTR Cust Alloc'!J235</f>
        <v>52815</v>
      </c>
      <c r="J235" s="347">
        <f>SUM(G235:I235)</f>
        <v>571015</v>
      </c>
      <c r="K235" s="347">
        <f>F235-J235</f>
        <v>0</v>
      </c>
    </row>
    <row r="236" spans="1:11">
      <c r="A236" s="333">
        <v>34</v>
      </c>
      <c r="C236" s="339" t="str">
        <f>'FR-16(7)(v)-1 Functional'!C236</f>
        <v xml:space="preserve">  TOTAL OTHER SUBTRACTIVE ADJS</v>
      </c>
      <c r="D236" s="344"/>
      <c r="E236" s="196"/>
      <c r="F236" s="348">
        <f t="shared" ref="F236:K236" si="46">SUM(F231:F235)</f>
        <v>600463</v>
      </c>
      <c r="G236" s="549">
        <f t="shared" si="46"/>
        <v>544795</v>
      </c>
      <c r="H236" s="541">
        <f t="shared" si="46"/>
        <v>205</v>
      </c>
      <c r="I236" s="542">
        <f t="shared" si="46"/>
        <v>55463</v>
      </c>
      <c r="J236" s="348">
        <f t="shared" si="46"/>
        <v>600463</v>
      </c>
      <c r="K236" s="348">
        <f t="shared" si="46"/>
        <v>0</v>
      </c>
    </row>
    <row r="237" spans="1:11">
      <c r="A237" s="333">
        <v>35</v>
      </c>
      <c r="D237" s="344"/>
      <c r="E237" s="196"/>
      <c r="G237" s="547"/>
      <c r="H237" s="537"/>
      <c r="I237" s="538"/>
    </row>
    <row r="238" spans="1:11">
      <c r="A238" s="333">
        <v>36</v>
      </c>
      <c r="B238" s="332" t="s">
        <v>828</v>
      </c>
      <c r="D238" s="344"/>
      <c r="E238" s="196"/>
      <c r="F238" s="347">
        <f t="shared" ref="F238:K238" si="47">F236+F229+F215</f>
        <v>1663717</v>
      </c>
      <c r="G238" s="550">
        <f t="shared" si="47"/>
        <v>1489688</v>
      </c>
      <c r="H238" s="543">
        <f t="shared" si="47"/>
        <v>2609</v>
      </c>
      <c r="I238" s="544">
        <f t="shared" si="47"/>
        <v>171420</v>
      </c>
      <c r="J238" s="347">
        <f t="shared" si="47"/>
        <v>1663717</v>
      </c>
      <c r="K238" s="347">
        <f t="shared" si="47"/>
        <v>0</v>
      </c>
    </row>
    <row r="239" spans="1:11">
      <c r="B239" s="343"/>
      <c r="C239" s="196"/>
      <c r="D239" s="344"/>
      <c r="E239" s="196"/>
      <c r="F239" s="196"/>
      <c r="G239" s="196"/>
      <c r="H239" s="196"/>
      <c r="I239" s="196"/>
      <c r="J239" s="196"/>
      <c r="K239" s="196"/>
    </row>
    <row r="240" spans="1:11">
      <c r="A240" s="343" t="str">
        <f>co_name</f>
        <v>DUKE ENERGY KENTUCKY, INC.</v>
      </c>
      <c r="C240" s="196"/>
      <c r="D240" s="344"/>
      <c r="E240" s="196"/>
      <c r="F240" s="196"/>
      <c r="G240" s="196"/>
      <c r="H240" s="196"/>
      <c r="I240" s="196"/>
      <c r="J240" s="196" t="str">
        <f>$J$1</f>
        <v>FR-16(7)(v)-12</v>
      </c>
      <c r="K240" s="196"/>
    </row>
    <row r="241" spans="1:11">
      <c r="A241" s="343" t="str">
        <f>$A$2</f>
        <v>INTERRUPTIBLE TRANSPORTATION CLASSIFIED - GAS COST OF SERVICE</v>
      </c>
      <c r="C241" s="196"/>
      <c r="D241" s="344"/>
      <c r="E241" s="196"/>
      <c r="F241" s="196"/>
      <c r="G241" s="196"/>
      <c r="H241" s="196"/>
      <c r="I241" s="196"/>
      <c r="J241" s="196" t="str">
        <f>$J$2</f>
        <v>WITNESS RESPONSIBLE:</v>
      </c>
      <c r="K241" s="196"/>
    </row>
    <row r="242" spans="1:11">
      <c r="A242" s="343" t="str">
        <f>case_name</f>
        <v>CASE NO: 2018-00261</v>
      </c>
      <c r="C242" s="196"/>
      <c r="D242" s="344"/>
      <c r="E242" s="196"/>
      <c r="F242" s="196"/>
      <c r="G242" s="196"/>
      <c r="H242" s="196"/>
      <c r="I242" s="196"/>
      <c r="J242" s="196" t="str">
        <f>Witness</f>
        <v>JAMES E. ZIOLKOWSKI</v>
      </c>
      <c r="K242" s="196"/>
    </row>
    <row r="243" spans="1:11">
      <c r="A243" s="343" t="str">
        <f>data_filing</f>
        <v>DATA: 12 MONTH FORECASTED PERIOD</v>
      </c>
      <c r="C243" s="196"/>
      <c r="D243" s="344"/>
      <c r="E243" s="196"/>
      <c r="F243" s="196"/>
      <c r="G243" s="196"/>
      <c r="H243" s="196"/>
      <c r="I243" s="196"/>
      <c r="J243" s="196" t="str">
        <f>"PAGE "&amp;Pages2-9&amp;" OF "&amp;Pages2</f>
        <v>PAGE 6 OF 15</v>
      </c>
      <c r="K243" s="196"/>
    </row>
    <row r="244" spans="1:11">
      <c r="A244" s="343" t="str">
        <f>type</f>
        <v xml:space="preserve">TYPE OF FILING: "X" ORIGINAL   UPDATED    REVISED  </v>
      </c>
      <c r="C244" s="196"/>
      <c r="D244" s="344"/>
      <c r="E244" s="196"/>
      <c r="F244" s="196"/>
      <c r="G244" s="196"/>
      <c r="H244" s="196"/>
      <c r="I244" s="196"/>
      <c r="J244" s="196"/>
      <c r="K244" s="196"/>
    </row>
    <row r="245" spans="1:11">
      <c r="B245" s="343"/>
      <c r="C245" s="196"/>
      <c r="D245" s="344"/>
      <c r="E245" s="196"/>
      <c r="F245" s="196"/>
      <c r="G245" s="196"/>
      <c r="H245" s="196"/>
      <c r="I245" s="196"/>
      <c r="J245" s="196"/>
      <c r="K245" s="196"/>
    </row>
    <row r="246" spans="1:11">
      <c r="B246" s="343"/>
      <c r="C246" s="196"/>
      <c r="D246" s="344"/>
      <c r="E246" s="196"/>
      <c r="F246" s="196"/>
      <c r="G246" s="196"/>
      <c r="H246" s="196"/>
      <c r="I246" s="196"/>
      <c r="J246" s="196"/>
      <c r="K246" s="196"/>
    </row>
    <row r="247" spans="1:11">
      <c r="A247" s="344" t="s">
        <v>914</v>
      </c>
      <c r="B247" s="196"/>
      <c r="C247" s="196"/>
      <c r="D247" s="344"/>
      <c r="E247" s="196"/>
      <c r="F247" s="344" t="s">
        <v>229</v>
      </c>
      <c r="G247" s="545" t="s">
        <v>1005</v>
      </c>
      <c r="H247" s="533"/>
      <c r="I247" s="534"/>
      <c r="J247" s="344" t="s">
        <v>229</v>
      </c>
      <c r="K247" s="344" t="s">
        <v>342</v>
      </c>
    </row>
    <row r="248" spans="1:11">
      <c r="A248" s="346" t="s">
        <v>915</v>
      </c>
      <c r="B248" s="345" t="s">
        <v>954</v>
      </c>
      <c r="C248" s="345"/>
      <c r="D248" s="346" t="s">
        <v>337</v>
      </c>
      <c r="E248" s="345"/>
      <c r="F248" s="346" t="str">
        <f>$F$9</f>
        <v>INTERRUPTIBLE</v>
      </c>
      <c r="G248" s="546" t="s">
        <v>847</v>
      </c>
      <c r="H248" s="535" t="s">
        <v>848</v>
      </c>
      <c r="I248" s="536" t="s">
        <v>849</v>
      </c>
      <c r="J248" s="346" t="s">
        <v>341</v>
      </c>
      <c r="K248" s="346" t="s">
        <v>340</v>
      </c>
    </row>
    <row r="249" spans="1:11">
      <c r="C249" s="578" t="s">
        <v>558</v>
      </c>
      <c r="D249" s="344"/>
      <c r="E249" s="196"/>
      <c r="G249" s="800">
        <f>$G$10</f>
        <v>3</v>
      </c>
      <c r="H249" s="801">
        <f>$H$10</f>
        <v>4</v>
      </c>
      <c r="I249" s="802">
        <f>$I$10</f>
        <v>5</v>
      </c>
    </row>
    <row r="250" spans="1:11">
      <c r="A250" s="333">
        <v>1</v>
      </c>
      <c r="B250" s="332" t="s">
        <v>826</v>
      </c>
      <c r="D250" s="344"/>
      <c r="E250" s="196"/>
      <c r="G250" s="551"/>
      <c r="H250" s="552"/>
      <c r="I250" s="553"/>
    </row>
    <row r="251" spans="1:11">
      <c r="A251" s="333">
        <v>2</v>
      </c>
      <c r="B251" s="332" t="s">
        <v>29</v>
      </c>
      <c r="D251" s="344"/>
      <c r="E251" s="196"/>
      <c r="G251" s="547"/>
      <c r="H251" s="537"/>
      <c r="I251" s="538"/>
    </row>
    <row r="252" spans="1:11">
      <c r="A252" s="333">
        <v>3</v>
      </c>
      <c r="C252" s="332" t="str">
        <f>'FR-16(7)(v)-1 Functional'!C252</f>
        <v>UNCOLLECTIBLE ACCTS</v>
      </c>
      <c r="D252" s="344" t="str">
        <f>'FR-16(7)(v)-1 Functional'!D252</f>
        <v>K406</v>
      </c>
      <c r="F252" s="479">
        <f>'FR-16(7)(v)-8 TOT CLASS Alloc'!J252</f>
        <v>1</v>
      </c>
      <c r="G252" s="548">
        <f>'FR-16(7)(v)-5 DISTR Dem Alloc'!J252</f>
        <v>0</v>
      </c>
      <c r="H252" s="539">
        <f>'FR-16(7)(v)-3 PROD Comm Alloc'!J252</f>
        <v>0</v>
      </c>
      <c r="I252" s="540">
        <f>'FR-16(7)(v)-6 DISTR Cust Alloc'!J252</f>
        <v>1</v>
      </c>
      <c r="J252" s="347">
        <f t="shared" ref="J252:J274" si="48">SUM(G252:I252)</f>
        <v>1</v>
      </c>
      <c r="K252" s="347">
        <f t="shared" ref="K252:K274" si="49">F252-J252</f>
        <v>0</v>
      </c>
    </row>
    <row r="253" spans="1:11">
      <c r="A253" s="333">
        <v>4</v>
      </c>
      <c r="C253" s="332" t="str">
        <f>'FR-16(7)(v)-1 Functional'!C253</f>
        <v>GAS SUPPLIER REFUND</v>
      </c>
      <c r="D253" s="344" t="str">
        <f>'FR-16(7)(v)-1 Functional'!D253</f>
        <v>K300</v>
      </c>
      <c r="F253" s="479">
        <f>'FR-16(7)(v)-8 TOT CLASS Alloc'!J253</f>
        <v>5154</v>
      </c>
      <c r="G253" s="548">
        <f>'FR-16(7)(v)-5 DISTR Dem Alloc'!J253</f>
        <v>0</v>
      </c>
      <c r="H253" s="539">
        <f>'FR-16(7)(v)-3 PROD Comm Alloc'!J253</f>
        <v>5154</v>
      </c>
      <c r="I253" s="540">
        <f>'FR-16(7)(v)-6 DISTR Cust Alloc'!J253</f>
        <v>0</v>
      </c>
      <c r="J253" s="347">
        <f t="shared" si="48"/>
        <v>5154</v>
      </c>
      <c r="K253" s="347">
        <f t="shared" si="49"/>
        <v>0</v>
      </c>
    </row>
    <row r="254" spans="1:11">
      <c r="A254" s="333">
        <v>5</v>
      </c>
      <c r="C254" s="332" t="str">
        <f>'FR-16(7)(v)-1 Functional'!C254</f>
        <v>UNBILLED REVENUE - FUEL &amp; RATE REFUNDS</v>
      </c>
      <c r="D254" s="344" t="str">
        <f>'FR-16(7)(v)-1 Functional'!D254</f>
        <v>K300</v>
      </c>
      <c r="F254" s="479">
        <f>'FR-16(7)(v)-8 TOT CLASS Alloc'!J254</f>
        <v>93404</v>
      </c>
      <c r="G254" s="548">
        <f>'FR-16(7)(v)-5 DISTR Dem Alloc'!J254</f>
        <v>0</v>
      </c>
      <c r="H254" s="539">
        <f>'FR-16(7)(v)-3 PROD Comm Alloc'!J254</f>
        <v>93404</v>
      </c>
      <c r="I254" s="540">
        <f>'FR-16(7)(v)-6 DISTR Cust Alloc'!J254</f>
        <v>0</v>
      </c>
      <c r="J254" s="347">
        <f t="shared" si="48"/>
        <v>93404</v>
      </c>
      <c r="K254" s="347">
        <f t="shared" si="49"/>
        <v>0</v>
      </c>
    </row>
    <row r="255" spans="1:11">
      <c r="A255" s="333">
        <v>6</v>
      </c>
      <c r="C255" s="353" t="str">
        <f>'FR-16(7)(v)-1 Functional'!C255</f>
        <v>OFFSITE GAS STORAGE</v>
      </c>
      <c r="D255" s="344" t="str">
        <f>'FR-16(7)(v)-1 Functional'!D255</f>
        <v>K300</v>
      </c>
      <c r="F255" s="479">
        <f>'FR-16(7)(v)-8 TOT CLASS Alloc'!J255</f>
        <v>11387</v>
      </c>
      <c r="G255" s="548">
        <f>'FR-16(7)(v)-5 DISTR Dem Alloc'!J255</f>
        <v>0</v>
      </c>
      <c r="H255" s="539">
        <f>'FR-16(7)(v)-3 PROD Comm Alloc'!J255</f>
        <v>11387</v>
      </c>
      <c r="I255" s="540">
        <f>'FR-16(7)(v)-6 DISTR Cust Alloc'!J255</f>
        <v>0</v>
      </c>
      <c r="J255" s="347">
        <f t="shared" si="48"/>
        <v>11387</v>
      </c>
      <c r="K255" s="347">
        <f t="shared" si="49"/>
        <v>0</v>
      </c>
    </row>
    <row r="256" spans="1:11">
      <c r="A256" s="333">
        <v>7</v>
      </c>
      <c r="C256" s="332" t="str">
        <f>'FR-16(7)(v)-1 Functional'!C256</f>
        <v>GAS METERS</v>
      </c>
      <c r="D256" s="344" t="str">
        <f>'FR-16(7)(v)-1 Functional'!D256</f>
        <v>K413</v>
      </c>
      <c r="F256" s="479">
        <f>'FR-16(7)(v)-8 TOT CLASS Alloc'!J256</f>
        <v>147</v>
      </c>
      <c r="G256" s="548">
        <f>'FR-16(7)(v)-5 DISTR Dem Alloc'!J256</f>
        <v>0</v>
      </c>
      <c r="H256" s="539">
        <f>'FR-16(7)(v)-3 PROD Comm Alloc'!J256</f>
        <v>0</v>
      </c>
      <c r="I256" s="540">
        <f>'FR-16(7)(v)-6 DISTR Cust Alloc'!J256</f>
        <v>147</v>
      </c>
      <c r="J256" s="347">
        <f t="shared" si="48"/>
        <v>147</v>
      </c>
      <c r="K256" s="347">
        <f t="shared" si="49"/>
        <v>0</v>
      </c>
    </row>
    <row r="257" spans="1:11">
      <c r="A257" s="333">
        <v>8</v>
      </c>
      <c r="C257" s="332" t="str">
        <f>'FR-16(7)(v)-1 Functional'!C257</f>
        <v>UNAMORTIZED DEBT PREMIUM</v>
      </c>
      <c r="D257" s="344" t="str">
        <f>'FR-16(7)(v)-1 Functional'!D257</f>
        <v>NP29</v>
      </c>
      <c r="F257" s="479">
        <f>'FR-16(7)(v)-8 TOT CLASS Alloc'!J257</f>
        <v>-33</v>
      </c>
      <c r="G257" s="548">
        <f>'FR-16(7)(v)-5 DISTR Dem Alloc'!J257</f>
        <v>-30</v>
      </c>
      <c r="H257" s="539">
        <f>'FR-16(7)(v)-3 PROD Comm Alloc'!J257</f>
        <v>0</v>
      </c>
      <c r="I257" s="540">
        <f>'FR-16(7)(v)-6 DISTR Cust Alloc'!J257</f>
        <v>-3</v>
      </c>
      <c r="J257" s="347">
        <f t="shared" si="48"/>
        <v>-33</v>
      </c>
      <c r="K257" s="347">
        <f t="shared" si="49"/>
        <v>0</v>
      </c>
    </row>
    <row r="258" spans="1:11">
      <c r="A258" s="333">
        <v>9</v>
      </c>
      <c r="C258" s="332" t="str">
        <f>'FR-16(7)(v)-1 Functional'!C258</f>
        <v>ARO CUMULATIVE EFFECT</v>
      </c>
      <c r="D258" s="344" t="str">
        <f>'FR-16(7)(v)-1 Functional'!D258</f>
        <v>NP29</v>
      </c>
      <c r="F258" s="479">
        <f>'FR-16(7)(v)-8 TOT CLASS Alloc'!J258</f>
        <v>0</v>
      </c>
      <c r="G258" s="548">
        <f>'FR-16(7)(v)-5 DISTR Dem Alloc'!J258</f>
        <v>0</v>
      </c>
      <c r="H258" s="539">
        <f>'FR-16(7)(v)-3 PROD Comm Alloc'!J258</f>
        <v>0</v>
      </c>
      <c r="I258" s="540">
        <f>'FR-16(7)(v)-6 DISTR Cust Alloc'!J258</f>
        <v>0</v>
      </c>
      <c r="J258" s="347">
        <f t="shared" si="48"/>
        <v>0</v>
      </c>
      <c r="K258" s="347">
        <f t="shared" si="49"/>
        <v>0</v>
      </c>
    </row>
    <row r="259" spans="1:11">
      <c r="A259" s="333">
        <v>10</v>
      </c>
      <c r="C259" s="332" t="str">
        <f>'FR-16(7)(v)-1 Functional'!C259</f>
        <v>PENSION EXPENSE</v>
      </c>
      <c r="D259" s="344" t="str">
        <f>'FR-16(7)(v)-1 Functional'!D259</f>
        <v>AG39</v>
      </c>
      <c r="F259" s="479">
        <f>'FR-16(7)(v)-8 TOT CLASS Alloc'!J259</f>
        <v>1899</v>
      </c>
      <c r="G259" s="548">
        <f>'FR-16(7)(v)-5 DISTR Dem Alloc'!J259</f>
        <v>1488</v>
      </c>
      <c r="H259" s="539">
        <f>'FR-16(7)(v)-3 PROD Comm Alloc'!J259</f>
        <v>36</v>
      </c>
      <c r="I259" s="540">
        <f>'FR-16(7)(v)-6 DISTR Cust Alloc'!J259</f>
        <v>375</v>
      </c>
      <c r="J259" s="347">
        <f t="shared" si="48"/>
        <v>1899</v>
      </c>
      <c r="K259" s="347">
        <f t="shared" si="49"/>
        <v>0</v>
      </c>
    </row>
    <row r="260" spans="1:11">
      <c r="A260" s="333">
        <v>11</v>
      </c>
      <c r="C260" s="332" t="str">
        <f>'FR-16(7)(v)-1 Functional'!C260</f>
        <v>POST RETIREMENT BENEFITS - LIFE INS</v>
      </c>
      <c r="D260" s="344" t="str">
        <f>'FR-16(7)(v)-1 Functional'!D260</f>
        <v>AG39</v>
      </c>
      <c r="F260" s="479">
        <f>'FR-16(7)(v)-8 TOT CLASS Alloc'!J260</f>
        <v>0</v>
      </c>
      <c r="G260" s="548">
        <f>'FR-16(7)(v)-5 DISTR Dem Alloc'!J260</f>
        <v>0</v>
      </c>
      <c r="H260" s="539">
        <f>'FR-16(7)(v)-3 PROD Comm Alloc'!J260</f>
        <v>0</v>
      </c>
      <c r="I260" s="540">
        <f>'FR-16(7)(v)-6 DISTR Cust Alloc'!J260</f>
        <v>0</v>
      </c>
      <c r="J260" s="347">
        <f t="shared" si="48"/>
        <v>0</v>
      </c>
      <c r="K260" s="347">
        <f t="shared" si="49"/>
        <v>0</v>
      </c>
    </row>
    <row r="261" spans="1:11">
      <c r="A261" s="333">
        <v>12</v>
      </c>
      <c r="C261" s="332" t="str">
        <f>'FR-16(7)(v)-1 Functional'!C261</f>
        <v>POST RETIREMENT BENEFITS - HEALTH CARE</v>
      </c>
      <c r="D261" s="344" t="str">
        <f>'FR-16(7)(v)-1 Functional'!D261</f>
        <v>AG39</v>
      </c>
      <c r="F261" s="479">
        <f>'FR-16(7)(v)-8 TOT CLASS Alloc'!J261</f>
        <v>0</v>
      </c>
      <c r="G261" s="548">
        <f>'FR-16(7)(v)-5 DISTR Dem Alloc'!J261</f>
        <v>0</v>
      </c>
      <c r="H261" s="539">
        <f>'FR-16(7)(v)-3 PROD Comm Alloc'!J261</f>
        <v>0</v>
      </c>
      <c r="I261" s="540">
        <f>'FR-16(7)(v)-6 DISTR Cust Alloc'!J261</f>
        <v>0</v>
      </c>
      <c r="J261" s="347">
        <f t="shared" si="48"/>
        <v>0</v>
      </c>
      <c r="K261" s="347">
        <f t="shared" si="49"/>
        <v>0</v>
      </c>
    </row>
    <row r="262" spans="1:11">
      <c r="A262" s="333">
        <v>13</v>
      </c>
      <c r="C262" s="332" t="str">
        <f>'FR-16(7)(v)-1 Functional'!C262</f>
        <v>POST EMPLOYMENT BENEFITS - SFAS 112</v>
      </c>
      <c r="D262" s="344" t="str">
        <f>'FR-16(7)(v)-1 Functional'!D262</f>
        <v>AG39</v>
      </c>
      <c r="F262" s="479">
        <f>'FR-16(7)(v)-8 TOT CLASS Alloc'!J262</f>
        <v>453</v>
      </c>
      <c r="G262" s="548">
        <f>'FR-16(7)(v)-5 DISTR Dem Alloc'!J262</f>
        <v>355</v>
      </c>
      <c r="H262" s="539">
        <f>'FR-16(7)(v)-3 PROD Comm Alloc'!J262</f>
        <v>9</v>
      </c>
      <c r="I262" s="540">
        <f>'FR-16(7)(v)-6 DISTR Cust Alloc'!J262</f>
        <v>89</v>
      </c>
      <c r="J262" s="347">
        <f t="shared" si="48"/>
        <v>453</v>
      </c>
      <c r="K262" s="347">
        <f t="shared" si="49"/>
        <v>0</v>
      </c>
    </row>
    <row r="263" spans="1:11">
      <c r="A263" s="333">
        <v>14</v>
      </c>
      <c r="C263" s="332" t="str">
        <f>'FR-16(7)(v)-1 Functional'!C263</f>
        <v>OPEB EXPENSE ACCRUAL</v>
      </c>
      <c r="D263" s="344" t="str">
        <f>'FR-16(7)(v)-1 Functional'!D263</f>
        <v>AG39</v>
      </c>
      <c r="F263" s="479">
        <f>'FR-16(7)(v)-8 TOT CLASS Alloc'!J263</f>
        <v>3116</v>
      </c>
      <c r="G263" s="548">
        <f>'FR-16(7)(v)-5 DISTR Dem Alloc'!J263</f>
        <v>2442</v>
      </c>
      <c r="H263" s="539">
        <f>'FR-16(7)(v)-3 PROD Comm Alloc'!J263</f>
        <v>59</v>
      </c>
      <c r="I263" s="540">
        <f>'FR-16(7)(v)-6 DISTR Cust Alloc'!J263</f>
        <v>615</v>
      </c>
      <c r="J263" s="347">
        <f t="shared" si="48"/>
        <v>3116</v>
      </c>
      <c r="K263" s="347">
        <f t="shared" si="49"/>
        <v>0</v>
      </c>
    </row>
    <row r="264" spans="1:11">
      <c r="A264" s="333">
        <v>15</v>
      </c>
      <c r="C264" s="332" t="str">
        <f>'FR-16(7)(v)-1 Functional'!C264</f>
        <v>INCENTIVE PLAN</v>
      </c>
      <c r="D264" s="344" t="str">
        <f>'FR-16(7)(v)-1 Functional'!D264</f>
        <v>AG39</v>
      </c>
      <c r="F264" s="479">
        <f>'FR-16(7)(v)-8 TOT CLASS Alloc'!J264</f>
        <v>0</v>
      </c>
      <c r="G264" s="548">
        <f>'FR-16(7)(v)-5 DISTR Dem Alloc'!J264</f>
        <v>0</v>
      </c>
      <c r="H264" s="539">
        <f>'FR-16(7)(v)-3 PROD Comm Alloc'!J264</f>
        <v>0</v>
      </c>
      <c r="I264" s="540">
        <f>'FR-16(7)(v)-6 DISTR Cust Alloc'!J264</f>
        <v>0</v>
      </c>
      <c r="J264" s="347">
        <f t="shared" si="48"/>
        <v>0</v>
      </c>
      <c r="K264" s="347">
        <f t="shared" si="49"/>
        <v>0</v>
      </c>
    </row>
    <row r="265" spans="1:11">
      <c r="A265" s="333">
        <v>16</v>
      </c>
      <c r="C265" s="332" t="str">
        <f>'FR-16(7)(v)-1 Functional'!C265</f>
        <v>FEDERAL DEFERRED TAX RECEIVEABLE</v>
      </c>
      <c r="D265" s="344" t="str">
        <f>'FR-16(7)(v)-1 Functional'!D265</f>
        <v>AG39</v>
      </c>
      <c r="F265" s="479">
        <f>'FR-16(7)(v)-8 TOT CLASS Alloc'!J265</f>
        <v>0</v>
      </c>
      <c r="G265" s="548">
        <f>'FR-16(7)(v)-5 DISTR Dem Alloc'!J265</f>
        <v>0</v>
      </c>
      <c r="H265" s="539">
        <f>'FR-16(7)(v)-3 PROD Comm Alloc'!J265</f>
        <v>0</v>
      </c>
      <c r="I265" s="540">
        <f>'FR-16(7)(v)-6 DISTR Cust Alloc'!J265</f>
        <v>0</v>
      </c>
      <c r="J265" s="347">
        <f t="shared" si="48"/>
        <v>0</v>
      </c>
      <c r="K265" s="347">
        <f t="shared" si="49"/>
        <v>0</v>
      </c>
    </row>
    <row r="266" spans="1:11">
      <c r="A266" s="333">
        <v>17</v>
      </c>
      <c r="C266" s="332" t="str">
        <f>'FR-16(7)(v)-1 Functional'!C266</f>
        <v>DSM DEFERRAL</v>
      </c>
      <c r="D266" s="344" t="str">
        <f>'FR-16(7)(v)-1 Functional'!D266</f>
        <v>AG39</v>
      </c>
      <c r="F266" s="479">
        <f>'FR-16(7)(v)-8 TOT CLASS Alloc'!J266</f>
        <v>1929</v>
      </c>
      <c r="G266" s="548">
        <f>'FR-16(7)(v)-5 DISTR Dem Alloc'!J266</f>
        <v>1512</v>
      </c>
      <c r="H266" s="539">
        <f>'FR-16(7)(v)-3 PROD Comm Alloc'!J266</f>
        <v>36</v>
      </c>
      <c r="I266" s="540">
        <f>'FR-16(7)(v)-6 DISTR Cust Alloc'!J266</f>
        <v>381</v>
      </c>
      <c r="J266" s="347">
        <f t="shared" si="48"/>
        <v>1929</v>
      </c>
      <c r="K266" s="347">
        <f t="shared" si="49"/>
        <v>0</v>
      </c>
    </row>
    <row r="267" spans="1:11">
      <c r="A267" s="333">
        <v>18</v>
      </c>
      <c r="C267" s="332" t="str">
        <f>'FR-16(7)(v)-1 Functional'!C267</f>
        <v>PROPERTY TAX</v>
      </c>
      <c r="D267" s="344" t="str">
        <f>'FR-16(7)(v)-1 Functional'!D267</f>
        <v>P229</v>
      </c>
      <c r="F267" s="479">
        <f>'FR-16(7)(v)-8 TOT CLASS Alloc'!J267</f>
        <v>0</v>
      </c>
      <c r="G267" s="548">
        <f>'FR-16(7)(v)-5 DISTR Dem Alloc'!J267</f>
        <v>0</v>
      </c>
      <c r="H267" s="539">
        <f>'FR-16(7)(v)-3 PROD Comm Alloc'!J267</f>
        <v>0</v>
      </c>
      <c r="I267" s="540">
        <f>'FR-16(7)(v)-6 DISTR Cust Alloc'!J267</f>
        <v>0</v>
      </c>
      <c r="J267" s="347">
        <f t="shared" si="48"/>
        <v>0</v>
      </c>
      <c r="K267" s="347">
        <f t="shared" si="49"/>
        <v>0</v>
      </c>
    </row>
    <row r="268" spans="1:11">
      <c r="A268" s="333">
        <v>19</v>
      </c>
      <c r="C268" s="353" t="str">
        <f>'FR-16(7)(v)-1 Functional'!C268</f>
        <v>PROPERTY TAX ON PROPANE</v>
      </c>
      <c r="D268" s="344" t="str">
        <f>'FR-16(7)(v)-1 Functional'!D268</f>
        <v>P229</v>
      </c>
      <c r="F268" s="479">
        <f>'FR-16(7)(v)-8 TOT CLASS Alloc'!J268</f>
        <v>0</v>
      </c>
      <c r="G268" s="548">
        <f>'FR-16(7)(v)-5 DISTR Dem Alloc'!J268</f>
        <v>0</v>
      </c>
      <c r="H268" s="539">
        <f>'FR-16(7)(v)-3 PROD Comm Alloc'!J268</f>
        <v>0</v>
      </c>
      <c r="I268" s="540">
        <f>'FR-16(7)(v)-6 DISTR Cust Alloc'!J268</f>
        <v>0</v>
      </c>
      <c r="J268" s="347">
        <f t="shared" si="48"/>
        <v>0</v>
      </c>
      <c r="K268" s="347">
        <f t="shared" si="49"/>
        <v>0</v>
      </c>
    </row>
    <row r="269" spans="1:11">
      <c r="A269" s="333">
        <v>20</v>
      </c>
      <c r="C269" s="489" t="str">
        <f>'FR-16(7)(v)-1 Functional'!C269</f>
        <v>401K INCENTIVE PLAN</v>
      </c>
      <c r="D269" s="344" t="str">
        <f>'FR-16(7)(v)-1 Functional'!D269</f>
        <v>AG39</v>
      </c>
      <c r="F269" s="479">
        <f>'FR-16(7)(v)-8 TOT CLASS Alloc'!J269</f>
        <v>0</v>
      </c>
      <c r="G269" s="548">
        <f>'FR-16(7)(v)-5 DISTR Dem Alloc'!J269</f>
        <v>0</v>
      </c>
      <c r="H269" s="539">
        <f>'FR-16(7)(v)-3 PROD Comm Alloc'!J269</f>
        <v>0</v>
      </c>
      <c r="I269" s="540">
        <f>'FR-16(7)(v)-6 DISTR Cust Alloc'!J269</f>
        <v>0</v>
      </c>
      <c r="J269" s="347">
        <f t="shared" si="48"/>
        <v>0</v>
      </c>
      <c r="K269" s="347">
        <f t="shared" si="49"/>
        <v>0</v>
      </c>
    </row>
    <row r="270" spans="1:11">
      <c r="A270" s="333">
        <v>21</v>
      </c>
      <c r="C270" s="332" t="str">
        <f>'FR-16(7)(v)-1 Functional'!C270</f>
        <v>ENVIRONMENTAL RESERVE</v>
      </c>
      <c r="D270" s="344" t="str">
        <f>'FR-16(7)(v)-1 Functional'!D270</f>
        <v>NP29</v>
      </c>
      <c r="F270" s="479">
        <f>'FR-16(7)(v)-8 TOT CLASS Alloc'!J270</f>
        <v>2903</v>
      </c>
      <c r="G270" s="548">
        <f>'FR-16(7)(v)-5 DISTR Dem Alloc'!J270</f>
        <v>2633</v>
      </c>
      <c r="H270" s="539">
        <f>'FR-16(7)(v)-3 PROD Comm Alloc'!J270</f>
        <v>1</v>
      </c>
      <c r="I270" s="540">
        <f>'FR-16(7)(v)-6 DISTR Cust Alloc'!J270</f>
        <v>269</v>
      </c>
      <c r="J270" s="347">
        <f t="shared" si="48"/>
        <v>2903</v>
      </c>
      <c r="K270" s="347">
        <f t="shared" si="49"/>
        <v>0</v>
      </c>
    </row>
    <row r="271" spans="1:11">
      <c r="A271" s="333">
        <v>22</v>
      </c>
      <c r="C271" s="332" t="str">
        <f>'FR-16(7)(v)-1 Functional'!C271</f>
        <v>VACATION PAY ACCRUALS</v>
      </c>
      <c r="D271" s="344" t="str">
        <f>'FR-16(7)(v)-1 Functional'!D271</f>
        <v>G129</v>
      </c>
      <c r="F271" s="479">
        <f>'FR-16(7)(v)-8 TOT CLASS Alloc'!J271</f>
        <v>1680</v>
      </c>
      <c r="G271" s="548">
        <f>'FR-16(7)(v)-5 DISTR Dem Alloc'!J271</f>
        <v>1322</v>
      </c>
      <c r="H271" s="539">
        <f>'FR-16(7)(v)-3 PROD Comm Alloc'!J271</f>
        <v>25</v>
      </c>
      <c r="I271" s="540">
        <f>'FR-16(7)(v)-6 DISTR Cust Alloc'!J271</f>
        <v>333</v>
      </c>
      <c r="J271" s="347">
        <f t="shared" si="48"/>
        <v>1680</v>
      </c>
      <c r="K271" s="347">
        <f t="shared" si="49"/>
        <v>0</v>
      </c>
    </row>
    <row r="272" spans="1:11">
      <c r="A272" s="333">
        <v>23</v>
      </c>
      <c r="C272" s="332" t="str">
        <f>'FR-16(7)(v)-1 Functional'!C272</f>
        <v>SMART GRID</v>
      </c>
      <c r="D272" s="344" t="str">
        <f>'FR-16(7)(v)-1 Functional'!D272</f>
        <v>K413</v>
      </c>
      <c r="F272" s="479">
        <f>'FR-16(7)(v)-8 TOT CLASS Alloc'!J272</f>
        <v>0</v>
      </c>
      <c r="G272" s="548">
        <f>'FR-16(7)(v)-5 DISTR Dem Alloc'!J272</f>
        <v>0</v>
      </c>
      <c r="H272" s="539">
        <f>'FR-16(7)(v)-3 PROD Comm Alloc'!J272</f>
        <v>0</v>
      </c>
      <c r="I272" s="540">
        <f>'FR-16(7)(v)-6 DISTR Cust Alloc'!J272</f>
        <v>0</v>
      </c>
      <c r="J272" s="347">
        <f t="shared" si="48"/>
        <v>0</v>
      </c>
      <c r="K272" s="347">
        <f t="shared" si="49"/>
        <v>0</v>
      </c>
    </row>
    <row r="273" spans="1:11">
      <c r="A273" s="333">
        <v>24</v>
      </c>
      <c r="C273" s="332" t="str">
        <f>'FR-16(7)(v)-1 Functional'!C273</f>
        <v>METERS &amp; TRANSFORMERS</v>
      </c>
      <c r="D273" s="344" t="str">
        <f>'FR-16(7)(v)-1 Functional'!D273</f>
        <v>D249</v>
      </c>
      <c r="F273" s="479">
        <f>'FR-16(7)(v)-8 TOT CLASS Alloc'!J273</f>
        <v>0</v>
      </c>
      <c r="G273" s="548">
        <f>'FR-16(7)(v)-5 DISTR Dem Alloc'!J273</f>
        <v>0</v>
      </c>
      <c r="H273" s="539">
        <f>'FR-16(7)(v)-3 PROD Comm Alloc'!J273</f>
        <v>0</v>
      </c>
      <c r="I273" s="540">
        <f>'FR-16(7)(v)-6 DISTR Cust Alloc'!J273</f>
        <v>0</v>
      </c>
      <c r="J273" s="347">
        <f t="shared" si="48"/>
        <v>0</v>
      </c>
      <c r="K273" s="347">
        <f t="shared" si="49"/>
        <v>0</v>
      </c>
    </row>
    <row r="274" spans="1:11">
      <c r="A274" s="333">
        <v>25</v>
      </c>
      <c r="C274" s="359" t="str">
        <f>'FR-16(7)(v)-1 Functional'!C274</f>
        <v>OTHER</v>
      </c>
      <c r="D274" s="344" t="str">
        <f>'FR-16(7)(v)-1 Functional'!D274</f>
        <v>AG39</v>
      </c>
      <c r="F274" s="479">
        <f>'FR-16(7)(v)-8 TOT CLASS Alloc'!J274</f>
        <v>3906</v>
      </c>
      <c r="G274" s="548">
        <f>'FR-16(7)(v)-5 DISTR Dem Alloc'!J274</f>
        <v>3061</v>
      </c>
      <c r="H274" s="539">
        <f>'FR-16(7)(v)-3 PROD Comm Alloc'!J274</f>
        <v>74</v>
      </c>
      <c r="I274" s="540">
        <f>'FR-16(7)(v)-6 DISTR Cust Alloc'!J274</f>
        <v>771</v>
      </c>
      <c r="J274" s="347">
        <f t="shared" si="48"/>
        <v>3906</v>
      </c>
      <c r="K274" s="347">
        <f t="shared" si="49"/>
        <v>0</v>
      </c>
    </row>
    <row r="275" spans="1:11">
      <c r="A275" s="333">
        <v>26</v>
      </c>
      <c r="C275" s="332" t="str">
        <f>'FR-16(7)(v)-1 Functional'!C275</f>
        <v xml:space="preserve">  TOTAL ACCOUNT 190</v>
      </c>
      <c r="D275" s="344"/>
      <c r="F275" s="348">
        <f t="shared" ref="F275:K275" si="50">SUM(F251:F274)</f>
        <v>125946</v>
      </c>
      <c r="G275" s="549">
        <f t="shared" si="50"/>
        <v>12783</v>
      </c>
      <c r="H275" s="541">
        <f t="shared" si="50"/>
        <v>110185</v>
      </c>
      <c r="I275" s="542">
        <f t="shared" si="50"/>
        <v>2978</v>
      </c>
      <c r="J275" s="348">
        <f t="shared" si="50"/>
        <v>125946</v>
      </c>
      <c r="K275" s="348">
        <f t="shared" si="50"/>
        <v>0</v>
      </c>
    </row>
    <row r="276" spans="1:11">
      <c r="A276" s="333">
        <v>27</v>
      </c>
      <c r="D276" s="344"/>
      <c r="E276" s="196"/>
      <c r="G276" s="547"/>
      <c r="H276" s="537"/>
      <c r="I276" s="538"/>
    </row>
    <row r="277" spans="1:11">
      <c r="A277" s="333">
        <v>28</v>
      </c>
      <c r="B277" s="332" t="s">
        <v>30</v>
      </c>
      <c r="D277" s="344"/>
      <c r="E277" s="196"/>
      <c r="G277" s="547"/>
      <c r="H277" s="537"/>
      <c r="I277" s="538"/>
    </row>
    <row r="278" spans="1:11">
      <c r="A278" s="333">
        <v>29</v>
      </c>
      <c r="C278" s="365" t="str">
        <f>'FR-16(7)(v)-1 Functional'!C278</f>
        <v>RESERVED FOR FUTURE USE</v>
      </c>
      <c r="D278" s="344" t="str">
        <f>'FR-16(7)(v)-1 Functional'!D278</f>
        <v>D249</v>
      </c>
      <c r="F278" s="479">
        <f>'FR-16(7)(v)-8 TOT CLASS Alloc'!J278</f>
        <v>0</v>
      </c>
      <c r="G278" s="548">
        <f>'FR-16(7)(v)-5 DISTR Dem Alloc'!J278</f>
        <v>0</v>
      </c>
      <c r="H278" s="539">
        <f>'FR-16(7)(v)-3 PROD Comm Alloc'!J278</f>
        <v>0</v>
      </c>
      <c r="I278" s="540">
        <f>'FR-16(7)(v)-6 DISTR Cust Alloc'!J278</f>
        <v>0</v>
      </c>
      <c r="J278" s="347">
        <f>SUM(G278:I278)</f>
        <v>0</v>
      </c>
      <c r="K278" s="347">
        <f>F278-J278</f>
        <v>0</v>
      </c>
    </row>
    <row r="279" spans="1:11">
      <c r="A279" s="333">
        <v>30</v>
      </c>
      <c r="C279" s="332" t="str">
        <f>'FR-16(7)(v)-1 Functional'!C279</f>
        <v>ANNUALIZE DEPRECIATION</v>
      </c>
      <c r="D279" s="344" t="str">
        <f>'FR-16(7)(v)-1 Functional'!D279</f>
        <v>NP29</v>
      </c>
      <c r="F279" s="479">
        <f>'FR-16(7)(v)-8 TOT CLASS Alloc'!J279</f>
        <v>-4928</v>
      </c>
      <c r="G279" s="548">
        <f>'FR-16(7)(v)-5 DISTR Dem Alloc'!J279</f>
        <v>-4470</v>
      </c>
      <c r="H279" s="539">
        <f>'FR-16(7)(v)-3 PROD Comm Alloc'!J279</f>
        <v>-2</v>
      </c>
      <c r="I279" s="540">
        <f>'FR-16(7)(v)-6 DISTR Cust Alloc'!J279</f>
        <v>-456</v>
      </c>
      <c r="J279" s="347">
        <f>SUM(G279:I279)</f>
        <v>-4928</v>
      </c>
      <c r="K279" s="347">
        <f>F279-J279</f>
        <v>0</v>
      </c>
    </row>
    <row r="280" spans="1:11">
      <c r="A280" s="333">
        <v>31</v>
      </c>
      <c r="C280" s="332" t="str">
        <f>'FR-16(7)(v)-1 Functional'!C280</f>
        <v>ELIMINATE UNBILLED REVENUE AND GAS COSTS</v>
      </c>
      <c r="D280" s="344" t="str">
        <f>'FR-16(7)(v)-1 Functional'!D280</f>
        <v>K300</v>
      </c>
      <c r="F280" s="479">
        <f>'FR-16(7)(v)-8 TOT CLASS Alloc'!J280</f>
        <v>-2579</v>
      </c>
      <c r="G280" s="548">
        <f>'FR-16(7)(v)-5 DISTR Dem Alloc'!J280</f>
        <v>0</v>
      </c>
      <c r="H280" s="539">
        <f>'FR-16(7)(v)-3 PROD Comm Alloc'!J280</f>
        <v>-2579</v>
      </c>
      <c r="I280" s="540">
        <f>'FR-16(7)(v)-6 DISTR Cust Alloc'!J280</f>
        <v>0</v>
      </c>
      <c r="J280" s="347">
        <f>SUM(G280:I280)</f>
        <v>-2579</v>
      </c>
      <c r="K280" s="347">
        <f>F280-J280</f>
        <v>0</v>
      </c>
    </row>
    <row r="281" spans="1:11">
      <c r="A281" s="333">
        <v>32</v>
      </c>
      <c r="C281" s="339" t="str">
        <f>'FR-16(7)(v)-1 Functional'!C281</f>
        <v xml:space="preserve">  OTHER</v>
      </c>
      <c r="D281" s="344"/>
      <c r="F281" s="348">
        <f>SUM(F278:F280)</f>
        <v>-7507</v>
      </c>
      <c r="G281" s="549">
        <f>SUM(G277:G280)</f>
        <v>-4470</v>
      </c>
      <c r="H281" s="541">
        <f>SUM(H277:H280)</f>
        <v>-2581</v>
      </c>
      <c r="I281" s="542">
        <f>SUM(I277:I280)</f>
        <v>-456</v>
      </c>
      <c r="J281" s="348">
        <f>SUM(J277:J280)</f>
        <v>-7507</v>
      </c>
      <c r="K281" s="348">
        <f>SUM(K277:K280)</f>
        <v>0</v>
      </c>
    </row>
    <row r="282" spans="1:11">
      <c r="A282" s="333">
        <v>33</v>
      </c>
      <c r="D282" s="344"/>
      <c r="F282" s="335" t="s">
        <v>343</v>
      </c>
      <c r="G282" s="547"/>
      <c r="H282" s="537"/>
      <c r="I282" s="538"/>
    </row>
    <row r="283" spans="1:11">
      <c r="A283" s="333">
        <v>34</v>
      </c>
      <c r="B283" s="332" t="s">
        <v>825</v>
      </c>
      <c r="D283" s="344"/>
      <c r="F283" s="347">
        <f t="shared" ref="F283:K283" si="51">F275+F281</f>
        <v>118439</v>
      </c>
      <c r="G283" s="550">
        <f t="shared" si="51"/>
        <v>8313</v>
      </c>
      <c r="H283" s="543">
        <f t="shared" si="51"/>
        <v>107604</v>
      </c>
      <c r="I283" s="544">
        <f t="shared" si="51"/>
        <v>2522</v>
      </c>
      <c r="J283" s="347">
        <f t="shared" si="51"/>
        <v>118439</v>
      </c>
      <c r="K283" s="347">
        <f t="shared" si="51"/>
        <v>0</v>
      </c>
    </row>
    <row r="284" spans="1:11">
      <c r="B284" s="343"/>
      <c r="C284" s="196"/>
      <c r="D284" s="344"/>
      <c r="E284" s="196"/>
      <c r="F284" s="196"/>
      <c r="G284" s="196"/>
      <c r="H284" s="196"/>
      <c r="I284" s="196"/>
      <c r="J284" s="196"/>
      <c r="K284" s="196"/>
    </row>
    <row r="285" spans="1:11">
      <c r="A285" s="343" t="str">
        <f>co_name</f>
        <v>DUKE ENERGY KENTUCKY, INC.</v>
      </c>
      <c r="C285" s="196"/>
      <c r="D285" s="344"/>
      <c r="E285" s="196"/>
      <c r="F285" s="196"/>
      <c r="G285" s="196"/>
      <c r="H285" s="196"/>
      <c r="I285" s="196"/>
      <c r="J285" s="196" t="str">
        <f>$J$1</f>
        <v>FR-16(7)(v)-12</v>
      </c>
      <c r="K285" s="196"/>
    </row>
    <row r="286" spans="1:11">
      <c r="A286" s="343" t="str">
        <f>$A$2</f>
        <v>INTERRUPTIBLE TRANSPORTATION CLASSIFIED - GAS COST OF SERVICE</v>
      </c>
      <c r="C286" s="196"/>
      <c r="D286" s="344"/>
      <c r="E286" s="196"/>
      <c r="F286" s="196"/>
      <c r="G286" s="196"/>
      <c r="H286" s="196"/>
      <c r="I286" s="196"/>
      <c r="J286" s="196" t="str">
        <f>$J$2</f>
        <v>WITNESS RESPONSIBLE:</v>
      </c>
      <c r="K286" s="196"/>
    </row>
    <row r="287" spans="1:11">
      <c r="A287" s="343" t="str">
        <f>case_name</f>
        <v>CASE NO: 2018-00261</v>
      </c>
      <c r="C287" s="196"/>
      <c r="D287" s="344"/>
      <c r="E287" s="196"/>
      <c r="F287" s="196"/>
      <c r="G287" s="196"/>
      <c r="H287" s="196"/>
      <c r="I287" s="196"/>
      <c r="J287" s="196" t="str">
        <f>Witness</f>
        <v>JAMES E. ZIOLKOWSKI</v>
      </c>
      <c r="K287" s="196"/>
    </row>
    <row r="288" spans="1:11">
      <c r="A288" s="343" t="str">
        <f>data_filing</f>
        <v>DATA: 12 MONTH FORECASTED PERIOD</v>
      </c>
      <c r="C288" s="196"/>
      <c r="D288" s="344"/>
      <c r="E288" s="196"/>
      <c r="F288" s="196"/>
      <c r="G288" s="196"/>
      <c r="H288" s="196"/>
      <c r="I288" s="196"/>
      <c r="J288" s="196" t="str">
        <f>"PAGE "&amp;Pages2-8&amp;" OF "&amp;Pages2</f>
        <v>PAGE 7 OF 15</v>
      </c>
      <c r="K288" s="196"/>
    </row>
    <row r="289" spans="1:13">
      <c r="A289" s="343" t="str">
        <f>type</f>
        <v xml:space="preserve">TYPE OF FILING: "X" ORIGINAL   UPDATED    REVISED  </v>
      </c>
      <c r="C289" s="196"/>
      <c r="D289" s="344"/>
      <c r="E289" s="196"/>
      <c r="F289" s="196"/>
      <c r="G289" s="196"/>
      <c r="H289" s="196"/>
      <c r="I289" s="196"/>
      <c r="J289" s="196"/>
      <c r="K289" s="196"/>
    </row>
    <row r="290" spans="1:13">
      <c r="B290" s="343"/>
      <c r="C290" s="196"/>
      <c r="D290" s="344"/>
      <c r="E290" s="196"/>
      <c r="F290" s="196"/>
      <c r="G290" s="196"/>
      <c r="H290" s="196"/>
      <c r="I290" s="196"/>
      <c r="J290" s="196"/>
      <c r="K290" s="196"/>
    </row>
    <row r="291" spans="1:13">
      <c r="B291" s="343"/>
      <c r="C291" s="196"/>
      <c r="D291" s="344"/>
      <c r="E291" s="196"/>
      <c r="F291" s="196"/>
      <c r="G291" s="196"/>
      <c r="H291" s="196"/>
      <c r="I291" s="196"/>
      <c r="J291" s="196"/>
      <c r="K291" s="196"/>
    </row>
    <row r="292" spans="1:13">
      <c r="A292" s="344" t="s">
        <v>914</v>
      </c>
      <c r="B292" s="196"/>
      <c r="C292" s="196"/>
      <c r="D292" s="344"/>
      <c r="E292" s="196"/>
      <c r="F292" s="344" t="s">
        <v>229</v>
      </c>
      <c r="G292" s="545" t="s">
        <v>1005</v>
      </c>
      <c r="H292" s="533"/>
      <c r="I292" s="534"/>
      <c r="J292" s="344" t="s">
        <v>229</v>
      </c>
      <c r="K292" s="344" t="s">
        <v>342</v>
      </c>
    </row>
    <row r="293" spans="1:13">
      <c r="A293" s="346" t="s">
        <v>915</v>
      </c>
      <c r="B293" s="345" t="s">
        <v>32</v>
      </c>
      <c r="C293" s="345"/>
      <c r="D293" s="346" t="s">
        <v>337</v>
      </c>
      <c r="E293" s="345"/>
      <c r="F293" s="346" t="str">
        <f>$F$9</f>
        <v>INTERRUPTIBLE</v>
      </c>
      <c r="G293" s="546" t="s">
        <v>847</v>
      </c>
      <c r="H293" s="535" t="s">
        <v>848</v>
      </c>
      <c r="I293" s="536" t="s">
        <v>849</v>
      </c>
      <c r="J293" s="346" t="s">
        <v>341</v>
      </c>
      <c r="K293" s="346" t="s">
        <v>340</v>
      </c>
    </row>
    <row r="294" spans="1:13">
      <c r="C294" s="578" t="s">
        <v>559</v>
      </c>
      <c r="D294" s="344"/>
      <c r="E294" s="490"/>
      <c r="F294" s="491"/>
      <c r="G294" s="800">
        <f>$G$10</f>
        <v>3</v>
      </c>
      <c r="H294" s="801">
        <f>$H$10</f>
        <v>4</v>
      </c>
      <c r="I294" s="802">
        <f>$I$10</f>
        <v>5</v>
      </c>
      <c r="J294" s="490"/>
      <c r="K294" s="490"/>
    </row>
    <row r="295" spans="1:13">
      <c r="C295" s="578"/>
      <c r="D295" s="344"/>
      <c r="E295" s="490"/>
      <c r="F295" s="491"/>
      <c r="G295" s="800"/>
      <c r="H295" s="801"/>
      <c r="I295" s="802"/>
      <c r="J295" s="490"/>
      <c r="K295" s="490"/>
    </row>
    <row r="296" spans="1:13">
      <c r="A296" s="333">
        <v>1</v>
      </c>
      <c r="B296" s="332" t="s">
        <v>31</v>
      </c>
      <c r="D296" s="344"/>
      <c r="E296" s="196"/>
      <c r="F296" s="347">
        <f t="shared" ref="F296:K296" si="52">F191-F238+F283</f>
        <v>5766526</v>
      </c>
      <c r="G296" s="548">
        <f t="shared" si="52"/>
        <v>5150947</v>
      </c>
      <c r="H296" s="539">
        <f t="shared" si="52"/>
        <v>107623</v>
      </c>
      <c r="I296" s="540">
        <f t="shared" si="52"/>
        <v>507956</v>
      </c>
      <c r="J296" s="347">
        <f t="shared" si="52"/>
        <v>5766526</v>
      </c>
      <c r="K296" s="347">
        <f t="shared" si="52"/>
        <v>0</v>
      </c>
    </row>
    <row r="297" spans="1:13">
      <c r="A297" s="333">
        <v>2</v>
      </c>
      <c r="D297" s="344"/>
      <c r="E297" s="196"/>
      <c r="G297" s="547"/>
      <c r="H297" s="537"/>
      <c r="I297" s="538"/>
    </row>
    <row r="298" spans="1:13">
      <c r="A298" s="333">
        <v>3</v>
      </c>
      <c r="B298" s="332" t="s">
        <v>32</v>
      </c>
      <c r="D298" s="344"/>
      <c r="E298" s="196"/>
      <c r="G298" s="547"/>
      <c r="H298" s="537"/>
      <c r="I298" s="538"/>
    </row>
    <row r="299" spans="1:13">
      <c r="A299" s="333">
        <v>4</v>
      </c>
      <c r="D299" s="344"/>
      <c r="E299" s="196"/>
      <c r="G299" s="547"/>
      <c r="H299" s="537"/>
      <c r="I299" s="538"/>
    </row>
    <row r="300" spans="1:13">
      <c r="A300" s="333">
        <v>5</v>
      </c>
      <c r="B300" s="332" t="s">
        <v>33</v>
      </c>
      <c r="D300" s="344"/>
      <c r="E300" s="196"/>
      <c r="G300" s="547"/>
      <c r="H300" s="537"/>
      <c r="I300" s="538"/>
    </row>
    <row r="301" spans="1:13">
      <c r="A301" s="333">
        <v>6</v>
      </c>
      <c r="C301" s="332" t="str">
        <f>'FR-16(7)(v)-1 Functional'!C301</f>
        <v>GAS ENRICHER LIQUID</v>
      </c>
      <c r="D301" s="344" t="str">
        <f>'FR-16(7)(v)-1 Functional'!D301</f>
        <v>K301</v>
      </c>
      <c r="E301" s="196"/>
      <c r="F301" s="479">
        <f>'FR-16(7)(v)-8 TOT CLASS Alloc'!J301</f>
        <v>0</v>
      </c>
      <c r="G301" s="548">
        <f>'FR-16(7)(v)-5 DISTR Dem Alloc'!J301</f>
        <v>0</v>
      </c>
      <c r="H301" s="539">
        <f>'FR-16(7)(v)-3 PROD Comm Alloc'!J301</f>
        <v>0</v>
      </c>
      <c r="I301" s="540">
        <f>'FR-16(7)(v)-6 DISTR Cust Alloc'!J301</f>
        <v>0</v>
      </c>
      <c r="J301" s="347">
        <f>SUM(G301:I301)</f>
        <v>0</v>
      </c>
      <c r="K301" s="347">
        <f>F301-J301</f>
        <v>0</v>
      </c>
      <c r="M301" s="335"/>
    </row>
    <row r="302" spans="1:13">
      <c r="A302" s="333">
        <v>7</v>
      </c>
      <c r="C302" s="359" t="str">
        <f>'FR-16(7)(v)-1 Functional'!C302</f>
        <v>OTHER SUPPLIES</v>
      </c>
      <c r="D302" s="344" t="str">
        <f>'FR-16(7)(v)-1 Functional'!D302</f>
        <v>NP29</v>
      </c>
      <c r="E302" s="196"/>
      <c r="F302" s="479">
        <f>'FR-16(7)(v)-8 TOT CLASS Alloc'!J302</f>
        <v>20840</v>
      </c>
      <c r="G302" s="548">
        <f>'FR-16(7)(v)-5 DISTR Dem Alloc'!J302</f>
        <v>18905</v>
      </c>
      <c r="H302" s="539">
        <f>'FR-16(7)(v)-3 PROD Comm Alloc'!J302</f>
        <v>7</v>
      </c>
      <c r="I302" s="540">
        <f>'FR-16(7)(v)-6 DISTR Cust Alloc'!J302</f>
        <v>1928</v>
      </c>
      <c r="J302" s="347">
        <f>SUM(G302:I302)</f>
        <v>20840</v>
      </c>
      <c r="K302" s="347">
        <f>F302-J302</f>
        <v>0</v>
      </c>
      <c r="M302" s="335"/>
    </row>
    <row r="303" spans="1:13">
      <c r="A303" s="333">
        <v>8</v>
      </c>
      <c r="C303" s="332" t="str">
        <f>'FR-16(7)(v)-1 Functional'!C303</f>
        <v xml:space="preserve">  TOTAL PLANT MATS. &amp; SUPPLIES</v>
      </c>
      <c r="D303" s="344"/>
      <c r="E303" s="196"/>
      <c r="F303" s="348">
        <f t="shared" ref="F303:K303" si="53">SUM(F300:F302)</f>
        <v>20840</v>
      </c>
      <c r="G303" s="549">
        <f t="shared" si="53"/>
        <v>18905</v>
      </c>
      <c r="H303" s="541">
        <f t="shared" si="53"/>
        <v>7</v>
      </c>
      <c r="I303" s="542">
        <f t="shared" si="53"/>
        <v>1928</v>
      </c>
      <c r="J303" s="348">
        <f t="shared" si="53"/>
        <v>20840</v>
      </c>
      <c r="K303" s="348">
        <f t="shared" si="53"/>
        <v>0</v>
      </c>
    </row>
    <row r="304" spans="1:13">
      <c r="A304" s="333">
        <v>9</v>
      </c>
      <c r="B304" s="332" t="s">
        <v>34</v>
      </c>
      <c r="D304" s="344"/>
      <c r="E304" s="196"/>
      <c r="F304" s="347">
        <f t="shared" ref="F304:K304" si="54">F303</f>
        <v>20840</v>
      </c>
      <c r="G304" s="548">
        <f t="shared" si="54"/>
        <v>18905</v>
      </c>
      <c r="H304" s="539">
        <f t="shared" si="54"/>
        <v>7</v>
      </c>
      <c r="I304" s="540">
        <f t="shared" si="54"/>
        <v>1928</v>
      </c>
      <c r="J304" s="347">
        <f t="shared" si="54"/>
        <v>20840</v>
      </c>
      <c r="K304" s="347">
        <f t="shared" si="54"/>
        <v>0</v>
      </c>
    </row>
    <row r="305" spans="1:13">
      <c r="A305" s="333">
        <v>10</v>
      </c>
      <c r="D305" s="344"/>
      <c r="E305" s="196"/>
      <c r="G305" s="547"/>
      <c r="H305" s="537"/>
      <c r="I305" s="538"/>
    </row>
    <row r="306" spans="1:13">
      <c r="A306" s="333">
        <v>11</v>
      </c>
      <c r="B306" s="332" t="s">
        <v>35</v>
      </c>
      <c r="D306" s="344"/>
      <c r="E306" s="196"/>
      <c r="G306" s="547"/>
      <c r="H306" s="537"/>
      <c r="I306" s="538"/>
    </row>
    <row r="307" spans="1:13">
      <c r="A307" s="333">
        <v>12</v>
      </c>
      <c r="C307" s="332" t="str">
        <f>'FR-16(7)(v)-1 Functional'!C307</f>
        <v>INSURANCE GENERAL</v>
      </c>
      <c r="D307" s="344" t="str">
        <f>'FR-16(7)(v)-1 Functional'!D307</f>
        <v>OM39</v>
      </c>
      <c r="E307" s="196"/>
      <c r="F307" s="479">
        <f>'FR-16(7)(v)-8 TOT CLASS Alloc'!J307</f>
        <v>255</v>
      </c>
      <c r="G307" s="548">
        <f>'FR-16(7)(v)-5 DISTR Dem Alloc'!J307</f>
        <v>141</v>
      </c>
      <c r="H307" s="539">
        <f>'FR-16(7)(v)-3 PROD Comm Alloc'!J307</f>
        <v>79</v>
      </c>
      <c r="I307" s="540">
        <f>'FR-16(7)(v)-6 DISTR Cust Alloc'!J307</f>
        <v>35</v>
      </c>
      <c r="J307" s="347">
        <f>SUM(G307:I307)</f>
        <v>255</v>
      </c>
      <c r="K307" s="347">
        <f>F307-J307</f>
        <v>0</v>
      </c>
      <c r="M307" s="335"/>
    </row>
    <row r="308" spans="1:13">
      <c r="A308" s="333">
        <v>13</v>
      </c>
      <c r="C308" s="332" t="str">
        <f>'FR-16(7)(v)-1 Functional'!C308</f>
        <v>EXCISE TAX</v>
      </c>
      <c r="D308" s="344" t="str">
        <f>'FR-16(7)(v)-1 Functional'!D308</f>
        <v>OM39</v>
      </c>
      <c r="E308" s="196"/>
      <c r="F308" s="479">
        <f>'FR-16(7)(v)-8 TOT CLASS Alloc'!J308</f>
        <v>0</v>
      </c>
      <c r="G308" s="548">
        <f>'FR-16(7)(v)-5 DISTR Dem Alloc'!J308</f>
        <v>0</v>
      </c>
      <c r="H308" s="539">
        <f>'FR-16(7)(v)-3 PROD Comm Alloc'!J308</f>
        <v>0</v>
      </c>
      <c r="I308" s="540">
        <f>'FR-16(7)(v)-6 DISTR Cust Alloc'!J308</f>
        <v>0</v>
      </c>
      <c r="J308" s="347">
        <f>SUM(G308:I308)</f>
        <v>0</v>
      </c>
      <c r="K308" s="347">
        <f>F308-J308</f>
        <v>0</v>
      </c>
      <c r="M308" s="335"/>
    </row>
    <row r="309" spans="1:13">
      <c r="A309" s="333">
        <v>14</v>
      </c>
      <c r="C309" s="332" t="str">
        <f>'FR-16(7)(v)-1 Functional'!C309</f>
        <v>GAS PURCHASE</v>
      </c>
      <c r="D309" s="344" t="str">
        <f>'FR-16(7)(v)-1 Functional'!D309</f>
        <v>K301</v>
      </c>
      <c r="E309" s="196"/>
      <c r="F309" s="479">
        <f>'FR-16(7)(v)-8 TOT CLASS Alloc'!J309</f>
        <v>0</v>
      </c>
      <c r="G309" s="548">
        <f>'FR-16(7)(v)-5 DISTR Dem Alloc'!J309</f>
        <v>0</v>
      </c>
      <c r="H309" s="539">
        <f>'FR-16(7)(v)-3 PROD Comm Alloc'!J309</f>
        <v>0</v>
      </c>
      <c r="I309" s="540">
        <f>'FR-16(7)(v)-6 DISTR Cust Alloc'!J309</f>
        <v>0</v>
      </c>
      <c r="J309" s="347">
        <f>SUM(G309:I309)</f>
        <v>0</v>
      </c>
      <c r="K309" s="347">
        <f>F309-J309</f>
        <v>0</v>
      </c>
      <c r="M309" s="335"/>
    </row>
    <row r="310" spans="1:13">
      <c r="A310" s="333">
        <v>15</v>
      </c>
      <c r="C310" s="339" t="str">
        <f>'FR-16(7)(v)-1 Functional'!C310</f>
        <v xml:space="preserve">  TOTAL PREPAYMENTS</v>
      </c>
      <c r="D310" s="344"/>
      <c r="E310" s="196"/>
      <c r="F310" s="579">
        <f t="shared" ref="F310:K310" si="55">SUM(F306:F309)</f>
        <v>255</v>
      </c>
      <c r="G310" s="580">
        <f t="shared" si="55"/>
        <v>141</v>
      </c>
      <c r="H310" s="581">
        <f t="shared" si="55"/>
        <v>79</v>
      </c>
      <c r="I310" s="582">
        <f t="shared" si="55"/>
        <v>35</v>
      </c>
      <c r="J310" s="579">
        <f t="shared" si="55"/>
        <v>255</v>
      </c>
      <c r="K310" s="579">
        <f t="shared" si="55"/>
        <v>0</v>
      </c>
    </row>
    <row r="311" spans="1:13">
      <c r="A311" s="333">
        <v>16</v>
      </c>
      <c r="D311" s="344"/>
      <c r="E311" s="196"/>
      <c r="G311" s="547"/>
      <c r="H311" s="537"/>
      <c r="I311" s="538"/>
    </row>
    <row r="312" spans="1:13">
      <c r="A312" s="333">
        <v>17</v>
      </c>
      <c r="B312" s="332" t="s">
        <v>36</v>
      </c>
      <c r="D312" s="344"/>
      <c r="E312" s="196"/>
      <c r="F312" s="347">
        <f>IF(WorkingCap="No",0,ROUND((F433-F348-F353)/8,0))</f>
        <v>51108</v>
      </c>
      <c r="G312" s="548">
        <f>IF(WorkingCap="No",0,ROUND((G433-G348-G353)/8,0))</f>
        <v>28268</v>
      </c>
      <c r="H312" s="539">
        <f>IF(WorkingCap="No",0,ROUND((H433-H348-H353)/8,0))</f>
        <v>15791</v>
      </c>
      <c r="I312" s="540">
        <f>IF(WorkingCap="No",0,ROUND((I433-I348-I353)/8,0))</f>
        <v>7050</v>
      </c>
      <c r="J312" s="347">
        <f>SUM(G312:I312)</f>
        <v>51109</v>
      </c>
      <c r="K312" s="347">
        <f>F312-J312</f>
        <v>-1</v>
      </c>
    </row>
    <row r="313" spans="1:13">
      <c r="A313" s="333">
        <v>18</v>
      </c>
      <c r="B313" s="332" t="s">
        <v>37</v>
      </c>
      <c r="D313" s="344"/>
      <c r="E313" s="196"/>
      <c r="F313" s="347">
        <f t="shared" ref="F313:K313" si="56">F312</f>
        <v>51108</v>
      </c>
      <c r="G313" s="548">
        <f t="shared" si="56"/>
        <v>28268</v>
      </c>
      <c r="H313" s="539">
        <f t="shared" si="56"/>
        <v>15791</v>
      </c>
      <c r="I313" s="540">
        <f t="shared" si="56"/>
        <v>7050</v>
      </c>
      <c r="J313" s="347">
        <f t="shared" si="56"/>
        <v>51109</v>
      </c>
      <c r="K313" s="347">
        <f t="shared" si="56"/>
        <v>-1</v>
      </c>
    </row>
    <row r="314" spans="1:13">
      <c r="A314" s="333">
        <v>19</v>
      </c>
      <c r="D314" s="344"/>
      <c r="E314" s="196"/>
      <c r="G314" s="547"/>
      <c r="H314" s="537"/>
      <c r="I314" s="538"/>
    </row>
    <row r="315" spans="1:13">
      <c r="A315" s="333">
        <v>20</v>
      </c>
      <c r="B315" s="332" t="s">
        <v>38</v>
      </c>
      <c r="D315" s="344"/>
      <c r="E315" s="196"/>
      <c r="G315" s="547"/>
      <c r="H315" s="537"/>
      <c r="I315" s="538"/>
    </row>
    <row r="316" spans="1:13">
      <c r="A316" s="333">
        <v>21</v>
      </c>
      <c r="C316" s="618" t="str">
        <f>'FR-16(7)(v)-1 Functional'!C316</f>
        <v>GAS STORED UNDERGROUND</v>
      </c>
      <c r="D316" s="344" t="str">
        <f>'FR-16(7)(v)-1 Functional'!D316</f>
        <v>K301</v>
      </c>
      <c r="E316" s="196"/>
      <c r="F316" s="479">
        <f>'FR-16(7)(v)-8 TOT CLASS Alloc'!J316</f>
        <v>0</v>
      </c>
      <c r="G316" s="548">
        <f>'FR-16(7)(v)-5 DISTR Dem Alloc'!J316</f>
        <v>0</v>
      </c>
      <c r="H316" s="539">
        <f>'FR-16(7)(v)-3 PROD Comm Alloc'!J316</f>
        <v>0</v>
      </c>
      <c r="I316" s="540">
        <f>'FR-16(7)(v)-6 DISTR Cust Alloc'!J316</f>
        <v>0</v>
      </c>
      <c r="J316" s="347">
        <f>SUM(G316:I316)</f>
        <v>0</v>
      </c>
      <c r="K316" s="347">
        <f>F316-J316</f>
        <v>0</v>
      </c>
      <c r="M316" s="335"/>
    </row>
    <row r="317" spans="1:13">
      <c r="A317" s="333">
        <v>22</v>
      </c>
      <c r="C317" s="353" t="str">
        <f>'FR-16(7)(v)-1 Functional'!C317</f>
        <v>PIPP UNCOLLECTIBLES</v>
      </c>
      <c r="D317" s="344" t="str">
        <f>'FR-16(7)(v)-1 Functional'!D317</f>
        <v>K406</v>
      </c>
      <c r="E317" s="196"/>
      <c r="F317" s="479">
        <f>'FR-16(7)(v)-8 TOT CLASS Alloc'!J317</f>
        <v>0</v>
      </c>
      <c r="G317" s="548">
        <f>'FR-16(7)(v)-5 DISTR Dem Alloc'!J317</f>
        <v>0</v>
      </c>
      <c r="H317" s="539">
        <f>'FR-16(7)(v)-3 PROD Comm Alloc'!J317</f>
        <v>0</v>
      </c>
      <c r="I317" s="540">
        <f>'FR-16(7)(v)-6 DISTR Cust Alloc'!J317</f>
        <v>0</v>
      </c>
      <c r="J317" s="347">
        <f>SUM(G317:I317)</f>
        <v>0</v>
      </c>
      <c r="K317" s="347">
        <f>F317-J317</f>
        <v>0</v>
      </c>
      <c r="M317" s="335"/>
    </row>
    <row r="318" spans="1:13">
      <c r="A318" s="333">
        <v>23</v>
      </c>
      <c r="C318" s="511" t="str">
        <f>'FR-16(7)(v)-1 Functional'!C318</f>
        <v>RESERVED FOR FUTURE USE</v>
      </c>
      <c r="D318" s="344" t="str">
        <f>'FR-16(7)(v)-1 Functional'!D318</f>
        <v>D249</v>
      </c>
      <c r="E318" s="196"/>
      <c r="F318" s="479">
        <f>'FR-16(7)(v)-8 TOT CLASS Alloc'!J318</f>
        <v>0</v>
      </c>
      <c r="G318" s="548">
        <f>'FR-16(7)(v)-5 DISTR Dem Alloc'!J318</f>
        <v>0</v>
      </c>
      <c r="H318" s="539">
        <f>'FR-16(7)(v)-3 PROD Comm Alloc'!J318</f>
        <v>0</v>
      </c>
      <c r="I318" s="540">
        <f>'FR-16(7)(v)-6 DISTR Cust Alloc'!J318</f>
        <v>0</v>
      </c>
      <c r="J318" s="347">
        <f>SUM(G318:I318)</f>
        <v>0</v>
      </c>
      <c r="K318" s="347">
        <f>F318-J318</f>
        <v>0</v>
      </c>
      <c r="M318" s="335"/>
    </row>
    <row r="319" spans="1:13">
      <c r="A319" s="333">
        <v>24</v>
      </c>
      <c r="C319" s="332" t="str">
        <f>'FR-16(7)(v)-1 Functional'!C319</f>
        <v xml:space="preserve">  TOTAL MISC WORK CAPITAL</v>
      </c>
      <c r="D319" s="344"/>
      <c r="E319" s="196"/>
      <c r="F319" s="348">
        <f t="shared" ref="F319:K319" si="57">SUM(F315:F318)</f>
        <v>0</v>
      </c>
      <c r="G319" s="549">
        <f t="shared" si="57"/>
        <v>0</v>
      </c>
      <c r="H319" s="541">
        <f t="shared" si="57"/>
        <v>0</v>
      </c>
      <c r="I319" s="542">
        <f t="shared" si="57"/>
        <v>0</v>
      </c>
      <c r="J319" s="348">
        <f t="shared" si="57"/>
        <v>0</v>
      </c>
      <c r="K319" s="348">
        <f t="shared" si="57"/>
        <v>0</v>
      </c>
    </row>
    <row r="320" spans="1:13">
      <c r="A320" s="333">
        <v>25</v>
      </c>
      <c r="D320" s="344"/>
      <c r="E320" s="196"/>
      <c r="G320" s="547"/>
      <c r="H320" s="537"/>
      <c r="I320" s="538"/>
    </row>
    <row r="321" spans="1:13">
      <c r="A321" s="333">
        <v>26</v>
      </c>
      <c r="B321" s="332" t="s">
        <v>39</v>
      </c>
      <c r="D321" s="344"/>
      <c r="E321" s="196"/>
      <c r="F321" s="347">
        <f t="shared" ref="F321:K321" si="58">F304+F310+F313+F319</f>
        <v>72203</v>
      </c>
      <c r="G321" s="548">
        <f t="shared" si="58"/>
        <v>47314</v>
      </c>
      <c r="H321" s="539">
        <f t="shared" si="58"/>
        <v>15877</v>
      </c>
      <c r="I321" s="540">
        <f t="shared" si="58"/>
        <v>9013</v>
      </c>
      <c r="J321" s="347">
        <f t="shared" si="58"/>
        <v>72204</v>
      </c>
      <c r="K321" s="347">
        <f t="shared" si="58"/>
        <v>-1</v>
      </c>
    </row>
    <row r="322" spans="1:13">
      <c r="A322" s="333">
        <v>27</v>
      </c>
      <c r="B322" s="332" t="s">
        <v>40</v>
      </c>
      <c r="D322" s="344"/>
      <c r="E322" s="196"/>
      <c r="G322" s="547"/>
      <c r="H322" s="537"/>
      <c r="I322" s="538"/>
    </row>
    <row r="323" spans="1:13">
      <c r="A323" s="333">
        <v>28</v>
      </c>
      <c r="C323" s="332" t="str">
        <f>'FR-16(7)(v)-1 Functional'!C323</f>
        <v>TOTAL ACCUMULATED DEFERRED INCOME TAXES</v>
      </c>
      <c r="D323" s="344"/>
      <c r="E323" s="196"/>
      <c r="F323" s="347">
        <f t="shared" ref="F323:K323" si="59">-F238</f>
        <v>-1663717</v>
      </c>
      <c r="G323" s="548">
        <f t="shared" si="59"/>
        <v>-1489688</v>
      </c>
      <c r="H323" s="539">
        <f t="shared" si="59"/>
        <v>-2609</v>
      </c>
      <c r="I323" s="540">
        <f t="shared" si="59"/>
        <v>-171420</v>
      </c>
      <c r="J323" s="347">
        <f t="shared" si="59"/>
        <v>-1663717</v>
      </c>
      <c r="K323" s="347">
        <f t="shared" si="59"/>
        <v>0</v>
      </c>
      <c r="M323" s="335"/>
    </row>
    <row r="324" spans="1:13">
      <c r="A324" s="333">
        <v>29</v>
      </c>
      <c r="C324" s="332" t="str">
        <f>'FR-16(7)(v)-1 Functional'!C324</f>
        <v>TOTAL OTHER ACCUMULATED DEFERRED INCOME TAXES</v>
      </c>
      <c r="D324" s="344"/>
      <c r="E324" s="196"/>
      <c r="F324" s="347">
        <f t="shared" ref="F324:K324" si="60">F283</f>
        <v>118439</v>
      </c>
      <c r="G324" s="548">
        <f t="shared" si="60"/>
        <v>8313</v>
      </c>
      <c r="H324" s="539">
        <f t="shared" si="60"/>
        <v>107604</v>
      </c>
      <c r="I324" s="540">
        <f t="shared" si="60"/>
        <v>2522</v>
      </c>
      <c r="J324" s="347">
        <f t="shared" si="60"/>
        <v>118439</v>
      </c>
      <c r="K324" s="347">
        <f t="shared" si="60"/>
        <v>0</v>
      </c>
      <c r="M324" s="335"/>
    </row>
    <row r="325" spans="1:13">
      <c r="A325" s="333">
        <v>30</v>
      </c>
      <c r="C325" s="359" t="str">
        <f>'FR-16(7)(v)-1 Functional'!C325</f>
        <v>TOTAL WORKING CAPITAL</v>
      </c>
      <c r="D325" s="344"/>
      <c r="E325" s="196"/>
      <c r="F325" s="347">
        <f t="shared" ref="F325:K325" si="61">F321</f>
        <v>72203</v>
      </c>
      <c r="G325" s="548">
        <f t="shared" si="61"/>
        <v>47314</v>
      </c>
      <c r="H325" s="539">
        <f t="shared" si="61"/>
        <v>15877</v>
      </c>
      <c r="I325" s="540">
        <f t="shared" si="61"/>
        <v>9013</v>
      </c>
      <c r="J325" s="347">
        <f t="shared" si="61"/>
        <v>72204</v>
      </c>
      <c r="K325" s="347">
        <f t="shared" si="61"/>
        <v>-1</v>
      </c>
      <c r="M325" s="335"/>
    </row>
    <row r="326" spans="1:13">
      <c r="A326" s="333">
        <v>31</v>
      </c>
      <c r="C326" s="332" t="str">
        <f>'FR-16(7)(v)-1 Functional'!C326</f>
        <v xml:space="preserve">  TOTAL RATE BASE ADJUSTMENTS</v>
      </c>
      <c r="D326" s="344"/>
      <c r="E326" s="196"/>
      <c r="F326" s="348">
        <f t="shared" ref="F326:K326" si="62">SUM(F322:F325)</f>
        <v>-1473075</v>
      </c>
      <c r="G326" s="549">
        <f t="shared" si="62"/>
        <v>-1434061</v>
      </c>
      <c r="H326" s="541">
        <f t="shared" si="62"/>
        <v>120872</v>
      </c>
      <c r="I326" s="542">
        <f t="shared" si="62"/>
        <v>-159885</v>
      </c>
      <c r="J326" s="348">
        <f>SUM(J322:J325)</f>
        <v>-1473074</v>
      </c>
      <c r="K326" s="348">
        <f t="shared" si="62"/>
        <v>-1</v>
      </c>
    </row>
    <row r="327" spans="1:13">
      <c r="A327" s="333">
        <v>32</v>
      </c>
      <c r="D327" s="344"/>
      <c r="E327" s="196"/>
      <c r="G327" s="547"/>
      <c r="H327" s="537"/>
      <c r="I327" s="538"/>
    </row>
    <row r="328" spans="1:13">
      <c r="A328" s="333">
        <v>33</v>
      </c>
      <c r="B328" s="332" t="s">
        <v>41</v>
      </c>
      <c r="D328" s="344"/>
      <c r="E328" s="196"/>
      <c r="G328" s="547"/>
      <c r="H328" s="537"/>
      <c r="I328" s="538"/>
    </row>
    <row r="329" spans="1:13">
      <c r="A329" s="333">
        <v>34</v>
      </c>
      <c r="C329" s="332" t="str">
        <f>'FR-16(7)(v)-1 Functional'!C329</f>
        <v>NET GAS PLANT IN SERVICE</v>
      </c>
      <c r="D329" s="344"/>
      <c r="E329" s="196"/>
      <c r="F329" s="347">
        <f t="shared" ref="F329:K329" si="63">F191</f>
        <v>7311804</v>
      </c>
      <c r="G329" s="548">
        <f t="shared" si="63"/>
        <v>6632322</v>
      </c>
      <c r="H329" s="539">
        <f t="shared" si="63"/>
        <v>2628</v>
      </c>
      <c r="I329" s="540">
        <f t="shared" si="63"/>
        <v>676854</v>
      </c>
      <c r="J329" s="347">
        <f t="shared" si="63"/>
        <v>7311804</v>
      </c>
      <c r="K329" s="347">
        <f t="shared" si="63"/>
        <v>0</v>
      </c>
    </row>
    <row r="330" spans="1:13">
      <c r="A330" s="333">
        <v>35</v>
      </c>
      <c r="C330" s="359" t="str">
        <f>'FR-16(7)(v)-1 Functional'!C330</f>
        <v>TOTAL RATE BASE ADJUSTMENTS</v>
      </c>
      <c r="D330" s="344"/>
      <c r="E330" s="196"/>
      <c r="F330" s="347">
        <f t="shared" ref="F330:K330" si="64">F326</f>
        <v>-1473075</v>
      </c>
      <c r="G330" s="548">
        <f t="shared" si="64"/>
        <v>-1434061</v>
      </c>
      <c r="H330" s="539">
        <f t="shared" si="64"/>
        <v>120872</v>
      </c>
      <c r="I330" s="540">
        <f t="shared" si="64"/>
        <v>-159885</v>
      </c>
      <c r="J330" s="347">
        <f t="shared" si="64"/>
        <v>-1473074</v>
      </c>
      <c r="K330" s="347">
        <f t="shared" si="64"/>
        <v>-1</v>
      </c>
    </row>
    <row r="331" spans="1:13">
      <c r="A331" s="333">
        <v>36</v>
      </c>
      <c r="C331" s="332" t="str">
        <f>'FR-16(7)(v)-1 Functional'!C331</f>
        <v xml:space="preserve">  TOTAL RATE BASE</v>
      </c>
      <c r="D331" s="344"/>
      <c r="E331" s="196"/>
      <c r="F331" s="348">
        <f t="shared" ref="F331:K331" si="65">SUM(F328:F330)</f>
        <v>5838729</v>
      </c>
      <c r="G331" s="549">
        <f t="shared" si="65"/>
        <v>5198261</v>
      </c>
      <c r="H331" s="541">
        <f t="shared" si="65"/>
        <v>123500</v>
      </c>
      <c r="I331" s="542">
        <f t="shared" si="65"/>
        <v>516969</v>
      </c>
      <c r="J331" s="348">
        <f t="shared" si="65"/>
        <v>5838730</v>
      </c>
      <c r="K331" s="348">
        <f t="shared" si="65"/>
        <v>-1</v>
      </c>
    </row>
    <row r="332" spans="1:13">
      <c r="A332" s="333">
        <v>37</v>
      </c>
      <c r="D332" s="344"/>
      <c r="E332" s="196"/>
      <c r="G332" s="547"/>
      <c r="H332" s="537"/>
      <c r="I332" s="538"/>
    </row>
    <row r="333" spans="1:13">
      <c r="A333" s="333">
        <v>38</v>
      </c>
      <c r="B333" s="332" t="s">
        <v>42</v>
      </c>
      <c r="D333" s="344"/>
      <c r="E333" s="196"/>
      <c r="F333" s="350">
        <f>$F$688</f>
        <v>7.1809999999999999E-2</v>
      </c>
      <c r="G333" s="1278">
        <f>F688</f>
        <v>7.1809999999999999E-2</v>
      </c>
      <c r="H333" s="1279">
        <f>F688</f>
        <v>7.1809999999999999E-2</v>
      </c>
      <c r="I333" s="1280">
        <f>F688</f>
        <v>7.1809999999999999E-2</v>
      </c>
      <c r="J333" s="350">
        <f>F688</f>
        <v>7.1809999999999999E-2</v>
      </c>
      <c r="K333" s="350">
        <f>'FR-16(7)(v)-1 Functional'!F688</f>
        <v>7.1809999999999999E-2</v>
      </c>
    </row>
    <row r="334" spans="1:13">
      <c r="A334" s="333">
        <v>39</v>
      </c>
      <c r="B334" s="332" t="s">
        <v>43</v>
      </c>
      <c r="D334" s="344"/>
      <c r="E334" s="196"/>
      <c r="F334" s="347">
        <f>ROUND(F333*F331,0)</f>
        <v>419279</v>
      </c>
      <c r="G334" s="554">
        <f>ROUND(G331*G333,0)</f>
        <v>373287</v>
      </c>
      <c r="H334" s="555">
        <f>ROUND(H331*H333,0)</f>
        <v>8869</v>
      </c>
      <c r="I334" s="556">
        <f>ROUND(I331*I333,0)</f>
        <v>37124</v>
      </c>
      <c r="J334" s="347">
        <f>SUM(G334:I334)</f>
        <v>419280</v>
      </c>
      <c r="K334" s="347">
        <f>ROUND(K331*K333,0)</f>
        <v>0</v>
      </c>
    </row>
    <row r="335" spans="1:13">
      <c r="B335" s="343"/>
      <c r="C335" s="196"/>
      <c r="D335" s="344"/>
      <c r="E335" s="196"/>
      <c r="F335" s="196"/>
      <c r="G335" s="196"/>
      <c r="H335" s="196"/>
      <c r="I335" s="196"/>
      <c r="J335" s="196"/>
      <c r="K335" s="196"/>
    </row>
    <row r="336" spans="1:13">
      <c r="A336" s="343" t="str">
        <f>co_name</f>
        <v>DUKE ENERGY KENTUCKY, INC.</v>
      </c>
      <c r="C336" s="196"/>
      <c r="D336" s="344"/>
      <c r="E336" s="196"/>
      <c r="F336" s="196"/>
      <c r="G336" s="196"/>
      <c r="H336" s="196"/>
      <c r="I336" s="196"/>
      <c r="J336" s="196" t="str">
        <f>$J$1</f>
        <v>FR-16(7)(v)-12</v>
      </c>
      <c r="K336" s="196"/>
    </row>
    <row r="337" spans="1:11">
      <c r="A337" s="343" t="str">
        <f>$A$2</f>
        <v>INTERRUPTIBLE TRANSPORTATION CLASSIFIED - GAS COST OF SERVICE</v>
      </c>
      <c r="C337" s="196"/>
      <c r="D337" s="344"/>
      <c r="E337" s="196"/>
      <c r="F337" s="196"/>
      <c r="G337" s="196"/>
      <c r="H337" s="196"/>
      <c r="I337" s="196"/>
      <c r="J337" s="196" t="str">
        <f>$J$2</f>
        <v>WITNESS RESPONSIBLE:</v>
      </c>
      <c r="K337" s="196"/>
    </row>
    <row r="338" spans="1:11">
      <c r="A338" s="343" t="str">
        <f>case_name</f>
        <v>CASE NO: 2018-00261</v>
      </c>
      <c r="C338" s="196"/>
      <c r="D338" s="344"/>
      <c r="E338" s="196"/>
      <c r="F338" s="196"/>
      <c r="G338" s="196"/>
      <c r="H338" s="196"/>
      <c r="I338" s="196"/>
      <c r="J338" s="196" t="str">
        <f>Witness</f>
        <v>JAMES E. ZIOLKOWSKI</v>
      </c>
      <c r="K338" s="196"/>
    </row>
    <row r="339" spans="1:11">
      <c r="A339" s="343" t="str">
        <f>data_filing</f>
        <v>DATA: 12 MONTH FORECASTED PERIOD</v>
      </c>
      <c r="C339" s="196"/>
      <c r="D339" s="344"/>
      <c r="E339" s="196"/>
      <c r="F339" s="196"/>
      <c r="G339" s="196"/>
      <c r="H339" s="196"/>
      <c r="I339" s="196"/>
      <c r="J339" s="196" t="str">
        <f>"PAGE "&amp;Pages2-7&amp;" OF "&amp;Pages2</f>
        <v>PAGE 8 OF 15</v>
      </c>
      <c r="K339" s="196"/>
    </row>
    <row r="340" spans="1:11">
      <c r="A340" s="343" t="str">
        <f>type</f>
        <v xml:space="preserve">TYPE OF FILING: "X" ORIGINAL   UPDATED    REVISED  </v>
      </c>
      <c r="C340" s="196"/>
      <c r="D340" s="344"/>
      <c r="E340" s="196"/>
      <c r="F340" s="196"/>
      <c r="G340" s="196"/>
      <c r="H340" s="196"/>
      <c r="I340" s="196"/>
      <c r="J340" s="196"/>
      <c r="K340" s="196"/>
    </row>
    <row r="341" spans="1:11">
      <c r="B341" s="343"/>
      <c r="C341" s="196"/>
      <c r="D341" s="344"/>
      <c r="E341" s="196"/>
      <c r="F341" s="196"/>
      <c r="G341" s="196"/>
      <c r="H341" s="196"/>
      <c r="I341" s="196"/>
      <c r="J341" s="196"/>
      <c r="K341" s="196"/>
    </row>
    <row r="342" spans="1:11">
      <c r="B342" s="343"/>
      <c r="C342" s="196"/>
      <c r="D342" s="344"/>
      <c r="E342" s="196"/>
      <c r="F342" s="196"/>
      <c r="G342" s="196"/>
      <c r="H342" s="196"/>
      <c r="I342" s="196"/>
      <c r="J342" s="196"/>
      <c r="K342" s="196"/>
    </row>
    <row r="343" spans="1:11">
      <c r="A343" s="344" t="s">
        <v>914</v>
      </c>
      <c r="B343" s="196"/>
      <c r="C343" s="196"/>
      <c r="D343" s="344"/>
      <c r="E343" s="196"/>
      <c r="F343" s="344" t="s">
        <v>229</v>
      </c>
      <c r="G343" s="545" t="s">
        <v>1005</v>
      </c>
      <c r="H343" s="533"/>
      <c r="I343" s="534"/>
      <c r="J343" s="344" t="s">
        <v>229</v>
      </c>
      <c r="K343" s="344" t="s">
        <v>342</v>
      </c>
    </row>
    <row r="344" spans="1:11">
      <c r="A344" s="346" t="s">
        <v>915</v>
      </c>
      <c r="B344" s="345" t="s">
        <v>44</v>
      </c>
      <c r="C344" s="345"/>
      <c r="D344" s="346" t="s">
        <v>337</v>
      </c>
      <c r="E344" s="345"/>
      <c r="F344" s="346" t="str">
        <f>$F$9</f>
        <v>INTERRUPTIBLE</v>
      </c>
      <c r="G344" s="546" t="s">
        <v>847</v>
      </c>
      <c r="H344" s="535" t="s">
        <v>848</v>
      </c>
      <c r="I344" s="536" t="s">
        <v>849</v>
      </c>
      <c r="J344" s="346" t="s">
        <v>341</v>
      </c>
      <c r="K344" s="346" t="s">
        <v>340</v>
      </c>
    </row>
    <row r="345" spans="1:11">
      <c r="C345" s="578" t="s">
        <v>348</v>
      </c>
      <c r="D345" s="344"/>
      <c r="E345" s="196"/>
      <c r="G345" s="800">
        <f>$G$10</f>
        <v>3</v>
      </c>
      <c r="H345" s="801">
        <f>$H$10</f>
        <v>4</v>
      </c>
      <c r="I345" s="802">
        <f>$I$10</f>
        <v>5</v>
      </c>
    </row>
    <row r="346" spans="1:11">
      <c r="A346" s="333">
        <v>1</v>
      </c>
      <c r="B346" s="332" t="s">
        <v>45</v>
      </c>
      <c r="D346" s="344"/>
      <c r="E346" s="196"/>
      <c r="G346" s="547"/>
      <c r="H346" s="537"/>
      <c r="I346" s="538"/>
    </row>
    <row r="347" spans="1:11">
      <c r="A347" s="333">
        <v>2</v>
      </c>
      <c r="B347" s="332" t="s">
        <v>46</v>
      </c>
      <c r="D347" s="344"/>
      <c r="E347" s="196"/>
      <c r="G347" s="547"/>
      <c r="H347" s="537"/>
      <c r="I347" s="538"/>
    </row>
    <row r="348" spans="1:11">
      <c r="A348" s="333">
        <v>3</v>
      </c>
      <c r="C348" s="332" t="str">
        <f>'FR-16(7)(v)-1 Functional'!C348</f>
        <v>ANNUALIZED GAS COST</v>
      </c>
      <c r="D348" s="344" t="str">
        <f>'FR-16(7)(v)-1 Functional'!D348</f>
        <v>K301</v>
      </c>
      <c r="E348" s="196"/>
      <c r="F348" s="479">
        <f>'FR-16(7)(v)-8 TOT CLASS Alloc'!J348</f>
        <v>0</v>
      </c>
      <c r="G348" s="548">
        <f>'FR-16(7)(v)-5 DISTR Dem Alloc'!J348</f>
        <v>0</v>
      </c>
      <c r="H348" s="539">
        <f>'FR-16(7)(v)-3 PROD Comm Alloc'!J348</f>
        <v>0</v>
      </c>
      <c r="I348" s="540">
        <f>'FR-16(7)(v)-6 DISTR Cust Alloc'!J348</f>
        <v>0</v>
      </c>
      <c r="J348" s="347">
        <f>SUM(G348:I348)</f>
        <v>0</v>
      </c>
      <c r="K348" s="347">
        <f>F348-J348</f>
        <v>0</v>
      </c>
    </row>
    <row r="349" spans="1:11">
      <c r="A349" s="333">
        <v>4</v>
      </c>
      <c r="C349" s="359" t="str">
        <f>'FR-16(7)(v)-1 Functional'!C349</f>
        <v>OTHER ASSOCIATED COST</v>
      </c>
      <c r="D349" s="344" t="str">
        <f>'FR-16(7)(v)-1 Functional'!D349</f>
        <v>K300</v>
      </c>
      <c r="E349" s="196"/>
      <c r="F349" s="479">
        <f>'FR-16(7)(v)-8 TOT CLASS Alloc'!J349</f>
        <v>124960</v>
      </c>
      <c r="G349" s="548">
        <f>'FR-16(7)(v)-5 DISTR Dem Alloc'!J349</f>
        <v>0</v>
      </c>
      <c r="H349" s="539">
        <f>'FR-16(7)(v)-3 PROD Comm Alloc'!J349</f>
        <v>124960</v>
      </c>
      <c r="I349" s="540">
        <f>'FR-16(7)(v)-6 DISTR Cust Alloc'!J349</f>
        <v>0</v>
      </c>
      <c r="J349" s="347">
        <f>SUM(G349:I349)</f>
        <v>124960</v>
      </c>
      <c r="K349" s="347">
        <f>F349-J349</f>
        <v>0</v>
      </c>
    </row>
    <row r="350" spans="1:11">
      <c r="A350" s="333">
        <v>5</v>
      </c>
      <c r="C350" s="332" t="str">
        <f>'FR-16(7)(v)-1 Functional'!C350</f>
        <v xml:space="preserve">  TOTAL COMMODITY RELATED</v>
      </c>
      <c r="D350" s="344"/>
      <c r="E350" s="196"/>
      <c r="F350" s="348">
        <f t="shared" ref="F350:K350" si="66">SUM(F348:F349)</f>
        <v>124960</v>
      </c>
      <c r="G350" s="549">
        <f t="shared" si="66"/>
        <v>0</v>
      </c>
      <c r="H350" s="541">
        <f t="shared" si="66"/>
        <v>124960</v>
      </c>
      <c r="I350" s="542">
        <f t="shared" si="66"/>
        <v>0</v>
      </c>
      <c r="J350" s="348">
        <f t="shared" si="66"/>
        <v>124960</v>
      </c>
      <c r="K350" s="348">
        <f t="shared" si="66"/>
        <v>0</v>
      </c>
    </row>
    <row r="351" spans="1:11">
      <c r="A351" s="333">
        <v>6</v>
      </c>
      <c r="D351" s="344"/>
      <c r="E351" s="196"/>
      <c r="G351" s="547"/>
      <c r="H351" s="537"/>
      <c r="I351" s="538"/>
    </row>
    <row r="352" spans="1:11">
      <c r="A352" s="333">
        <v>7</v>
      </c>
      <c r="B352" s="359" t="s">
        <v>47</v>
      </c>
      <c r="C352" s="359"/>
      <c r="D352" s="344"/>
      <c r="E352" s="196"/>
      <c r="F352" s="347"/>
      <c r="G352" s="548"/>
      <c r="H352" s="539"/>
      <c r="I352" s="540"/>
      <c r="J352" s="347"/>
      <c r="K352" s="347"/>
    </row>
    <row r="353" spans="1:11">
      <c r="A353" s="333">
        <v>8</v>
      </c>
      <c r="C353" s="332" t="str">
        <f>'FR-16(7)(v)-1 Functional'!C353</f>
        <v>ANNUALIZED GAS COST - DEMAND</v>
      </c>
      <c r="D353" s="344" t="s">
        <v>290</v>
      </c>
      <c r="E353" s="196"/>
      <c r="F353" s="479">
        <f>'FR-16(7)(v)-8 TOT CLASS Alloc'!J353</f>
        <v>0</v>
      </c>
      <c r="G353" s="548">
        <f>'FR-16(7)(v)-5 DISTR Dem Alloc'!J353</f>
        <v>0</v>
      </c>
      <c r="H353" s="539">
        <f>'FR-16(7)(v)-3 PROD Comm Alloc'!J353</f>
        <v>0</v>
      </c>
      <c r="I353" s="540">
        <f>'FR-16(7)(v)-6 DISTR Cust Alloc'!J353</f>
        <v>0</v>
      </c>
      <c r="J353" s="347">
        <f>SUM(G353:I353)</f>
        <v>0</v>
      </c>
      <c r="K353" s="347">
        <f>F353-J353</f>
        <v>0</v>
      </c>
    </row>
    <row r="354" spans="1:11">
      <c r="A354" s="333">
        <v>9</v>
      </c>
      <c r="C354" s="332" t="str">
        <f>'FR-16(7)(v)-1 Functional'!C354</f>
        <v xml:space="preserve">  TOTAL DEMAND RELATED</v>
      </c>
      <c r="D354" s="344"/>
      <c r="E354" s="196"/>
      <c r="F354" s="348">
        <f t="shared" ref="F354:K354" si="67">SUM(F352:F353)</f>
        <v>0</v>
      </c>
      <c r="G354" s="549">
        <f t="shared" si="67"/>
        <v>0</v>
      </c>
      <c r="H354" s="541">
        <f t="shared" si="67"/>
        <v>0</v>
      </c>
      <c r="I354" s="542">
        <f t="shared" si="67"/>
        <v>0</v>
      </c>
      <c r="J354" s="348">
        <f t="shared" si="67"/>
        <v>0</v>
      </c>
      <c r="K354" s="348">
        <f t="shared" si="67"/>
        <v>0</v>
      </c>
    </row>
    <row r="355" spans="1:11">
      <c r="A355" s="333">
        <v>10</v>
      </c>
      <c r="D355" s="344"/>
      <c r="E355" s="196"/>
      <c r="G355" s="547"/>
      <c r="H355" s="537"/>
      <c r="I355" s="538"/>
    </row>
    <row r="356" spans="1:11">
      <c r="A356" s="333">
        <v>11</v>
      </c>
      <c r="B356" s="332" t="s">
        <v>1010</v>
      </c>
      <c r="D356" s="344"/>
      <c r="E356" s="196"/>
      <c r="G356" s="547"/>
      <c r="H356" s="537"/>
      <c r="I356" s="538"/>
    </row>
    <row r="357" spans="1:11">
      <c r="A357" s="333">
        <v>12</v>
      </c>
      <c r="C357" s="359" t="str">
        <f>'FR-16(7)(v)-1 Functional'!C357</f>
        <v>PRODUCTION EXPENSES</v>
      </c>
      <c r="D357" s="344" t="str">
        <f>'FR-16(7)(v)-1 Functional'!D357</f>
        <v>K201</v>
      </c>
      <c r="E357" s="196"/>
      <c r="F357" s="479">
        <f>'FR-16(7)(v)-8 TOT CLASS Alloc'!J357</f>
        <v>0</v>
      </c>
      <c r="G357" s="548">
        <f>'FR-16(7)(v)-5 DISTR Dem Alloc'!J357</f>
        <v>0</v>
      </c>
      <c r="H357" s="539">
        <f>'FR-16(7)(v)-3 PROD Comm Alloc'!J357</f>
        <v>0</v>
      </c>
      <c r="I357" s="540">
        <f>'FR-16(7)(v)-6 DISTR Cust Alloc'!J357</f>
        <v>0</v>
      </c>
      <c r="J357" s="347">
        <f>SUM(G357:I357)</f>
        <v>0</v>
      </c>
      <c r="K357" s="347">
        <f>F357-J357</f>
        <v>0</v>
      </c>
    </row>
    <row r="358" spans="1:11">
      <c r="A358" s="333">
        <v>13</v>
      </c>
      <c r="C358" s="332" t="str">
        <f>'FR-16(7)(v)-1 Functional'!C358</f>
        <v xml:space="preserve">  TOTAL DEM REL &amp; OTH PROD O&amp;M </v>
      </c>
      <c r="D358" s="344"/>
      <c r="E358" s="196"/>
      <c r="F358" s="348">
        <f t="shared" ref="F358:K358" si="68">SUM(F356:F357)</f>
        <v>0</v>
      </c>
      <c r="G358" s="549">
        <f t="shared" si="68"/>
        <v>0</v>
      </c>
      <c r="H358" s="541">
        <f t="shared" si="68"/>
        <v>0</v>
      </c>
      <c r="I358" s="542">
        <f t="shared" si="68"/>
        <v>0</v>
      </c>
      <c r="J358" s="348">
        <f t="shared" si="68"/>
        <v>0</v>
      </c>
      <c r="K358" s="348">
        <f t="shared" si="68"/>
        <v>0</v>
      </c>
    </row>
    <row r="359" spans="1:11">
      <c r="A359" s="333">
        <v>14</v>
      </c>
      <c r="D359" s="344"/>
      <c r="E359" s="196"/>
      <c r="F359" s="347"/>
      <c r="G359" s="548"/>
      <c r="H359" s="539"/>
      <c r="I359" s="540"/>
      <c r="J359" s="347"/>
      <c r="K359" s="347"/>
    </row>
    <row r="360" spans="1:11">
      <c r="A360" s="333">
        <v>15</v>
      </c>
      <c r="B360" s="332" t="s">
        <v>48</v>
      </c>
      <c r="D360" s="344"/>
      <c r="E360" s="196" t="s">
        <v>343</v>
      </c>
      <c r="F360" s="347">
        <f t="shared" ref="F360:K360" si="69">F358+F354+F350</f>
        <v>124960</v>
      </c>
      <c r="G360" s="548">
        <f t="shared" si="69"/>
        <v>0</v>
      </c>
      <c r="H360" s="539">
        <f t="shared" si="69"/>
        <v>124960</v>
      </c>
      <c r="I360" s="540">
        <f t="shared" si="69"/>
        <v>0</v>
      </c>
      <c r="J360" s="347">
        <f t="shared" si="69"/>
        <v>124960</v>
      </c>
      <c r="K360" s="347">
        <f t="shared" si="69"/>
        <v>0</v>
      </c>
    </row>
    <row r="361" spans="1:11">
      <c r="A361" s="333">
        <v>16</v>
      </c>
      <c r="D361" s="344"/>
      <c r="E361" s="196"/>
      <c r="G361" s="547"/>
      <c r="H361" s="537"/>
      <c r="I361" s="538"/>
    </row>
    <row r="362" spans="1:11">
      <c r="A362" s="333">
        <v>17</v>
      </c>
      <c r="B362" s="332" t="s">
        <v>49</v>
      </c>
      <c r="D362" s="344"/>
      <c r="E362" s="196"/>
      <c r="G362" s="547"/>
      <c r="H362" s="537"/>
      <c r="I362" s="538"/>
    </row>
    <row r="363" spans="1:11">
      <c r="A363" s="333">
        <v>18</v>
      </c>
      <c r="C363" s="359" t="str">
        <f>'FR-16(7)(v)-1 Functional'!C363</f>
        <v>TRANSMISSION O &amp; M</v>
      </c>
      <c r="D363" s="344" t="s">
        <v>343</v>
      </c>
      <c r="E363" s="196"/>
      <c r="F363" s="477"/>
      <c r="G363" s="548"/>
      <c r="H363" s="539"/>
      <c r="I363" s="540"/>
      <c r="J363" s="347"/>
      <c r="K363" s="347"/>
    </row>
    <row r="364" spans="1:11">
      <c r="A364" s="333">
        <v>19</v>
      </c>
      <c r="C364" s="332" t="str">
        <f>'FR-16(7)(v)-1 Functional'!C364</f>
        <v xml:space="preserve">  TOTAL TRANSMISSION O &amp; M</v>
      </c>
      <c r="D364" s="344"/>
      <c r="E364" s="196"/>
      <c r="F364" s="348">
        <f t="shared" ref="F364:K364" si="70">SUM(F363)</f>
        <v>0</v>
      </c>
      <c r="G364" s="549">
        <f t="shared" si="70"/>
        <v>0</v>
      </c>
      <c r="H364" s="541">
        <f t="shared" si="70"/>
        <v>0</v>
      </c>
      <c r="I364" s="542">
        <f t="shared" si="70"/>
        <v>0</v>
      </c>
      <c r="J364" s="348">
        <f t="shared" si="70"/>
        <v>0</v>
      </c>
      <c r="K364" s="348">
        <f t="shared" si="70"/>
        <v>0</v>
      </c>
    </row>
    <row r="365" spans="1:11">
      <c r="A365" s="333">
        <v>20</v>
      </c>
      <c r="D365" s="344"/>
      <c r="E365" s="196"/>
      <c r="G365" s="547"/>
      <c r="H365" s="537"/>
      <c r="I365" s="538"/>
    </row>
    <row r="366" spans="1:11">
      <c r="A366" s="333">
        <v>21</v>
      </c>
      <c r="B366" s="332" t="s">
        <v>50</v>
      </c>
      <c r="D366" s="344"/>
      <c r="E366" s="196"/>
      <c r="G366" s="547"/>
      <c r="H366" s="537"/>
      <c r="I366" s="538"/>
    </row>
    <row r="367" spans="1:11">
      <c r="A367" s="333">
        <v>22</v>
      </c>
      <c r="C367" s="332" t="str">
        <f>'FR-16(7)(v)-1 Functional'!C367</f>
        <v>LOAD DISPATCHING</v>
      </c>
      <c r="D367" s="344" t="str">
        <f>'FR-16(7)(v)-1 Functional'!D367</f>
        <v>K203</v>
      </c>
      <c r="E367" s="196"/>
      <c r="F367" s="479">
        <f>'FR-16(7)(v)-8 TOT CLASS Alloc'!J367</f>
        <v>5740</v>
      </c>
      <c r="G367" s="548">
        <f>'FR-16(7)(v)-5 DISTR Dem Alloc'!J367</f>
        <v>5740</v>
      </c>
      <c r="H367" s="539">
        <f>'FR-16(7)(v)-3 PROD Comm Alloc'!J367</f>
        <v>0</v>
      </c>
      <c r="I367" s="540">
        <f>'FR-16(7)(v)-6 DISTR Cust Alloc'!J367</f>
        <v>0</v>
      </c>
      <c r="J367" s="347">
        <f t="shared" ref="J367:J377" si="71">SUM(G367:I367)</f>
        <v>5740</v>
      </c>
      <c r="K367" s="347">
        <f t="shared" ref="K367:K377" si="72">F367-J367</f>
        <v>0</v>
      </c>
    </row>
    <row r="368" spans="1:11">
      <c r="A368" s="333">
        <v>23</v>
      </c>
      <c r="C368" s="332" t="str">
        <f>'FR-16(7)(v)-1 Functional'!C368</f>
        <v>MAINS &amp; SERVICES OPER</v>
      </c>
      <c r="D368" s="344" t="str">
        <f>'FR-16(7)(v)-1 Functional'!D368</f>
        <v>K667</v>
      </c>
      <c r="E368" s="196"/>
      <c r="F368" s="479">
        <f>'FR-16(7)(v)-8 TOT CLASS Alloc'!J368</f>
        <v>45643</v>
      </c>
      <c r="G368" s="548">
        <f>'FR-16(7)(v)-5 DISTR Dem Alloc'!J368</f>
        <v>40961</v>
      </c>
      <c r="H368" s="539">
        <f>'FR-16(7)(v)-3 PROD Comm Alloc'!J368</f>
        <v>0</v>
      </c>
      <c r="I368" s="540">
        <f>'FR-16(7)(v)-6 DISTR Cust Alloc'!J368</f>
        <v>4682</v>
      </c>
      <c r="J368" s="347">
        <f t="shared" si="71"/>
        <v>45643</v>
      </c>
      <c r="K368" s="347">
        <f t="shared" si="72"/>
        <v>0</v>
      </c>
    </row>
    <row r="369" spans="1:11">
      <c r="A369" s="333">
        <v>24</v>
      </c>
      <c r="C369" s="332" t="str">
        <f>'FR-16(7)(v)-1 Functional'!C369</f>
        <v>M &amp; R STATION GENERAL</v>
      </c>
      <c r="D369" s="344" t="str">
        <f>'FR-16(7)(v)-1 Functional'!D369</f>
        <v>K203</v>
      </c>
      <c r="E369" s="196"/>
      <c r="F369" s="479">
        <f>'FR-16(7)(v)-8 TOT CLASS Alloc'!J369</f>
        <v>2050</v>
      </c>
      <c r="G369" s="548">
        <f>'FR-16(7)(v)-5 DISTR Dem Alloc'!J369</f>
        <v>2050</v>
      </c>
      <c r="H369" s="539">
        <f>'FR-16(7)(v)-3 PROD Comm Alloc'!J369</f>
        <v>0</v>
      </c>
      <c r="I369" s="540">
        <f>'FR-16(7)(v)-6 DISTR Cust Alloc'!J369</f>
        <v>0</v>
      </c>
      <c r="J369" s="347">
        <f t="shared" si="71"/>
        <v>2050</v>
      </c>
      <c r="K369" s="347">
        <f t="shared" si="72"/>
        <v>0</v>
      </c>
    </row>
    <row r="370" spans="1:11">
      <c r="A370" s="333">
        <v>25</v>
      </c>
      <c r="C370" s="332" t="str">
        <f>'FR-16(7)(v)-1 Functional'!C370</f>
        <v>CUSTOMER INST &amp; OTHER</v>
      </c>
      <c r="D370" s="344" t="str">
        <f>'FR-16(7)(v)-1 Functional'!D370</f>
        <v>K415</v>
      </c>
      <c r="E370" s="196"/>
      <c r="F370" s="479">
        <f>'FR-16(7)(v)-8 TOT CLASS Alloc'!J370</f>
        <v>35340</v>
      </c>
      <c r="G370" s="548">
        <f>'FR-16(7)(v)-5 DISTR Dem Alloc'!J370</f>
        <v>29686</v>
      </c>
      <c r="H370" s="539">
        <f>'FR-16(7)(v)-3 PROD Comm Alloc'!J370</f>
        <v>0</v>
      </c>
      <c r="I370" s="540">
        <f>'FR-16(7)(v)-6 DISTR Cust Alloc'!J370</f>
        <v>5654</v>
      </c>
      <c r="J370" s="347">
        <f t="shared" si="71"/>
        <v>35340</v>
      </c>
      <c r="K370" s="347">
        <f t="shared" si="72"/>
        <v>0</v>
      </c>
    </row>
    <row r="371" spans="1:11">
      <c r="A371" s="333">
        <v>26</v>
      </c>
      <c r="C371" s="332" t="str">
        <f>'FR-16(7)(v)-1 Functional'!C371</f>
        <v>METERS &amp; HOUSE REG</v>
      </c>
      <c r="D371" s="344" t="str">
        <f>'FR-16(7)(v)-1 Functional'!D371</f>
        <v>K697</v>
      </c>
      <c r="E371" s="196"/>
      <c r="F371" s="479">
        <f>'FR-16(7)(v)-8 TOT CLASS Alloc'!J371</f>
        <v>8966</v>
      </c>
      <c r="G371" s="548">
        <f>'FR-16(7)(v)-5 DISTR Dem Alloc'!J371</f>
        <v>0</v>
      </c>
      <c r="H371" s="539">
        <f>'FR-16(7)(v)-3 PROD Comm Alloc'!J371</f>
        <v>0</v>
      </c>
      <c r="I371" s="540">
        <f>'FR-16(7)(v)-6 DISTR Cust Alloc'!J371</f>
        <v>8966</v>
      </c>
      <c r="J371" s="347">
        <f t="shared" si="71"/>
        <v>8966</v>
      </c>
      <c r="K371" s="347">
        <f t="shared" si="72"/>
        <v>0</v>
      </c>
    </row>
    <row r="372" spans="1:11">
      <c r="A372" s="333">
        <v>27</v>
      </c>
      <c r="C372" s="332" t="str">
        <f>'FR-16(7)(v)-1 Functional'!C372</f>
        <v>MAINS</v>
      </c>
      <c r="D372" s="344" t="str">
        <f>'FR-16(7)(v)-1 Functional'!D372</f>
        <v>K415</v>
      </c>
      <c r="E372" s="196"/>
      <c r="F372" s="479">
        <f>'FR-16(7)(v)-8 TOT CLASS Alloc'!J372</f>
        <v>56376</v>
      </c>
      <c r="G372" s="548">
        <f>'FR-16(7)(v)-5 DISTR Dem Alloc'!J372</f>
        <v>47356</v>
      </c>
      <c r="H372" s="539">
        <f>'FR-16(7)(v)-3 PROD Comm Alloc'!J372</f>
        <v>0</v>
      </c>
      <c r="I372" s="540">
        <f>'FR-16(7)(v)-6 DISTR Cust Alloc'!J372</f>
        <v>9020</v>
      </c>
      <c r="J372" s="347">
        <f t="shared" si="71"/>
        <v>56376</v>
      </c>
      <c r="K372" s="347">
        <f t="shared" si="72"/>
        <v>0</v>
      </c>
    </row>
    <row r="373" spans="1:11">
      <c r="A373" s="333">
        <v>28</v>
      </c>
      <c r="C373" s="332" t="str">
        <f>'FR-16(7)(v)-1 Functional'!C373</f>
        <v>SERVICES</v>
      </c>
      <c r="D373" s="344" t="str">
        <f>'FR-16(7)(v)-1 Functional'!D373</f>
        <v>K403</v>
      </c>
      <c r="E373" s="196"/>
      <c r="F373" s="479">
        <f>'FR-16(7)(v)-8 TOT CLASS Alloc'!J373</f>
        <v>2832</v>
      </c>
      <c r="G373" s="548">
        <f>'FR-16(7)(v)-5 DISTR Dem Alloc'!J373</f>
        <v>0</v>
      </c>
      <c r="H373" s="539">
        <f>'FR-16(7)(v)-3 PROD Comm Alloc'!J373</f>
        <v>0</v>
      </c>
      <c r="I373" s="540">
        <f>'FR-16(7)(v)-6 DISTR Cust Alloc'!J373</f>
        <v>2832</v>
      </c>
      <c r="J373" s="347">
        <f t="shared" si="71"/>
        <v>2832</v>
      </c>
      <c r="K373" s="347">
        <f t="shared" si="72"/>
        <v>0</v>
      </c>
    </row>
    <row r="374" spans="1:11">
      <c r="A374" s="333">
        <v>29</v>
      </c>
      <c r="C374" s="332" t="str">
        <f>'FR-16(7)(v)-1 Functional'!C374</f>
        <v>SUPV &amp; ENG</v>
      </c>
      <c r="D374" s="344" t="str">
        <f>'FR-16(7)(v)-1 Functional'!D374</f>
        <v>D249</v>
      </c>
      <c r="E374" s="196"/>
      <c r="F374" s="479">
        <f>'FR-16(7)(v)-8 TOT CLASS Alloc'!J374</f>
        <v>0</v>
      </c>
      <c r="G374" s="548">
        <f>'FR-16(7)(v)-5 DISTR Dem Alloc'!J374</f>
        <v>0</v>
      </c>
      <c r="H374" s="539">
        <f>'FR-16(7)(v)-3 PROD Comm Alloc'!J374</f>
        <v>0</v>
      </c>
      <c r="I374" s="540">
        <f>'FR-16(7)(v)-6 DISTR Cust Alloc'!J374</f>
        <v>0</v>
      </c>
      <c r="J374" s="347">
        <f t="shared" si="71"/>
        <v>0</v>
      </c>
      <c r="K374" s="347">
        <f t="shared" si="72"/>
        <v>0</v>
      </c>
    </row>
    <row r="375" spans="1:11">
      <c r="A375" s="333">
        <v>30</v>
      </c>
      <c r="C375" s="332" t="str">
        <f>'FR-16(7)(v)-1 Functional'!C375</f>
        <v>ELIMINATE NON-KY CUSTOMER</v>
      </c>
      <c r="D375" s="344" t="str">
        <f>'FR-16(7)(v)-1 Functional'!D375</f>
        <v>K595</v>
      </c>
      <c r="E375" s="196"/>
      <c r="F375" s="479">
        <f>'FR-16(7)(v)-8 TOT CLASS Alloc'!J375</f>
        <v>-43095</v>
      </c>
      <c r="G375" s="548">
        <f>'FR-16(7)(v)-5 DISTR Dem Alloc'!J375</f>
        <v>-43095</v>
      </c>
      <c r="H375" s="539">
        <f>'FR-16(7)(v)-3 PROD Comm Alloc'!J375</f>
        <v>0</v>
      </c>
      <c r="I375" s="540">
        <f>'FR-16(7)(v)-6 DISTR Cust Alloc'!J375</f>
        <v>0</v>
      </c>
      <c r="J375" s="347">
        <f t="shared" si="71"/>
        <v>-43095</v>
      </c>
      <c r="K375" s="347">
        <f t="shared" si="72"/>
        <v>0</v>
      </c>
    </row>
    <row r="376" spans="1:11">
      <c r="A376" s="333">
        <v>31</v>
      </c>
      <c r="C376" s="332" t="str">
        <f>'FR-16(7)(v)-1 Functional'!C376</f>
        <v>INTEGRITY MANAGEMENT EXPENSES</v>
      </c>
      <c r="D376" s="344" t="str">
        <f>'FR-16(7)(v)-1 Functional'!D376</f>
        <v>K203</v>
      </c>
      <c r="E376" s="196"/>
      <c r="F376" s="479">
        <f>'FR-16(7)(v)-8 TOT CLASS Alloc'!J376</f>
        <v>32998</v>
      </c>
      <c r="G376" s="548">
        <f>'FR-16(7)(v)-5 DISTR Dem Alloc'!J376</f>
        <v>32998</v>
      </c>
      <c r="H376" s="539">
        <f>'FR-16(7)(v)-3 PROD Comm Alloc'!J376</f>
        <v>0</v>
      </c>
      <c r="I376" s="540">
        <f>'FR-16(7)(v)-6 DISTR Cust Alloc'!J376</f>
        <v>0</v>
      </c>
      <c r="J376" s="347">
        <f t="shared" si="71"/>
        <v>32998</v>
      </c>
      <c r="K376" s="347">
        <f t="shared" si="72"/>
        <v>0</v>
      </c>
    </row>
    <row r="377" spans="1:11">
      <c r="A377" s="333">
        <v>32</v>
      </c>
      <c r="C377" s="359" t="str">
        <f>'FR-16(7)(v)-1 Functional'!C377</f>
        <v>OTHER DISTRIBUTION EXPENSES</v>
      </c>
      <c r="D377" s="344" t="str">
        <f>'FR-16(7)(v)-1 Functional'!D377</f>
        <v>K415</v>
      </c>
      <c r="E377" s="196"/>
      <c r="F377" s="479">
        <f>'FR-16(7)(v)-8 TOT CLASS Alloc'!J377</f>
        <v>64032</v>
      </c>
      <c r="G377" s="548">
        <f>'FR-16(7)(v)-5 DISTR Dem Alloc'!J377</f>
        <v>53787</v>
      </c>
      <c r="H377" s="539">
        <f>'FR-16(7)(v)-3 PROD Comm Alloc'!J377</f>
        <v>0</v>
      </c>
      <c r="I377" s="540">
        <f>'FR-16(7)(v)-6 DISTR Cust Alloc'!J377</f>
        <v>10245</v>
      </c>
      <c r="J377" s="347">
        <f t="shared" si="71"/>
        <v>64032</v>
      </c>
      <c r="K377" s="347">
        <f t="shared" si="72"/>
        <v>0</v>
      </c>
    </row>
    <row r="378" spans="1:11">
      <c r="A378" s="333">
        <v>33</v>
      </c>
      <c r="C378" s="332" t="str">
        <f>'FR-16(7)(v)-1 Functional'!C378</f>
        <v xml:space="preserve">  TOTAL DISTRIBUTION O &amp; M</v>
      </c>
      <c r="D378" s="344"/>
      <c r="E378" s="196" t="s">
        <v>343</v>
      </c>
      <c r="F378" s="348">
        <f t="shared" ref="F378:K378" si="73">SUM(F366:F377)</f>
        <v>210882</v>
      </c>
      <c r="G378" s="549">
        <f t="shared" si="73"/>
        <v>169483</v>
      </c>
      <c r="H378" s="541">
        <f t="shared" si="73"/>
        <v>0</v>
      </c>
      <c r="I378" s="542">
        <f t="shared" si="73"/>
        <v>41399</v>
      </c>
      <c r="J378" s="348">
        <f t="shared" si="73"/>
        <v>210882</v>
      </c>
      <c r="K378" s="348">
        <f t="shared" si="73"/>
        <v>0</v>
      </c>
    </row>
    <row r="379" spans="1:11">
      <c r="A379" s="333">
        <v>34</v>
      </c>
      <c r="C379" s="332" t="s">
        <v>343</v>
      </c>
      <c r="D379" s="344"/>
      <c r="E379" s="196"/>
      <c r="G379" s="547"/>
      <c r="H379" s="537"/>
      <c r="I379" s="538"/>
    </row>
    <row r="380" spans="1:11">
      <c r="A380" s="333">
        <v>35</v>
      </c>
      <c r="B380" s="332" t="s">
        <v>51</v>
      </c>
      <c r="D380" s="344"/>
      <c r="E380" s="196"/>
      <c r="F380" s="332" t="s">
        <v>343</v>
      </c>
      <c r="G380" s="547"/>
      <c r="H380" s="537"/>
      <c r="I380" s="538"/>
    </row>
    <row r="381" spans="1:11">
      <c r="A381" s="333">
        <v>36</v>
      </c>
      <c r="C381" s="332" t="str">
        <f>'FR-16(7)(v)-1 Functional'!C381</f>
        <v>SUPERVISION &amp; ENGINEERING</v>
      </c>
      <c r="D381" s="344" t="str">
        <f>'FR-16(7)(v)-1 Functional'!D381</f>
        <v>K405</v>
      </c>
      <c r="E381" s="196"/>
      <c r="F381" s="479">
        <f>'FR-16(7)(v)-8 TOT CLASS Alloc'!J381</f>
        <v>41</v>
      </c>
      <c r="G381" s="548">
        <f>'FR-16(7)(v)-5 DISTR Dem Alloc'!J381</f>
        <v>0</v>
      </c>
      <c r="H381" s="539">
        <f>'FR-16(7)(v)-3 PROD Comm Alloc'!J381</f>
        <v>0</v>
      </c>
      <c r="I381" s="540">
        <f>'FR-16(7)(v)-6 DISTR Cust Alloc'!J381</f>
        <v>41</v>
      </c>
      <c r="J381" s="347">
        <f t="shared" ref="J381:J388" si="74">SUM(G381:I381)</f>
        <v>41</v>
      </c>
      <c r="K381" s="347">
        <f t="shared" ref="K381:K388" si="75">F381-J381</f>
        <v>0</v>
      </c>
    </row>
    <row r="382" spans="1:11">
      <c r="A382" s="333">
        <v>37</v>
      </c>
      <c r="C382" s="332" t="str">
        <f>'FR-16(7)(v)-1 Functional'!C382</f>
        <v>METER READING</v>
      </c>
      <c r="D382" s="344" t="str">
        <f>'FR-16(7)(v)-1 Functional'!D382</f>
        <v>K405</v>
      </c>
      <c r="E382" s="196"/>
      <c r="F382" s="479">
        <f>'FR-16(7)(v)-8 TOT CLASS Alloc'!J382</f>
        <v>4</v>
      </c>
      <c r="G382" s="548">
        <f>'FR-16(7)(v)-5 DISTR Dem Alloc'!J382</f>
        <v>0</v>
      </c>
      <c r="H382" s="539">
        <f>'FR-16(7)(v)-3 PROD Comm Alloc'!J382</f>
        <v>0</v>
      </c>
      <c r="I382" s="540">
        <f>'FR-16(7)(v)-6 DISTR Cust Alloc'!J382</f>
        <v>4</v>
      </c>
      <c r="J382" s="347">
        <f t="shared" si="74"/>
        <v>4</v>
      </c>
      <c r="K382" s="347">
        <f t="shared" si="75"/>
        <v>0</v>
      </c>
    </row>
    <row r="383" spans="1:11">
      <c r="A383" s="333">
        <v>38</v>
      </c>
      <c r="C383" s="332" t="str">
        <f>'FR-16(7)(v)-1 Functional'!C383</f>
        <v>CUSTOMER BILLING &amp; COLLECTIONS</v>
      </c>
      <c r="D383" s="344" t="str">
        <f>'FR-16(7)(v)-1 Functional'!D383</f>
        <v>K405</v>
      </c>
      <c r="E383" s="196"/>
      <c r="F383" s="479">
        <f>'FR-16(7)(v)-8 TOT CLASS Alloc'!J383</f>
        <v>571</v>
      </c>
      <c r="G383" s="548">
        <f>'FR-16(7)(v)-5 DISTR Dem Alloc'!J383</f>
        <v>0</v>
      </c>
      <c r="H383" s="539">
        <f>'FR-16(7)(v)-3 PROD Comm Alloc'!J383</f>
        <v>0</v>
      </c>
      <c r="I383" s="540">
        <f>'FR-16(7)(v)-6 DISTR Cust Alloc'!J383</f>
        <v>571</v>
      </c>
      <c r="J383" s="347">
        <f t="shared" si="74"/>
        <v>571</v>
      </c>
      <c r="K383" s="347">
        <f t="shared" si="75"/>
        <v>0</v>
      </c>
    </row>
    <row r="384" spans="1:11">
      <c r="A384" s="333">
        <v>39</v>
      </c>
      <c r="C384" s="332" t="str">
        <f>'FR-16(7)(v)-1 Functional'!C384</f>
        <v>UNCOLLECTIBLE EXP</v>
      </c>
      <c r="D384" s="344" t="str">
        <f>'FR-16(7)(v)-1 Functional'!D384</f>
        <v>K406</v>
      </c>
      <c r="E384" s="196"/>
      <c r="F384" s="479">
        <f>'FR-16(7)(v)-8 TOT CLASS Alloc'!J384</f>
        <v>-51</v>
      </c>
      <c r="G384" s="548">
        <f>'FR-16(7)(v)-5 DISTR Dem Alloc'!J384</f>
        <v>0</v>
      </c>
      <c r="H384" s="539">
        <f>'FR-16(7)(v)-3 PROD Comm Alloc'!J384</f>
        <v>0</v>
      </c>
      <c r="I384" s="540">
        <f>'FR-16(7)(v)-6 DISTR Cust Alloc'!J384</f>
        <v>-51</v>
      </c>
      <c r="J384" s="347">
        <f t="shared" si="74"/>
        <v>-51</v>
      </c>
      <c r="K384" s="347">
        <f t="shared" si="75"/>
        <v>0</v>
      </c>
    </row>
    <row r="385" spans="1:11">
      <c r="A385" s="333">
        <v>40</v>
      </c>
      <c r="C385" s="332" t="str">
        <f>'FR-16(7)(v)-1 Functional'!C385</f>
        <v>ELIMINATE MISC EXPENSES</v>
      </c>
      <c r="D385" s="344" t="str">
        <f>'FR-16(7)(v)-1 Functional'!D385</f>
        <v>K406</v>
      </c>
      <c r="E385" s="196"/>
      <c r="F385" s="479">
        <f>'FR-16(7)(v)-8 TOT CLASS Alloc'!J385</f>
        <v>0</v>
      </c>
      <c r="G385" s="548">
        <f>'FR-16(7)(v)-5 DISTR Dem Alloc'!J385</f>
        <v>0</v>
      </c>
      <c r="H385" s="539">
        <f>'FR-16(7)(v)-3 PROD Comm Alloc'!J385</f>
        <v>0</v>
      </c>
      <c r="I385" s="540">
        <f>'FR-16(7)(v)-6 DISTR Cust Alloc'!J385</f>
        <v>0</v>
      </c>
      <c r="J385" s="347">
        <f t="shared" si="74"/>
        <v>0</v>
      </c>
      <c r="K385" s="347">
        <f t="shared" si="75"/>
        <v>0</v>
      </c>
    </row>
    <row r="386" spans="1:11">
      <c r="A386" s="333">
        <v>41</v>
      </c>
      <c r="C386" s="332" t="str">
        <f>'FR-16(7)(v)-1 Functional'!C386</f>
        <v>SALE OF A/R</v>
      </c>
      <c r="D386" s="344" t="str">
        <f>'FR-16(7)(v)-1 Functional'!D386</f>
        <v>K406</v>
      </c>
      <c r="E386" s="196"/>
      <c r="F386" s="479">
        <f>'FR-16(7)(v)-8 TOT CLASS Alloc'!J386</f>
        <v>23</v>
      </c>
      <c r="G386" s="548">
        <f>'FR-16(7)(v)-5 DISTR Dem Alloc'!J386</f>
        <v>0</v>
      </c>
      <c r="H386" s="539">
        <f>'FR-16(7)(v)-3 PROD Comm Alloc'!J386</f>
        <v>0</v>
      </c>
      <c r="I386" s="540">
        <f>'FR-16(7)(v)-6 DISTR Cust Alloc'!J386</f>
        <v>23</v>
      </c>
      <c r="J386" s="347">
        <f t="shared" si="74"/>
        <v>23</v>
      </c>
      <c r="K386" s="347">
        <f t="shared" si="75"/>
        <v>0</v>
      </c>
    </row>
    <row r="387" spans="1:11">
      <c r="A387" s="333">
        <v>42</v>
      </c>
      <c r="C387" s="332" t="str">
        <f>'FR-16(7)(v)-1 Functional'!C387</f>
        <v>INTEREST ON CUSTOMER SERVICE DEPOSITS</v>
      </c>
      <c r="D387" s="344" t="str">
        <f>'FR-16(7)(v)-1 Functional'!D387</f>
        <v>K405</v>
      </c>
      <c r="E387" s="196"/>
      <c r="F387" s="479">
        <f>'FR-16(7)(v)-8 TOT CLASS Alloc'!J387</f>
        <v>0</v>
      </c>
      <c r="G387" s="548">
        <f>'FR-16(7)(v)-5 DISTR Dem Alloc'!J387</f>
        <v>0</v>
      </c>
      <c r="H387" s="539">
        <f>'FR-16(7)(v)-3 PROD Comm Alloc'!J387</f>
        <v>0</v>
      </c>
      <c r="I387" s="540">
        <f>'FR-16(7)(v)-6 DISTR Cust Alloc'!J387</f>
        <v>0</v>
      </c>
      <c r="J387" s="347">
        <f t="shared" si="74"/>
        <v>0</v>
      </c>
      <c r="K387" s="347">
        <f t="shared" si="75"/>
        <v>0</v>
      </c>
    </row>
    <row r="388" spans="1:11">
      <c r="A388" s="333">
        <v>43</v>
      </c>
      <c r="C388" s="359" t="str">
        <f>'FR-16(7)(v)-1 Functional'!C388</f>
        <v>ANNUALIZED UNCOLL EXP ON INCR</v>
      </c>
      <c r="D388" s="344" t="str">
        <f>'FR-16(7)(v)-1 Functional'!D388</f>
        <v>K406</v>
      </c>
      <c r="E388" s="196"/>
      <c r="F388" s="479">
        <f>'FR-16(7)(v)-8 TOT CLASS Alloc'!J388</f>
        <v>0</v>
      </c>
      <c r="G388" s="548">
        <f>'FR-16(7)(v)-5 DISTR Dem Alloc'!J388</f>
        <v>0</v>
      </c>
      <c r="H388" s="539">
        <f>'FR-16(7)(v)-3 PROD Comm Alloc'!J388</f>
        <v>0</v>
      </c>
      <c r="I388" s="540">
        <f>'FR-16(7)(v)-6 DISTR Cust Alloc'!J388</f>
        <v>0</v>
      </c>
      <c r="J388" s="347">
        <f t="shared" si="74"/>
        <v>0</v>
      </c>
      <c r="K388" s="347">
        <f t="shared" si="75"/>
        <v>0</v>
      </c>
    </row>
    <row r="389" spans="1:11">
      <c r="A389" s="333">
        <v>44</v>
      </c>
      <c r="C389" s="332" t="str">
        <f>'FR-16(7)(v)-1 Functional'!C389</f>
        <v xml:space="preserve">  TOTAL CUSTOMER ACCT EXPENSE</v>
      </c>
      <c r="D389" s="344"/>
      <c r="E389" s="196" t="s">
        <v>343</v>
      </c>
      <c r="F389" s="348">
        <f t="shared" ref="F389:K389" si="76">SUM(F380:F388)</f>
        <v>588</v>
      </c>
      <c r="G389" s="557">
        <f t="shared" si="76"/>
        <v>0</v>
      </c>
      <c r="H389" s="558">
        <f t="shared" si="76"/>
        <v>0</v>
      </c>
      <c r="I389" s="559">
        <f t="shared" si="76"/>
        <v>588</v>
      </c>
      <c r="J389" s="348">
        <f t="shared" si="76"/>
        <v>588</v>
      </c>
      <c r="K389" s="348">
        <f t="shared" si="76"/>
        <v>0</v>
      </c>
    </row>
    <row r="390" spans="1:11">
      <c r="B390" s="343"/>
      <c r="C390" s="196"/>
      <c r="D390" s="344"/>
      <c r="E390" s="196"/>
      <c r="F390" s="196"/>
      <c r="G390" s="196"/>
      <c r="H390" s="196"/>
      <c r="I390" s="196"/>
      <c r="J390" s="196"/>
      <c r="K390" s="196"/>
    </row>
    <row r="391" spans="1:11">
      <c r="A391" s="343" t="str">
        <f>co_name</f>
        <v>DUKE ENERGY KENTUCKY, INC.</v>
      </c>
      <c r="C391" s="196"/>
      <c r="D391" s="344"/>
      <c r="E391" s="196"/>
      <c r="F391" s="196"/>
      <c r="G391" s="196"/>
      <c r="H391" s="196"/>
      <c r="I391" s="196"/>
      <c r="J391" s="196" t="str">
        <f>$J$1</f>
        <v>FR-16(7)(v)-12</v>
      </c>
      <c r="K391" s="196"/>
    </row>
    <row r="392" spans="1:11">
      <c r="A392" s="343" t="str">
        <f>$A$2</f>
        <v>INTERRUPTIBLE TRANSPORTATION CLASSIFIED - GAS COST OF SERVICE</v>
      </c>
      <c r="C392" s="196"/>
      <c r="D392" s="344"/>
      <c r="E392" s="196"/>
      <c r="F392" s="196"/>
      <c r="G392" s="196"/>
      <c r="H392" s="196"/>
      <c r="I392" s="196"/>
      <c r="J392" s="196" t="str">
        <f>$J$2</f>
        <v>WITNESS RESPONSIBLE:</v>
      </c>
      <c r="K392" s="196"/>
    </row>
    <row r="393" spans="1:11">
      <c r="A393" s="343" t="str">
        <f>case_name</f>
        <v>CASE NO: 2018-00261</v>
      </c>
      <c r="C393" s="196"/>
      <c r="D393" s="344"/>
      <c r="E393" s="196"/>
      <c r="F393" s="196"/>
      <c r="G393" s="196"/>
      <c r="H393" s="196"/>
      <c r="I393" s="196"/>
      <c r="J393" s="196" t="str">
        <f>Witness</f>
        <v>JAMES E. ZIOLKOWSKI</v>
      </c>
      <c r="K393" s="196"/>
    </row>
    <row r="394" spans="1:11">
      <c r="A394" s="343" t="str">
        <f>data_filing</f>
        <v>DATA: 12 MONTH FORECASTED PERIOD</v>
      </c>
      <c r="C394" s="196"/>
      <c r="D394" s="344"/>
      <c r="E394" s="196"/>
      <c r="F394" s="196"/>
      <c r="G394" s="196"/>
      <c r="H394" s="196"/>
      <c r="I394" s="196"/>
      <c r="J394" s="196" t="str">
        <f>"PAGE "&amp;Pages2-6&amp;" OF "&amp;Pages2</f>
        <v>PAGE 9 OF 15</v>
      </c>
      <c r="K394" s="196"/>
    </row>
    <row r="395" spans="1:11">
      <c r="A395" s="343" t="str">
        <f>type</f>
        <v xml:space="preserve">TYPE OF FILING: "X" ORIGINAL   UPDATED    REVISED  </v>
      </c>
      <c r="C395" s="196"/>
      <c r="D395" s="344"/>
      <c r="E395" s="196"/>
      <c r="F395" s="196"/>
      <c r="G395" s="196"/>
      <c r="H395" s="196"/>
      <c r="I395" s="196"/>
      <c r="J395" s="196"/>
      <c r="K395" s="196"/>
    </row>
    <row r="396" spans="1:11">
      <c r="B396" s="343"/>
      <c r="C396" s="196"/>
      <c r="D396" s="344"/>
      <c r="E396" s="196"/>
      <c r="F396" s="196"/>
      <c r="G396" s="196"/>
      <c r="H396" s="196"/>
      <c r="I396" s="196"/>
      <c r="J396" s="196"/>
      <c r="K396" s="196"/>
    </row>
    <row r="397" spans="1:11">
      <c r="B397" s="343"/>
      <c r="C397" s="196"/>
      <c r="D397" s="344"/>
      <c r="E397" s="196"/>
      <c r="F397" s="196"/>
      <c r="G397" s="196"/>
      <c r="H397" s="196"/>
      <c r="I397" s="196"/>
      <c r="J397" s="196"/>
      <c r="K397" s="196"/>
    </row>
    <row r="398" spans="1:11">
      <c r="A398" s="344" t="s">
        <v>914</v>
      </c>
      <c r="B398" s="196"/>
      <c r="C398" s="196"/>
      <c r="D398" s="344"/>
      <c r="E398" s="196"/>
      <c r="F398" s="344" t="s">
        <v>229</v>
      </c>
      <c r="G398" s="545" t="s">
        <v>1005</v>
      </c>
      <c r="H398" s="533"/>
      <c r="I398" s="534"/>
      <c r="J398" s="344" t="s">
        <v>229</v>
      </c>
      <c r="K398" s="344" t="s">
        <v>342</v>
      </c>
    </row>
    <row r="399" spans="1:11">
      <c r="A399" s="346" t="s">
        <v>915</v>
      </c>
      <c r="B399" s="345" t="s">
        <v>44</v>
      </c>
      <c r="C399" s="345"/>
      <c r="D399" s="346" t="s">
        <v>337</v>
      </c>
      <c r="E399" s="345"/>
      <c r="F399" s="346" t="str">
        <f>$F$9</f>
        <v>INTERRUPTIBLE</v>
      </c>
      <c r="G399" s="546" t="s">
        <v>847</v>
      </c>
      <c r="H399" s="535" t="s">
        <v>848</v>
      </c>
      <c r="I399" s="536" t="s">
        <v>849</v>
      </c>
      <c r="J399" s="346" t="s">
        <v>341</v>
      </c>
      <c r="K399" s="346" t="s">
        <v>340</v>
      </c>
    </row>
    <row r="400" spans="1:11">
      <c r="C400" s="578" t="s">
        <v>560</v>
      </c>
      <c r="D400" s="344"/>
      <c r="E400" s="196"/>
      <c r="G400" s="800">
        <f>$G$10</f>
        <v>3</v>
      </c>
      <c r="H400" s="801">
        <f>$H$10</f>
        <v>4</v>
      </c>
      <c r="I400" s="802">
        <f>$I$10</f>
        <v>5</v>
      </c>
    </row>
    <row r="401" spans="1:11">
      <c r="A401" s="333">
        <v>1</v>
      </c>
      <c r="B401" s="332" t="s">
        <v>52</v>
      </c>
      <c r="D401" s="344"/>
      <c r="E401" s="196"/>
      <c r="G401" s="547"/>
      <c r="H401" s="537"/>
      <c r="I401" s="538"/>
    </row>
    <row r="402" spans="1:11">
      <c r="A402" s="333">
        <v>2</v>
      </c>
      <c r="C402" s="359" t="str">
        <f>'FR-16(7)(v)-1 Functional'!C402</f>
        <v>TOTAL CUST SERVICE &amp; INFO</v>
      </c>
      <c r="D402" s="344" t="str">
        <f>'FR-16(7)(v)-1 Functional'!D402</f>
        <v>K407</v>
      </c>
      <c r="E402" s="196"/>
      <c r="F402" s="479">
        <f>'FR-16(7)(v)-8 TOT CLASS Alloc'!J402</f>
        <v>89</v>
      </c>
      <c r="G402" s="548">
        <f>'FR-16(7)(v)-5 DISTR Dem Alloc'!J402</f>
        <v>0</v>
      </c>
      <c r="H402" s="539">
        <f>'FR-16(7)(v)-3 PROD Comm Alloc'!J402</f>
        <v>0</v>
      </c>
      <c r="I402" s="540">
        <f>'FR-16(7)(v)-6 DISTR Cust Alloc'!J402</f>
        <v>89</v>
      </c>
      <c r="J402" s="347">
        <f>SUM(G402:I402)</f>
        <v>89</v>
      </c>
      <c r="K402" s="347">
        <f>F402-J402</f>
        <v>0</v>
      </c>
    </row>
    <row r="403" spans="1:11">
      <c r="A403" s="333">
        <v>3</v>
      </c>
      <c r="C403" s="332" t="str">
        <f>'FR-16(7)(v)-1 Functional'!C403</f>
        <v xml:space="preserve">  TOTAL CUSTOMER SERV. &amp; INFO.</v>
      </c>
      <c r="D403" s="344"/>
      <c r="E403" s="196" t="s">
        <v>343</v>
      </c>
      <c r="F403" s="348">
        <f t="shared" ref="F403:K403" si="77">SUM(F402:F402)</f>
        <v>89</v>
      </c>
      <c r="G403" s="549">
        <f t="shared" si="77"/>
        <v>0</v>
      </c>
      <c r="H403" s="541">
        <f t="shared" si="77"/>
        <v>0</v>
      </c>
      <c r="I403" s="542">
        <f t="shared" si="77"/>
        <v>89</v>
      </c>
      <c r="J403" s="348">
        <f t="shared" si="77"/>
        <v>89</v>
      </c>
      <c r="K403" s="348">
        <f t="shared" si="77"/>
        <v>0</v>
      </c>
    </row>
    <row r="404" spans="1:11">
      <c r="A404" s="333">
        <v>4</v>
      </c>
      <c r="D404" s="344"/>
      <c r="E404" s="196"/>
      <c r="F404" s="347"/>
      <c r="G404" s="548"/>
      <c r="H404" s="539"/>
      <c r="I404" s="540"/>
      <c r="J404" s="347"/>
      <c r="K404" s="347"/>
    </row>
    <row r="405" spans="1:11">
      <c r="A405" s="333">
        <v>5</v>
      </c>
      <c r="B405" s="332" t="s">
        <v>53</v>
      </c>
      <c r="D405" s="344"/>
      <c r="E405" s="196"/>
      <c r="F405" s="347"/>
      <c r="G405" s="548"/>
      <c r="H405" s="539"/>
      <c r="I405" s="540"/>
      <c r="J405" s="347"/>
      <c r="K405" s="347"/>
    </row>
    <row r="406" spans="1:11">
      <c r="A406" s="333">
        <v>6</v>
      </c>
      <c r="C406" s="359" t="str">
        <f>'FR-16(7)(v)-1 Functional'!C406</f>
        <v>SALES EXPENSE</v>
      </c>
      <c r="D406" s="344" t="str">
        <f>'FR-16(7)(v)-1 Functional'!D406</f>
        <v>K408</v>
      </c>
      <c r="E406" s="196" t="s">
        <v>343</v>
      </c>
      <c r="F406" s="479">
        <f>'FR-16(7)(v)-8 TOT CLASS Alloc'!J406</f>
        <v>52</v>
      </c>
      <c r="G406" s="548">
        <f>'FR-16(7)(v)-5 DISTR Dem Alloc'!J406</f>
        <v>0</v>
      </c>
      <c r="H406" s="539">
        <f>'FR-16(7)(v)-3 PROD Comm Alloc'!J406</f>
        <v>0</v>
      </c>
      <c r="I406" s="540">
        <f>'FR-16(7)(v)-6 DISTR Cust Alloc'!J406</f>
        <v>52</v>
      </c>
      <c r="J406" s="347">
        <f>SUM(G406:I406)</f>
        <v>52</v>
      </c>
      <c r="K406" s="347">
        <f>F406-J406</f>
        <v>0</v>
      </c>
    </row>
    <row r="407" spans="1:11">
      <c r="A407" s="333">
        <v>7</v>
      </c>
      <c r="C407" s="332" t="str">
        <f>'FR-16(7)(v)-1 Functional'!C407</f>
        <v xml:space="preserve">  TOTAL SALES EXPENSE</v>
      </c>
      <c r="D407" s="344"/>
      <c r="E407" s="196" t="s">
        <v>343</v>
      </c>
      <c r="F407" s="348">
        <f t="shared" ref="F407:K407" si="78">SUM(F405:F406)</f>
        <v>52</v>
      </c>
      <c r="G407" s="549">
        <f t="shared" si="78"/>
        <v>0</v>
      </c>
      <c r="H407" s="541">
        <f t="shared" si="78"/>
        <v>0</v>
      </c>
      <c r="I407" s="542">
        <f t="shared" si="78"/>
        <v>52</v>
      </c>
      <c r="J407" s="348">
        <f t="shared" si="78"/>
        <v>52</v>
      </c>
      <c r="K407" s="348">
        <f t="shared" si="78"/>
        <v>0</v>
      </c>
    </row>
    <row r="408" spans="1:11">
      <c r="A408" s="333">
        <v>8</v>
      </c>
      <c r="D408" s="344"/>
      <c r="E408" s="196"/>
      <c r="G408" s="547"/>
      <c r="H408" s="537"/>
      <c r="I408" s="538"/>
    </row>
    <row r="409" spans="1:11">
      <c r="A409" s="333">
        <v>9</v>
      </c>
      <c r="B409" s="332" t="s">
        <v>54</v>
      </c>
      <c r="D409" s="344"/>
      <c r="E409" s="196"/>
      <c r="G409" s="547"/>
      <c r="H409" s="537"/>
      <c r="I409" s="538"/>
    </row>
    <row r="410" spans="1:11">
      <c r="A410" s="333">
        <v>10</v>
      </c>
      <c r="C410" s="332" t="str">
        <f>'FR-16(7)(v)-1 Functional'!C410</f>
        <v>PRODUCTION PLANT DEMAND</v>
      </c>
      <c r="D410" s="344" t="str">
        <f>'FR-16(7)(v)-1 Functional'!D410</f>
        <v>P349</v>
      </c>
      <c r="E410" s="196"/>
      <c r="F410" s="479">
        <f>'FR-16(7)(v)-8 TOT CLASS Alloc'!J410</f>
        <v>1353</v>
      </c>
      <c r="G410" s="548">
        <f>'FR-16(7)(v)-5 DISTR Dem Alloc'!J410</f>
        <v>0</v>
      </c>
      <c r="H410" s="539">
        <f>'FR-16(7)(v)-3 PROD Comm Alloc'!J410</f>
        <v>1353</v>
      </c>
      <c r="I410" s="540">
        <f>'FR-16(7)(v)-6 DISTR Cust Alloc'!J410</f>
        <v>0</v>
      </c>
      <c r="J410" s="347">
        <f t="shared" ref="J410:J415" si="79">SUM(G410:I410)</f>
        <v>1353</v>
      </c>
      <c r="K410" s="347">
        <f t="shared" ref="K410:K415" si="80">F410-J410</f>
        <v>0</v>
      </c>
    </row>
    <row r="411" spans="1:11">
      <c r="A411" s="333">
        <v>11</v>
      </c>
      <c r="C411" s="332" t="str">
        <f>'FR-16(7)(v)-1 Functional'!C411</f>
        <v>PRODUCTION PLANT COMMODITY</v>
      </c>
      <c r="D411" s="344" t="str">
        <f>'FR-16(7)(v)-1 Functional'!D411</f>
        <v>K301</v>
      </c>
      <c r="E411" s="196"/>
      <c r="F411" s="479">
        <f>'FR-16(7)(v)-8 TOT CLASS Alloc'!J411</f>
        <v>0</v>
      </c>
      <c r="G411" s="548">
        <f>'FR-16(7)(v)-5 DISTR Dem Alloc'!J411</f>
        <v>0</v>
      </c>
      <c r="H411" s="539">
        <f>'FR-16(7)(v)-3 PROD Comm Alloc'!J411</f>
        <v>0</v>
      </c>
      <c r="I411" s="540">
        <f>'FR-16(7)(v)-6 DISTR Cust Alloc'!J411</f>
        <v>0</v>
      </c>
      <c r="J411" s="347">
        <f t="shared" si="79"/>
        <v>0</v>
      </c>
      <c r="K411" s="347">
        <f t="shared" si="80"/>
        <v>0</v>
      </c>
    </row>
    <row r="412" spans="1:11">
      <c r="A412" s="333">
        <v>12</v>
      </c>
      <c r="C412" s="332" t="str">
        <f>'FR-16(7)(v)-1 Functional'!C412</f>
        <v>DISTRIBUTION PLANT</v>
      </c>
      <c r="D412" s="344" t="str">
        <f>'FR-16(7)(v)-1 Functional'!D412</f>
        <v>D349</v>
      </c>
      <c r="E412" s="196"/>
      <c r="F412" s="479">
        <f>'FR-16(7)(v)-8 TOT CLASS Alloc'!J412</f>
        <v>69902</v>
      </c>
      <c r="G412" s="548">
        <f>'FR-16(7)(v)-5 DISTR Dem Alloc'!J412</f>
        <v>56185</v>
      </c>
      <c r="H412" s="539">
        <f>'FR-16(7)(v)-3 PROD Comm Alloc'!J412</f>
        <v>0</v>
      </c>
      <c r="I412" s="540">
        <f>'FR-16(7)(v)-6 DISTR Cust Alloc'!J412</f>
        <v>13717</v>
      </c>
      <c r="J412" s="347">
        <f t="shared" si="79"/>
        <v>69902</v>
      </c>
      <c r="K412" s="347">
        <f t="shared" si="80"/>
        <v>0</v>
      </c>
    </row>
    <row r="413" spans="1:11">
      <c r="A413" s="333">
        <v>13</v>
      </c>
      <c r="C413" s="332" t="str">
        <f>'FR-16(7)(v)-1 Functional'!C413</f>
        <v>CUSTOMER ACCOUNTING</v>
      </c>
      <c r="D413" s="344" t="str">
        <f>'FR-16(7)(v)-1 Functional'!D413</f>
        <v>CA19</v>
      </c>
      <c r="E413" s="196"/>
      <c r="F413" s="479">
        <f>'FR-16(7)(v)-8 TOT CLASS Alloc'!J413</f>
        <v>398</v>
      </c>
      <c r="G413" s="548">
        <f>'FR-16(7)(v)-5 DISTR Dem Alloc'!J413</f>
        <v>0</v>
      </c>
      <c r="H413" s="539">
        <f>'FR-16(7)(v)-3 PROD Comm Alloc'!J413</f>
        <v>0</v>
      </c>
      <c r="I413" s="540">
        <f>'FR-16(7)(v)-6 DISTR Cust Alloc'!J413</f>
        <v>398</v>
      </c>
      <c r="J413" s="347">
        <f t="shared" si="79"/>
        <v>398</v>
      </c>
      <c r="K413" s="347">
        <f t="shared" si="80"/>
        <v>0</v>
      </c>
    </row>
    <row r="414" spans="1:11">
      <c r="A414" s="333">
        <v>14</v>
      </c>
      <c r="C414" s="332" t="str">
        <f>'FR-16(7)(v)-1 Functional'!C414</f>
        <v>CUSTOMER SERVICE &amp; INFORMATION</v>
      </c>
      <c r="D414" s="344" t="str">
        <f>'FR-16(7)(v)-1 Functional'!D414</f>
        <v>CS19</v>
      </c>
      <c r="E414" s="196"/>
      <c r="F414" s="479">
        <f>'FR-16(7)(v)-8 TOT CLASS Alloc'!J414</f>
        <v>35</v>
      </c>
      <c r="G414" s="548">
        <f>'FR-16(7)(v)-5 DISTR Dem Alloc'!J414</f>
        <v>0</v>
      </c>
      <c r="H414" s="539">
        <f>'FR-16(7)(v)-3 PROD Comm Alloc'!J414</f>
        <v>0</v>
      </c>
      <c r="I414" s="540">
        <f>'FR-16(7)(v)-6 DISTR Cust Alloc'!J414</f>
        <v>35</v>
      </c>
      <c r="J414" s="347">
        <f t="shared" si="79"/>
        <v>35</v>
      </c>
      <c r="K414" s="347">
        <f t="shared" si="80"/>
        <v>0</v>
      </c>
    </row>
    <row r="415" spans="1:11">
      <c r="A415" s="333">
        <v>15</v>
      </c>
      <c r="C415" s="359" t="str">
        <f>'FR-16(7)(v)-1 Functional'!C415</f>
        <v>SALES</v>
      </c>
      <c r="D415" s="344" t="str">
        <f>'FR-16(7)(v)-1 Functional'!D415</f>
        <v>SE19</v>
      </c>
      <c r="E415" s="196"/>
      <c r="F415" s="479">
        <f>'FR-16(7)(v)-8 TOT CLASS Alloc'!J415</f>
        <v>0</v>
      </c>
      <c r="G415" s="548">
        <f>'FR-16(7)(v)-5 DISTR Dem Alloc'!J415</f>
        <v>0</v>
      </c>
      <c r="H415" s="539">
        <f>'FR-16(7)(v)-3 PROD Comm Alloc'!J415</f>
        <v>0</v>
      </c>
      <c r="I415" s="540">
        <f>'FR-16(7)(v)-6 DISTR Cust Alloc'!J415</f>
        <v>0</v>
      </c>
      <c r="J415" s="347">
        <f t="shared" si="79"/>
        <v>0</v>
      </c>
      <c r="K415" s="502">
        <f t="shared" si="80"/>
        <v>0</v>
      </c>
    </row>
    <row r="416" spans="1:11">
      <c r="A416" s="333">
        <v>16</v>
      </c>
      <c r="C416" s="332" t="str">
        <f>'FR-16(7)(v)-1 Functional'!C416</f>
        <v xml:space="preserve"> TOT ADMIN &amp; GEN LESS REG EXP</v>
      </c>
      <c r="D416" s="344" t="s">
        <v>343</v>
      </c>
      <c r="E416" s="196"/>
      <c r="F416" s="503">
        <f t="shared" ref="F416:K416" si="81">SUM(F410:F415)</f>
        <v>71688</v>
      </c>
      <c r="G416" s="563">
        <f t="shared" si="81"/>
        <v>56185</v>
      </c>
      <c r="H416" s="564">
        <f t="shared" si="81"/>
        <v>1353</v>
      </c>
      <c r="I416" s="565">
        <f t="shared" si="81"/>
        <v>14150</v>
      </c>
      <c r="J416" s="1025">
        <f t="shared" si="81"/>
        <v>71688</v>
      </c>
      <c r="K416" s="477">
        <f t="shared" si="81"/>
        <v>0</v>
      </c>
    </row>
    <row r="417" spans="1:11">
      <c r="A417" s="333">
        <v>17</v>
      </c>
      <c r="C417" s="332" t="str">
        <f>'FR-16(7)(v)-1 Functional'!C417</f>
        <v>AMORTIZATION RATE CASE EXPENSE</v>
      </c>
      <c r="D417" s="344" t="str">
        <f>'FR-16(7)(v)-1 Functional'!D417</f>
        <v>AG39</v>
      </c>
      <c r="E417" s="196"/>
      <c r="F417" s="479">
        <f>'FR-16(7)(v)-8 TOT CLASS Alloc'!J417</f>
        <v>1185</v>
      </c>
      <c r="G417" s="548">
        <f>'FR-16(7)(v)-5 DISTR Dem Alloc'!J417</f>
        <v>929</v>
      </c>
      <c r="H417" s="539">
        <f>'FR-16(7)(v)-3 PROD Comm Alloc'!J417</f>
        <v>22</v>
      </c>
      <c r="I417" s="540">
        <f>'FR-16(7)(v)-6 DISTR Cust Alloc'!J417</f>
        <v>234</v>
      </c>
      <c r="J417" s="347">
        <f t="shared" ref="J417:J430" si="82">SUM(G417:I417)</f>
        <v>1185</v>
      </c>
      <c r="K417" s="347">
        <f t="shared" ref="K417:K430" si="83">F417-J417</f>
        <v>0</v>
      </c>
    </row>
    <row r="418" spans="1:11">
      <c r="A418" s="333">
        <v>18</v>
      </c>
      <c r="C418" s="332" t="str">
        <f>'FR-16(7)(v)-1 Functional'!C418</f>
        <v>INCENTIVE COMPENSATION</v>
      </c>
      <c r="D418" s="344" t="str">
        <f>'FR-16(7)(v)-1 Functional'!D418</f>
        <v>AG39</v>
      </c>
      <c r="E418" s="196"/>
      <c r="F418" s="479">
        <f>'FR-16(7)(v)-8 TOT CLASS Alloc'!J418</f>
        <v>-2854</v>
      </c>
      <c r="G418" s="548">
        <f>'FR-16(7)(v)-5 DISTR Dem Alloc'!J418</f>
        <v>-2237</v>
      </c>
      <c r="H418" s="539">
        <f>'FR-16(7)(v)-3 PROD Comm Alloc'!J418</f>
        <v>-54</v>
      </c>
      <c r="I418" s="540">
        <f>'FR-16(7)(v)-6 DISTR Cust Alloc'!J418</f>
        <v>-563</v>
      </c>
      <c r="J418" s="347">
        <f t="shared" si="82"/>
        <v>-2854</v>
      </c>
      <c r="K418" s="347">
        <f t="shared" si="83"/>
        <v>0</v>
      </c>
    </row>
    <row r="419" spans="1:11">
      <c r="A419" s="333">
        <v>19</v>
      </c>
      <c r="C419" s="332" t="str">
        <f>'FR-16(7)(v)-1 Functional'!C419</f>
        <v>ELIMINATE MISCELLANEOUS EXPENSES</v>
      </c>
      <c r="D419" s="344" t="str">
        <f>'FR-16(7)(v)-1 Functional'!D419</f>
        <v>AG39</v>
      </c>
      <c r="E419" s="196"/>
      <c r="F419" s="479">
        <f>'FR-16(7)(v)-8 TOT CLASS Alloc'!J419</f>
        <v>-3316</v>
      </c>
      <c r="G419" s="548">
        <f>'FR-16(7)(v)-5 DISTR Dem Alloc'!J419</f>
        <v>-2599</v>
      </c>
      <c r="H419" s="539">
        <f>'FR-16(7)(v)-3 PROD Comm Alloc'!J419</f>
        <v>-63</v>
      </c>
      <c r="I419" s="540">
        <f>'FR-16(7)(v)-6 DISTR Cust Alloc'!J419</f>
        <v>-654</v>
      </c>
      <c r="J419" s="347">
        <f t="shared" si="82"/>
        <v>-3316</v>
      </c>
      <c r="K419" s="347">
        <f t="shared" si="83"/>
        <v>0</v>
      </c>
    </row>
    <row r="420" spans="1:11">
      <c r="A420" s="333">
        <v>20</v>
      </c>
      <c r="C420" s="332" t="str">
        <f>'FR-16(7)(v)-1 Functional'!C420</f>
        <v>ELIMINATE NON-JURISDICTIONAL EXPENSES</v>
      </c>
      <c r="D420" s="344" t="str">
        <f>'FR-16(7)(v)-1 Functional'!D420</f>
        <v>NP29</v>
      </c>
      <c r="E420" s="196"/>
      <c r="F420" s="479">
        <f>'FR-16(7)(v)-8 TOT CLASS Alloc'!J420</f>
        <v>0</v>
      </c>
      <c r="G420" s="548">
        <f>'FR-16(7)(v)-5 DISTR Dem Alloc'!J420</f>
        <v>0</v>
      </c>
      <c r="H420" s="539">
        <f>'FR-16(7)(v)-3 PROD Comm Alloc'!J420</f>
        <v>0</v>
      </c>
      <c r="I420" s="540">
        <f>'FR-16(7)(v)-6 DISTR Cust Alloc'!J420</f>
        <v>0</v>
      </c>
      <c r="J420" s="347">
        <f t="shared" si="82"/>
        <v>0</v>
      </c>
      <c r="K420" s="347">
        <f t="shared" si="83"/>
        <v>0</v>
      </c>
    </row>
    <row r="421" spans="1:11">
      <c r="A421" s="333">
        <v>21</v>
      </c>
      <c r="C421" s="332" t="str">
        <f>'FR-16(7)(v)-1 Functional'!C421</f>
        <v xml:space="preserve">AMORTIZATION OF DEFERRED EXP </v>
      </c>
      <c r="D421" s="344" t="str">
        <f>'FR-16(7)(v)-1 Functional'!D421</f>
        <v>AG39</v>
      </c>
      <c r="E421" s="196"/>
      <c r="F421" s="479">
        <f>'FR-16(7)(v)-8 TOT CLASS Alloc'!J421</f>
        <v>5590</v>
      </c>
      <c r="G421" s="548">
        <f>'FR-16(7)(v)-5 DISTR Dem Alloc'!J421</f>
        <v>4381</v>
      </c>
      <c r="H421" s="539">
        <f>'FR-16(7)(v)-3 PROD Comm Alloc'!J421</f>
        <v>106</v>
      </c>
      <c r="I421" s="540">
        <f>'FR-16(7)(v)-6 DISTR Cust Alloc'!J421</f>
        <v>1103</v>
      </c>
      <c r="J421" s="347">
        <f t="shared" si="82"/>
        <v>5590</v>
      </c>
      <c r="K421" s="347">
        <f t="shared" si="83"/>
        <v>0</v>
      </c>
    </row>
    <row r="422" spans="1:11">
      <c r="A422" s="333">
        <v>22</v>
      </c>
      <c r="C422" s="332" t="str">
        <f>'FR-16(7)(v)-1 Functional'!C422</f>
        <v>STATE REG COMMISSION EXPENSES</v>
      </c>
      <c r="D422" s="344" t="str">
        <f>'FR-16(7)(v)-1 Functional'!D422</f>
        <v>AG39</v>
      </c>
      <c r="E422" s="196"/>
      <c r="F422" s="479">
        <f>'FR-16(7)(v)-8 TOT CLASS Alloc'!J422</f>
        <v>0</v>
      </c>
      <c r="G422" s="548">
        <f>'FR-16(7)(v)-5 DISTR Dem Alloc'!J422</f>
        <v>0</v>
      </c>
      <c r="H422" s="539">
        <f>'FR-16(7)(v)-3 PROD Comm Alloc'!J422</f>
        <v>0</v>
      </c>
      <c r="I422" s="540">
        <f>'FR-16(7)(v)-6 DISTR Cust Alloc'!J422</f>
        <v>0</v>
      </c>
      <c r="J422" s="347">
        <f t="shared" si="82"/>
        <v>0</v>
      </c>
      <c r="K422" s="347">
        <f t="shared" si="83"/>
        <v>0</v>
      </c>
    </row>
    <row r="423" spans="1:11">
      <c r="A423" s="333">
        <v>23</v>
      </c>
      <c r="C423" s="332" t="str">
        <f>'FR-16(7)(v)-1 Functional'!C423</f>
        <v>STATE REG COM EXP ANN ADJ.</v>
      </c>
      <c r="D423" s="344" t="str">
        <f>'FR-16(7)(v)-1 Functional'!D423</f>
        <v>AG39</v>
      </c>
      <c r="E423" s="196"/>
      <c r="F423" s="479">
        <f>'FR-16(7)(v)-8 TOT CLASS Alloc'!J423</f>
        <v>0</v>
      </c>
      <c r="G423" s="548">
        <f>'FR-16(7)(v)-5 DISTR Dem Alloc'!J423</f>
        <v>0</v>
      </c>
      <c r="H423" s="539">
        <f>'FR-16(7)(v)-3 PROD Comm Alloc'!J423</f>
        <v>0</v>
      </c>
      <c r="I423" s="540">
        <f>'FR-16(7)(v)-6 DISTR Cust Alloc'!J423</f>
        <v>0</v>
      </c>
      <c r="J423" s="347">
        <f t="shared" si="82"/>
        <v>0</v>
      </c>
      <c r="K423" s="347">
        <f t="shared" si="83"/>
        <v>0</v>
      </c>
    </row>
    <row r="424" spans="1:11">
      <c r="A424" s="333">
        <v>24</v>
      </c>
      <c r="C424" s="332" t="str">
        <f>'FR-16(7)(v)-1 Functional'!C424</f>
        <v>AMORTIZE CAMERA WORK</v>
      </c>
      <c r="D424" s="344" t="str">
        <f>'FR-16(7)(v)-1 Functional'!D424</f>
        <v>AG39</v>
      </c>
      <c r="E424" s="196"/>
      <c r="F424" s="479">
        <f>'FR-16(7)(v)-8 TOT CLASS Alloc'!J424</f>
        <v>0</v>
      </c>
      <c r="G424" s="548">
        <f>'FR-16(7)(v)-5 DISTR Dem Alloc'!J424</f>
        <v>0</v>
      </c>
      <c r="H424" s="539">
        <f>'FR-16(7)(v)-3 PROD Comm Alloc'!J424</f>
        <v>0</v>
      </c>
      <c r="I424" s="540">
        <f>'FR-16(7)(v)-6 DISTR Cust Alloc'!J424</f>
        <v>0</v>
      </c>
      <c r="J424" s="347">
        <f t="shared" ref="J424:J429" si="84">SUM(G424:I424)</f>
        <v>0</v>
      </c>
      <c r="K424" s="347">
        <f t="shared" ref="K424:K429" si="85">F424-J424</f>
        <v>0</v>
      </c>
    </row>
    <row r="425" spans="1:11">
      <c r="A425" s="333">
        <v>25</v>
      </c>
      <c r="C425" s="332" t="str">
        <f>'FR-16(7)(v)-1 Functional'!C425</f>
        <v>ELIMINATE MERGER EXPENSE</v>
      </c>
      <c r="D425" s="344" t="str">
        <f>'FR-16(7)(v)-1 Functional'!D425</f>
        <v>AG39</v>
      </c>
      <c r="E425" s="196"/>
      <c r="F425" s="479">
        <f>'FR-16(7)(v)-8 TOT CLASS Alloc'!J425</f>
        <v>0</v>
      </c>
      <c r="G425" s="548">
        <f>'FR-16(7)(v)-5 DISTR Dem Alloc'!J425</f>
        <v>0</v>
      </c>
      <c r="H425" s="539">
        <f>'FR-16(7)(v)-3 PROD Comm Alloc'!J425</f>
        <v>0</v>
      </c>
      <c r="I425" s="540">
        <f>'FR-16(7)(v)-6 DISTR Cust Alloc'!J425</f>
        <v>0</v>
      </c>
      <c r="J425" s="347">
        <f t="shared" si="84"/>
        <v>0</v>
      </c>
      <c r="K425" s="347">
        <f t="shared" si="85"/>
        <v>0</v>
      </c>
    </row>
    <row r="426" spans="1:11">
      <c r="A426" s="333">
        <v>26</v>
      </c>
      <c r="C426" s="332" t="str">
        <f>'FR-16(7)(v)-1 Functional'!C426</f>
        <v>SMART GRID AMORTIZATION ADJUSTMENT</v>
      </c>
      <c r="D426" s="344" t="str">
        <f>'FR-16(7)(v)-1 Functional'!D426</f>
        <v>K413</v>
      </c>
      <c r="E426" s="196"/>
      <c r="F426" s="479">
        <f>'FR-16(7)(v)-8 TOT CLASS Alloc'!J426</f>
        <v>0</v>
      </c>
      <c r="G426" s="548">
        <f>'FR-16(7)(v)-5 DISTR Dem Alloc'!J426</f>
        <v>0</v>
      </c>
      <c r="H426" s="539">
        <f>'FR-16(7)(v)-3 PROD Comm Alloc'!J426</f>
        <v>0</v>
      </c>
      <c r="I426" s="540">
        <f>'FR-16(7)(v)-6 DISTR Cust Alloc'!J426</f>
        <v>0</v>
      </c>
      <c r="J426" s="347">
        <f t="shared" si="84"/>
        <v>0</v>
      </c>
      <c r="K426" s="347">
        <f t="shared" si="85"/>
        <v>0</v>
      </c>
    </row>
    <row r="427" spans="1:11">
      <c r="A427" s="333">
        <v>27</v>
      </c>
      <c r="C427" s="332" t="str">
        <f>'FR-16(7)(v)-1 Functional'!C427</f>
        <v>AMORTIZE 2011 SMART GRID DEFERRED O&amp;M</v>
      </c>
      <c r="D427" s="344" t="str">
        <f>'FR-16(7)(v)-1 Functional'!D427</f>
        <v>K413</v>
      </c>
      <c r="E427" s="196"/>
      <c r="F427" s="479">
        <f>'FR-16(7)(v)-8 TOT CLASS Alloc'!J427</f>
        <v>0</v>
      </c>
      <c r="G427" s="548">
        <f>'FR-16(7)(v)-5 DISTR Dem Alloc'!J427</f>
        <v>0</v>
      </c>
      <c r="H427" s="539">
        <f>'FR-16(7)(v)-3 PROD Comm Alloc'!J427</f>
        <v>0</v>
      </c>
      <c r="I427" s="540">
        <f>'FR-16(7)(v)-6 DISTR Cust Alloc'!J427</f>
        <v>0</v>
      </c>
      <c r="J427" s="347">
        <f t="shared" si="84"/>
        <v>0</v>
      </c>
      <c r="K427" s="347">
        <f t="shared" si="85"/>
        <v>0</v>
      </c>
    </row>
    <row r="428" spans="1:11">
      <c r="A428" s="333">
        <v>28</v>
      </c>
      <c r="C428" s="332" t="str">
        <f>'FR-16(7)(v)-1 Functional'!C428</f>
        <v>INCREASED MEDICAL COSTS</v>
      </c>
      <c r="D428" s="344" t="str">
        <f>'FR-16(7)(v)-1 Functional'!D428</f>
        <v>AG39</v>
      </c>
      <c r="E428" s="196"/>
      <c r="F428" s="479">
        <f>'FR-16(7)(v)-8 TOT CLASS Alloc'!J428</f>
        <v>0</v>
      </c>
      <c r="G428" s="548">
        <f>'FR-16(7)(v)-5 DISTR Dem Alloc'!J428</f>
        <v>0</v>
      </c>
      <c r="H428" s="539">
        <f>'FR-16(7)(v)-3 PROD Comm Alloc'!J428</f>
        <v>0</v>
      </c>
      <c r="I428" s="540">
        <f>'FR-16(7)(v)-6 DISTR Cust Alloc'!J428</f>
        <v>0</v>
      </c>
      <c r="J428" s="347">
        <f t="shared" si="84"/>
        <v>0</v>
      </c>
      <c r="K428" s="347">
        <f t="shared" si="85"/>
        <v>0</v>
      </c>
    </row>
    <row r="429" spans="1:11">
      <c r="A429" s="333">
        <v>29</v>
      </c>
      <c r="C429" s="332" t="str">
        <f>'FR-16(7)(v)-1 Functional'!C429</f>
        <v>AMORTIZE GAS FURNACE PROGRAM</v>
      </c>
      <c r="D429" s="344" t="str">
        <f>'FR-16(7)(v)-1 Functional'!D429</f>
        <v>NP29</v>
      </c>
      <c r="E429" s="196"/>
      <c r="F429" s="479">
        <f>'FR-16(7)(v)-8 TOT CLASS Alloc'!J429</f>
        <v>0</v>
      </c>
      <c r="G429" s="548">
        <f>'FR-16(7)(v)-5 DISTR Dem Alloc'!J429</f>
        <v>0</v>
      </c>
      <c r="H429" s="539">
        <f>'FR-16(7)(v)-3 PROD Comm Alloc'!J429</f>
        <v>0</v>
      </c>
      <c r="I429" s="540">
        <f>'FR-16(7)(v)-6 DISTR Cust Alloc'!J429</f>
        <v>0</v>
      </c>
      <c r="J429" s="347">
        <f t="shared" si="84"/>
        <v>0</v>
      </c>
      <c r="K429" s="347">
        <f t="shared" si="85"/>
        <v>0</v>
      </c>
    </row>
    <row r="430" spans="1:11">
      <c r="A430" s="333">
        <v>30</v>
      </c>
      <c r="C430" s="359" t="str">
        <f>'FR-16(7)(v)-1 Functional'!C430</f>
        <v>AMORTIZATION OF MGP DEFERRED EXP</v>
      </c>
      <c r="D430" s="344" t="str">
        <f>'FR-16(7)(v)-1 Functional'!D430</f>
        <v>NP29</v>
      </c>
      <c r="E430" s="196"/>
      <c r="F430" s="479">
        <f>'FR-16(7)(v)-8 TOT CLASS Alloc'!J430</f>
        <v>0</v>
      </c>
      <c r="G430" s="548">
        <f>'FR-16(7)(v)-5 DISTR Dem Alloc'!J430</f>
        <v>0</v>
      </c>
      <c r="H430" s="539">
        <f>'FR-16(7)(v)-3 PROD Comm Alloc'!J430</f>
        <v>0</v>
      </c>
      <c r="I430" s="540">
        <f>'FR-16(7)(v)-6 DISTR Cust Alloc'!J430</f>
        <v>0</v>
      </c>
      <c r="J430" s="347">
        <f t="shared" si="82"/>
        <v>0</v>
      </c>
      <c r="K430" s="347">
        <f t="shared" si="83"/>
        <v>0</v>
      </c>
    </row>
    <row r="431" spans="1:11">
      <c r="A431" s="333">
        <v>31</v>
      </c>
      <c r="C431" s="332" t="str">
        <f>'FR-16(7)(v)-1 Functional'!C431</f>
        <v xml:space="preserve">  TOTAL ADMIN. &amp; GENERAL</v>
      </c>
      <c r="D431" s="344"/>
      <c r="E431" s="196" t="s">
        <v>343</v>
      </c>
      <c r="F431" s="348">
        <f t="shared" ref="F431:K431" si="86">SUM(F416:F430)</f>
        <v>72293</v>
      </c>
      <c r="G431" s="549">
        <f t="shared" si="86"/>
        <v>56659</v>
      </c>
      <c r="H431" s="541">
        <f t="shared" si="86"/>
        <v>1364</v>
      </c>
      <c r="I431" s="542">
        <f t="shared" si="86"/>
        <v>14270</v>
      </c>
      <c r="J431" s="348">
        <f t="shared" si="86"/>
        <v>72293</v>
      </c>
      <c r="K431" s="348">
        <f t="shared" si="86"/>
        <v>0</v>
      </c>
    </row>
    <row r="432" spans="1:11">
      <c r="A432" s="333">
        <v>32</v>
      </c>
      <c r="D432" s="344"/>
      <c r="E432" s="196"/>
      <c r="F432" s="335"/>
      <c r="G432" s="548"/>
      <c r="H432" s="539"/>
      <c r="I432" s="540"/>
      <c r="J432" s="347"/>
      <c r="K432" s="347"/>
    </row>
    <row r="433" spans="1:11">
      <c r="A433" s="333">
        <v>33</v>
      </c>
      <c r="C433" s="332" t="str">
        <f>'FR-16(7)(v)-1 Functional'!C433</f>
        <v>TOTAL O &amp; M EXPENSE</v>
      </c>
      <c r="D433" s="344"/>
      <c r="E433" s="196"/>
      <c r="F433" s="347">
        <f t="shared" ref="F433:K433" si="87">F431+F407+F403+F389+F378+F364+F360</f>
        <v>408864</v>
      </c>
      <c r="G433" s="550">
        <f t="shared" si="87"/>
        <v>226142</v>
      </c>
      <c r="H433" s="543">
        <f t="shared" si="87"/>
        <v>126324</v>
      </c>
      <c r="I433" s="544">
        <f t="shared" si="87"/>
        <v>56398</v>
      </c>
      <c r="J433" s="347">
        <f t="shared" si="87"/>
        <v>408864</v>
      </c>
      <c r="K433" s="347">
        <f t="shared" si="87"/>
        <v>0</v>
      </c>
    </row>
    <row r="434" spans="1:11">
      <c r="B434" s="343"/>
      <c r="C434" s="196"/>
      <c r="D434" s="344"/>
      <c r="E434" s="196"/>
      <c r="F434" s="196"/>
      <c r="G434" s="196"/>
      <c r="H434" s="196"/>
      <c r="I434" s="196"/>
      <c r="J434" s="196"/>
      <c r="K434" s="196"/>
    </row>
    <row r="435" spans="1:11">
      <c r="A435" s="343" t="str">
        <f>co_name</f>
        <v>DUKE ENERGY KENTUCKY, INC.</v>
      </c>
      <c r="C435" s="196"/>
      <c r="D435" s="344"/>
      <c r="E435" s="196"/>
      <c r="F435" s="196"/>
      <c r="G435" s="196"/>
      <c r="H435" s="196"/>
      <c r="I435" s="196"/>
      <c r="J435" s="196" t="str">
        <f>$J$1</f>
        <v>FR-16(7)(v)-12</v>
      </c>
      <c r="K435" s="196"/>
    </row>
    <row r="436" spans="1:11">
      <c r="A436" s="343" t="str">
        <f>$A$2</f>
        <v>INTERRUPTIBLE TRANSPORTATION CLASSIFIED - GAS COST OF SERVICE</v>
      </c>
      <c r="C436" s="196"/>
      <c r="D436" s="344"/>
      <c r="E436" s="196"/>
      <c r="F436" s="196"/>
      <c r="G436" s="196"/>
      <c r="H436" s="196"/>
      <c r="I436" s="196"/>
      <c r="J436" s="196" t="str">
        <f>$J$2</f>
        <v>WITNESS RESPONSIBLE:</v>
      </c>
      <c r="K436" s="196"/>
    </row>
    <row r="437" spans="1:11">
      <c r="A437" s="343" t="str">
        <f>case_name</f>
        <v>CASE NO: 2018-00261</v>
      </c>
      <c r="C437" s="196"/>
      <c r="D437" s="344"/>
      <c r="E437" s="196"/>
      <c r="F437" s="196"/>
      <c r="G437" s="196"/>
      <c r="H437" s="196"/>
      <c r="I437" s="196"/>
      <c r="J437" s="196" t="str">
        <f>Witness</f>
        <v>JAMES E. ZIOLKOWSKI</v>
      </c>
      <c r="K437" s="196"/>
    </row>
    <row r="438" spans="1:11">
      <c r="A438" s="343" t="str">
        <f>data_filing</f>
        <v>DATA: 12 MONTH FORECASTED PERIOD</v>
      </c>
      <c r="C438" s="196"/>
      <c r="D438" s="344"/>
      <c r="E438" s="196"/>
      <c r="F438" s="196"/>
      <c r="G438" s="196"/>
      <c r="H438" s="196"/>
      <c r="I438" s="196"/>
      <c r="J438" s="196" t="str">
        <f>"PAGE "&amp;Pages2-5&amp;" OF "&amp;Pages2</f>
        <v>PAGE 10 OF 15</v>
      </c>
      <c r="K438" s="196"/>
    </row>
    <row r="439" spans="1:11">
      <c r="A439" s="343" t="str">
        <f>type</f>
        <v xml:space="preserve">TYPE OF FILING: "X" ORIGINAL   UPDATED    REVISED  </v>
      </c>
      <c r="C439" s="196"/>
      <c r="D439" s="344"/>
      <c r="E439" s="196"/>
      <c r="F439" s="196"/>
      <c r="G439" s="196"/>
      <c r="H439" s="196"/>
      <c r="I439" s="196"/>
      <c r="J439" s="196"/>
      <c r="K439" s="196"/>
    </row>
    <row r="440" spans="1:11">
      <c r="B440" s="343"/>
      <c r="C440" s="196"/>
      <c r="D440" s="344"/>
      <c r="E440" s="196"/>
      <c r="F440" s="196"/>
      <c r="G440" s="196"/>
      <c r="H440" s="196"/>
      <c r="I440" s="196"/>
      <c r="J440" s="196"/>
      <c r="K440" s="196"/>
    </row>
    <row r="441" spans="1:11">
      <c r="B441" s="343"/>
      <c r="C441" s="196"/>
      <c r="D441" s="344"/>
      <c r="E441" s="196"/>
      <c r="F441" s="196"/>
      <c r="G441" s="196"/>
      <c r="H441" s="196"/>
      <c r="I441" s="196"/>
      <c r="J441" s="196"/>
      <c r="K441" s="196"/>
    </row>
    <row r="442" spans="1:11">
      <c r="A442" s="344" t="s">
        <v>914</v>
      </c>
      <c r="B442" s="196"/>
      <c r="C442" s="196"/>
      <c r="D442" s="344"/>
      <c r="E442" s="196"/>
      <c r="F442" s="344" t="s">
        <v>229</v>
      </c>
      <c r="G442" s="545" t="s">
        <v>1005</v>
      </c>
      <c r="H442" s="533"/>
      <c r="I442" s="534"/>
      <c r="J442" s="344" t="s">
        <v>229</v>
      </c>
      <c r="K442" s="344" t="s">
        <v>342</v>
      </c>
    </row>
    <row r="443" spans="1:11">
      <c r="A443" s="346" t="s">
        <v>915</v>
      </c>
      <c r="B443" s="345" t="s">
        <v>55</v>
      </c>
      <c r="C443" s="345"/>
      <c r="D443" s="346" t="s">
        <v>337</v>
      </c>
      <c r="E443" s="345"/>
      <c r="F443" s="346" t="str">
        <f>$F$9</f>
        <v>INTERRUPTIBLE</v>
      </c>
      <c r="G443" s="546" t="s">
        <v>847</v>
      </c>
      <c r="H443" s="535" t="s">
        <v>848</v>
      </c>
      <c r="I443" s="536" t="s">
        <v>849</v>
      </c>
      <c r="J443" s="346" t="s">
        <v>341</v>
      </c>
      <c r="K443" s="346" t="s">
        <v>340</v>
      </c>
    </row>
    <row r="444" spans="1:11">
      <c r="C444" s="578" t="s">
        <v>349</v>
      </c>
      <c r="D444" s="344"/>
      <c r="E444" s="196"/>
      <c r="F444" s="510"/>
      <c r="G444" s="800">
        <f>$G$10</f>
        <v>3</v>
      </c>
      <c r="H444" s="801">
        <f>$H$10</f>
        <v>4</v>
      </c>
      <c r="I444" s="802">
        <f>$I$10</f>
        <v>5</v>
      </c>
      <c r="J444" s="510"/>
      <c r="K444" s="510"/>
    </row>
    <row r="445" spans="1:11">
      <c r="A445" s="333">
        <v>1</v>
      </c>
      <c r="B445" s="353" t="s">
        <v>56</v>
      </c>
      <c r="C445" s="353"/>
      <c r="D445" s="344"/>
      <c r="E445" s="196"/>
      <c r="G445" s="547"/>
      <c r="H445" s="537"/>
      <c r="I445" s="538"/>
    </row>
    <row r="446" spans="1:11">
      <c r="A446" s="333">
        <v>2</v>
      </c>
      <c r="B446" s="353"/>
      <c r="C446" s="511" t="str">
        <f>'FR-16(7)(v)-1 Functional'!C446</f>
        <v>PRODUCTION DEPRECIATION</v>
      </c>
      <c r="D446" s="344" t="str">
        <f>'FR-16(7)(v)-1 Functional'!D446</f>
        <v>P229</v>
      </c>
      <c r="E446" s="196"/>
      <c r="F446" s="479">
        <f>'FR-16(7)(v)-8 TOT CLASS Alloc'!J446</f>
        <v>0</v>
      </c>
      <c r="G446" s="548">
        <f>'FR-16(7)(v)-5 DISTR Dem Alloc'!J446</f>
        <v>0</v>
      </c>
      <c r="H446" s="539">
        <f>'FR-16(7)(v)-3 PROD Comm Alloc'!J446</f>
        <v>0</v>
      </c>
      <c r="I446" s="540">
        <f>'FR-16(7)(v)-6 DISTR Cust Alloc'!J446</f>
        <v>0</v>
      </c>
      <c r="J446" s="347">
        <f>SUM(G446:I446)</f>
        <v>0</v>
      </c>
      <c r="K446" s="347">
        <f>F446-J446</f>
        <v>0</v>
      </c>
    </row>
    <row r="447" spans="1:11">
      <c r="A447" s="333">
        <v>3</v>
      </c>
      <c r="B447" s="353"/>
      <c r="C447" s="353" t="str">
        <f>'FR-16(7)(v)-1 Functional'!C447</f>
        <v xml:space="preserve">  TOTAL PRODUCTION DEPREC EXP.</v>
      </c>
      <c r="D447" s="344"/>
      <c r="E447" s="196"/>
      <c r="F447" s="348">
        <f t="shared" ref="F447:K447" si="88">SUM(F446:F446)</f>
        <v>0</v>
      </c>
      <c r="G447" s="549">
        <f t="shared" si="88"/>
        <v>0</v>
      </c>
      <c r="H447" s="541">
        <f t="shared" si="88"/>
        <v>0</v>
      </c>
      <c r="I447" s="542">
        <f t="shared" si="88"/>
        <v>0</v>
      </c>
      <c r="J447" s="348">
        <f t="shared" si="88"/>
        <v>0</v>
      </c>
      <c r="K447" s="348">
        <f t="shared" si="88"/>
        <v>0</v>
      </c>
    </row>
    <row r="448" spans="1:11">
      <c r="A448" s="333">
        <v>4</v>
      </c>
      <c r="B448" s="353"/>
      <c r="C448" s="353"/>
      <c r="D448" s="344"/>
      <c r="E448" s="196"/>
      <c r="F448" s="353"/>
      <c r="G448" s="547"/>
      <c r="H448" s="537"/>
      <c r="I448" s="538"/>
    </row>
    <row r="449" spans="1:11">
      <c r="A449" s="333">
        <v>5</v>
      </c>
      <c r="B449" s="511" t="s">
        <v>57</v>
      </c>
      <c r="C449" s="511"/>
      <c r="D449" s="344"/>
      <c r="E449" s="196"/>
      <c r="F449" s="349"/>
      <c r="G449" s="548"/>
      <c r="H449" s="539"/>
      <c r="I449" s="540"/>
      <c r="J449" s="347"/>
      <c r="K449" s="347"/>
    </row>
    <row r="450" spans="1:11">
      <c r="A450" s="333">
        <v>6</v>
      </c>
      <c r="B450" s="353"/>
      <c r="C450" s="353" t="str">
        <f>'FR-16(7)(v)-1 Functional'!C450</f>
        <v xml:space="preserve">  TOTAL TRANSMISSION DEP. EXP.</v>
      </c>
      <c r="D450" s="344"/>
      <c r="E450" s="196"/>
      <c r="F450" s="348">
        <f t="shared" ref="F450:K450" si="89">SUM(F449)</f>
        <v>0</v>
      </c>
      <c r="G450" s="549">
        <f t="shared" si="89"/>
        <v>0</v>
      </c>
      <c r="H450" s="541">
        <f t="shared" si="89"/>
        <v>0</v>
      </c>
      <c r="I450" s="542">
        <f t="shared" si="89"/>
        <v>0</v>
      </c>
      <c r="J450" s="348">
        <f t="shared" si="89"/>
        <v>0</v>
      </c>
      <c r="K450" s="348">
        <f t="shared" si="89"/>
        <v>0</v>
      </c>
    </row>
    <row r="451" spans="1:11">
      <c r="A451" s="333">
        <v>7</v>
      </c>
      <c r="B451" s="353"/>
      <c r="C451" s="353"/>
      <c r="D451" s="344"/>
      <c r="E451" s="196"/>
      <c r="F451" s="353"/>
      <c r="G451" s="547"/>
      <c r="H451" s="537"/>
      <c r="I451" s="538"/>
    </row>
    <row r="452" spans="1:11">
      <c r="A452" s="333">
        <v>8</v>
      </c>
      <c r="B452" s="353" t="s">
        <v>58</v>
      </c>
      <c r="C452" s="353"/>
      <c r="D452" s="344"/>
      <c r="E452" s="196"/>
      <c r="F452" s="353"/>
      <c r="G452" s="547"/>
      <c r="H452" s="537"/>
      <c r="I452" s="538"/>
    </row>
    <row r="453" spans="1:11">
      <c r="A453" s="333">
        <v>9</v>
      </c>
      <c r="B453" s="353"/>
      <c r="C453" s="511" t="str">
        <f>'FR-16(7)(v)-1 Functional'!C453</f>
        <v>DISTRIBUTION DEPRECIATION</v>
      </c>
      <c r="D453" s="344" t="str">
        <f>'FR-16(7)(v)-1 Functional'!D453</f>
        <v>D249</v>
      </c>
      <c r="E453" s="196"/>
      <c r="F453" s="479">
        <f>'FR-16(7)(v)-8 TOT CLASS Alloc'!J453</f>
        <v>225144</v>
      </c>
      <c r="G453" s="548">
        <f>'FR-16(7)(v)-5 DISTR Dem Alloc'!J453</f>
        <v>204900</v>
      </c>
      <c r="H453" s="539">
        <f>'FR-16(7)(v)-3 PROD Comm Alloc'!J453</f>
        <v>0</v>
      </c>
      <c r="I453" s="540">
        <f>'FR-16(7)(v)-6 DISTR Cust Alloc'!J453</f>
        <v>20244</v>
      </c>
      <c r="J453" s="347">
        <f>SUM(G453:I453)</f>
        <v>225144</v>
      </c>
      <c r="K453" s="347">
        <f>F453-J453</f>
        <v>0</v>
      </c>
    </row>
    <row r="454" spans="1:11">
      <c r="A454" s="333">
        <v>10</v>
      </c>
      <c r="B454" s="353"/>
      <c r="C454" s="353" t="str">
        <f>'FR-16(7)(v)-1 Functional'!C454</f>
        <v xml:space="preserve">  TOTAL DIST. DEPREC EXP.</v>
      </c>
      <c r="D454" s="344"/>
      <c r="E454" s="196"/>
      <c r="F454" s="348">
        <f t="shared" ref="F454:K454" si="90">SUM(F453:F453)</f>
        <v>225144</v>
      </c>
      <c r="G454" s="549">
        <f t="shared" si="90"/>
        <v>204900</v>
      </c>
      <c r="H454" s="541">
        <f t="shared" si="90"/>
        <v>0</v>
      </c>
      <c r="I454" s="542">
        <f t="shared" si="90"/>
        <v>20244</v>
      </c>
      <c r="J454" s="348">
        <f t="shared" si="90"/>
        <v>225144</v>
      </c>
      <c r="K454" s="348">
        <f t="shared" si="90"/>
        <v>0</v>
      </c>
    </row>
    <row r="455" spans="1:11">
      <c r="A455" s="333">
        <v>11</v>
      </c>
      <c r="B455" s="353"/>
      <c r="C455" s="353"/>
      <c r="D455" s="344"/>
      <c r="E455" s="196"/>
      <c r="F455" s="353" t="s">
        <v>343</v>
      </c>
      <c r="G455" s="547"/>
      <c r="H455" s="537"/>
      <c r="I455" s="538"/>
    </row>
    <row r="456" spans="1:11">
      <c r="A456" s="333">
        <v>12</v>
      </c>
      <c r="B456" s="353" t="s">
        <v>59</v>
      </c>
      <c r="C456" s="353"/>
      <c r="D456" s="344"/>
      <c r="E456" s="196"/>
      <c r="F456" s="353"/>
      <c r="G456" s="547"/>
      <c r="H456" s="537"/>
      <c r="I456" s="538"/>
    </row>
    <row r="457" spans="1:11">
      <c r="A457" s="333">
        <v>13</v>
      </c>
      <c r="B457" s="353"/>
      <c r="C457" s="511" t="str">
        <f>'FR-16(7)(v)-1 Functional'!C457</f>
        <v>GENERAL DEPRECIATION</v>
      </c>
      <c r="D457" s="344" t="str">
        <f>'FR-16(7)(v)-1 Functional'!D457</f>
        <v>G229</v>
      </c>
      <c r="E457" s="196"/>
      <c r="F457" s="479">
        <f>'FR-16(7)(v)-8 TOT CLASS Alloc'!J457</f>
        <v>22501</v>
      </c>
      <c r="G457" s="548">
        <f>'FR-16(7)(v)-5 DISTR Dem Alloc'!J457</f>
        <v>17709</v>
      </c>
      <c r="H457" s="539">
        <f>'FR-16(7)(v)-3 PROD Comm Alloc'!J457</f>
        <v>333</v>
      </c>
      <c r="I457" s="540">
        <f>'FR-16(7)(v)-6 DISTR Cust Alloc'!J457</f>
        <v>4459</v>
      </c>
      <c r="J457" s="347">
        <f>SUM(G457:I457)</f>
        <v>22501</v>
      </c>
      <c r="K457" s="347">
        <f>F457-J457</f>
        <v>0</v>
      </c>
    </row>
    <row r="458" spans="1:11">
      <c r="A458" s="333">
        <v>14</v>
      </c>
      <c r="B458" s="353"/>
      <c r="C458" s="353" t="str">
        <f>'FR-16(7)(v)-1 Functional'!C458</f>
        <v xml:space="preserve">  TOTAL GENERAL DEPREC EXP.</v>
      </c>
      <c r="D458" s="344"/>
      <c r="E458" s="196"/>
      <c r="F458" s="348">
        <f t="shared" ref="F458:K458" si="91">SUM(F457:F457)</f>
        <v>22501</v>
      </c>
      <c r="G458" s="549">
        <f t="shared" si="91"/>
        <v>17709</v>
      </c>
      <c r="H458" s="541">
        <f t="shared" si="91"/>
        <v>333</v>
      </c>
      <c r="I458" s="542">
        <f t="shared" si="91"/>
        <v>4459</v>
      </c>
      <c r="J458" s="348">
        <f t="shared" si="91"/>
        <v>22501</v>
      </c>
      <c r="K458" s="348">
        <f t="shared" si="91"/>
        <v>0</v>
      </c>
    </row>
    <row r="459" spans="1:11">
      <c r="A459" s="333">
        <v>15</v>
      </c>
      <c r="B459" s="353"/>
      <c r="C459" s="353"/>
      <c r="D459" s="344"/>
      <c r="E459" s="196"/>
      <c r="F459" s="353"/>
      <c r="G459" s="547"/>
      <c r="H459" s="537"/>
      <c r="I459" s="538"/>
    </row>
    <row r="460" spans="1:11">
      <c r="A460" s="333">
        <v>16</v>
      </c>
      <c r="B460" s="353" t="s">
        <v>60</v>
      </c>
      <c r="C460" s="353"/>
      <c r="D460" s="344"/>
      <c r="E460" s="196"/>
      <c r="F460" s="476"/>
      <c r="G460" s="548"/>
      <c r="H460" s="539"/>
      <c r="I460" s="540"/>
      <c r="J460" s="347"/>
      <c r="K460" s="347"/>
    </row>
    <row r="461" spans="1:11">
      <c r="A461" s="333">
        <v>17</v>
      </c>
      <c r="B461" s="353"/>
      <c r="C461" s="511" t="str">
        <f>'FR-16(7)(v)-1 Functional'!C461</f>
        <v>COMMON DEPRECIATION</v>
      </c>
      <c r="D461" s="344" t="str">
        <f>'FR-16(7)(v)-1 Functional'!D461</f>
        <v>C229</v>
      </c>
      <c r="E461" s="196"/>
      <c r="F461" s="479">
        <f>'FR-16(7)(v)-8 TOT CLASS Alloc'!J461</f>
        <v>1306</v>
      </c>
      <c r="G461" s="548">
        <f>'FR-16(7)(v)-5 DISTR Dem Alloc'!J461</f>
        <v>1028</v>
      </c>
      <c r="H461" s="539">
        <f>'FR-16(7)(v)-3 PROD Comm Alloc'!J461</f>
        <v>19</v>
      </c>
      <c r="I461" s="540">
        <f>'FR-16(7)(v)-6 DISTR Cust Alloc'!J461</f>
        <v>259</v>
      </c>
      <c r="J461" s="347">
        <f>SUM(G461:I461)</f>
        <v>1306</v>
      </c>
      <c r="K461" s="347">
        <f>F461-J461</f>
        <v>0</v>
      </c>
    </row>
    <row r="462" spans="1:11">
      <c r="A462" s="333">
        <v>18</v>
      </c>
      <c r="B462" s="353"/>
      <c r="C462" s="353" t="str">
        <f>'FR-16(7)(v)-1 Functional'!C462</f>
        <v xml:space="preserve">  TOTAL COM &amp; OTHER DEPREC EXP.</v>
      </c>
      <c r="D462" s="344"/>
      <c r="E462" s="196"/>
      <c r="F462" s="348">
        <f t="shared" ref="F462:K462" si="92">SUM(F461:F461)</f>
        <v>1306</v>
      </c>
      <c r="G462" s="549">
        <f t="shared" si="92"/>
        <v>1028</v>
      </c>
      <c r="H462" s="541">
        <f t="shared" si="92"/>
        <v>19</v>
      </c>
      <c r="I462" s="542">
        <f t="shared" si="92"/>
        <v>259</v>
      </c>
      <c r="J462" s="348">
        <f t="shared" si="92"/>
        <v>1306</v>
      </c>
      <c r="K462" s="348">
        <f t="shared" si="92"/>
        <v>0</v>
      </c>
    </row>
    <row r="463" spans="1:11">
      <c r="A463" s="333">
        <v>19</v>
      </c>
      <c r="B463" s="353"/>
      <c r="C463" s="353"/>
      <c r="D463" s="344"/>
      <c r="E463" s="196"/>
      <c r="G463" s="547"/>
      <c r="H463" s="537"/>
      <c r="I463" s="538"/>
    </row>
    <row r="464" spans="1:11">
      <c r="A464" s="333">
        <v>20</v>
      </c>
      <c r="B464" s="353"/>
      <c r="C464" s="353"/>
      <c r="D464" s="344"/>
      <c r="E464" s="196"/>
      <c r="G464" s="547"/>
      <c r="H464" s="537"/>
      <c r="I464" s="538"/>
    </row>
    <row r="465" spans="1:12">
      <c r="A465" s="333">
        <v>21</v>
      </c>
      <c r="B465" s="353" t="s">
        <v>61</v>
      </c>
      <c r="C465" s="353"/>
      <c r="D465" s="344"/>
      <c r="E465" s="332" t="s">
        <v>343</v>
      </c>
      <c r="F465" s="347">
        <f t="shared" ref="F465:K465" si="93">F462+F458+F454+F450+F447</f>
        <v>248951</v>
      </c>
      <c r="G465" s="550">
        <f t="shared" si="93"/>
        <v>223637</v>
      </c>
      <c r="H465" s="543">
        <f t="shared" si="93"/>
        <v>352</v>
      </c>
      <c r="I465" s="544">
        <f t="shared" si="93"/>
        <v>24962</v>
      </c>
      <c r="J465" s="347">
        <f t="shared" si="93"/>
        <v>248951</v>
      </c>
      <c r="K465" s="347">
        <f t="shared" si="93"/>
        <v>0</v>
      </c>
    </row>
    <row r="466" spans="1:12">
      <c r="B466" s="343"/>
      <c r="C466" s="196"/>
      <c r="D466" s="344"/>
      <c r="E466" s="196"/>
      <c r="F466" s="196"/>
      <c r="G466" s="196"/>
      <c r="H466" s="196"/>
      <c r="I466" s="196"/>
      <c r="J466" s="196"/>
      <c r="K466" s="196"/>
    </row>
    <row r="467" spans="1:12">
      <c r="A467" s="343" t="str">
        <f>co_name</f>
        <v>DUKE ENERGY KENTUCKY, INC.</v>
      </c>
      <c r="C467" s="196"/>
      <c r="D467" s="344"/>
      <c r="E467" s="196"/>
      <c r="F467" s="196"/>
      <c r="G467" s="196"/>
      <c r="H467" s="196"/>
      <c r="I467" s="196"/>
      <c r="J467" s="196" t="str">
        <f>$J$1</f>
        <v>FR-16(7)(v)-12</v>
      </c>
      <c r="K467" s="196"/>
    </row>
    <row r="468" spans="1:12">
      <c r="A468" s="343" t="str">
        <f>$A$2</f>
        <v>INTERRUPTIBLE TRANSPORTATION CLASSIFIED - GAS COST OF SERVICE</v>
      </c>
      <c r="C468" s="196"/>
      <c r="D468" s="344"/>
      <c r="E468" s="196"/>
      <c r="F468" s="196"/>
      <c r="G468" s="196"/>
      <c r="H468" s="196"/>
      <c r="I468" s="196"/>
      <c r="J468" s="196" t="str">
        <f>$J$2</f>
        <v>WITNESS RESPONSIBLE:</v>
      </c>
      <c r="K468" s="196"/>
    </row>
    <row r="469" spans="1:12">
      <c r="A469" s="343" t="str">
        <f>case_name</f>
        <v>CASE NO: 2018-00261</v>
      </c>
      <c r="C469" s="196"/>
      <c r="D469" s="344"/>
      <c r="E469" s="196"/>
      <c r="F469" s="196"/>
      <c r="G469" s="196"/>
      <c r="H469" s="196"/>
      <c r="I469" s="196"/>
      <c r="J469" s="196" t="str">
        <f>Witness</f>
        <v>JAMES E. ZIOLKOWSKI</v>
      </c>
      <c r="K469" s="196"/>
    </row>
    <row r="470" spans="1:12">
      <c r="A470" s="343" t="str">
        <f>data_filing</f>
        <v>DATA: 12 MONTH FORECASTED PERIOD</v>
      </c>
      <c r="C470" s="196"/>
      <c r="D470" s="344"/>
      <c r="E470" s="196"/>
      <c r="F470" s="196"/>
      <c r="G470" s="196"/>
      <c r="H470" s="196"/>
      <c r="I470" s="196"/>
      <c r="J470" s="196" t="str">
        <f>"PAGE "&amp;Pages2-4&amp;" OF "&amp;Pages2</f>
        <v>PAGE 11 OF 15</v>
      </c>
      <c r="K470" s="196"/>
    </row>
    <row r="471" spans="1:12">
      <c r="A471" s="343" t="str">
        <f>type</f>
        <v xml:space="preserve">TYPE OF FILING: "X" ORIGINAL   UPDATED    REVISED  </v>
      </c>
      <c r="C471" s="196"/>
      <c r="D471" s="344"/>
      <c r="E471" s="196"/>
      <c r="F471" s="196"/>
      <c r="G471" s="196"/>
      <c r="H471" s="196"/>
      <c r="I471" s="196"/>
      <c r="J471" s="196"/>
      <c r="K471" s="196"/>
    </row>
    <row r="472" spans="1:12">
      <c r="B472" s="343"/>
      <c r="C472" s="196"/>
      <c r="D472" s="344"/>
      <c r="E472" s="196"/>
      <c r="F472" s="196"/>
      <c r="G472" s="196"/>
      <c r="H472" s="196"/>
      <c r="I472" s="196"/>
      <c r="J472" s="196"/>
      <c r="K472" s="196"/>
    </row>
    <row r="473" spans="1:12">
      <c r="B473" s="343"/>
      <c r="C473" s="196"/>
      <c r="D473" s="344"/>
      <c r="E473" s="196"/>
      <c r="F473" s="196"/>
      <c r="G473" s="196"/>
      <c r="H473" s="196"/>
      <c r="I473" s="196"/>
      <c r="J473" s="196"/>
      <c r="K473" s="196"/>
    </row>
    <row r="474" spans="1:12">
      <c r="A474" s="344" t="s">
        <v>914</v>
      </c>
      <c r="B474" s="196"/>
      <c r="C474" s="196"/>
      <c r="D474" s="344"/>
      <c r="E474" s="196"/>
      <c r="F474" s="344" t="s">
        <v>229</v>
      </c>
      <c r="G474" s="545" t="s">
        <v>1005</v>
      </c>
      <c r="H474" s="533"/>
      <c r="I474" s="534"/>
      <c r="J474" s="344" t="s">
        <v>229</v>
      </c>
      <c r="K474" s="344" t="s">
        <v>342</v>
      </c>
    </row>
    <row r="475" spans="1:12">
      <c r="A475" s="346" t="s">
        <v>915</v>
      </c>
      <c r="B475" s="345" t="s">
        <v>62</v>
      </c>
      <c r="C475" s="345"/>
      <c r="D475" s="346" t="s">
        <v>337</v>
      </c>
      <c r="E475" s="345"/>
      <c r="F475" s="346" t="str">
        <f>$F$9</f>
        <v>INTERRUPTIBLE</v>
      </c>
      <c r="G475" s="546" t="s">
        <v>847</v>
      </c>
      <c r="H475" s="535" t="s">
        <v>848</v>
      </c>
      <c r="I475" s="536" t="s">
        <v>849</v>
      </c>
      <c r="J475" s="346" t="s">
        <v>341</v>
      </c>
      <c r="K475" s="346" t="s">
        <v>340</v>
      </c>
      <c r="L475" s="365"/>
    </row>
    <row r="476" spans="1:12">
      <c r="C476" s="578" t="s">
        <v>350</v>
      </c>
      <c r="D476" s="344"/>
      <c r="E476" s="196"/>
      <c r="F476" s="510"/>
      <c r="G476" s="800">
        <f>$G$10</f>
        <v>3</v>
      </c>
      <c r="H476" s="801">
        <f>$H$10</f>
        <v>4</v>
      </c>
      <c r="I476" s="802">
        <f>$I$10</f>
        <v>5</v>
      </c>
      <c r="J476" s="510"/>
      <c r="K476" s="510"/>
    </row>
    <row r="477" spans="1:12">
      <c r="A477" s="333">
        <v>1</v>
      </c>
      <c r="B477" s="332" t="s">
        <v>63</v>
      </c>
      <c r="D477" s="344"/>
      <c r="E477" s="196"/>
      <c r="G477" s="547"/>
      <c r="H477" s="537"/>
      <c r="I477" s="538"/>
    </row>
    <row r="478" spans="1:12">
      <c r="A478" s="333">
        <v>2</v>
      </c>
      <c r="B478" s="332" t="s">
        <v>64</v>
      </c>
      <c r="D478" s="344"/>
      <c r="E478" s="196"/>
      <c r="G478" s="547"/>
      <c r="H478" s="537"/>
      <c r="I478" s="538"/>
    </row>
    <row r="479" spans="1:12">
      <c r="A479" s="333">
        <v>3</v>
      </c>
      <c r="C479" s="332" t="str">
        <f>'FR-16(7)(v)-1 Functional'!C479</f>
        <v>REAL ESTATE &amp; PROPERTY TAX</v>
      </c>
      <c r="D479" s="344" t="str">
        <f>'FR-16(7)(v)-1 Functional'!D479</f>
        <v>NP29</v>
      </c>
      <c r="E479" s="196"/>
      <c r="F479" s="479">
        <f>'FR-16(7)(v)-8 TOT CLASS Alloc'!J479</f>
        <v>61781</v>
      </c>
      <c r="G479" s="548">
        <f>'FR-16(7)(v)-5 DISTR Dem Alloc'!$J$479</f>
        <v>56045</v>
      </c>
      <c r="H479" s="539">
        <f>'FR-16(7)(v)-3 PROD Comm Alloc'!$J$479</f>
        <v>22</v>
      </c>
      <c r="I479" s="540">
        <f>'FR-16(7)(v)-6 DISTR Cust Alloc'!$J$479</f>
        <v>5714</v>
      </c>
      <c r="J479" s="347">
        <f>SUM($G$479:$I$479)</f>
        <v>61781</v>
      </c>
      <c r="K479" s="347">
        <f>F479-$J$479</f>
        <v>0</v>
      </c>
    </row>
    <row r="480" spans="1:12">
      <c r="A480" s="333">
        <v>4</v>
      </c>
      <c r="C480" s="359" t="str">
        <f>'FR-16(7)(v)-1 Functional'!C480</f>
        <v>ANNUALIZE PROPERTY TAX</v>
      </c>
      <c r="D480" s="344" t="str">
        <f>'FR-16(7)(v)-1 Functional'!D480</f>
        <v>NP29</v>
      </c>
      <c r="E480" s="196" t="s">
        <v>343</v>
      </c>
      <c r="F480" s="479">
        <f>'FR-16(7)(v)-8 TOT CLASS Alloc'!J480</f>
        <v>0</v>
      </c>
      <c r="G480" s="548">
        <f>'FR-16(7)(v)-5 DISTR Dem Alloc'!$J$480</f>
        <v>0</v>
      </c>
      <c r="H480" s="539">
        <f>'FR-16(7)(v)-3 PROD Comm Alloc'!$J$480</f>
        <v>0</v>
      </c>
      <c r="I480" s="540">
        <f>'FR-16(7)(v)-6 DISTR Cust Alloc'!$J$480</f>
        <v>0</v>
      </c>
      <c r="J480" s="347">
        <f>SUM($G$480:$I$480)</f>
        <v>0</v>
      </c>
      <c r="K480" s="347">
        <f>F480-$J$480</f>
        <v>0</v>
      </c>
    </row>
    <row r="481" spans="1:11">
      <c r="A481" s="333">
        <v>5</v>
      </c>
      <c r="C481" s="332" t="str">
        <f>'FR-16(7)(v)-1 Functional'!C481</f>
        <v xml:space="preserve">  TOTAL REAL ESTATE &amp; PROPERTY TAX</v>
      </c>
      <c r="D481" s="344"/>
      <c r="E481" s="196"/>
      <c r="F481" s="348">
        <f>SUM(F479:F480)</f>
        <v>61781</v>
      </c>
      <c r="G481" s="549">
        <f>SUM($G$479:$G$480)</f>
        <v>56045</v>
      </c>
      <c r="H481" s="541">
        <f>SUM($H$479:$H$480)</f>
        <v>22</v>
      </c>
      <c r="I481" s="542">
        <f>SUM($I$479:$I$480)</f>
        <v>5714</v>
      </c>
      <c r="J481" s="348">
        <f>SUM($J$479:$J$480)</f>
        <v>61781</v>
      </c>
      <c r="K481" s="348">
        <f>SUM($K$479:$K$480)</f>
        <v>0</v>
      </c>
    </row>
    <row r="482" spans="1:11">
      <c r="A482" s="333">
        <v>6</v>
      </c>
      <c r="D482" s="344"/>
      <c r="E482" s="196"/>
      <c r="F482" s="353"/>
      <c r="G482" s="547"/>
      <c r="H482" s="537"/>
      <c r="I482" s="538"/>
    </row>
    <row r="483" spans="1:11">
      <c r="A483" s="333">
        <v>7</v>
      </c>
      <c r="B483" s="332" t="s">
        <v>65</v>
      </c>
      <c r="D483" s="344"/>
      <c r="E483" s="196"/>
      <c r="F483" s="353"/>
      <c r="G483" s="547"/>
      <c r="H483" s="537"/>
      <c r="I483" s="538"/>
    </row>
    <row r="484" spans="1:11">
      <c r="A484" s="333">
        <v>8</v>
      </c>
      <c r="C484" s="332" t="str">
        <f>'FR-16(7)(v)-1 Functional'!C484</f>
        <v>PAYROLL &amp; HIGHWAY</v>
      </c>
      <c r="D484" s="344" t="str">
        <f>'FR-16(7)(v)-1 Functional'!D484</f>
        <v>AG39</v>
      </c>
      <c r="E484" s="196"/>
      <c r="F484" s="479">
        <f>'FR-16(7)(v)-8 TOT CLASS Alloc'!J484</f>
        <v>7298</v>
      </c>
      <c r="G484" s="548">
        <f>'FR-16(7)(v)-5 DISTR Dem Alloc'!$J$484</f>
        <v>5720</v>
      </c>
      <c r="H484" s="539">
        <f>'FR-16(7)(v)-3 PROD Comm Alloc'!$J$484</f>
        <v>138</v>
      </c>
      <c r="I484" s="540">
        <f>'FR-16(7)(v)-6 DISTR Cust Alloc'!$J$484</f>
        <v>1440</v>
      </c>
      <c r="J484" s="347">
        <f>SUM($G$484:$I$484)</f>
        <v>7298</v>
      </c>
      <c r="K484" s="347">
        <f>F484-$J$484</f>
        <v>0</v>
      </c>
    </row>
    <row r="485" spans="1:11">
      <c r="A485" s="333">
        <v>9</v>
      </c>
      <c r="C485" s="332" t="str">
        <f>'FR-16(7)(v)-1 Functional'!C485</f>
        <v>UNEMPLOYMENT COMPENSATION</v>
      </c>
      <c r="D485" s="354" t="str">
        <f>'FR-16(7)(v)-1 Functional'!D485</f>
        <v>AG39</v>
      </c>
      <c r="E485" s="196"/>
      <c r="F485" s="479">
        <f>'FR-16(7)(v)-8 TOT CLASS Alloc'!J485</f>
        <v>0</v>
      </c>
      <c r="G485" s="548">
        <f>'FR-16(7)(v)-5 DISTR Dem Alloc'!$J$485</f>
        <v>0</v>
      </c>
      <c r="H485" s="539">
        <f>'FR-16(7)(v)-3 PROD Comm Alloc'!$J$485</f>
        <v>0</v>
      </c>
      <c r="I485" s="540">
        <f>'FR-16(7)(v)-6 DISTR Cust Alloc'!$J$485</f>
        <v>0</v>
      </c>
      <c r="J485" s="347">
        <f>SUM($G$485:$I$485)</f>
        <v>0</v>
      </c>
      <c r="K485" s="347">
        <f>F485-$J$485</f>
        <v>0</v>
      </c>
    </row>
    <row r="486" spans="1:11">
      <c r="A486" s="333">
        <v>10</v>
      </c>
      <c r="C486" s="332" t="str">
        <f>'FR-16(7)(v)-1 Functional'!C486</f>
        <v>OHIO EXCISE TAX</v>
      </c>
      <c r="D486" s="354" t="str">
        <f>'FR-16(7)(v)-1 Functional'!D486</f>
        <v>OM39</v>
      </c>
      <c r="E486" s="196"/>
      <c r="F486" s="479">
        <f>'FR-16(7)(v)-8 TOT CLASS Alloc'!J486</f>
        <v>0</v>
      </c>
      <c r="G486" s="548">
        <f>'FR-16(7)(v)-5 DISTR Dem Alloc'!$J$486</f>
        <v>0</v>
      </c>
      <c r="H486" s="539">
        <f>'FR-16(7)(v)-3 PROD Comm Alloc'!$J$486</f>
        <v>0</v>
      </c>
      <c r="I486" s="540">
        <f>'FR-16(7)(v)-6 DISTR Cust Alloc'!$J$486</f>
        <v>0</v>
      </c>
      <c r="J486" s="347">
        <f>SUM($G$486:$I$486)</f>
        <v>0</v>
      </c>
      <c r="K486" s="347">
        <f>F486-$J$486</f>
        <v>0</v>
      </c>
    </row>
    <row r="487" spans="1:11">
      <c r="A487" s="333">
        <v>11</v>
      </c>
      <c r="C487" s="359" t="str">
        <f>'FR-16(7)(v)-1 Functional'!C487</f>
        <v>STATE TAX RIDER</v>
      </c>
      <c r="D487" s="354" t="str">
        <f>'FR-16(7)(v)-1 Functional'!D487</f>
        <v>OM39</v>
      </c>
      <c r="E487" s="196"/>
      <c r="F487" s="479">
        <f>'FR-16(7)(v)-8 TOT CLASS Alloc'!J487</f>
        <v>0</v>
      </c>
      <c r="G487" s="548">
        <f>'FR-16(7)(v)-5 DISTR Dem Alloc'!$J$487</f>
        <v>0</v>
      </c>
      <c r="H487" s="539">
        <f>'FR-16(7)(v)-3 PROD Comm Alloc'!$J$487</f>
        <v>0</v>
      </c>
      <c r="I487" s="540">
        <f>'FR-16(7)(v)-6 DISTR Cust Alloc'!$J$487</f>
        <v>0</v>
      </c>
      <c r="J487" s="347">
        <f>SUM($G$487:$I$487)</f>
        <v>0</v>
      </c>
      <c r="K487" s="347">
        <f>F487-$J$487</f>
        <v>0</v>
      </c>
    </row>
    <row r="488" spans="1:11">
      <c r="A488" s="333">
        <v>12</v>
      </c>
      <c r="C488" s="332" t="str">
        <f>'FR-16(7)(v)-1 Functional'!C488</f>
        <v xml:space="preserve">  TOTAL MISCELLANEOUS TAXES</v>
      </c>
      <c r="D488" s="344"/>
      <c r="E488" s="196"/>
      <c r="F488" s="348">
        <f>SUM(F484:F487)</f>
        <v>7298</v>
      </c>
      <c r="G488" s="549">
        <f>SUM($G$484:$G$487)</f>
        <v>5720</v>
      </c>
      <c r="H488" s="541">
        <f>SUM($H$484:$H$487)</f>
        <v>138</v>
      </c>
      <c r="I488" s="542">
        <f>SUM($I$484:$I$487)</f>
        <v>1440</v>
      </c>
      <c r="J488" s="348">
        <f>SUM($J$484:$J$487)</f>
        <v>7298</v>
      </c>
      <c r="K488" s="348">
        <f>SUM($K$484:$K$487)</f>
        <v>0</v>
      </c>
    </row>
    <row r="489" spans="1:11">
      <c r="A489" s="333">
        <v>13</v>
      </c>
      <c r="D489" s="344"/>
      <c r="E489" s="196"/>
      <c r="F489" s="353"/>
      <c r="G489" s="547"/>
      <c r="H489" s="537"/>
      <c r="I489" s="538"/>
    </row>
    <row r="490" spans="1:11">
      <c r="A490" s="333">
        <v>14</v>
      </c>
      <c r="B490" s="332" t="s">
        <v>66</v>
      </c>
      <c r="D490" s="344"/>
      <c r="E490" s="196"/>
      <c r="F490" s="353"/>
      <c r="G490" s="547"/>
      <c r="H490" s="537"/>
      <c r="I490" s="538"/>
    </row>
    <row r="491" spans="1:11">
      <c r="A491" s="333">
        <v>15</v>
      </c>
      <c r="C491" s="332" t="str">
        <f>'FR-16(7)(v)-1 Functional'!C491</f>
        <v>PSC MAINT. EXP ON INCREASE</v>
      </c>
      <c r="D491" s="344" t="str">
        <f>'FR-16(7)(v)-1 Functional'!D491</f>
        <v>AG39</v>
      </c>
      <c r="E491" s="196"/>
      <c r="F491" s="479">
        <f>'FR-16(7)(v)-8 TOT CLASS Alloc'!J491</f>
        <v>217</v>
      </c>
      <c r="G491" s="548">
        <f>'FR-16(7)(v)-5 DISTR Dem Alloc'!$J$491</f>
        <v>170</v>
      </c>
      <c r="H491" s="539">
        <f>'FR-16(7)(v)-3 PROD Comm Alloc'!$J$491</f>
        <v>4</v>
      </c>
      <c r="I491" s="540">
        <f>'FR-16(7)(v)-6 DISTR Cust Alloc'!$J$491</f>
        <v>43</v>
      </c>
      <c r="J491" s="347">
        <f>SUM($G$491:$I$491)</f>
        <v>217</v>
      </c>
      <c r="K491" s="347">
        <f>F491-$J$491</f>
        <v>0</v>
      </c>
    </row>
    <row r="492" spans="1:11">
      <c r="A492" s="333">
        <v>16</v>
      </c>
      <c r="C492" s="359" t="str">
        <f>'FR-16(7)(v)-1 Functional'!C492</f>
        <v>RESERVED FOR FUTURE USE</v>
      </c>
      <c r="D492" s="344" t="str">
        <f>'FR-16(7)(v)-1 Functional'!D492</f>
        <v>AG39</v>
      </c>
      <c r="E492" s="196"/>
      <c r="F492" s="479">
        <f>'FR-16(7)(v)-8 TOT CLASS Alloc'!J492</f>
        <v>0</v>
      </c>
      <c r="G492" s="548">
        <f>'FR-16(7)(v)-5 DISTR Dem Alloc'!$J$492</f>
        <v>0</v>
      </c>
      <c r="H492" s="539">
        <f>'FR-16(7)(v)-3 PROD Comm Alloc'!$J$492</f>
        <v>0</v>
      </c>
      <c r="I492" s="540">
        <f>'FR-16(7)(v)-6 DISTR Cust Alloc'!$J$492</f>
        <v>0</v>
      </c>
      <c r="J492" s="347">
        <f>SUM($G$492:$I$492)</f>
        <v>0</v>
      </c>
      <c r="K492" s="347">
        <f>F492-$J$492</f>
        <v>0</v>
      </c>
    </row>
    <row r="493" spans="1:11">
      <c r="A493" s="333">
        <v>17</v>
      </c>
      <c r="C493" s="332" t="str">
        <f>'FR-16(7)(v)-1 Functional'!C493</f>
        <v xml:space="preserve">  TOTAL MISCELLANEOUS EXPENSES</v>
      </c>
      <c r="D493" s="344"/>
      <c r="E493" s="196"/>
      <c r="F493" s="480">
        <f>SUM(F491:F492)</f>
        <v>217</v>
      </c>
      <c r="G493" s="549">
        <f>SUM($G$491:$G$492)</f>
        <v>170</v>
      </c>
      <c r="H493" s="541">
        <f>SUM($H$491:$H$492)</f>
        <v>4</v>
      </c>
      <c r="I493" s="542">
        <f>SUM($I$491:$I$492)</f>
        <v>43</v>
      </c>
      <c r="J493" s="348">
        <f>SUM($J$491:$J$492)</f>
        <v>217</v>
      </c>
      <c r="K493" s="348">
        <f>SUM($K$491:$K$492)</f>
        <v>0</v>
      </c>
    </row>
    <row r="494" spans="1:11">
      <c r="A494" s="333">
        <v>18</v>
      </c>
      <c r="D494" s="344"/>
      <c r="E494" s="196"/>
      <c r="G494" s="547"/>
      <c r="H494" s="537"/>
      <c r="I494" s="538"/>
    </row>
    <row r="495" spans="1:11">
      <c r="A495" s="333">
        <v>19</v>
      </c>
      <c r="B495" s="332" t="s">
        <v>67</v>
      </c>
      <c r="D495" s="344"/>
      <c r="E495" s="196" t="s">
        <v>343</v>
      </c>
      <c r="F495" s="347">
        <f>F488+F481+F493</f>
        <v>69296</v>
      </c>
      <c r="G495" s="548">
        <f>$G$488+$G$481+$G$493</f>
        <v>61935</v>
      </c>
      <c r="H495" s="539">
        <f>$H$488+$H$481+$H$493</f>
        <v>164</v>
      </c>
      <c r="I495" s="540">
        <f>$I$488+$I$481+$I$493</f>
        <v>7197</v>
      </c>
      <c r="J495" s="347">
        <f>$J$488+$J$481+$J$493</f>
        <v>69296</v>
      </c>
      <c r="K495" s="347">
        <f>$K$488+$K$481+$K$493</f>
        <v>0</v>
      </c>
    </row>
    <row r="496" spans="1:11">
      <c r="A496" s="333">
        <v>20</v>
      </c>
      <c r="D496" s="344"/>
      <c r="E496" s="196"/>
      <c r="G496" s="547"/>
      <c r="H496" s="537"/>
      <c r="I496" s="538"/>
    </row>
    <row r="497" spans="1:11">
      <c r="A497" s="333">
        <v>21</v>
      </c>
      <c r="B497" s="332" t="s">
        <v>40</v>
      </c>
      <c r="D497" s="344"/>
      <c r="E497" s="196"/>
      <c r="G497" s="547"/>
      <c r="H497" s="537"/>
      <c r="I497" s="538"/>
    </row>
    <row r="498" spans="1:11">
      <c r="A498" s="333">
        <v>22</v>
      </c>
      <c r="C498" s="332" t="str">
        <f>'FR-16(7)(v)-1 Functional'!C498</f>
        <v>TOTAL O&amp;M EXPENSE</v>
      </c>
      <c r="D498" s="344"/>
      <c r="E498" s="196"/>
      <c r="F498" s="347">
        <f t="shared" ref="F498:K498" si="94">F433</f>
        <v>408864</v>
      </c>
      <c r="G498" s="548">
        <f t="shared" si="94"/>
        <v>226142</v>
      </c>
      <c r="H498" s="539">
        <f t="shared" si="94"/>
        <v>126324</v>
      </c>
      <c r="I498" s="540">
        <f t="shared" si="94"/>
        <v>56398</v>
      </c>
      <c r="J498" s="347">
        <f t="shared" si="94"/>
        <v>408864</v>
      </c>
      <c r="K498" s="347">
        <f t="shared" si="94"/>
        <v>0</v>
      </c>
    </row>
    <row r="499" spans="1:11">
      <c r="A499" s="333">
        <v>23</v>
      </c>
      <c r="C499" s="332" t="str">
        <f>'FR-16(7)(v)-1 Functional'!C499</f>
        <v>TOTAL DEPRECIATION EXPENSE</v>
      </c>
      <c r="D499" s="344"/>
      <c r="E499" s="196"/>
      <c r="F499" s="347">
        <f t="shared" ref="F499:K499" si="95">F465</f>
        <v>248951</v>
      </c>
      <c r="G499" s="548">
        <f t="shared" si="95"/>
        <v>223637</v>
      </c>
      <c r="H499" s="539">
        <f t="shared" si="95"/>
        <v>352</v>
      </c>
      <c r="I499" s="540">
        <f t="shared" si="95"/>
        <v>24962</v>
      </c>
      <c r="J499" s="347">
        <f t="shared" si="95"/>
        <v>248951</v>
      </c>
      <c r="K499" s="347">
        <f t="shared" si="95"/>
        <v>0</v>
      </c>
    </row>
    <row r="500" spans="1:11">
      <c r="A500" s="333">
        <v>24</v>
      </c>
      <c r="C500" s="359" t="str">
        <f>'FR-16(7)(v)-1 Functional'!C500</f>
        <v>TOTAL OTHER TAX &amp; MISC EXPENSE</v>
      </c>
      <c r="D500" s="344"/>
      <c r="E500" s="196"/>
      <c r="F500" s="347">
        <f>F495</f>
        <v>69296</v>
      </c>
      <c r="G500" s="548">
        <f>$G$495</f>
        <v>61935</v>
      </c>
      <c r="H500" s="539">
        <f>$H$495</f>
        <v>164</v>
      </c>
      <c r="I500" s="540">
        <f>$I$495</f>
        <v>7197</v>
      </c>
      <c r="J500" s="347">
        <f>$J$495</f>
        <v>69296</v>
      </c>
      <c r="K500" s="347">
        <f>$K$495</f>
        <v>0</v>
      </c>
    </row>
    <row r="501" spans="1:11">
      <c r="A501" s="333">
        <v>25</v>
      </c>
      <c r="C501" s="332" t="str">
        <f>'FR-16(7)(v)-1 Functional'!C501</f>
        <v xml:space="preserve">  TOTAL OPER EXP EXCL INCOME &amp; REV TAX</v>
      </c>
      <c r="D501" s="344"/>
      <c r="E501" s="196"/>
      <c r="F501" s="348">
        <f>SUM(F498:F500)</f>
        <v>727111</v>
      </c>
      <c r="G501" s="557">
        <f>SUM($G$498:$G$500)</f>
        <v>511714</v>
      </c>
      <c r="H501" s="558">
        <f>SUM($H$498:$H$500)</f>
        <v>126840</v>
      </c>
      <c r="I501" s="559">
        <f>SUM($I$498:$I$500)</f>
        <v>88557</v>
      </c>
      <c r="J501" s="348">
        <f>SUM($J$498:$J$500)</f>
        <v>727111</v>
      </c>
      <c r="K501" s="348">
        <f>SUM($K$498:$K$500)</f>
        <v>0</v>
      </c>
    </row>
    <row r="502" spans="1:11">
      <c r="B502" s="343"/>
      <c r="C502" s="196"/>
      <c r="D502" s="344"/>
      <c r="E502" s="196"/>
      <c r="F502" s="196"/>
      <c r="G502" s="196"/>
      <c r="H502" s="196"/>
      <c r="I502" s="196"/>
      <c r="J502" s="196"/>
      <c r="K502" s="196"/>
    </row>
    <row r="503" spans="1:11">
      <c r="A503" s="343" t="str">
        <f>co_name</f>
        <v>DUKE ENERGY KENTUCKY, INC.</v>
      </c>
      <c r="C503" s="196"/>
      <c r="D503" s="344"/>
      <c r="E503" s="196"/>
      <c r="F503" s="196"/>
      <c r="G503" s="196"/>
      <c r="H503" s="196"/>
      <c r="I503" s="196"/>
      <c r="J503" s="196" t="str">
        <f>$J$1</f>
        <v>FR-16(7)(v)-12</v>
      </c>
      <c r="K503" s="196"/>
    </row>
    <row r="504" spans="1:11">
      <c r="A504" s="343" t="str">
        <f>$A$2</f>
        <v>INTERRUPTIBLE TRANSPORTATION CLASSIFIED - GAS COST OF SERVICE</v>
      </c>
      <c r="C504" s="196"/>
      <c r="D504" s="344"/>
      <c r="E504" s="196"/>
      <c r="F504" s="196"/>
      <c r="G504" s="196"/>
      <c r="H504" s="196"/>
      <c r="I504" s="196"/>
      <c r="J504" s="196" t="str">
        <f>$J$2</f>
        <v>WITNESS RESPONSIBLE:</v>
      </c>
      <c r="K504" s="196"/>
    </row>
    <row r="505" spans="1:11">
      <c r="A505" s="343" t="str">
        <f>case_name</f>
        <v>CASE NO: 2018-00261</v>
      </c>
      <c r="C505" s="196"/>
      <c r="D505" s="344"/>
      <c r="E505" s="196"/>
      <c r="F505" s="196"/>
      <c r="G505" s="196"/>
      <c r="H505" s="196"/>
      <c r="I505" s="196"/>
      <c r="J505" s="196" t="str">
        <f>Witness</f>
        <v>JAMES E. ZIOLKOWSKI</v>
      </c>
      <c r="K505" s="196"/>
    </row>
    <row r="506" spans="1:11">
      <c r="A506" s="343" t="str">
        <f>data_filing</f>
        <v>DATA: 12 MONTH FORECASTED PERIOD</v>
      </c>
      <c r="C506" s="196"/>
      <c r="D506" s="344"/>
      <c r="E506" s="196"/>
      <c r="F506" s="196"/>
      <c r="G506" s="196"/>
      <c r="H506" s="196"/>
      <c r="I506" s="196"/>
      <c r="J506" s="196" t="str">
        <f>"PAGE "&amp;Pages2-3&amp;" OF "&amp;Pages2</f>
        <v>PAGE 12 OF 15</v>
      </c>
      <c r="K506" s="196"/>
    </row>
    <row r="507" spans="1:11">
      <c r="A507" s="343" t="str">
        <f>type</f>
        <v xml:space="preserve">TYPE OF FILING: "X" ORIGINAL   UPDATED    REVISED  </v>
      </c>
      <c r="C507" s="196"/>
      <c r="D507" s="344"/>
      <c r="E507" s="196"/>
      <c r="F507" s="196"/>
      <c r="G507" s="196"/>
      <c r="H507" s="196"/>
      <c r="I507" s="196"/>
      <c r="J507" s="196"/>
      <c r="K507" s="196"/>
    </row>
    <row r="508" spans="1:11">
      <c r="B508" s="343"/>
      <c r="C508" s="196"/>
      <c r="D508" s="344"/>
      <c r="E508" s="196"/>
      <c r="F508" s="196"/>
      <c r="G508" s="196"/>
      <c r="H508" s="196"/>
      <c r="I508" s="196"/>
      <c r="J508" s="196"/>
      <c r="K508" s="196"/>
    </row>
    <row r="509" spans="1:11">
      <c r="B509" s="343"/>
      <c r="C509" s="196"/>
      <c r="D509" s="344"/>
      <c r="E509" s="196"/>
      <c r="F509" s="196"/>
      <c r="G509" s="196"/>
      <c r="H509" s="196"/>
      <c r="I509" s="196"/>
      <c r="J509" s="196"/>
      <c r="K509" s="196"/>
    </row>
    <row r="510" spans="1:11">
      <c r="A510" s="344" t="s">
        <v>914</v>
      </c>
      <c r="B510" s="196"/>
      <c r="C510" s="196"/>
      <c r="D510" s="344"/>
      <c r="E510" s="196"/>
      <c r="F510" s="344" t="s">
        <v>229</v>
      </c>
      <c r="G510" s="545" t="s">
        <v>1005</v>
      </c>
      <c r="H510" s="533"/>
      <c r="I510" s="534"/>
      <c r="J510" s="344" t="s">
        <v>229</v>
      </c>
      <c r="K510" s="344" t="s">
        <v>342</v>
      </c>
    </row>
    <row r="511" spans="1:11">
      <c r="A511" s="346" t="s">
        <v>915</v>
      </c>
      <c r="B511" s="345" t="str">
        <f>'FR-16(7)(v)-1 Functional'!B511</f>
        <v>FEDERAL INCOME TAX BASED ON RETURN</v>
      </c>
      <c r="C511" s="345"/>
      <c r="D511" s="346" t="s">
        <v>337</v>
      </c>
      <c r="E511" s="345"/>
      <c r="F511" s="346" t="str">
        <f>$F$9</f>
        <v>INTERRUPTIBLE</v>
      </c>
      <c r="G511" s="546" t="s">
        <v>847</v>
      </c>
      <c r="H511" s="535" t="s">
        <v>848</v>
      </c>
      <c r="I511" s="536" t="s">
        <v>849</v>
      </c>
      <c r="J511" s="346" t="s">
        <v>341</v>
      </c>
      <c r="K511" s="346" t="s">
        <v>340</v>
      </c>
    </row>
    <row r="512" spans="1:11">
      <c r="C512" s="578" t="s">
        <v>351</v>
      </c>
      <c r="D512" s="344"/>
      <c r="E512" s="196"/>
      <c r="G512" s="800">
        <f>$G$10</f>
        <v>3</v>
      </c>
      <c r="H512" s="801">
        <f>$H$10</f>
        <v>4</v>
      </c>
      <c r="I512" s="802">
        <f>$I$10</f>
        <v>5</v>
      </c>
    </row>
    <row r="513" spans="1:11">
      <c r="A513" s="333">
        <v>1</v>
      </c>
      <c r="B513" s="332" t="s">
        <v>69</v>
      </c>
      <c r="D513" s="344"/>
      <c r="E513" s="196"/>
      <c r="G513" s="547"/>
      <c r="H513" s="537"/>
      <c r="I513" s="538"/>
    </row>
    <row r="514" spans="1:11">
      <c r="A514" s="333">
        <v>2</v>
      </c>
      <c r="B514" s="332" t="s">
        <v>70</v>
      </c>
      <c r="D514" s="344"/>
      <c r="E514" s="196"/>
      <c r="F514" s="332" t="s">
        <v>343</v>
      </c>
      <c r="G514" s="547"/>
      <c r="H514" s="537"/>
      <c r="I514" s="538"/>
    </row>
    <row r="515" spans="1:11">
      <c r="A515" s="333">
        <v>3</v>
      </c>
      <c r="C515" s="359" t="str">
        <f>'FR-16(7)(v)-1 Functional'!C515</f>
        <v>AUTO PROC INTEREST DED</v>
      </c>
      <c r="D515" s="344" t="str">
        <f>'FR-16(7)(v)-1 Functional'!D515</f>
        <v>RB99</v>
      </c>
      <c r="E515" s="196"/>
      <c r="F515" s="479">
        <f>'FR-16(7)(v)-8 TOT CLASS Alloc'!J515</f>
        <v>125860</v>
      </c>
      <c r="G515" s="548">
        <f>'FR-16(7)(v)-5 DISTR Dem Alloc'!$J$515</f>
        <v>112049</v>
      </c>
      <c r="H515" s="539">
        <f>'FR-16(7)(v)-3 PROD Comm Alloc'!$J$515</f>
        <v>2662</v>
      </c>
      <c r="I515" s="540">
        <f>'FR-16(7)(v)-6 DISTR Cust Alloc'!$J$515</f>
        <v>11149</v>
      </c>
      <c r="J515" s="347">
        <f>SUM($G$515:$I$515)</f>
        <v>125860</v>
      </c>
      <c r="K515" s="347">
        <f>F515-$J$515</f>
        <v>0</v>
      </c>
    </row>
    <row r="516" spans="1:11">
      <c r="A516" s="333">
        <v>4</v>
      </c>
      <c r="C516" s="332" t="str">
        <f>'FR-16(7)(v)-1 Functional'!C516</f>
        <v xml:space="preserve">  TOTAL INTEREST EXPENSE</v>
      </c>
      <c r="D516" s="344"/>
      <c r="E516" s="196"/>
      <c r="F516" s="348">
        <f>F515</f>
        <v>125860</v>
      </c>
      <c r="G516" s="549">
        <f>$G$515</f>
        <v>112049</v>
      </c>
      <c r="H516" s="541">
        <f>$H$515</f>
        <v>2662</v>
      </c>
      <c r="I516" s="542">
        <f>$I$515</f>
        <v>11149</v>
      </c>
      <c r="J516" s="348">
        <f>$J$515</f>
        <v>125860</v>
      </c>
      <c r="K516" s="348">
        <f>$K$515</f>
        <v>0</v>
      </c>
    </row>
    <row r="517" spans="1:11">
      <c r="A517" s="333">
        <v>5</v>
      </c>
      <c r="D517" s="344"/>
      <c r="E517" s="196"/>
      <c r="F517" s="353"/>
      <c r="G517" s="547"/>
      <c r="H517" s="537"/>
      <c r="I517" s="538"/>
    </row>
    <row r="518" spans="1:11">
      <c r="A518" s="333">
        <v>6</v>
      </c>
      <c r="B518" s="332" t="s">
        <v>71</v>
      </c>
      <c r="D518" s="344"/>
      <c r="E518" s="196"/>
      <c r="F518" s="353"/>
      <c r="G518" s="547"/>
      <c r="H518" s="537"/>
      <c r="I518" s="538"/>
    </row>
    <row r="519" spans="1:11">
      <c r="A519" s="333">
        <v>7</v>
      </c>
      <c r="C519" s="332" t="str">
        <f>'FR-16(7)(v)-1 Functional'!C519</f>
        <v>DEPREC EXCESS TAX-BOOK</v>
      </c>
      <c r="D519" s="344" t="str">
        <f>'FR-16(7)(v)-1 Functional'!D519</f>
        <v>DE49</v>
      </c>
      <c r="E519" s="196"/>
      <c r="F519" s="479">
        <f>'FR-16(7)(v)-8 TOT CLASS Alloc'!J519</f>
        <v>110170</v>
      </c>
      <c r="G519" s="548">
        <f>'FR-16(7)(v)-5 DISTR Dem Alloc'!$J$519</f>
        <v>98957</v>
      </c>
      <c r="H519" s="539">
        <f>'FR-16(7)(v)-3 PROD Comm Alloc'!$J$519</f>
        <v>156</v>
      </c>
      <c r="I519" s="540">
        <f>'FR-16(7)(v)-6 DISTR Cust Alloc'!$J$519</f>
        <v>11057</v>
      </c>
      <c r="J519" s="347">
        <f>SUM($G$519:$I$519)</f>
        <v>110170</v>
      </c>
      <c r="K519" s="347">
        <f>F519-$J$519</f>
        <v>0</v>
      </c>
    </row>
    <row r="520" spans="1:11">
      <c r="A520" s="333">
        <v>8</v>
      </c>
      <c r="C520" s="332" t="str">
        <f>'FR-16(7)(v)-1 Functional'!C520</f>
        <v>PERMANENT DIFFERENCES</v>
      </c>
      <c r="D520" s="344" t="str">
        <f>'FR-16(7)(v)-1 Functional'!D520</f>
        <v>AG39</v>
      </c>
      <c r="E520" s="196"/>
      <c r="F520" s="479">
        <f>'FR-16(7)(v)-8 TOT CLASS Alloc'!J520</f>
        <v>-1025</v>
      </c>
      <c r="G520" s="548">
        <f>'FR-16(7)(v)-5 DISTR Dem Alloc'!$J$520</f>
        <v>-804</v>
      </c>
      <c r="H520" s="539">
        <f>'FR-16(7)(v)-3 PROD Comm Alloc'!$J$520</f>
        <v>-19</v>
      </c>
      <c r="I520" s="540">
        <f>'FR-16(7)(v)-6 DISTR Cust Alloc'!$J$520</f>
        <v>-202</v>
      </c>
      <c r="J520" s="347">
        <f>SUM($G$520:$I$520)</f>
        <v>-1025</v>
      </c>
      <c r="K520" s="347">
        <f>F520-$J$520</f>
        <v>0</v>
      </c>
    </row>
    <row r="521" spans="1:11">
      <c r="A521" s="333">
        <v>9</v>
      </c>
      <c r="C521" s="359" t="str">
        <f>'FR-16(7)(v)-1 Functional'!C521</f>
        <v>TEMPORARY DIFFERENCES</v>
      </c>
      <c r="D521" s="344" t="str">
        <f>'FR-16(7)(v)-1 Functional'!D521</f>
        <v>DE49</v>
      </c>
      <c r="E521" s="196"/>
      <c r="F521" s="479">
        <f>'FR-16(7)(v)-8 TOT CLASS Alloc'!J521</f>
        <v>3997</v>
      </c>
      <c r="G521" s="548">
        <f>'FR-16(7)(v)-5 DISTR Dem Alloc'!$J$521</f>
        <v>3590</v>
      </c>
      <c r="H521" s="539">
        <f>'FR-16(7)(v)-3 PROD Comm Alloc'!$J$521</f>
        <v>6</v>
      </c>
      <c r="I521" s="540">
        <f>'FR-16(7)(v)-6 DISTR Cust Alloc'!$J$521</f>
        <v>401</v>
      </c>
      <c r="J521" s="347">
        <f>SUM($G$521:$I$521)</f>
        <v>3997</v>
      </c>
      <c r="K521" s="347">
        <f>F521-$J$521</f>
        <v>0</v>
      </c>
    </row>
    <row r="522" spans="1:11">
      <c r="A522" s="333">
        <v>10</v>
      </c>
      <c r="C522" s="332" t="str">
        <f>'FR-16(7)(v)-1 Functional'!C522</f>
        <v xml:space="preserve">  TOTAL OTHER DEDUCTIONS</v>
      </c>
      <c r="D522" s="344"/>
      <c r="E522" s="196"/>
      <c r="F522" s="348">
        <f>SUM(F519:F521)</f>
        <v>113142</v>
      </c>
      <c r="G522" s="549">
        <f>SUM($G$519:$G$521)</f>
        <v>101743</v>
      </c>
      <c r="H522" s="541">
        <f>SUM($H$519:$H$521)</f>
        <v>143</v>
      </c>
      <c r="I522" s="542">
        <f>SUM($I$519:$I$521)</f>
        <v>11256</v>
      </c>
      <c r="J522" s="348">
        <f>SUM($J$519:$J$521)</f>
        <v>113142</v>
      </c>
      <c r="K522" s="348">
        <f>SUM($K$519:$K$521)</f>
        <v>0</v>
      </c>
    </row>
    <row r="523" spans="1:11">
      <c r="A523" s="333">
        <v>11</v>
      </c>
      <c r="D523" s="344"/>
      <c r="E523" s="196"/>
      <c r="F523" s="353"/>
      <c r="G523" s="547"/>
      <c r="H523" s="537"/>
      <c r="I523" s="538"/>
    </row>
    <row r="524" spans="1:11">
      <c r="A524" s="333">
        <v>12</v>
      </c>
      <c r="B524" s="332" t="s">
        <v>72</v>
      </c>
      <c r="D524" s="344"/>
      <c r="E524" s="196"/>
      <c r="F524" s="349">
        <f>F522+F516</f>
        <v>239002</v>
      </c>
      <c r="G524" s="548">
        <f>$G$522+$G$516</f>
        <v>213792</v>
      </c>
      <c r="H524" s="539">
        <f>$H$522+$H$516</f>
        <v>2805</v>
      </c>
      <c r="I524" s="540">
        <f>$I$522+$I$516</f>
        <v>22405</v>
      </c>
      <c r="J524" s="347">
        <f>$J$522+$J$516</f>
        <v>239002</v>
      </c>
      <c r="K524" s="347">
        <f>$K$522+$K$516</f>
        <v>0</v>
      </c>
    </row>
    <row r="525" spans="1:11">
      <c r="A525" s="333">
        <v>13</v>
      </c>
      <c r="D525" s="344"/>
      <c r="E525" s="196"/>
      <c r="F525" s="353"/>
      <c r="G525" s="547"/>
      <c r="H525" s="537"/>
      <c r="I525" s="538"/>
    </row>
    <row r="526" spans="1:11">
      <c r="A526" s="333">
        <v>14</v>
      </c>
      <c r="B526" s="340" t="s">
        <v>544</v>
      </c>
      <c r="D526" s="344"/>
      <c r="E526" s="196"/>
      <c r="F526" s="353"/>
      <c r="G526" s="547"/>
      <c r="H526" s="537"/>
      <c r="I526" s="538"/>
    </row>
    <row r="527" spans="1:11">
      <c r="A527" s="333">
        <v>15</v>
      </c>
      <c r="C527" s="332" t="str">
        <f>'FR-16(7)(v)-1 Functional'!C527</f>
        <v>DEFERRED INCOME TAXES - NET</v>
      </c>
      <c r="D527" s="344" t="str">
        <f>'FR-16(7)(v)-1 Functional'!D527</f>
        <v>OM39</v>
      </c>
      <c r="E527" s="196"/>
      <c r="F527" s="479">
        <f>'FR-16(7)(v)-8 TOT CLASS Alloc'!J527</f>
        <v>8635</v>
      </c>
      <c r="G527" s="548">
        <f>'FR-16(7)(v)-5 DISTR Dem Alloc'!$J$527</f>
        <v>4776</v>
      </c>
      <c r="H527" s="539">
        <f>'FR-16(7)(v)-3 PROD Comm Alloc'!$J$527</f>
        <v>2667</v>
      </c>
      <c r="I527" s="540">
        <f>'FR-16(7)(v)-6 DISTR Cust Alloc'!$J$527</f>
        <v>1192</v>
      </c>
      <c r="J527" s="347">
        <f>SUM($G$527:$I$527)</f>
        <v>8635</v>
      </c>
      <c r="K527" s="347">
        <f>F527-$J$527</f>
        <v>0</v>
      </c>
    </row>
    <row r="528" spans="1:11">
      <c r="A528" s="333">
        <v>16</v>
      </c>
      <c r="C528" s="332" t="str">
        <f>'FR-16(7)(v)-1 Functional'!C528</f>
        <v>AMORT OF DEFERRED MERGER COST</v>
      </c>
      <c r="D528" s="344" t="str">
        <f>'FR-16(7)(v)-1 Functional'!D528</f>
        <v>AG39</v>
      </c>
      <c r="E528" s="196"/>
      <c r="F528" s="479">
        <f>'FR-16(7)(v)-8 TOT CLASS Alloc'!J528</f>
        <v>0</v>
      </c>
      <c r="G528" s="548">
        <f>'FR-16(7)(v)-5 DISTR Dem Alloc'!$J$528</f>
        <v>0</v>
      </c>
      <c r="H528" s="539">
        <f>'FR-16(7)(v)-3 PROD Comm Alloc'!$J$528</f>
        <v>0</v>
      </c>
      <c r="I528" s="540">
        <f>'FR-16(7)(v)-6 DISTR Cust Alloc'!$J$528</f>
        <v>0</v>
      </c>
      <c r="J528" s="347">
        <f>SUM($G$528:$I$528)</f>
        <v>0</v>
      </c>
      <c r="K528" s="347">
        <f>F528-$J$528</f>
        <v>0</v>
      </c>
    </row>
    <row r="529" spans="1:11">
      <c r="A529" s="333">
        <v>17</v>
      </c>
      <c r="C529" s="618" t="str">
        <f>'FR-16(7)(v)-1 Functional'!C529</f>
        <v>DIT ADJUSTMENT - S/L DEPRECIATION</v>
      </c>
      <c r="D529" s="344" t="str">
        <f>'FR-16(7)(v)-1 Functional'!D529</f>
        <v>DE49</v>
      </c>
      <c r="E529" s="196"/>
      <c r="F529" s="479">
        <f>'FR-16(7)(v)-8 TOT CLASS Alloc'!J529</f>
        <v>0</v>
      </c>
      <c r="G529" s="548">
        <f>'FR-16(7)(v)-5 DISTR Dem Alloc'!$J$529</f>
        <v>0</v>
      </c>
      <c r="H529" s="539">
        <f>'FR-16(7)(v)-3 PROD Comm Alloc'!$J$529</f>
        <v>0</v>
      </c>
      <c r="I529" s="540">
        <f>'FR-16(7)(v)-6 DISTR Cust Alloc'!$J$529</f>
        <v>0</v>
      </c>
      <c r="J529" s="347">
        <f>SUM($G$529:$I$529)</f>
        <v>0</v>
      </c>
      <c r="K529" s="347">
        <f>F529-$J$529</f>
        <v>0</v>
      </c>
    </row>
    <row r="530" spans="1:11">
      <c r="A530" s="333">
        <v>18</v>
      </c>
      <c r="C530" s="332" t="str">
        <f>'FR-16(7)(v)-1 Functional'!C530</f>
        <v>DIT ADJUSTMENT - ARAM</v>
      </c>
      <c r="D530" s="344" t="str">
        <f>'FR-16(7)(v)-1 Functional'!D530</f>
        <v>K201</v>
      </c>
      <c r="E530" s="196"/>
      <c r="F530" s="479">
        <f>'FR-16(7)(v)-8 TOT CLASS Alloc'!J530</f>
        <v>0</v>
      </c>
      <c r="G530" s="548">
        <f>'FR-16(7)(v)-5 DISTR Dem Alloc'!$J$530</f>
        <v>0</v>
      </c>
      <c r="H530" s="539">
        <f>'FR-16(7)(v)-3 PROD Comm Alloc'!$J$530</f>
        <v>0</v>
      </c>
      <c r="I530" s="540">
        <f>'FR-16(7)(v)-6 DISTR Cust Alloc'!$J$530</f>
        <v>0</v>
      </c>
      <c r="J530" s="347">
        <f>SUM($G$530:$I$530)</f>
        <v>0</v>
      </c>
      <c r="K530" s="347">
        <f>F530-$J$530</f>
        <v>0</v>
      </c>
    </row>
    <row r="531" spans="1:11">
      <c r="A531" s="333">
        <v>19</v>
      </c>
      <c r="C531" s="359" t="s">
        <v>1495</v>
      </c>
      <c r="D531" s="344" t="str">
        <f>'FR-16(7)(v)-1 Functional'!D531</f>
        <v>AG39</v>
      </c>
      <c r="E531" s="196"/>
      <c r="F531" s="479">
        <f>'FR-16(7)(v)-8 TOT CLASS Alloc'!J531</f>
        <v>-6031</v>
      </c>
      <c r="G531" s="548">
        <f>'FR-16(7)(v)-5 DISTR Dem Alloc'!$J$531</f>
        <v>-4727</v>
      </c>
      <c r="H531" s="539">
        <f>'FR-16(7)(v)-3 PROD Comm Alloc'!$J$531</f>
        <v>-114</v>
      </c>
      <c r="I531" s="540">
        <f>'FR-16(7)(v)-6 DISTR Cust Alloc'!$J$531</f>
        <v>-1190</v>
      </c>
      <c r="J531" s="347">
        <f>SUM($G$531:$I$531)</f>
        <v>-6031</v>
      </c>
      <c r="K531" s="347">
        <f>F531-$J$531</f>
        <v>0</v>
      </c>
    </row>
    <row r="532" spans="1:11">
      <c r="A532" s="333">
        <v>20</v>
      </c>
      <c r="C532" s="332" t="str">
        <f>'FR-16(7)(v)-1 Functional'!C532</f>
        <v xml:space="preserve">  TOTAL FED DEF IT (410 &amp; 411)</v>
      </c>
      <c r="D532" s="344"/>
      <c r="E532" s="196"/>
      <c r="F532" s="348">
        <f>SUM(F527:F531)</f>
        <v>2604</v>
      </c>
      <c r="G532" s="549">
        <f>SUM($G$527:$G$531)</f>
        <v>49</v>
      </c>
      <c r="H532" s="541">
        <f>SUM($H$527:$H$531)</f>
        <v>2553</v>
      </c>
      <c r="I532" s="542">
        <f>SUM($I$527:$I$531)</f>
        <v>2</v>
      </c>
      <c r="J532" s="348">
        <f>SUM($J$527:$J$531)</f>
        <v>2604</v>
      </c>
      <c r="K532" s="348">
        <f>SUM($K$527:$K$531)</f>
        <v>0</v>
      </c>
    </row>
    <row r="533" spans="1:11">
      <c r="A533" s="333">
        <v>21</v>
      </c>
      <c r="D533" s="344"/>
      <c r="E533" s="196"/>
      <c r="F533" s="353"/>
      <c r="G533" s="547"/>
      <c r="H533" s="537"/>
      <c r="I533" s="538"/>
    </row>
    <row r="534" spans="1:11">
      <c r="A534" s="333">
        <v>22</v>
      </c>
      <c r="B534" s="332" t="s">
        <v>419</v>
      </c>
      <c r="D534" s="344"/>
      <c r="E534" s="196"/>
      <c r="F534" s="353"/>
      <c r="G534" s="547"/>
      <c r="H534" s="537"/>
      <c r="I534" s="538"/>
    </row>
    <row r="535" spans="1:11">
      <c r="A535" s="333">
        <v>23</v>
      </c>
      <c r="C535" s="359" t="str">
        <f>'FR-16(7)(v)-1 Functional'!C535</f>
        <v>AMORTIZE ITC</v>
      </c>
      <c r="D535" s="344" t="str">
        <f>'FR-16(7)(v)-1 Functional'!D535</f>
        <v>NP29</v>
      </c>
      <c r="E535" s="196"/>
      <c r="F535" s="479">
        <f>'FR-16(7)(v)-8 TOT CLASS Alloc'!J535</f>
        <v>1203</v>
      </c>
      <c r="G535" s="548">
        <f>'FR-16(7)(v)-5 DISTR Dem Alloc'!$J$535</f>
        <v>1092</v>
      </c>
      <c r="H535" s="539">
        <f>'FR-16(7)(v)-3 PROD Comm Alloc'!$J$535</f>
        <v>0</v>
      </c>
      <c r="I535" s="540">
        <f>'FR-16(7)(v)-6 DISTR Cust Alloc'!$J$535</f>
        <v>111</v>
      </c>
      <c r="J535" s="347">
        <f>SUM($G$535:$I$535)</f>
        <v>1203</v>
      </c>
      <c r="K535" s="512">
        <f>F535-$J$535</f>
        <v>0</v>
      </c>
    </row>
    <row r="536" spans="1:11">
      <c r="A536" s="333">
        <v>24</v>
      </c>
      <c r="C536" s="332" t="str">
        <f>'FR-16(7)(v)-1 Functional'!C536</f>
        <v xml:space="preserve">  TOTAL AMORTIZED ITC</v>
      </c>
      <c r="D536" s="344"/>
      <c r="E536" s="196"/>
      <c r="F536" s="348">
        <f>SUM(F535:F535)</f>
        <v>1203</v>
      </c>
      <c r="G536" s="549">
        <f>SUM($G$535:$G$535)</f>
        <v>1092</v>
      </c>
      <c r="H536" s="541">
        <f>SUM($H$535:$H$535)</f>
        <v>0</v>
      </c>
      <c r="I536" s="542">
        <f>SUM($I$535:$I$535)</f>
        <v>111</v>
      </c>
      <c r="J536" s="348">
        <f>SUM($J$535:$J$535)</f>
        <v>1203</v>
      </c>
      <c r="K536" s="348">
        <f>SUM($K$535:$K$535)</f>
        <v>0</v>
      </c>
    </row>
    <row r="537" spans="1:11">
      <c r="A537" s="333">
        <v>25</v>
      </c>
      <c r="D537" s="344"/>
      <c r="E537" s="196"/>
      <c r="F537" s="510"/>
      <c r="G537" s="572"/>
      <c r="H537" s="573"/>
      <c r="I537" s="574"/>
      <c r="J537" s="510"/>
      <c r="K537" s="510"/>
    </row>
    <row r="538" spans="1:11" ht="15.75">
      <c r="A538" s="333">
        <v>26</v>
      </c>
      <c r="B538" s="332" t="s">
        <v>73</v>
      </c>
      <c r="D538" s="735"/>
      <c r="E538" s="1"/>
      <c r="F538" s="510"/>
      <c r="G538" s="572"/>
      <c r="H538" s="573"/>
      <c r="I538" s="574"/>
      <c r="J538" s="510"/>
      <c r="K538" s="510"/>
    </row>
    <row r="539" spans="1:11">
      <c r="A539" s="333">
        <v>27</v>
      </c>
      <c r="C539" s="332" t="str">
        <f>'FR-16(7)(v)-1 Functional'!C539</f>
        <v>PROV INVEST TAX CREDIT</v>
      </c>
      <c r="D539" s="344" t="s">
        <v>315</v>
      </c>
      <c r="F539" s="479">
        <f>'FR-16(7)(v)-8 TOT CLASS Alloc'!J539</f>
        <v>0</v>
      </c>
      <c r="G539" s="548">
        <f>'FR-16(7)(v)-5 DISTR Dem Alloc'!$J$539</f>
        <v>0</v>
      </c>
      <c r="H539" s="539">
        <f>'FR-16(7)(v)-3 PROD Comm Alloc'!$J$539</f>
        <v>0</v>
      </c>
      <c r="I539" s="540">
        <f>'FR-16(7)(v)-6 DISTR Cust Alloc'!$J$539</f>
        <v>0</v>
      </c>
      <c r="J539" s="347">
        <f>SUM($G$539:$I$539)</f>
        <v>0</v>
      </c>
      <c r="K539" s="347">
        <f>F539-$J$539</f>
        <v>0</v>
      </c>
    </row>
    <row r="540" spans="1:11" ht="15.75">
      <c r="A540" s="333">
        <v>28</v>
      </c>
      <c r="C540" s="339" t="str">
        <f>'FR-16(7)(v)-1 Functional'!C540</f>
        <v xml:space="preserve">  TEST YEAR INV TAX CREDIT</v>
      </c>
      <c r="D540" s="735"/>
      <c r="E540" s="1"/>
      <c r="F540" s="348">
        <f>SUM(F539:F539)</f>
        <v>0</v>
      </c>
      <c r="G540" s="549">
        <f>SUM($G$539:$G$539)</f>
        <v>0</v>
      </c>
      <c r="H540" s="541">
        <f>SUM($H$539:$H$539)</f>
        <v>0</v>
      </c>
      <c r="I540" s="542">
        <f>SUM($I$539:$I$539)</f>
        <v>0</v>
      </c>
      <c r="J540" s="348">
        <f>SUM($J$539:$J$539)</f>
        <v>0</v>
      </c>
      <c r="K540" s="348">
        <f>SUM($K$539:$K$539)</f>
        <v>0</v>
      </c>
    </row>
    <row r="541" spans="1:11" ht="15.75">
      <c r="A541" s="333">
        <v>29</v>
      </c>
      <c r="B541" s="193"/>
      <c r="C541" s="193"/>
      <c r="D541" s="735"/>
      <c r="E541" s="1"/>
      <c r="F541" s="510"/>
      <c r="G541" s="572"/>
      <c r="H541" s="573"/>
      <c r="I541" s="574"/>
      <c r="J541" s="510"/>
      <c r="K541" s="510"/>
    </row>
    <row r="542" spans="1:11" ht="15.75">
      <c r="A542" s="333">
        <v>30</v>
      </c>
      <c r="B542" s="332" t="s">
        <v>40</v>
      </c>
      <c r="C542" s="193"/>
      <c r="D542" s="735"/>
      <c r="E542" s="1"/>
      <c r="F542" s="510"/>
      <c r="G542" s="572"/>
      <c r="H542" s="573"/>
      <c r="I542" s="574"/>
      <c r="J542" s="510"/>
      <c r="K542" s="510"/>
    </row>
    <row r="543" spans="1:11">
      <c r="A543" s="333">
        <v>31</v>
      </c>
      <c r="C543" s="332" t="str">
        <f>'FR-16(7)(v)-1 Functional'!C543</f>
        <v>TOTAL FED DEF IT (410 &amp; 411)</v>
      </c>
      <c r="D543" s="344"/>
      <c r="E543" s="196"/>
      <c r="F543" s="349">
        <f>F532</f>
        <v>2604</v>
      </c>
      <c r="G543" s="548">
        <f>$G$532</f>
        <v>49</v>
      </c>
      <c r="H543" s="539">
        <f>$H$532</f>
        <v>2553</v>
      </c>
      <c r="I543" s="540">
        <f>$I$532</f>
        <v>2</v>
      </c>
      <c r="J543" s="347">
        <f>$J$532</f>
        <v>2604</v>
      </c>
      <c r="K543" s="347">
        <f>$K$532</f>
        <v>0</v>
      </c>
    </row>
    <row r="544" spans="1:11">
      <c r="A544" s="333">
        <v>32</v>
      </c>
      <c r="C544" s="359" t="str">
        <f>'FR-16(7)(v)-1 Functional'!C544</f>
        <v>TOTAL AMORTIZED ITC</v>
      </c>
      <c r="D544" s="344"/>
      <c r="E544" s="196"/>
      <c r="F544" s="349">
        <f>-F536</f>
        <v>-1203</v>
      </c>
      <c r="G544" s="548">
        <f>-$G$536</f>
        <v>-1092</v>
      </c>
      <c r="H544" s="539">
        <f>-$H$536</f>
        <v>0</v>
      </c>
      <c r="I544" s="540">
        <f>-$I$536</f>
        <v>-111</v>
      </c>
      <c r="J544" s="347">
        <f>-$J$536</f>
        <v>-1203</v>
      </c>
      <c r="K544" s="347">
        <f>-$K$536</f>
        <v>0</v>
      </c>
    </row>
    <row r="545" spans="1:11">
      <c r="A545" s="333">
        <v>33</v>
      </c>
      <c r="C545" s="332" t="str">
        <f>'FR-16(7)(v)-1 Functional'!C545</f>
        <v xml:space="preserve">  TOTAL FEDERAL TAX ADJUSTMENTS</v>
      </c>
      <c r="D545" s="344"/>
      <c r="E545" s="196"/>
      <c r="F545" s="348">
        <f>SUM(F543:F544)</f>
        <v>1401</v>
      </c>
      <c r="G545" s="549">
        <f>SUM($G$543:$G$544)</f>
        <v>-1043</v>
      </c>
      <c r="H545" s="541">
        <f>SUM($H$543:$H$544)</f>
        <v>2553</v>
      </c>
      <c r="I545" s="542">
        <f>SUM($I$543:$I$544)</f>
        <v>-109</v>
      </c>
      <c r="J545" s="348">
        <f>SUM($J$543:$J$544)</f>
        <v>1401</v>
      </c>
      <c r="K545" s="348">
        <f>SUM($K$543:$K$544)</f>
        <v>0</v>
      </c>
    </row>
    <row r="546" spans="1:11">
      <c r="A546" s="333">
        <v>34</v>
      </c>
      <c r="D546" s="344"/>
      <c r="E546" s="196"/>
      <c r="F546" s="353"/>
      <c r="G546" s="547"/>
      <c r="H546" s="537"/>
      <c r="I546" s="538"/>
    </row>
    <row r="547" spans="1:11">
      <c r="A547" s="333">
        <v>35</v>
      </c>
      <c r="B547" s="332" t="s">
        <v>74</v>
      </c>
      <c r="D547" s="344"/>
      <c r="E547" s="196"/>
      <c r="F547" s="353"/>
      <c r="G547" s="547"/>
      <c r="H547" s="537"/>
      <c r="I547" s="538"/>
    </row>
    <row r="548" spans="1:11">
      <c r="A548" s="333">
        <v>36</v>
      </c>
      <c r="C548" s="332" t="str">
        <f>'FR-16(7)(v)-1 Functional'!C548</f>
        <v>RETURN ON RATE BASE</v>
      </c>
      <c r="D548" s="344"/>
      <c r="E548" s="196"/>
      <c r="F548" s="349">
        <f t="shared" ref="F548:K548" si="96">F334</f>
        <v>419279</v>
      </c>
      <c r="G548" s="548">
        <f t="shared" si="96"/>
        <v>373287</v>
      </c>
      <c r="H548" s="539">
        <f t="shared" si="96"/>
        <v>8869</v>
      </c>
      <c r="I548" s="540">
        <f t="shared" si="96"/>
        <v>37124</v>
      </c>
      <c r="J548" s="347">
        <f t="shared" si="96"/>
        <v>419280</v>
      </c>
      <c r="K548" s="347">
        <f t="shared" si="96"/>
        <v>0</v>
      </c>
    </row>
    <row r="549" spans="1:11">
      <c r="A549" s="333">
        <v>37</v>
      </c>
      <c r="C549" s="332" t="str">
        <f>'FR-16(7)(v)-1 Functional'!C549</f>
        <v>NET DEDUCTIONS AND ADDITIONS</v>
      </c>
      <c r="D549" s="344"/>
      <c r="E549" s="196"/>
      <c r="F549" s="349">
        <f>-F524</f>
        <v>-239002</v>
      </c>
      <c r="G549" s="548">
        <f>-$G$524</f>
        <v>-213792</v>
      </c>
      <c r="H549" s="539">
        <f>-$H$524</f>
        <v>-2805</v>
      </c>
      <c r="I549" s="540">
        <f>-$I$524</f>
        <v>-22405</v>
      </c>
      <c r="J549" s="347">
        <f>-$J$524</f>
        <v>-239002</v>
      </c>
      <c r="K549" s="347">
        <f>-$K$524</f>
        <v>0</v>
      </c>
    </row>
    <row r="550" spans="1:11">
      <c r="A550" s="333">
        <v>38</v>
      </c>
      <c r="C550" s="332" t="s">
        <v>1496</v>
      </c>
      <c r="D550" s="344"/>
      <c r="E550" s="196"/>
      <c r="F550" s="349">
        <f t="shared" ref="F550:K550" si="97">F591</f>
        <v>8506</v>
      </c>
      <c r="G550" s="548">
        <f t="shared" si="97"/>
        <v>63</v>
      </c>
      <c r="H550" s="539">
        <f t="shared" si="97"/>
        <v>0</v>
      </c>
      <c r="I550" s="540">
        <f t="shared" si="97"/>
        <v>8443</v>
      </c>
      <c r="J550" s="347">
        <f t="shared" si="97"/>
        <v>8506</v>
      </c>
      <c r="K550" s="347">
        <f t="shared" si="97"/>
        <v>0</v>
      </c>
    </row>
    <row r="551" spans="1:11">
      <c r="A551" s="333">
        <v>39</v>
      </c>
      <c r="C551" s="359" t="str">
        <f>'FR-16(7)(v)-1 Functional'!C551</f>
        <v>TOTAL FEDERAL TAX ADJUSTMENTS</v>
      </c>
      <c r="D551" s="344"/>
      <c r="E551" s="196"/>
      <c r="F551" s="349">
        <f>F545</f>
        <v>1401</v>
      </c>
      <c r="G551" s="548">
        <f>$G$545</f>
        <v>-1043</v>
      </c>
      <c r="H551" s="539">
        <f>$H$545</f>
        <v>2553</v>
      </c>
      <c r="I551" s="540">
        <f>$I$545</f>
        <v>-109</v>
      </c>
      <c r="J551" s="347">
        <f>$J$545</f>
        <v>1401</v>
      </c>
      <c r="K551" s="347">
        <f>$K$545</f>
        <v>0</v>
      </c>
    </row>
    <row r="552" spans="1:11">
      <c r="A552" s="333">
        <v>40</v>
      </c>
      <c r="C552" s="332" t="str">
        <f>'FR-16(7)(v)-1 Functional'!C552</f>
        <v xml:space="preserve">  BASE FOR FIT COMPUATION</v>
      </c>
      <c r="D552" s="344"/>
      <c r="E552" s="196"/>
      <c r="F552" s="348">
        <f>SUM(F548:F551)</f>
        <v>190184</v>
      </c>
      <c r="G552" s="549">
        <f>SUM($G$548:$G$551)</f>
        <v>158515</v>
      </c>
      <c r="H552" s="541">
        <f>SUM($H$548:$H$551)</f>
        <v>8617</v>
      </c>
      <c r="I552" s="542">
        <f>SUM($I$548:$I$551)</f>
        <v>23053</v>
      </c>
      <c r="J552" s="348">
        <f>SUM($J$548:$J$551)</f>
        <v>190185</v>
      </c>
      <c r="K552" s="348">
        <f>SUM($K$548:$K$551)</f>
        <v>0</v>
      </c>
    </row>
    <row r="553" spans="1:11">
      <c r="A553" s="333">
        <v>41</v>
      </c>
      <c r="D553" s="344"/>
      <c r="E553" s="196"/>
      <c r="F553" s="353"/>
      <c r="G553" s="547"/>
      <c r="H553" s="537"/>
      <c r="I553" s="538"/>
    </row>
    <row r="554" spans="1:11">
      <c r="A554" s="333">
        <v>42</v>
      </c>
      <c r="C554" s="332" t="str">
        <f>'FR-16(7)(v)-1 Functional'!C554</f>
        <v>FIT FACTOR K190/(1-K190)</v>
      </c>
      <c r="D554" s="344"/>
      <c r="E554" s="196"/>
      <c r="F554" s="356">
        <f>ROUND(F692/(1-F692),9)</f>
        <v>0.26582278500000001</v>
      </c>
      <c r="G554" s="566">
        <f>ROUND(G692/(1-G692),9)</f>
        <v>0.26582278500000001</v>
      </c>
      <c r="H554" s="567">
        <f>ROUND(H692/(1-H692),9)</f>
        <v>0.26582278500000001</v>
      </c>
      <c r="I554" s="568">
        <f>ROUND(I692/(1-I692),9)</f>
        <v>0.26582278500000001</v>
      </c>
      <c r="J554" s="350"/>
      <c r="K554" s="350">
        <f>ROUND(K692/(1-K692),9)</f>
        <v>0.26582278500000001</v>
      </c>
    </row>
    <row r="555" spans="1:11">
      <c r="A555" s="333">
        <v>43</v>
      </c>
      <c r="C555" s="332" t="str">
        <f>'FR-16(7)(v)-1 Functional'!C555</f>
        <v>PRELIM FED INCOME TAX</v>
      </c>
      <c r="D555" s="344"/>
      <c r="E555" s="196"/>
      <c r="F555" s="349">
        <f>ROUND(F554*F552,0)</f>
        <v>50555</v>
      </c>
      <c r="G555" s="560">
        <f>F555-SUM(H555:I555)</f>
        <v>42136</v>
      </c>
      <c r="H555" s="561">
        <f>ROUND($H$552*$H$554,0)</f>
        <v>2291</v>
      </c>
      <c r="I555" s="562">
        <f>ROUND($I$552*$I$554,0)</f>
        <v>6128</v>
      </c>
      <c r="J555" s="347">
        <f>SUM($G$555:$I$555)</f>
        <v>50555</v>
      </c>
      <c r="K555" s="347">
        <f>F555-J555</f>
        <v>0</v>
      </c>
    </row>
    <row r="556" spans="1:11">
      <c r="A556" s="333">
        <v>44</v>
      </c>
      <c r="C556" s="359" t="str">
        <f>'FR-16(7)(v)-1 Functional'!C556</f>
        <v>TOTAL FEDERAL TAX ADJUSTMENTS</v>
      </c>
      <c r="D556" s="344"/>
      <c r="E556" s="196"/>
      <c r="F556" s="349">
        <f>F545</f>
        <v>1401</v>
      </c>
      <c r="G556" s="548">
        <f>$G$545</f>
        <v>-1043</v>
      </c>
      <c r="H556" s="539">
        <f>$H$545</f>
        <v>2553</v>
      </c>
      <c r="I556" s="540">
        <f>$I$545</f>
        <v>-109</v>
      </c>
      <c r="J556" s="347">
        <f>$J$545</f>
        <v>1401</v>
      </c>
      <c r="K556" s="347">
        <f>F556-J556</f>
        <v>0</v>
      </c>
    </row>
    <row r="557" spans="1:11">
      <c r="A557" s="333">
        <v>45</v>
      </c>
      <c r="C557" s="353" t="str">
        <f>'FR-16(7)(v)-1 Functional'!C557</f>
        <v xml:space="preserve">  NET FED INCOME TAX ALLOWABLE</v>
      </c>
      <c r="D557" s="344"/>
      <c r="E557" s="196"/>
      <c r="F557" s="348">
        <f>SUM(F555:F556)</f>
        <v>51956</v>
      </c>
      <c r="G557" s="549">
        <f>SUM($G$555:$G$556)</f>
        <v>41093</v>
      </c>
      <c r="H557" s="541">
        <f>SUM($H$555:$H$556)</f>
        <v>4844</v>
      </c>
      <c r="I557" s="542">
        <f>SUM($I$555:$I$556)</f>
        <v>6019</v>
      </c>
      <c r="J557" s="348">
        <f>SUM($J$555:$J$556)</f>
        <v>51956</v>
      </c>
      <c r="K557" s="348">
        <f>SUM($K$555:$K$556)</f>
        <v>0</v>
      </c>
    </row>
    <row r="558" spans="1:11">
      <c r="A558" s="333">
        <v>46</v>
      </c>
      <c r="D558" s="344"/>
      <c r="E558" s="196"/>
      <c r="F558" s="353"/>
      <c r="G558" s="547"/>
      <c r="H558" s="537"/>
      <c r="I558" s="538"/>
    </row>
    <row r="559" spans="1:11">
      <c r="A559" s="333">
        <v>47</v>
      </c>
      <c r="B559" s="332" t="s">
        <v>68</v>
      </c>
      <c r="D559" s="344"/>
      <c r="E559" s="196"/>
      <c r="F559" s="353"/>
      <c r="G559" s="547"/>
      <c r="H559" s="537"/>
      <c r="I559" s="538"/>
    </row>
    <row r="560" spans="1:11">
      <c r="A560" s="333">
        <v>48</v>
      </c>
      <c r="B560" s="332" t="s">
        <v>75</v>
      </c>
      <c r="D560" s="344"/>
      <c r="E560" s="196"/>
      <c r="F560" s="353"/>
      <c r="G560" s="547"/>
      <c r="H560" s="537"/>
      <c r="I560" s="538"/>
    </row>
    <row r="561" spans="1:11">
      <c r="A561" s="333">
        <v>49</v>
      </c>
      <c r="C561" s="332" t="str">
        <f>'FR-16(7)(v)-1 Functional'!C561</f>
        <v>PRELIM FEDERAL INCOME TAX</v>
      </c>
      <c r="D561" s="344"/>
      <c r="E561" s="196"/>
      <c r="F561" s="349">
        <f>F555</f>
        <v>50555</v>
      </c>
      <c r="G561" s="548">
        <f>$G$555</f>
        <v>42136</v>
      </c>
      <c r="H561" s="539">
        <f>$H$555</f>
        <v>2291</v>
      </c>
      <c r="I561" s="540">
        <f>$I$555</f>
        <v>6128</v>
      </c>
      <c r="J561" s="347">
        <f>$J$555</f>
        <v>50555</v>
      </c>
      <c r="K561" s="347">
        <f>$K$555</f>
        <v>0</v>
      </c>
    </row>
    <row r="562" spans="1:11">
      <c r="A562" s="333">
        <v>50</v>
      </c>
      <c r="C562" s="359" t="str">
        <f>'FR-16(7)(v)-1 Functional'!C562</f>
        <v>TEST YEAR INV TAX CREDIT</v>
      </c>
      <c r="D562" s="344"/>
      <c r="E562" s="196"/>
      <c r="F562" s="347">
        <f>-F540</f>
        <v>0</v>
      </c>
      <c r="G562" s="550">
        <f>-$G$540</f>
        <v>0</v>
      </c>
      <c r="H562" s="543">
        <f>-$H$540</f>
        <v>0</v>
      </c>
      <c r="I562" s="544">
        <f>-$I$540</f>
        <v>0</v>
      </c>
      <c r="J562" s="347">
        <f>-$J$540</f>
        <v>0</v>
      </c>
      <c r="K562" s="347">
        <f>-$K$540</f>
        <v>0</v>
      </c>
    </row>
    <row r="563" spans="1:11">
      <c r="A563" s="333">
        <v>51</v>
      </c>
      <c r="C563" s="332" t="str">
        <f>'FR-16(7)(v)-1 Functional'!C563</f>
        <v xml:space="preserve">  NET FED INCOME TAX PAYABLE</v>
      </c>
      <c r="D563" s="344"/>
      <c r="E563" s="196"/>
      <c r="F563" s="348">
        <f>SUM(F560:F562)</f>
        <v>50555</v>
      </c>
      <c r="G563" s="549">
        <f>SUM($G$560:$G$562)</f>
        <v>42136</v>
      </c>
      <c r="H563" s="541">
        <f>SUM($H$560:$H$562)</f>
        <v>2291</v>
      </c>
      <c r="I563" s="542">
        <f>SUM($I$560:$I$562)</f>
        <v>6128</v>
      </c>
      <c r="J563" s="348">
        <f>SUM($J$560:$J$562)</f>
        <v>50555</v>
      </c>
      <c r="K563" s="348">
        <f>SUM($K$560:$K$562)</f>
        <v>0</v>
      </c>
    </row>
    <row r="564" spans="1:11">
      <c r="A564" s="333">
        <v>52</v>
      </c>
      <c r="D564" s="344"/>
      <c r="E564" s="196"/>
      <c r="G564" s="547"/>
      <c r="H564" s="537"/>
      <c r="I564" s="538"/>
    </row>
    <row r="565" spans="1:11">
      <c r="A565" s="333">
        <v>53</v>
      </c>
      <c r="B565" s="332" t="s">
        <v>76</v>
      </c>
      <c r="D565" s="344"/>
      <c r="E565" s="196"/>
      <c r="F565" s="332">
        <f>ROUND((F693*(1-F692))+((1-F693)*(1-F692)*F694)+F692,5)</f>
        <v>0.24925</v>
      </c>
      <c r="G565" s="569">
        <f>ROUND((G693*(1-G692))+((1-G693)*(1-G692)*G694)+G692,5)</f>
        <v>0.24925</v>
      </c>
      <c r="H565" s="570">
        <f>ROUND((H693*(1-H692))+((1-H693)*(1-H692)*H694)+H692,5)</f>
        <v>0.24925</v>
      </c>
      <c r="I565" s="571">
        <f>ROUND((I693*(1-I692))+((1-I693)*(1-I692)*I694)+I692,5)</f>
        <v>0.24925</v>
      </c>
      <c r="K565" s="332">
        <f>ROUND((K693*(1-K692))+((1-K693)*(1-K692)*K694)+K692,5)</f>
        <v>0.24925</v>
      </c>
    </row>
    <row r="566" spans="1:11">
      <c r="B566" s="343"/>
      <c r="C566" s="196"/>
      <c r="D566" s="344"/>
      <c r="E566" s="196"/>
      <c r="F566" s="196"/>
      <c r="G566" s="196"/>
      <c r="H566" s="196"/>
      <c r="I566" s="196"/>
      <c r="J566" s="196"/>
      <c r="K566" s="196"/>
    </row>
    <row r="567" spans="1:11">
      <c r="A567" s="343" t="str">
        <f>co_name</f>
        <v>DUKE ENERGY KENTUCKY, INC.</v>
      </c>
      <c r="C567" s="196"/>
      <c r="D567" s="344"/>
      <c r="E567" s="196"/>
      <c r="F567" s="196"/>
      <c r="G567" s="196"/>
      <c r="H567" s="196"/>
      <c r="I567" s="196"/>
      <c r="J567" s="196" t="str">
        <f>$J$1</f>
        <v>FR-16(7)(v)-12</v>
      </c>
      <c r="K567" s="196"/>
    </row>
    <row r="568" spans="1:11">
      <c r="A568" s="343" t="str">
        <f>$A$2</f>
        <v>INTERRUPTIBLE TRANSPORTATION CLASSIFIED - GAS COST OF SERVICE</v>
      </c>
      <c r="C568" s="196"/>
      <c r="D568" s="344"/>
      <c r="E568" s="196"/>
      <c r="F568" s="196"/>
      <c r="G568" s="196"/>
      <c r="H568" s="196"/>
      <c r="I568" s="196"/>
      <c r="J568" s="196" t="str">
        <f>$J$2</f>
        <v>WITNESS RESPONSIBLE:</v>
      </c>
      <c r="K568" s="196"/>
    </row>
    <row r="569" spans="1:11">
      <c r="A569" s="343" t="str">
        <f>case_name</f>
        <v>CASE NO: 2018-00261</v>
      </c>
      <c r="C569" s="196"/>
      <c r="D569" s="344"/>
      <c r="E569" s="196"/>
      <c r="F569" s="196"/>
      <c r="G569" s="196"/>
      <c r="H569" s="196"/>
      <c r="I569" s="196"/>
      <c r="J569" s="196" t="str">
        <f>Witness</f>
        <v>JAMES E. ZIOLKOWSKI</v>
      </c>
      <c r="K569" s="196"/>
    </row>
    <row r="570" spans="1:11">
      <c r="A570" s="343" t="str">
        <f>data_filing</f>
        <v>DATA: 12 MONTH FORECASTED PERIOD</v>
      </c>
      <c r="C570" s="196"/>
      <c r="D570" s="344"/>
      <c r="E570" s="196"/>
      <c r="F570" s="196"/>
      <c r="G570" s="196"/>
      <c r="H570" s="196"/>
      <c r="I570" s="196"/>
      <c r="J570" s="196" t="str">
        <f>"PAGE "&amp;Pages2-2&amp;" OF "&amp;Pages2</f>
        <v>PAGE 13 OF 15</v>
      </c>
      <c r="K570" s="196"/>
    </row>
    <row r="571" spans="1:11">
      <c r="A571" s="343" t="str">
        <f>type</f>
        <v xml:space="preserve">TYPE OF FILING: "X" ORIGINAL   UPDATED    REVISED  </v>
      </c>
      <c r="C571" s="196"/>
      <c r="D571" s="344"/>
      <c r="E571" s="196"/>
      <c r="F571" s="196"/>
      <c r="G571" s="196"/>
      <c r="H571" s="196"/>
      <c r="I571" s="196"/>
      <c r="J571" s="196"/>
      <c r="K571" s="196"/>
    </row>
    <row r="574" spans="1:11">
      <c r="A574" s="344" t="s">
        <v>914</v>
      </c>
      <c r="B574" s="1392"/>
      <c r="C574" s="1091"/>
      <c r="D574" s="1091"/>
      <c r="E574" s="342"/>
      <c r="F574" s="354" t="s">
        <v>229</v>
      </c>
      <c r="G574" s="545" t="s">
        <v>1005</v>
      </c>
      <c r="H574" s="533"/>
      <c r="I574" s="534"/>
      <c r="J574" s="344" t="s">
        <v>229</v>
      </c>
      <c r="K574" s="344" t="s">
        <v>342</v>
      </c>
    </row>
    <row r="575" spans="1:11">
      <c r="A575" s="346" t="s">
        <v>915</v>
      </c>
      <c r="B575" s="1394" t="s">
        <v>1453</v>
      </c>
      <c r="C575" s="1395"/>
      <c r="D575" s="1396" t="s">
        <v>1454</v>
      </c>
      <c r="E575" s="1397"/>
      <c r="F575" s="355" t="str">
        <f>$F$9</f>
        <v>INTERRUPTIBLE</v>
      </c>
      <c r="G575" s="546" t="s">
        <v>847</v>
      </c>
      <c r="H575" s="535" t="s">
        <v>848</v>
      </c>
      <c r="I575" s="536" t="s">
        <v>849</v>
      </c>
      <c r="J575" s="346" t="s">
        <v>341</v>
      </c>
      <c r="K575" s="346" t="s">
        <v>340</v>
      </c>
    </row>
    <row r="576" spans="1:11" ht="15">
      <c r="A576" s="1398"/>
      <c r="B576" s="1399"/>
      <c r="C576" s="1400" t="s">
        <v>1455</v>
      </c>
      <c r="D576" s="1401"/>
      <c r="E576" s="342"/>
      <c r="F576" s="353"/>
      <c r="G576" s="1447">
        <f>$G$10</f>
        <v>3</v>
      </c>
      <c r="H576" s="1448">
        <f>$H$10</f>
        <v>4</v>
      </c>
      <c r="I576" s="1449">
        <f>$I$10</f>
        <v>5</v>
      </c>
    </row>
    <row r="577" spans="1:11">
      <c r="A577" s="968">
        <v>1</v>
      </c>
      <c r="B577" s="1405" t="s">
        <v>1456</v>
      </c>
      <c r="C577" s="1392"/>
      <c r="D577" s="1392"/>
      <c r="E577" s="342"/>
      <c r="F577" s="342"/>
      <c r="G577" s="1450"/>
      <c r="H577" s="1451"/>
      <c r="I577" s="1452"/>
      <c r="J577" s="196"/>
      <c r="K577" s="196"/>
    </row>
    <row r="578" spans="1:11">
      <c r="A578" s="968">
        <v>2</v>
      </c>
      <c r="B578" s="1409" t="s">
        <v>1457</v>
      </c>
      <c r="C578" s="1392"/>
      <c r="D578" s="1410" t="s">
        <v>315</v>
      </c>
      <c r="E578" s="342"/>
      <c r="F578" s="479">
        <f>'FR-16(7)(v)-8 TOT CLASS Alloc'!J578</f>
        <v>107172</v>
      </c>
      <c r="G578" s="548">
        <f>ROUND(F578*VLOOKUP(D578,AllocTable_Functional,$G$10,FALSE),0)</f>
        <v>789</v>
      </c>
      <c r="H578" s="539">
        <f>ROUND(F578*VLOOKUP(D578,AllocTable_Functional,$H$10,FALSE),0)</f>
        <v>0</v>
      </c>
      <c r="I578" s="540">
        <f>ROUND(F578*VLOOKUP(D578,AllocTable_Functional,$I$10,FALSE),0)</f>
        <v>106383</v>
      </c>
      <c r="J578" s="347">
        <f>SUM(G578:I578)</f>
        <v>107172</v>
      </c>
      <c r="K578" s="347">
        <f>F578-J578</f>
        <v>0</v>
      </c>
    </row>
    <row r="579" spans="1:11">
      <c r="A579" s="968">
        <v>3</v>
      </c>
      <c r="B579" s="1409" t="s">
        <v>1171</v>
      </c>
      <c r="C579" s="1411"/>
      <c r="D579" s="1410" t="s">
        <v>315</v>
      </c>
      <c r="E579" s="342"/>
      <c r="F579" s="1412">
        <f>'FR-16(7)(v)-8 TOT CLASS Alloc'!J579</f>
        <v>0</v>
      </c>
      <c r="G579" s="550">
        <f>ROUND(F579*VLOOKUP(D579,AllocTable_Functional,$G$10,FALSE),0)</f>
        <v>0</v>
      </c>
      <c r="H579" s="543">
        <f>ROUND(F579*VLOOKUP(D579,AllocTable_Functional,$H$10,FALSE),0)</f>
        <v>0</v>
      </c>
      <c r="I579" s="544">
        <f>ROUND(F579*VLOOKUP(D579,AllocTable_Functional,$I$10,FALSE),0)</f>
        <v>0</v>
      </c>
      <c r="J579" s="502">
        <f>SUM(G579:I579)</f>
        <v>0</v>
      </c>
      <c r="K579" s="502">
        <f>F579-J579</f>
        <v>0</v>
      </c>
    </row>
    <row r="580" spans="1:11">
      <c r="A580" s="968">
        <v>4</v>
      </c>
      <c r="B580" s="1413" t="s">
        <v>1458</v>
      </c>
      <c r="C580" s="1392"/>
      <c r="D580" s="1414"/>
      <c r="E580" s="342"/>
      <c r="F580" s="1291">
        <f t="shared" ref="F580:K580" si="98">SUM(F578:F579)</f>
        <v>107172</v>
      </c>
      <c r="G580" s="1453">
        <f t="shared" si="98"/>
        <v>789</v>
      </c>
      <c r="H580" s="1454">
        <f t="shared" si="98"/>
        <v>0</v>
      </c>
      <c r="I580" s="1455">
        <f t="shared" si="98"/>
        <v>106383</v>
      </c>
      <c r="J580" s="335">
        <f t="shared" si="98"/>
        <v>107172</v>
      </c>
      <c r="K580" s="335">
        <f t="shared" si="98"/>
        <v>0</v>
      </c>
    </row>
    <row r="581" spans="1:11" ht="15">
      <c r="A581" s="968">
        <v>5</v>
      </c>
      <c r="B581" s="1398"/>
      <c r="C581" s="1401"/>
      <c r="D581" s="1415"/>
      <c r="E581" s="342"/>
      <c r="F581" s="353"/>
      <c r="G581" s="547"/>
      <c r="H581" s="537"/>
      <c r="I581" s="538"/>
    </row>
    <row r="582" spans="1:11">
      <c r="A582" s="968">
        <v>6</v>
      </c>
      <c r="B582" s="1416" t="s">
        <v>1459</v>
      </c>
      <c r="C582" s="1392"/>
      <c r="D582" s="1414"/>
      <c r="E582" s="342"/>
      <c r="F582" s="353"/>
      <c r="G582" s="547"/>
      <c r="H582" s="537"/>
      <c r="I582" s="538"/>
    </row>
    <row r="583" spans="1:11">
      <c r="A583" s="968">
        <v>7</v>
      </c>
      <c r="B583" s="1417" t="s">
        <v>1460</v>
      </c>
      <c r="C583" s="1392"/>
      <c r="D583" s="1414"/>
      <c r="E583" s="342"/>
      <c r="F583" s="353"/>
      <c r="G583" s="547"/>
      <c r="H583" s="537"/>
      <c r="I583" s="538"/>
    </row>
    <row r="584" spans="1:11">
      <c r="A584" s="968">
        <v>8</v>
      </c>
      <c r="B584" s="1418" t="s">
        <v>1461</v>
      </c>
      <c r="C584" s="1411"/>
      <c r="D584" s="1410" t="s">
        <v>315</v>
      </c>
      <c r="E584" s="342"/>
      <c r="F584" s="1471">
        <f>'FR-16(7)(v)-8 TOT CLASS Alloc'!J584</f>
        <v>8506</v>
      </c>
      <c r="G584" s="550">
        <f>F584-SUM(H584:I584)</f>
        <v>63</v>
      </c>
      <c r="H584" s="543">
        <f>ROUND(F584*VLOOKUP(D584,AllocTable_Functional,$H$10,FALSE),0)</f>
        <v>0</v>
      </c>
      <c r="I584" s="544">
        <f>ROUND(F584*VLOOKUP(D584,AllocTable_Functional,$I$10,FALSE),0)</f>
        <v>8443</v>
      </c>
      <c r="J584" s="502">
        <f>SUM(G584:I584)</f>
        <v>8506</v>
      </c>
      <c r="K584" s="502">
        <f>F584-J584</f>
        <v>0</v>
      </c>
    </row>
    <row r="585" spans="1:11">
      <c r="A585" s="968">
        <v>9</v>
      </c>
      <c r="B585" s="1413" t="s">
        <v>1463</v>
      </c>
      <c r="C585" s="1392"/>
      <c r="D585" s="1414"/>
      <c r="E585" s="342"/>
      <c r="F585" s="1291">
        <f t="shared" ref="F585:K585" si="99">SUM(F584)</f>
        <v>8506</v>
      </c>
      <c r="G585" s="1453">
        <f t="shared" si="99"/>
        <v>63</v>
      </c>
      <c r="H585" s="1454">
        <f t="shared" si="99"/>
        <v>0</v>
      </c>
      <c r="I585" s="1455">
        <f t="shared" si="99"/>
        <v>8443</v>
      </c>
      <c r="J585" s="335">
        <f t="shared" si="99"/>
        <v>8506</v>
      </c>
      <c r="K585" s="335">
        <f t="shared" si="99"/>
        <v>0</v>
      </c>
    </row>
    <row r="586" spans="1:11">
      <c r="A586" s="968">
        <v>10</v>
      </c>
      <c r="B586" s="1090"/>
      <c r="C586" s="1392"/>
      <c r="D586" s="1414"/>
      <c r="E586" s="342"/>
      <c r="F586" s="353"/>
      <c r="G586" s="547"/>
      <c r="H586" s="537"/>
      <c r="I586" s="538"/>
    </row>
    <row r="587" spans="1:11">
      <c r="A587" s="968">
        <v>11</v>
      </c>
      <c r="B587" s="1419" t="s">
        <v>1464</v>
      </c>
      <c r="C587" s="1420"/>
      <c r="D587" s="1421"/>
      <c r="E587" s="342"/>
      <c r="F587" s="353"/>
      <c r="G587" s="547"/>
      <c r="H587" s="537"/>
      <c r="I587" s="538"/>
    </row>
    <row r="588" spans="1:11">
      <c r="A588" s="968">
        <v>12</v>
      </c>
      <c r="B588" s="1409" t="s">
        <v>1465</v>
      </c>
      <c r="C588" s="1411"/>
      <c r="D588" s="1410" t="s">
        <v>315</v>
      </c>
      <c r="E588" s="342"/>
      <c r="F588" s="1471">
        <f>'FR-16(7)(v)-8 TOT CLASS Alloc'!J588</f>
        <v>0</v>
      </c>
      <c r="G588" s="550">
        <f>ROUND(F588*VLOOKUP(D588,AllocTable_Functional,$G$10,FALSE),0)</f>
        <v>0</v>
      </c>
      <c r="H588" s="543">
        <f>ROUND(F588*VLOOKUP(D588,AllocTable_Functional,$H$10,FALSE),0)</f>
        <v>0</v>
      </c>
      <c r="I588" s="544">
        <f>ROUND(F588*VLOOKUP(D588,AllocTable_Functional,$I$10,FALSE),0)</f>
        <v>0</v>
      </c>
      <c r="J588" s="502">
        <f>SUM(G588:I588)</f>
        <v>0</v>
      </c>
      <c r="K588" s="502">
        <f>F588-J588</f>
        <v>0</v>
      </c>
    </row>
    <row r="589" spans="1:11">
      <c r="A589" s="968">
        <v>13</v>
      </c>
      <c r="B589" s="1413" t="s">
        <v>1466</v>
      </c>
      <c r="C589" s="1392"/>
      <c r="D589" s="1414"/>
      <c r="E589" s="342"/>
      <c r="F589" s="1291">
        <f t="shared" ref="F589:K589" si="100">SUM(F588)</f>
        <v>0</v>
      </c>
      <c r="G589" s="1453">
        <f t="shared" si="100"/>
        <v>0</v>
      </c>
      <c r="H589" s="1454">
        <f t="shared" si="100"/>
        <v>0</v>
      </c>
      <c r="I589" s="1455">
        <f t="shared" si="100"/>
        <v>0</v>
      </c>
      <c r="J589" s="335">
        <f t="shared" si="100"/>
        <v>0</v>
      </c>
      <c r="K589" s="335">
        <f t="shared" si="100"/>
        <v>0</v>
      </c>
    </row>
    <row r="590" spans="1:11">
      <c r="A590" s="968">
        <v>14</v>
      </c>
      <c r="B590" s="1392"/>
      <c r="C590" s="1392"/>
      <c r="D590" s="1414"/>
      <c r="E590" s="342"/>
      <c r="F590" s="353"/>
      <c r="G590" s="547"/>
      <c r="H590" s="537"/>
      <c r="I590" s="538"/>
    </row>
    <row r="591" spans="1:11">
      <c r="A591" s="968">
        <v>15</v>
      </c>
      <c r="B591" s="1392" t="s">
        <v>1467</v>
      </c>
      <c r="C591" s="1392"/>
      <c r="D591" s="1414"/>
      <c r="E591" s="342"/>
      <c r="F591" s="1291">
        <f>F589+F585</f>
        <v>8506</v>
      </c>
      <c r="G591" s="1453">
        <f t="shared" ref="G591:K591" si="101">G589+G585</f>
        <v>63</v>
      </c>
      <c r="H591" s="1454">
        <f t="shared" si="101"/>
        <v>0</v>
      </c>
      <c r="I591" s="1455">
        <f t="shared" si="101"/>
        <v>8443</v>
      </c>
      <c r="J591" s="335">
        <f t="shared" si="101"/>
        <v>8506</v>
      </c>
      <c r="K591" s="335">
        <f t="shared" si="101"/>
        <v>0</v>
      </c>
    </row>
    <row r="592" spans="1:11">
      <c r="A592" s="968">
        <v>16</v>
      </c>
      <c r="B592" s="1392"/>
      <c r="C592" s="1392"/>
      <c r="D592" s="1414"/>
      <c r="E592" s="342"/>
      <c r="F592" s="353"/>
      <c r="G592" s="547"/>
      <c r="H592" s="537"/>
      <c r="I592" s="538"/>
    </row>
    <row r="593" spans="1:11">
      <c r="A593" s="968">
        <v>17</v>
      </c>
      <c r="B593" s="1422" t="s">
        <v>68</v>
      </c>
      <c r="C593" s="1423"/>
      <c r="D593" s="968"/>
      <c r="E593" s="342"/>
      <c r="F593" s="353"/>
      <c r="G593" s="547"/>
      <c r="H593" s="537"/>
      <c r="I593" s="538"/>
    </row>
    <row r="594" spans="1:11">
      <c r="A594" s="968">
        <v>18</v>
      </c>
      <c r="B594" s="1417" t="s">
        <v>1468</v>
      </c>
      <c r="C594" s="1392"/>
      <c r="D594" s="1414"/>
      <c r="E594" s="342"/>
      <c r="F594" s="353"/>
      <c r="G594" s="547"/>
      <c r="H594" s="537"/>
      <c r="I594" s="538"/>
    </row>
    <row r="595" spans="1:11">
      <c r="A595" s="968">
        <v>19</v>
      </c>
      <c r="B595" s="1392" t="s">
        <v>43</v>
      </c>
      <c r="C595" s="1392"/>
      <c r="D595" s="1414"/>
      <c r="E595" s="342"/>
      <c r="F595" s="1291">
        <f>F334</f>
        <v>419279</v>
      </c>
      <c r="G595" s="1453">
        <f>G334</f>
        <v>373287</v>
      </c>
      <c r="H595" s="1454">
        <f>H334</f>
        <v>8869</v>
      </c>
      <c r="I595" s="1455">
        <f>I334</f>
        <v>37124</v>
      </c>
      <c r="J595" s="1291">
        <f>J334</f>
        <v>419280</v>
      </c>
      <c r="K595" s="1291">
        <f t="shared" ref="K595" si="102">K316</f>
        <v>0</v>
      </c>
    </row>
    <row r="596" spans="1:11">
      <c r="A596" s="968">
        <v>20</v>
      </c>
      <c r="B596" s="1392" t="s">
        <v>199</v>
      </c>
      <c r="C596" s="1392"/>
      <c r="D596" s="1414"/>
      <c r="E596" s="342"/>
      <c r="F596" s="1291">
        <f t="shared" ref="F596:K596" si="103">F557</f>
        <v>51956</v>
      </c>
      <c r="G596" s="1453">
        <f t="shared" si="103"/>
        <v>41093</v>
      </c>
      <c r="H596" s="1454">
        <f t="shared" si="103"/>
        <v>4844</v>
      </c>
      <c r="I596" s="1455">
        <f t="shared" si="103"/>
        <v>6019</v>
      </c>
      <c r="J596" s="335">
        <f t="shared" si="103"/>
        <v>51956</v>
      </c>
      <c r="K596" s="335">
        <f t="shared" si="103"/>
        <v>0</v>
      </c>
    </row>
    <row r="597" spans="1:11">
      <c r="A597" s="968">
        <v>21</v>
      </c>
      <c r="B597" s="1392" t="s">
        <v>1469</v>
      </c>
      <c r="C597" s="1392"/>
      <c r="D597" s="1414"/>
      <c r="E597" s="342"/>
      <c r="F597" s="1291">
        <f>-F524</f>
        <v>-239002</v>
      </c>
      <c r="G597" s="1453">
        <f t="shared" ref="G597:K597" si="104">-G524</f>
        <v>-213792</v>
      </c>
      <c r="H597" s="1454">
        <f t="shared" si="104"/>
        <v>-2805</v>
      </c>
      <c r="I597" s="1455">
        <f t="shared" si="104"/>
        <v>-22405</v>
      </c>
      <c r="J597" s="335">
        <f t="shared" si="104"/>
        <v>-239002</v>
      </c>
      <c r="K597" s="335">
        <f t="shared" si="104"/>
        <v>0</v>
      </c>
    </row>
    <row r="598" spans="1:11">
      <c r="A598" s="968">
        <v>22</v>
      </c>
      <c r="B598" s="1392" t="s">
        <v>1470</v>
      </c>
      <c r="C598" s="1392"/>
      <c r="D598" s="1414"/>
      <c r="E598" s="342"/>
      <c r="F598" s="1291">
        <f t="shared" ref="F598:K598" si="105">-F580</f>
        <v>-107172</v>
      </c>
      <c r="G598" s="1453">
        <f t="shared" si="105"/>
        <v>-789</v>
      </c>
      <c r="H598" s="1454">
        <f t="shared" si="105"/>
        <v>0</v>
      </c>
      <c r="I598" s="1455">
        <f t="shared" si="105"/>
        <v>-106383</v>
      </c>
      <c r="J598" s="335">
        <f t="shared" si="105"/>
        <v>-107172</v>
      </c>
      <c r="K598" s="335">
        <f t="shared" si="105"/>
        <v>0</v>
      </c>
    </row>
    <row r="599" spans="1:11">
      <c r="A599" s="968">
        <v>23</v>
      </c>
      <c r="B599" s="1411" t="s">
        <v>1471</v>
      </c>
      <c r="C599" s="1411"/>
      <c r="D599" s="1414"/>
      <c r="E599" s="342"/>
      <c r="F599" s="1424">
        <f t="shared" ref="F599:K599" si="106">F591</f>
        <v>8506</v>
      </c>
      <c r="G599" s="1456">
        <f t="shared" si="106"/>
        <v>63</v>
      </c>
      <c r="H599" s="1457">
        <f t="shared" si="106"/>
        <v>0</v>
      </c>
      <c r="I599" s="1458">
        <f t="shared" si="106"/>
        <v>8443</v>
      </c>
      <c r="J599" s="1428">
        <f t="shared" si="106"/>
        <v>8506</v>
      </c>
      <c r="K599" s="1428">
        <f t="shared" si="106"/>
        <v>0</v>
      </c>
    </row>
    <row r="600" spans="1:11">
      <c r="A600" s="968">
        <v>24</v>
      </c>
      <c r="B600" s="1090" t="s">
        <v>1472</v>
      </c>
      <c r="C600" s="1392"/>
      <c r="D600" s="1414"/>
      <c r="E600" s="342"/>
      <c r="F600" s="1291">
        <f t="shared" ref="F600:K600" si="107">SUM(F595:F599)</f>
        <v>133567</v>
      </c>
      <c r="G600" s="1453">
        <f t="shared" si="107"/>
        <v>199862</v>
      </c>
      <c r="H600" s="1454">
        <f t="shared" si="107"/>
        <v>10908</v>
      </c>
      <c r="I600" s="1455">
        <f t="shared" si="107"/>
        <v>-77202</v>
      </c>
      <c r="J600" s="335">
        <f t="shared" si="107"/>
        <v>133568</v>
      </c>
      <c r="K600" s="335">
        <f t="shared" si="107"/>
        <v>0</v>
      </c>
    </row>
    <row r="601" spans="1:11">
      <c r="A601" s="968">
        <v>25</v>
      </c>
      <c r="B601" s="1392"/>
      <c r="C601" s="1392"/>
      <c r="D601" s="1414"/>
      <c r="E601" s="342"/>
      <c r="F601" s="353"/>
      <c r="G601" s="547"/>
      <c r="H601" s="537"/>
      <c r="I601" s="538"/>
    </row>
    <row r="602" spans="1:11">
      <c r="A602" s="968">
        <v>26</v>
      </c>
      <c r="B602" s="1392" t="s">
        <v>1473</v>
      </c>
      <c r="C602" s="1392"/>
      <c r="D602" s="1414"/>
      <c r="E602" s="342"/>
      <c r="F602" s="1429">
        <f>ROUND(SIT/(1-SIT),8)</f>
        <v>5.2282660000000002E-2</v>
      </c>
      <c r="G602" s="1459">
        <f t="shared" ref="G602:K602" si="108">ROUND(SIT/(1-SIT),8)</f>
        <v>5.2282660000000002E-2</v>
      </c>
      <c r="H602" s="1460">
        <f t="shared" si="108"/>
        <v>5.2282660000000002E-2</v>
      </c>
      <c r="I602" s="1461">
        <f t="shared" si="108"/>
        <v>5.2282660000000002E-2</v>
      </c>
      <c r="J602" s="1429">
        <f t="shared" si="108"/>
        <v>5.2282660000000002E-2</v>
      </c>
      <c r="K602" s="1429">
        <f t="shared" si="108"/>
        <v>5.2282660000000002E-2</v>
      </c>
    </row>
    <row r="603" spans="1:11">
      <c r="A603" s="968">
        <v>27</v>
      </c>
      <c r="B603" s="1392" t="s">
        <v>1474</v>
      </c>
      <c r="C603" s="1392"/>
      <c r="D603" s="1433" t="s">
        <v>1475</v>
      </c>
      <c r="E603" s="342"/>
      <c r="F603" s="1434">
        <f>ROUND(F600*F602,0)</f>
        <v>6983</v>
      </c>
      <c r="G603" s="1454">
        <f>ROUND(G600*G602,0)</f>
        <v>10449</v>
      </c>
      <c r="H603" s="1454">
        <f>ROUND(H600*H602,0)</f>
        <v>570</v>
      </c>
      <c r="I603" s="1455">
        <f>ROUND(I600*I602,0)</f>
        <v>-4036</v>
      </c>
      <c r="J603" s="347">
        <f>SUM(G603:I603)</f>
        <v>6983</v>
      </c>
      <c r="K603" s="347">
        <f>F603-J603</f>
        <v>0</v>
      </c>
    </row>
    <row r="604" spans="1:11">
      <c r="A604" s="968">
        <v>28</v>
      </c>
      <c r="B604" s="1411" t="s">
        <v>1476</v>
      </c>
      <c r="C604" s="1411"/>
      <c r="D604" s="1414"/>
      <c r="E604" s="1435"/>
      <c r="F604" s="1434">
        <f>F591</f>
        <v>8506</v>
      </c>
      <c r="G604" s="1462">
        <f>G591</f>
        <v>63</v>
      </c>
      <c r="H604" s="1463">
        <f>H591</f>
        <v>0</v>
      </c>
      <c r="I604" s="1464">
        <f>I591</f>
        <v>8443</v>
      </c>
      <c r="J604" s="347">
        <f>SUM(G604:I604)</f>
        <v>8506</v>
      </c>
      <c r="K604" s="347">
        <f>F604-J604</f>
        <v>0</v>
      </c>
    </row>
    <row r="605" spans="1:11">
      <c r="A605" s="968">
        <v>29</v>
      </c>
      <c r="B605" s="1090" t="s">
        <v>1477</v>
      </c>
      <c r="C605" s="1392"/>
      <c r="D605" s="1414"/>
      <c r="E605" s="342"/>
      <c r="F605" s="1439">
        <f t="shared" ref="F605:K605" si="109">F604+F603</f>
        <v>15489</v>
      </c>
      <c r="G605" s="1465">
        <f t="shared" si="109"/>
        <v>10512</v>
      </c>
      <c r="H605" s="1466">
        <f t="shared" si="109"/>
        <v>570</v>
      </c>
      <c r="I605" s="1467">
        <f t="shared" si="109"/>
        <v>4407</v>
      </c>
      <c r="J605" s="1439">
        <f t="shared" si="109"/>
        <v>15489</v>
      </c>
      <c r="K605" s="1439">
        <f t="shared" si="109"/>
        <v>0</v>
      </c>
    </row>
    <row r="606" spans="1:11">
      <c r="A606" s="968">
        <v>30</v>
      </c>
      <c r="B606" s="1392"/>
      <c r="C606" s="1392"/>
      <c r="D606" s="1414"/>
      <c r="E606" s="342"/>
      <c r="F606" s="353"/>
      <c r="G606" s="547"/>
      <c r="H606" s="537"/>
      <c r="I606" s="538"/>
    </row>
    <row r="607" spans="1:11">
      <c r="A607" s="968">
        <v>31</v>
      </c>
      <c r="B607" s="1392" t="s">
        <v>1478</v>
      </c>
      <c r="C607" s="1392"/>
      <c r="D607" s="1414"/>
      <c r="E607" s="342"/>
      <c r="F607" s="353"/>
      <c r="G607" s="547"/>
      <c r="H607" s="537"/>
      <c r="I607" s="538"/>
    </row>
    <row r="608" spans="1:11">
      <c r="A608" s="968">
        <v>32</v>
      </c>
      <c r="B608" s="1392" t="s">
        <v>1474</v>
      </c>
      <c r="C608" s="1392"/>
      <c r="D608" s="1414"/>
      <c r="E608" s="342"/>
      <c r="F608" s="1434">
        <f t="shared" ref="F608:K608" si="110">F603</f>
        <v>6983</v>
      </c>
      <c r="G608" s="1462">
        <f t="shared" si="110"/>
        <v>10449</v>
      </c>
      <c r="H608" s="1463">
        <f t="shared" si="110"/>
        <v>570</v>
      </c>
      <c r="I608" s="1464">
        <f t="shared" si="110"/>
        <v>-4036</v>
      </c>
      <c r="J608" s="1434">
        <f t="shared" si="110"/>
        <v>6983</v>
      </c>
      <c r="K608" s="1434">
        <f t="shared" si="110"/>
        <v>0</v>
      </c>
    </row>
    <row r="609" spans="1:11">
      <c r="A609" s="968">
        <v>33</v>
      </c>
      <c r="B609" s="1411" t="s">
        <v>1464</v>
      </c>
      <c r="C609" s="1411"/>
      <c r="D609" s="1414"/>
      <c r="E609" s="342"/>
      <c r="F609" s="1434">
        <f t="shared" ref="F609:K609" si="111">F589</f>
        <v>0</v>
      </c>
      <c r="G609" s="1462">
        <f t="shared" si="111"/>
        <v>0</v>
      </c>
      <c r="H609" s="1463">
        <f t="shared" si="111"/>
        <v>0</v>
      </c>
      <c r="I609" s="1464">
        <f t="shared" si="111"/>
        <v>0</v>
      </c>
      <c r="J609" s="1434">
        <f t="shared" si="111"/>
        <v>0</v>
      </c>
      <c r="K609" s="1434">
        <f t="shared" si="111"/>
        <v>0</v>
      </c>
    </row>
    <row r="610" spans="1:11">
      <c r="A610" s="968">
        <v>34</v>
      </c>
      <c r="B610" s="1090" t="s">
        <v>1479</v>
      </c>
      <c r="C610" s="1392"/>
      <c r="D610" s="1414"/>
      <c r="E610" s="342"/>
      <c r="F610" s="1439">
        <f t="shared" ref="F610:K610" si="112">F608+F609</f>
        <v>6983</v>
      </c>
      <c r="G610" s="1465">
        <f t="shared" si="112"/>
        <v>10449</v>
      </c>
      <c r="H610" s="1466">
        <f t="shared" si="112"/>
        <v>570</v>
      </c>
      <c r="I610" s="1467">
        <f t="shared" si="112"/>
        <v>-4036</v>
      </c>
      <c r="J610" s="1439">
        <f t="shared" si="112"/>
        <v>6983</v>
      </c>
      <c r="K610" s="1439">
        <f t="shared" si="112"/>
        <v>0</v>
      </c>
    </row>
    <row r="611" spans="1:11">
      <c r="A611" s="968">
        <v>35</v>
      </c>
      <c r="B611" s="1392"/>
      <c r="C611" s="1392"/>
      <c r="D611" s="1392"/>
      <c r="E611" s="342"/>
      <c r="F611" s="1434"/>
      <c r="G611" s="1462"/>
      <c r="H611" s="1463"/>
      <c r="I611" s="1464"/>
      <c r="J611" s="1434"/>
      <c r="K611" s="1434"/>
    </row>
    <row r="612" spans="1:11">
      <c r="A612" s="968">
        <v>36</v>
      </c>
      <c r="B612" s="1392" t="s">
        <v>76</v>
      </c>
      <c r="C612" s="1392"/>
      <c r="D612" s="1392"/>
      <c r="E612" s="342"/>
      <c r="F612" s="1443">
        <f t="shared" ref="F612:K612" si="113">(SIT*(1-FIT))+((1-SIT)*(1-FIT)*RevTax)+FIT</f>
        <v>0.24925115</v>
      </c>
      <c r="G612" s="1468">
        <f t="shared" si="113"/>
        <v>0.24925115</v>
      </c>
      <c r="H612" s="1469">
        <f t="shared" si="113"/>
        <v>0.24925115</v>
      </c>
      <c r="I612" s="1470">
        <f t="shared" si="113"/>
        <v>0.24925115</v>
      </c>
      <c r="J612" s="1443">
        <f t="shared" si="113"/>
        <v>0.24925115</v>
      </c>
      <c r="K612" s="1443">
        <f t="shared" si="113"/>
        <v>0.24925115</v>
      </c>
    </row>
    <row r="614" spans="1:11">
      <c r="A614" s="343" t="str">
        <f>co_name</f>
        <v>DUKE ENERGY KENTUCKY, INC.</v>
      </c>
      <c r="C614" s="196"/>
      <c r="D614" s="344"/>
      <c r="E614" s="196"/>
      <c r="F614" s="196"/>
      <c r="G614" s="196"/>
      <c r="H614" s="196"/>
      <c r="I614" s="196"/>
      <c r="J614" s="196" t="str">
        <f>$J$1</f>
        <v>FR-16(7)(v)-12</v>
      </c>
      <c r="K614" s="196"/>
    </row>
    <row r="615" spans="1:11">
      <c r="A615" s="343" t="str">
        <f>$A$2</f>
        <v>INTERRUPTIBLE TRANSPORTATION CLASSIFIED - GAS COST OF SERVICE</v>
      </c>
      <c r="C615" s="196"/>
      <c r="D615" s="344"/>
      <c r="E615" s="196"/>
      <c r="F615" s="196"/>
      <c r="G615" s="196"/>
      <c r="H615" s="196"/>
      <c r="I615" s="196"/>
      <c r="J615" s="196" t="str">
        <f>$J$2</f>
        <v>WITNESS RESPONSIBLE:</v>
      </c>
      <c r="K615" s="196"/>
    </row>
    <row r="616" spans="1:11">
      <c r="A616" s="343" t="str">
        <f>case_name</f>
        <v>CASE NO: 2018-00261</v>
      </c>
      <c r="C616" s="196"/>
      <c r="D616" s="344"/>
      <c r="E616" s="196"/>
      <c r="F616" s="196"/>
      <c r="G616" s="196"/>
      <c r="H616" s="196"/>
      <c r="I616" s="196"/>
      <c r="J616" s="196" t="str">
        <f>Witness</f>
        <v>JAMES E. ZIOLKOWSKI</v>
      </c>
      <c r="K616" s="196"/>
    </row>
    <row r="617" spans="1:11">
      <c r="A617" s="343" t="str">
        <f>data_filing</f>
        <v>DATA: 12 MONTH FORECASTED PERIOD</v>
      </c>
      <c r="C617" s="196"/>
      <c r="D617" s="344"/>
      <c r="E617" s="196"/>
      <c r="F617" s="196"/>
      <c r="G617" s="196"/>
      <c r="H617" s="196"/>
      <c r="I617" s="196"/>
      <c r="J617" s="196" t="str">
        <f>"PAGE "&amp;Pages2-1&amp;" OF "&amp;Pages2</f>
        <v>PAGE 14 OF 15</v>
      </c>
      <c r="K617" s="196"/>
    </row>
    <row r="618" spans="1:11">
      <c r="A618" s="343" t="str">
        <f>type</f>
        <v xml:space="preserve">TYPE OF FILING: "X" ORIGINAL   UPDATED    REVISED  </v>
      </c>
      <c r="C618" s="196"/>
      <c r="D618" s="344"/>
      <c r="E618" s="196"/>
      <c r="F618" s="196"/>
      <c r="G618" s="196"/>
      <c r="H618" s="196"/>
      <c r="I618" s="196"/>
      <c r="J618" s="196"/>
      <c r="K618" s="196"/>
    </row>
    <row r="619" spans="1:11">
      <c r="B619" s="343"/>
      <c r="C619" s="196"/>
      <c r="D619" s="344"/>
      <c r="E619" s="196"/>
      <c r="F619" s="196"/>
      <c r="G619" s="196"/>
      <c r="H619" s="196"/>
      <c r="I619" s="196"/>
      <c r="J619" s="196"/>
      <c r="K619" s="196"/>
    </row>
    <row r="620" spans="1:11">
      <c r="B620" s="343"/>
      <c r="C620" s="196"/>
      <c r="D620" s="344"/>
      <c r="E620" s="196"/>
      <c r="F620" s="196"/>
      <c r="G620" s="196"/>
      <c r="H620" s="196"/>
      <c r="I620" s="196"/>
      <c r="J620" s="196"/>
      <c r="K620" s="196"/>
    </row>
    <row r="621" spans="1:11">
      <c r="A621" s="344" t="s">
        <v>914</v>
      </c>
      <c r="B621" s="196"/>
      <c r="C621" s="196"/>
      <c r="D621" s="344"/>
      <c r="E621" s="196"/>
      <c r="F621" s="344" t="s">
        <v>229</v>
      </c>
      <c r="G621" s="545" t="s">
        <v>1005</v>
      </c>
      <c r="H621" s="533"/>
      <c r="I621" s="534"/>
      <c r="J621" s="344" t="s">
        <v>229</v>
      </c>
      <c r="K621" s="344" t="s">
        <v>342</v>
      </c>
    </row>
    <row r="622" spans="1:11">
      <c r="A622" s="346" t="s">
        <v>915</v>
      </c>
      <c r="B622" s="345" t="s">
        <v>77</v>
      </c>
      <c r="C622" s="345"/>
      <c r="D622" s="346" t="s">
        <v>337</v>
      </c>
      <c r="E622" s="345"/>
      <c r="F622" s="346" t="str">
        <f>$F$9</f>
        <v>INTERRUPTIBLE</v>
      </c>
      <c r="G622" s="546" t="s">
        <v>847</v>
      </c>
      <c r="H622" s="535" t="s">
        <v>848</v>
      </c>
      <c r="I622" s="536" t="s">
        <v>849</v>
      </c>
      <c r="J622" s="346" t="s">
        <v>341</v>
      </c>
      <c r="K622" s="346" t="s">
        <v>340</v>
      </c>
    </row>
    <row r="623" spans="1:11">
      <c r="C623" s="578" t="s">
        <v>352</v>
      </c>
      <c r="D623" s="344"/>
      <c r="E623" s="196"/>
      <c r="G623" s="800">
        <f>$G$10</f>
        <v>3</v>
      </c>
      <c r="H623" s="801">
        <f>$H$10</f>
        <v>4</v>
      </c>
      <c r="I623" s="802">
        <f>$I$10</f>
        <v>5</v>
      </c>
    </row>
    <row r="624" spans="1:11">
      <c r="A624" s="333">
        <v>1</v>
      </c>
      <c r="B624" s="332" t="s">
        <v>78</v>
      </c>
      <c r="D624" s="344"/>
      <c r="E624" s="196"/>
      <c r="G624" s="547"/>
      <c r="H624" s="537"/>
      <c r="I624" s="538"/>
    </row>
    <row r="625" spans="1:11">
      <c r="A625" s="333">
        <v>2</v>
      </c>
      <c r="C625" s="332" t="str">
        <f>'FR-16(7)(v)-1 Functional'!C625</f>
        <v>MISC SERVICE REVENUE</v>
      </c>
      <c r="D625" s="344" t="str">
        <f>'FR-16(7)(v)-1 Functional'!D625</f>
        <v>K401</v>
      </c>
      <c r="E625" s="196"/>
      <c r="F625" s="479">
        <f>'FR-16(7)(v)-8 TOT CLASS Alloc'!J625</f>
        <v>11</v>
      </c>
      <c r="G625" s="548">
        <f>'FR-16(7)(v)-5 DISTR Dem Alloc'!$J$625</f>
        <v>0</v>
      </c>
      <c r="H625" s="539">
        <f>'FR-16(7)(v)-3 PROD Comm Alloc'!$J$625</f>
        <v>0</v>
      </c>
      <c r="I625" s="540">
        <f>'FR-16(7)(v)-6 DISTR Cust Alloc'!$J$625</f>
        <v>11</v>
      </c>
      <c r="J625" s="347">
        <f>SUM($G$625:$I$625)</f>
        <v>11</v>
      </c>
      <c r="K625" s="347">
        <f>F625-$J$625</f>
        <v>0</v>
      </c>
    </row>
    <row r="626" spans="1:11">
      <c r="A626" s="333">
        <v>3</v>
      </c>
      <c r="C626" s="332" t="str">
        <f>'FR-16(7)(v)-1 Functional'!C626</f>
        <v>INTERDEPARTMENTAL</v>
      </c>
      <c r="D626" s="344" t="str">
        <f>'FR-16(7)(v)-1 Functional'!D626</f>
        <v>AG39</v>
      </c>
      <c r="E626" s="196"/>
      <c r="F626" s="479">
        <f>'FR-16(7)(v)-8 TOT CLASS Alloc'!J626</f>
        <v>285</v>
      </c>
      <c r="G626" s="548">
        <f>'FR-16(7)(v)-5 DISTR Dem Alloc'!$J$626</f>
        <v>224</v>
      </c>
      <c r="H626" s="539">
        <f>'FR-16(7)(v)-3 PROD Comm Alloc'!$J$626</f>
        <v>5</v>
      </c>
      <c r="I626" s="540">
        <f>'FR-16(7)(v)-6 DISTR Cust Alloc'!$J$626</f>
        <v>56</v>
      </c>
      <c r="J626" s="347">
        <f>SUM($G$626:$I$626)</f>
        <v>285</v>
      </c>
      <c r="K626" s="347">
        <f>F626-$J$626</f>
        <v>0</v>
      </c>
    </row>
    <row r="627" spans="1:11">
      <c r="A627" s="333">
        <v>4</v>
      </c>
      <c r="C627" s="332" t="str">
        <f>'FR-16(7)(v)-1 Functional'!C627</f>
        <v>OTH MISC REVENUE</v>
      </c>
      <c r="D627" s="344" t="str">
        <f>'FR-16(7)(v)-1 Functional'!D627</f>
        <v>K401</v>
      </c>
      <c r="E627" s="196"/>
      <c r="F627" s="479">
        <f>'FR-16(7)(v)-8 TOT CLASS Alloc'!J627</f>
        <v>0</v>
      </c>
      <c r="G627" s="548">
        <f>'FR-16(7)(v)-5 DISTR Dem Alloc'!$J$627</f>
        <v>0</v>
      </c>
      <c r="H627" s="539">
        <f>'FR-16(7)(v)-3 PROD Comm Alloc'!$J$627</f>
        <v>0</v>
      </c>
      <c r="I627" s="540">
        <f>'FR-16(7)(v)-6 DISTR Cust Alloc'!$J$627</f>
        <v>0</v>
      </c>
      <c r="J627" s="347">
        <f>SUM($G$627:$I$627)</f>
        <v>0</v>
      </c>
      <c r="K627" s="347">
        <f>F627-J627</f>
        <v>0</v>
      </c>
    </row>
    <row r="628" spans="1:11">
      <c r="A628" s="333">
        <v>5</v>
      </c>
      <c r="C628" s="332" t="str">
        <f>'FR-16(7)(v)-1 Functional'!C628</f>
        <v>RENTS</v>
      </c>
      <c r="D628" s="344" t="str">
        <f>'FR-16(7)(v)-1 Functional'!D628</f>
        <v>D249</v>
      </c>
      <c r="E628" s="196"/>
      <c r="F628" s="479">
        <f>'FR-16(7)(v)-8 TOT CLASS Alloc'!J628</f>
        <v>270</v>
      </c>
      <c r="G628" s="548">
        <f>'FR-16(7)(v)-5 DISTR Dem Alloc'!$J$628</f>
        <v>246</v>
      </c>
      <c r="H628" s="539">
        <f>'FR-16(7)(v)-3 PROD Comm Alloc'!$J$628</f>
        <v>0</v>
      </c>
      <c r="I628" s="540">
        <f>'FR-16(7)(v)-6 DISTR Cust Alloc'!$J$628</f>
        <v>24</v>
      </c>
      <c r="J628" s="347">
        <f>SUM($G$628:$I$628)</f>
        <v>270</v>
      </c>
      <c r="K628" s="347">
        <f>F628-$J$628</f>
        <v>0</v>
      </c>
    </row>
    <row r="629" spans="1:11">
      <c r="A629" s="333">
        <v>6</v>
      </c>
      <c r="C629" s="359" t="str">
        <f>'FR-16(7)(v)-1 Functional'!C629</f>
        <v>IT TRANSPORT SPECIAL CONTRACTS</v>
      </c>
      <c r="D629" s="344" t="str">
        <f>'FR-16(7)(v)-1 Functional'!D629</f>
        <v>AG39</v>
      </c>
      <c r="E629" s="196"/>
      <c r="F629" s="479">
        <f>'FR-16(7)(v)-8 TOT CLASS Alloc'!J629</f>
        <v>0</v>
      </c>
      <c r="G629" s="548">
        <f>'FR-16(7)(v)-5 DISTR Dem Alloc'!$J$629</f>
        <v>0</v>
      </c>
      <c r="H629" s="539">
        <f>'FR-16(7)(v)-3 PROD Comm Alloc'!$J$629</f>
        <v>0</v>
      </c>
      <c r="I629" s="540">
        <f>'FR-16(7)(v)-6 DISTR Cust Alloc'!$J$629</f>
        <v>0</v>
      </c>
      <c r="J629" s="347">
        <f>SUM($G$629:$I$629)</f>
        <v>0</v>
      </c>
      <c r="K629" s="347">
        <f>F629-$J$629</f>
        <v>0</v>
      </c>
    </row>
    <row r="630" spans="1:11">
      <c r="A630" s="333">
        <v>7</v>
      </c>
      <c r="C630" s="332" t="str">
        <f>'FR-16(7)(v)-1 Functional'!C630</f>
        <v xml:space="preserve">  TOTAL OTHER OPERATING REVS</v>
      </c>
      <c r="D630" s="344"/>
      <c r="E630" s="196"/>
      <c r="F630" s="348">
        <f>SUM(F625:F629)</f>
        <v>566</v>
      </c>
      <c r="G630" s="549">
        <f>SUM($G$625:$G$629)</f>
        <v>470</v>
      </c>
      <c r="H630" s="541">
        <f>SUM($H$625:$H$629)</f>
        <v>5</v>
      </c>
      <c r="I630" s="542">
        <f>SUM($I$625:$I$629)</f>
        <v>91</v>
      </c>
      <c r="J630" s="348">
        <f>SUM($J$625:$J$629)</f>
        <v>566</v>
      </c>
      <c r="K630" s="348">
        <f>SUM($K$625:$K$629)</f>
        <v>0</v>
      </c>
    </row>
    <row r="631" spans="1:11">
      <c r="A631" s="333">
        <v>8</v>
      </c>
      <c r="D631" s="344"/>
      <c r="E631" s="196"/>
      <c r="G631" s="547"/>
      <c r="H631" s="537"/>
      <c r="I631" s="538"/>
    </row>
    <row r="632" spans="1:11">
      <c r="A632" s="333">
        <v>9</v>
      </c>
      <c r="B632" s="332" t="s">
        <v>77</v>
      </c>
      <c r="D632" s="344"/>
      <c r="E632" s="196"/>
      <c r="G632" s="547"/>
      <c r="H632" s="537"/>
      <c r="I632" s="538"/>
    </row>
    <row r="633" spans="1:11">
      <c r="A633" s="333">
        <v>10</v>
      </c>
      <c r="C633" s="332" t="str">
        <f>'FR-16(7)(v)-1 Functional'!C633</f>
        <v>TOTAL OP EXP EXC INC &amp; REV TAX</v>
      </c>
      <c r="D633" s="344"/>
      <c r="E633" s="196"/>
      <c r="F633" s="347">
        <f>F501</f>
        <v>727111</v>
      </c>
      <c r="G633" s="548">
        <f>$G$501</f>
        <v>511714</v>
      </c>
      <c r="H633" s="539">
        <f>$H$501</f>
        <v>126840</v>
      </c>
      <c r="I633" s="540">
        <f>$I$501</f>
        <v>88557</v>
      </c>
      <c r="J633" s="347">
        <f>$J$501</f>
        <v>727111</v>
      </c>
      <c r="K633" s="347">
        <f>F633-J633</f>
        <v>0</v>
      </c>
    </row>
    <row r="634" spans="1:11">
      <c r="A634" s="333">
        <v>11</v>
      </c>
      <c r="C634" s="332" t="str">
        <f>'FR-16(7)(v)-1 Functional'!C634</f>
        <v>RETURN ON RATE BASE</v>
      </c>
      <c r="D634" s="344"/>
      <c r="E634" s="196"/>
      <c r="F634" s="347">
        <f>F334</f>
        <v>419279</v>
      </c>
      <c r="G634" s="548">
        <f>G334</f>
        <v>373287</v>
      </c>
      <c r="H634" s="539">
        <f>H334</f>
        <v>8869</v>
      </c>
      <c r="I634" s="540">
        <f>I334</f>
        <v>37124</v>
      </c>
      <c r="J634" s="347">
        <f>J334</f>
        <v>419280</v>
      </c>
      <c r="K634" s="347">
        <f>F634-J634</f>
        <v>-1</v>
      </c>
    </row>
    <row r="635" spans="1:11">
      <c r="A635" s="333">
        <v>12</v>
      </c>
      <c r="C635" s="332" t="str">
        <f>'FR-16(7)(v)-1 Functional'!C635</f>
        <v>NET FED INCOME TAX ALLOWABLE</v>
      </c>
      <c r="D635" s="344"/>
      <c r="E635" s="196"/>
      <c r="F635" s="347">
        <f>F557</f>
        <v>51956</v>
      </c>
      <c r="G635" s="548">
        <f>$G$557</f>
        <v>41093</v>
      </c>
      <c r="H635" s="539">
        <f>$H$557</f>
        <v>4844</v>
      </c>
      <c r="I635" s="540">
        <f>$I$557</f>
        <v>6019</v>
      </c>
      <c r="J635" s="347">
        <f>$J$557</f>
        <v>51956</v>
      </c>
      <c r="K635" s="347">
        <f>F635-J635</f>
        <v>0</v>
      </c>
    </row>
    <row r="636" spans="1:11">
      <c r="A636" s="333">
        <v>13</v>
      </c>
      <c r="C636" s="359" t="str">
        <f>'FR-16(7)(v)-1 Functional'!C636</f>
        <v>TOTAL OTHER OPERATING REVENUES</v>
      </c>
      <c r="D636" s="344"/>
      <c r="E636" s="196"/>
      <c r="F636" s="347">
        <f>-F630</f>
        <v>-566</v>
      </c>
      <c r="G636" s="548">
        <f>-$G$630</f>
        <v>-470</v>
      </c>
      <c r="H636" s="539">
        <f>-$H$630</f>
        <v>-5</v>
      </c>
      <c r="I636" s="540">
        <f>-$I$630</f>
        <v>-91</v>
      </c>
      <c r="J636" s="347">
        <f>-$J$630</f>
        <v>-566</v>
      </c>
      <c r="K636" s="347">
        <f>F636-J636</f>
        <v>0</v>
      </c>
    </row>
    <row r="637" spans="1:11">
      <c r="A637" s="333">
        <v>14</v>
      </c>
      <c r="C637" s="332" t="str">
        <f>'FR-16(7)(v)-1 Functional'!C637</f>
        <v xml:space="preserve">  SUBTOTAL B</v>
      </c>
      <c r="D637" s="344"/>
      <c r="E637" s="196"/>
      <c r="F637" s="348">
        <f>SUM(F632:F636)</f>
        <v>1197780</v>
      </c>
      <c r="G637" s="549">
        <f>SUM($G$632:$G$636)</f>
        <v>925624</v>
      </c>
      <c r="H637" s="541">
        <f>SUM($H$632:$H$636)</f>
        <v>140548</v>
      </c>
      <c r="I637" s="542">
        <f>SUM($I$632:$I$636)</f>
        <v>131609</v>
      </c>
      <c r="J637" s="348">
        <f>SUM($J$632:$J$636)</f>
        <v>1197781</v>
      </c>
      <c r="K637" s="348">
        <f>$J$637-F637</f>
        <v>1</v>
      </c>
    </row>
    <row r="638" spans="1:11">
      <c r="A638" s="333">
        <v>15</v>
      </c>
      <c r="D638" s="344"/>
      <c r="E638" s="196"/>
      <c r="G638" s="547"/>
      <c r="H638" s="537"/>
      <c r="I638" s="538"/>
    </row>
    <row r="639" spans="1:11">
      <c r="A639" s="333">
        <v>16</v>
      </c>
      <c r="C639" s="332" t="str">
        <f>'FR-16(7)(v)-1 Functional'!C639</f>
        <v>TOTAL OTHER OPERATING REVENUES</v>
      </c>
      <c r="D639" s="344"/>
      <c r="E639" s="196"/>
      <c r="F639" s="347">
        <f>-F636</f>
        <v>566</v>
      </c>
      <c r="G639" s="548">
        <f>-$G$636</f>
        <v>470</v>
      </c>
      <c r="H639" s="539">
        <f>-$H$636</f>
        <v>5</v>
      </c>
      <c r="I639" s="540">
        <f>-$I$636</f>
        <v>91</v>
      </c>
      <c r="J639" s="347">
        <f>-$J$636</f>
        <v>566</v>
      </c>
      <c r="K639" s="347">
        <f>-$K$636</f>
        <v>0</v>
      </c>
    </row>
    <row r="640" spans="1:11">
      <c r="A640" s="333">
        <v>17</v>
      </c>
      <c r="C640" s="359" t="str">
        <f>'FR-16(7)(v)-1 Functional'!C640</f>
        <v>LESS: REVS EXCL FROM REV TAX CALC</v>
      </c>
      <c r="D640" s="344"/>
      <c r="E640" s="196"/>
      <c r="F640" s="479">
        <f>'FR-16(7)(v)-8 TOT CLASS Alloc'!J640</f>
        <v>0</v>
      </c>
      <c r="G640" s="548">
        <f>'FR-16(7)(v)-5 DISTR Dem Alloc'!J640</f>
        <v>0</v>
      </c>
      <c r="H640" s="539">
        <f>'FR-16(7)(v)-3 PROD Comm Alloc'!J640</f>
        <v>0</v>
      </c>
      <c r="I640" s="540">
        <f>'FR-16(7)(v)-6 DISTR Cust Alloc'!J640</f>
        <v>0</v>
      </c>
      <c r="J640" s="347">
        <f>SUM(G640:I640)</f>
        <v>0</v>
      </c>
      <c r="K640" s="347">
        <f>'FR-16(7)(v)-3 PROD Comm Alloc'!L855</f>
        <v>0</v>
      </c>
    </row>
    <row r="641" spans="1:11">
      <c r="A641" s="333">
        <v>18</v>
      </c>
      <c r="C641" s="332" t="str">
        <f>'FR-16(7)(v)-1 Functional'!C641</f>
        <v>OTHER OPERATING REVS TO BE TAXED</v>
      </c>
      <c r="D641" s="344"/>
      <c r="E641" s="196"/>
      <c r="F641" s="348">
        <f>F639-F640</f>
        <v>566</v>
      </c>
      <c r="G641" s="549">
        <f>$G$639-G640</f>
        <v>470</v>
      </c>
      <c r="H641" s="541">
        <f>$H$639-H640</f>
        <v>5</v>
      </c>
      <c r="I641" s="542">
        <f>$I$639-I640</f>
        <v>91</v>
      </c>
      <c r="J641" s="348">
        <f>$J$639-J640</f>
        <v>566</v>
      </c>
      <c r="K641" s="348">
        <f>$K$639-K640</f>
        <v>0</v>
      </c>
    </row>
    <row r="642" spans="1:11">
      <c r="A642" s="333">
        <v>19</v>
      </c>
      <c r="D642" s="344"/>
      <c r="E642" s="196"/>
      <c r="G642" s="547"/>
      <c r="H642" s="537"/>
      <c r="I642" s="538"/>
    </row>
    <row r="643" spans="1:11">
      <c r="A643" s="333">
        <v>20</v>
      </c>
      <c r="C643" s="332" t="str">
        <f>'FR-16(7)(v)-1 Functional'!C643</f>
        <v>REVENUE TAX FACTOR</v>
      </c>
      <c r="D643" s="344"/>
      <c r="E643" s="196"/>
      <c r="F643" s="350">
        <f t="shared" ref="F643:K643" si="114">ROUND(F694/(1-F694),8)</f>
        <v>0</v>
      </c>
      <c r="G643" s="566">
        <f t="shared" si="114"/>
        <v>0</v>
      </c>
      <c r="H643" s="567">
        <f t="shared" si="114"/>
        <v>0</v>
      </c>
      <c r="I643" s="568">
        <f t="shared" si="114"/>
        <v>0</v>
      </c>
      <c r="J643" s="350">
        <f t="shared" si="114"/>
        <v>0</v>
      </c>
      <c r="K643" s="350">
        <f t="shared" si="114"/>
        <v>0</v>
      </c>
    </row>
    <row r="644" spans="1:11">
      <c r="A644" s="333">
        <v>21</v>
      </c>
      <c r="C644" s="332" t="str">
        <f>'FR-16(7)(v)-1 Functional'!C644</f>
        <v>REVENUE TAX ON OTHER OPER. REVS</v>
      </c>
      <c r="D644" s="344"/>
      <c r="E644" s="196"/>
      <c r="F644" s="347">
        <f>ROUND(F643*F641,0)</f>
        <v>0</v>
      </c>
      <c r="G644" s="548">
        <f>ROUND(G643*G641,0)</f>
        <v>0</v>
      </c>
      <c r="H644" s="539">
        <f>ROUND(H643*H641,0)</f>
        <v>0</v>
      </c>
      <c r="I644" s="540">
        <f>ROUND(I643*I641,0)</f>
        <v>0</v>
      </c>
      <c r="J644" s="347">
        <f>SUM(G644:I644)</f>
        <v>0</v>
      </c>
      <c r="K644" s="347">
        <f>ROUND(K643*K641,0)</f>
        <v>0</v>
      </c>
    </row>
    <row r="645" spans="1:11">
      <c r="A645" s="333">
        <v>22</v>
      </c>
      <c r="C645" s="332" t="str">
        <f>'FR-16(7)(v)-1 Functional'!C645</f>
        <v>REVENUE TAX ON COST OF SERVICE</v>
      </c>
      <c r="D645" s="344"/>
      <c r="E645" s="196"/>
      <c r="F645" s="512">
        <f>ROUND(F643*F637,0)</f>
        <v>0</v>
      </c>
      <c r="G645" s="548">
        <f>ROUND(G643*$G$637,0)</f>
        <v>0</v>
      </c>
      <c r="H645" s="539">
        <f>ROUND(H643*$H$637,0)</f>
        <v>0</v>
      </c>
      <c r="I645" s="540">
        <f>ROUND(I643*$I$637,0)</f>
        <v>0</v>
      </c>
      <c r="J645" s="512">
        <f>SUM(G645:I645)</f>
        <v>0</v>
      </c>
      <c r="K645" s="512">
        <f>ROUND(K643*$K$637,0)</f>
        <v>0</v>
      </c>
    </row>
    <row r="646" spans="1:11">
      <c r="A646" s="333">
        <v>23</v>
      </c>
      <c r="C646" s="359" t="str">
        <f>'FR-16(7)(v)-1 Functional'!C646</f>
        <v>TOTAL REVENUE TAX</v>
      </c>
      <c r="D646" s="344"/>
      <c r="E646" s="196"/>
      <c r="F646" s="510">
        <f t="shared" ref="F646:K646" si="115">F645+F644</f>
        <v>0</v>
      </c>
      <c r="G646" s="572">
        <f t="shared" si="115"/>
        <v>0</v>
      </c>
      <c r="H646" s="573">
        <f t="shared" si="115"/>
        <v>0</v>
      </c>
      <c r="I646" s="574">
        <f t="shared" si="115"/>
        <v>0</v>
      </c>
      <c r="J646" s="510">
        <f t="shared" si="115"/>
        <v>0</v>
      </c>
      <c r="K646" s="510">
        <f t="shared" si="115"/>
        <v>0</v>
      </c>
    </row>
    <row r="647" spans="1:11">
      <c r="A647" s="333">
        <v>24</v>
      </c>
      <c r="C647" s="332" t="str">
        <f>'FR-16(7)(v)-1 Functional'!C647</f>
        <v xml:space="preserve">  TOTAL GAS COST OF SERVICE</v>
      </c>
      <c r="D647" s="344"/>
      <c r="E647" s="196"/>
      <c r="F647" s="348">
        <f>F646+F637</f>
        <v>1197780</v>
      </c>
      <c r="G647" s="549">
        <f>G646+$G$637</f>
        <v>925624</v>
      </c>
      <c r="H647" s="541">
        <f>H646+$H$637</f>
        <v>140548</v>
      </c>
      <c r="I647" s="542">
        <f>I646+$I$637</f>
        <v>131609</v>
      </c>
      <c r="J647" s="348">
        <f>J646+$J$637</f>
        <v>1197781</v>
      </c>
      <c r="K647" s="348">
        <f>K646+$K$637</f>
        <v>1</v>
      </c>
    </row>
    <row r="648" spans="1:11">
      <c r="A648" s="333">
        <v>25</v>
      </c>
      <c r="D648" s="344"/>
      <c r="E648" s="196"/>
      <c r="G648" s="547"/>
      <c r="H648" s="537"/>
      <c r="I648" s="538"/>
    </row>
    <row r="649" spans="1:11">
      <c r="A649" s="333">
        <v>26</v>
      </c>
      <c r="B649" s="332" t="s">
        <v>1194</v>
      </c>
      <c r="D649" s="344"/>
      <c r="E649" s="196"/>
      <c r="F649" s="479">
        <f>'FR-16(7)(v)-8 TOT CLASS Alloc'!J649</f>
        <v>1524248</v>
      </c>
      <c r="G649" s="548">
        <f>'FR-16(7)(v)-5 DISTR Dem Alloc'!J649</f>
        <v>482985</v>
      </c>
      <c r="H649" s="539">
        <f>'FR-16(7)(v)-3 PROD Comm Alloc'!J649</f>
        <v>581028</v>
      </c>
      <c r="I649" s="540">
        <f>'FR-16(7)(v)-6 DISTR Cust Alloc'!J649</f>
        <v>460235</v>
      </c>
      <c r="J649" s="347">
        <f>SUM(G649:I649)</f>
        <v>1524248</v>
      </c>
      <c r="K649" s="347">
        <f>F649-J649</f>
        <v>0</v>
      </c>
    </row>
    <row r="650" spans="1:11">
      <c r="A650" s="333">
        <v>27</v>
      </c>
      <c r="B650" s="332" t="s">
        <v>79</v>
      </c>
      <c r="D650" s="344"/>
      <c r="E650" s="196"/>
      <c r="F650" s="347">
        <f t="shared" ref="F650:K650" si="116">-F647</f>
        <v>-1197780</v>
      </c>
      <c r="G650" s="548">
        <f t="shared" si="116"/>
        <v>-925624</v>
      </c>
      <c r="H650" s="539">
        <f t="shared" si="116"/>
        <v>-140548</v>
      </c>
      <c r="I650" s="540">
        <f t="shared" si="116"/>
        <v>-131609</v>
      </c>
      <c r="J650" s="347">
        <f t="shared" si="116"/>
        <v>-1197781</v>
      </c>
      <c r="K650" s="347">
        <f t="shared" si="116"/>
        <v>-1</v>
      </c>
    </row>
    <row r="651" spans="1:11">
      <c r="A651" s="333">
        <v>28</v>
      </c>
      <c r="B651" s="332" t="s">
        <v>80</v>
      </c>
      <c r="D651" s="344"/>
      <c r="E651" s="196"/>
      <c r="F651" s="347">
        <f>F650+F649</f>
        <v>326468</v>
      </c>
      <c r="G651" s="548">
        <f>G650+G649</f>
        <v>-442639</v>
      </c>
      <c r="H651" s="539">
        <f>H650+H649</f>
        <v>440480</v>
      </c>
      <c r="I651" s="540">
        <f>I650+I649</f>
        <v>328626</v>
      </c>
      <c r="J651" s="347">
        <f>SUM(G651:I651)</f>
        <v>326467</v>
      </c>
      <c r="K651" s="347">
        <f>K650+K649</f>
        <v>-1</v>
      </c>
    </row>
    <row r="652" spans="1:11">
      <c r="A652" s="333">
        <v>29</v>
      </c>
      <c r="B652" s="332" t="s">
        <v>76</v>
      </c>
      <c r="D652" s="344"/>
      <c r="E652" s="196"/>
      <c r="F652" s="350">
        <f>F565</f>
        <v>0.24925</v>
      </c>
      <c r="G652" s="566">
        <f>$G$565</f>
        <v>0.24925</v>
      </c>
      <c r="H652" s="567">
        <f>$H$565</f>
        <v>0.24925</v>
      </c>
      <c r="I652" s="568">
        <f>$I$565</f>
        <v>0.24925</v>
      </c>
      <c r="J652" s="350">
        <f>$K$565</f>
        <v>0.24925</v>
      </c>
      <c r="K652" s="350">
        <f>$K$565</f>
        <v>0.24925</v>
      </c>
    </row>
    <row r="653" spans="1:11">
      <c r="A653" s="333">
        <v>30</v>
      </c>
      <c r="B653" s="332" t="s">
        <v>81</v>
      </c>
      <c r="D653" s="344"/>
      <c r="E653" s="196"/>
      <c r="F653" s="347">
        <f>ROUND(F652*F651,0)</f>
        <v>81372</v>
      </c>
      <c r="G653" s="548">
        <f>ROUND(F652*F651,0)-H653-I653</f>
        <v>-110328</v>
      </c>
      <c r="H653" s="539">
        <f>ROUND(H652*H651,0)</f>
        <v>109790</v>
      </c>
      <c r="I653" s="540">
        <f>ROUND(I652*I651,0)</f>
        <v>81910</v>
      </c>
      <c r="J653" s="347">
        <f>SUM(G653:I653)</f>
        <v>81372</v>
      </c>
      <c r="K653" s="512">
        <f t="shared" ref="K653:K654" si="117">F653-J653</f>
        <v>0</v>
      </c>
    </row>
    <row r="654" spans="1:11">
      <c r="A654" s="333">
        <v>31</v>
      </c>
      <c r="B654" s="332" t="s">
        <v>82</v>
      </c>
      <c r="D654" s="344"/>
      <c r="E654" s="196"/>
      <c r="F654" s="347">
        <f>F651-F653</f>
        <v>245096</v>
      </c>
      <c r="G654" s="550">
        <f>G651-G653</f>
        <v>-332311</v>
      </c>
      <c r="H654" s="543">
        <f>H651-H653</f>
        <v>330690</v>
      </c>
      <c r="I654" s="544">
        <f>I651-I653</f>
        <v>246716</v>
      </c>
      <c r="J654" s="347">
        <f>SUM(G654:I654)</f>
        <v>245095</v>
      </c>
      <c r="K654" s="512">
        <f t="shared" si="117"/>
        <v>1</v>
      </c>
    </row>
    <row r="655" spans="1:11">
      <c r="A655" s="532"/>
      <c r="B655" s="584"/>
      <c r="C655" s="584"/>
      <c r="D655" s="736"/>
      <c r="E655" s="584"/>
      <c r="F655" s="532"/>
      <c r="G655" s="532"/>
      <c r="H655" s="532"/>
      <c r="I655" s="532"/>
      <c r="J655" s="532"/>
      <c r="K655" s="532"/>
    </row>
    <row r="656" spans="1:11">
      <c r="A656" s="343" t="str">
        <f>co_name</f>
        <v>DUKE ENERGY KENTUCKY, INC.</v>
      </c>
      <c r="C656" s="196"/>
      <c r="D656" s="344"/>
      <c r="E656" s="196"/>
      <c r="F656" s="196"/>
      <c r="G656" s="196"/>
      <c r="H656" s="196"/>
      <c r="I656" s="196"/>
      <c r="J656" s="196" t="str">
        <f>$J$1</f>
        <v>FR-16(7)(v)-12</v>
      </c>
      <c r="K656" s="196"/>
    </row>
    <row r="657" spans="1:11">
      <c r="A657" s="343" t="str">
        <f>$A$2</f>
        <v>INTERRUPTIBLE TRANSPORTATION CLASSIFIED - GAS COST OF SERVICE</v>
      </c>
      <c r="C657" s="196"/>
      <c r="D657" s="344"/>
      <c r="E657" s="196"/>
      <c r="F657" s="196"/>
      <c r="G657" s="196"/>
      <c r="H657" s="196"/>
      <c r="I657" s="196"/>
      <c r="J657" s="196" t="str">
        <f>$J$2</f>
        <v>WITNESS RESPONSIBLE:</v>
      </c>
      <c r="K657" s="196"/>
    </row>
    <row r="658" spans="1:11">
      <c r="A658" s="343" t="str">
        <f>case_name</f>
        <v>CASE NO: 2018-00261</v>
      </c>
      <c r="C658" s="196"/>
      <c r="D658" s="344"/>
      <c r="E658" s="196"/>
      <c r="F658" s="196"/>
      <c r="G658" s="196"/>
      <c r="H658" s="196"/>
      <c r="I658" s="196"/>
      <c r="J658" s="196" t="str">
        <f>Witness</f>
        <v>JAMES E. ZIOLKOWSKI</v>
      </c>
      <c r="K658" s="196"/>
    </row>
    <row r="659" spans="1:11">
      <c r="A659" s="343" t="str">
        <f>data_filing</f>
        <v>DATA: 12 MONTH FORECASTED PERIOD</v>
      </c>
      <c r="C659" s="196"/>
      <c r="D659" s="344"/>
      <c r="E659" s="196"/>
      <c r="F659" s="196"/>
      <c r="G659" s="196"/>
      <c r="H659" s="196"/>
      <c r="I659" s="196"/>
      <c r="J659" s="196" t="str">
        <f>"PAGE "&amp;Pages2&amp;" OF "&amp;Pages2</f>
        <v>PAGE 15 OF 15</v>
      </c>
      <c r="K659" s="196"/>
    </row>
    <row r="660" spans="1:11">
      <c r="A660" s="343" t="str">
        <f>type</f>
        <v xml:space="preserve">TYPE OF FILING: "X" ORIGINAL   UPDATED    REVISED  </v>
      </c>
      <c r="C660" s="196"/>
      <c r="D660" s="344"/>
      <c r="E660" s="196"/>
      <c r="F660" s="196"/>
      <c r="G660" s="196"/>
      <c r="H660" s="196"/>
      <c r="I660" s="196"/>
      <c r="J660" s="196"/>
      <c r="K660" s="196"/>
    </row>
    <row r="661" spans="1:11">
      <c r="B661" s="343"/>
      <c r="C661" s="196"/>
      <c r="D661" s="344"/>
      <c r="E661" s="196"/>
      <c r="F661" s="196"/>
      <c r="G661" s="196"/>
      <c r="H661" s="196"/>
      <c r="I661" s="196"/>
      <c r="J661" s="196"/>
      <c r="K661" s="196"/>
    </row>
    <row r="662" spans="1:11">
      <c r="B662" s="343"/>
      <c r="C662" s="196"/>
      <c r="D662" s="344"/>
      <c r="E662" s="196"/>
      <c r="F662" s="196"/>
      <c r="G662" s="196"/>
      <c r="H662" s="196"/>
      <c r="I662" s="196"/>
      <c r="J662" s="196"/>
      <c r="K662" s="196"/>
    </row>
    <row r="663" spans="1:11">
      <c r="A663" s="344" t="s">
        <v>914</v>
      </c>
      <c r="B663" s="196"/>
      <c r="C663" s="196"/>
      <c r="D663" s="344"/>
      <c r="E663" s="196"/>
      <c r="F663" s="344" t="s">
        <v>229</v>
      </c>
      <c r="G663" s="545" t="s">
        <v>1005</v>
      </c>
      <c r="H663" s="533"/>
      <c r="I663" s="534"/>
      <c r="J663" s="344" t="s">
        <v>229</v>
      </c>
      <c r="K663" s="344" t="s">
        <v>342</v>
      </c>
    </row>
    <row r="664" spans="1:11">
      <c r="A664" s="346" t="s">
        <v>915</v>
      </c>
      <c r="B664" s="345" t="s">
        <v>83</v>
      </c>
      <c r="C664" s="345"/>
      <c r="D664" s="346" t="s">
        <v>337</v>
      </c>
      <c r="E664" s="345"/>
      <c r="F664" s="346" t="str">
        <f>$F$9</f>
        <v>INTERRUPTIBLE</v>
      </c>
      <c r="G664" s="546" t="s">
        <v>847</v>
      </c>
      <c r="H664" s="535" t="s">
        <v>848</v>
      </c>
      <c r="I664" s="536" t="s">
        <v>849</v>
      </c>
      <c r="J664" s="346" t="s">
        <v>341</v>
      </c>
      <c r="K664" s="346" t="s">
        <v>340</v>
      </c>
    </row>
    <row r="665" spans="1:11">
      <c r="C665" s="578" t="s">
        <v>353</v>
      </c>
      <c r="D665" s="344"/>
      <c r="E665" s="196"/>
      <c r="G665" s="824">
        <f>$G$10</f>
        <v>3</v>
      </c>
      <c r="H665" s="824">
        <f>$H$10</f>
        <v>4</v>
      </c>
      <c r="I665" s="824">
        <f>$I$10</f>
        <v>5</v>
      </c>
    </row>
    <row r="666" spans="1:11">
      <c r="A666" s="333">
        <v>1</v>
      </c>
      <c r="B666" s="332" t="s">
        <v>84</v>
      </c>
      <c r="D666" s="344"/>
      <c r="E666" s="196"/>
    </row>
    <row r="667" spans="1:11">
      <c r="A667" s="333">
        <v>2</v>
      </c>
      <c r="B667" s="332" t="s">
        <v>85</v>
      </c>
      <c r="D667" s="344"/>
      <c r="E667" s="196"/>
      <c r="G667" s="519" t="s">
        <v>339</v>
      </c>
    </row>
    <row r="668" spans="1:11">
      <c r="A668" s="333">
        <v>3</v>
      </c>
      <c r="C668" s="332" t="str">
        <f>'FR-16(7)(v)-1 Functional'!C668</f>
        <v>LONG TERM DEBT</v>
      </c>
      <c r="D668" s="344"/>
      <c r="E668" s="196"/>
      <c r="F668" s="479">
        <f>'FR-16(7)(v)-1 Functional'!$F$668</f>
        <v>518128763</v>
      </c>
      <c r="G668" s="350">
        <f>IF($F$673=0,0,ROUND(F668/$F$673,5))</f>
        <v>0.42338999999999999</v>
      </c>
    </row>
    <row r="669" spans="1:11">
      <c r="A669" s="333">
        <v>4</v>
      </c>
      <c r="C669" s="332" t="str">
        <f>'FR-16(7)(v)-1 Functional'!C669</f>
        <v>PREFERRED STOCK</v>
      </c>
      <c r="D669" s="344"/>
      <c r="E669" s="196"/>
      <c r="F669" s="479">
        <f>'FR-16(7)(v)-1 Functional'!$F$669</f>
        <v>0</v>
      </c>
      <c r="G669" s="350">
        <f>IF($F$673=0,0,ROUND(F669/$F$673,5))</f>
        <v>0</v>
      </c>
    </row>
    <row r="670" spans="1:11">
      <c r="A670" s="333">
        <v>5</v>
      </c>
      <c r="C670" s="332" t="str">
        <f>'FR-16(7)(v)-1 Functional'!C670</f>
        <v>COMMON STOCK</v>
      </c>
      <c r="D670" s="344"/>
      <c r="E670" s="196"/>
      <c r="F670" s="479">
        <f>'FR-16(7)(v)-1 Functional'!$F$670</f>
        <v>621113054</v>
      </c>
      <c r="G670" s="350">
        <f>1-G668-G669-G671-G672</f>
        <v>0.50755000000000006</v>
      </c>
    </row>
    <row r="671" spans="1:11">
      <c r="A671" s="333">
        <v>6</v>
      </c>
      <c r="C671" s="332" t="str">
        <f>'FR-16(7)(v)-1 Functional'!C671</f>
        <v>SHORT TERM DEBT</v>
      </c>
      <c r="D671" s="344"/>
      <c r="E671" s="196"/>
      <c r="F671" s="479">
        <f>'FR-16(7)(v)-1 Functional'!$F$671</f>
        <v>84508435</v>
      </c>
      <c r="G671" s="350">
        <f>IF($F$673=0,0,ROUND(F671/$F$673,5))</f>
        <v>6.9059999999999996E-2</v>
      </c>
    </row>
    <row r="672" spans="1:11">
      <c r="A672" s="333">
        <v>7</v>
      </c>
      <c r="C672" s="332" t="str">
        <f>'FR-16(7)(v)-1 Functional'!C672</f>
        <v>UNAMORTIZED DISCOUNT</v>
      </c>
      <c r="D672" s="344"/>
      <c r="E672" s="196"/>
      <c r="F672" s="479">
        <f>'FR-16(7)(v)-1 Functional'!$F$672</f>
        <v>0</v>
      </c>
      <c r="G672" s="350">
        <f>IF($F$673=0,0,ROUND(F672/$F$673,5))</f>
        <v>0</v>
      </c>
    </row>
    <row r="673" spans="1:9">
      <c r="A673" s="333">
        <v>8</v>
      </c>
      <c r="C673" s="332" t="str">
        <f>'FR-16(7)(v)-1 Functional'!C673</f>
        <v xml:space="preserve">  TOTAL</v>
      </c>
      <c r="D673" s="344"/>
      <c r="E673" s="196"/>
      <c r="F673" s="480">
        <f>SUM(F667:F672)</f>
        <v>1223750252</v>
      </c>
      <c r="G673" s="521">
        <f>SUM(G668:G672)</f>
        <v>1</v>
      </c>
    </row>
    <row r="674" spans="1:9">
      <c r="A674" s="333">
        <v>9</v>
      </c>
      <c r="D674" s="344"/>
      <c r="E674" s="196"/>
    </row>
    <row r="675" spans="1:9">
      <c r="A675" s="333">
        <v>10</v>
      </c>
      <c r="B675" s="332" t="s">
        <v>86</v>
      </c>
      <c r="D675" s="344"/>
      <c r="E675" s="196"/>
    </row>
    <row r="676" spans="1:9">
      <c r="A676" s="333">
        <v>11</v>
      </c>
      <c r="C676" s="332" t="str">
        <f>'FR-16(7)(v)-1 Functional'!C676</f>
        <v>LONG TERM DEBT</v>
      </c>
      <c r="D676" s="344"/>
      <c r="E676" s="196"/>
      <c r="F676" s="586">
        <f>'FR-16(7)(v)-1 Functional'!$F$676</f>
        <v>4.3979999999999998E-2</v>
      </c>
      <c r="G676" s="522"/>
      <c r="H676" s="522"/>
      <c r="I676" s="522"/>
    </row>
    <row r="677" spans="1:9">
      <c r="A677" s="333">
        <v>12</v>
      </c>
      <c r="C677" s="332" t="str">
        <f>'FR-16(7)(v)-1 Functional'!C677</f>
        <v>PREFERRED STOCK</v>
      </c>
      <c r="D677" s="344"/>
      <c r="E677" s="196"/>
      <c r="F677" s="586">
        <f>'FR-16(7)(v)-1 Functional'!$F$677</f>
        <v>0</v>
      </c>
      <c r="G677" s="522"/>
      <c r="H677" s="522"/>
      <c r="I677" s="522"/>
    </row>
    <row r="678" spans="1:9">
      <c r="A678" s="333">
        <v>13</v>
      </c>
      <c r="C678" s="332" t="str">
        <f>'FR-16(7)(v)-1 Functional'!C678</f>
        <v>COMMON STOCK</v>
      </c>
      <c r="D678" s="344"/>
      <c r="E678" s="196"/>
      <c r="F678" s="586">
        <f>'FR-16(7)(v)-1 Functional'!$F$678</f>
        <v>9.9000000000000005E-2</v>
      </c>
      <c r="G678" s="522"/>
      <c r="H678" s="522"/>
      <c r="I678" s="522"/>
    </row>
    <row r="679" spans="1:9">
      <c r="A679" s="333">
        <v>14</v>
      </c>
      <c r="C679" s="332" t="str">
        <f>'FR-16(7)(v)-1 Functional'!C679</f>
        <v>SHORT TERM DEBT</v>
      </c>
      <c r="D679" s="344"/>
      <c r="E679" s="196"/>
      <c r="F679" s="586">
        <f>'FR-16(7)(v)-1 Functional'!$F$679</f>
        <v>4.2500000000000003E-2</v>
      </c>
      <c r="G679" s="522"/>
      <c r="H679" s="522"/>
      <c r="I679" s="522"/>
    </row>
    <row r="680" spans="1:9">
      <c r="A680" s="333">
        <v>15</v>
      </c>
      <c r="C680" s="332" t="str">
        <f>'FR-16(7)(v)-1 Functional'!C680</f>
        <v>UNAMORTIZED DISCOUNT</v>
      </c>
      <c r="D680" s="344"/>
      <c r="E680" s="196"/>
      <c r="F680" s="586">
        <f>'FR-16(7)(v)-1 Functional'!$F$680</f>
        <v>0</v>
      </c>
      <c r="G680" s="522"/>
      <c r="H680" s="522"/>
      <c r="I680" s="522"/>
    </row>
    <row r="681" spans="1:9">
      <c r="A681" s="333">
        <v>16</v>
      </c>
      <c r="D681" s="344"/>
      <c r="E681" s="196"/>
    </row>
    <row r="682" spans="1:9">
      <c r="A682" s="333">
        <v>17</v>
      </c>
      <c r="B682" s="332" t="s">
        <v>87</v>
      </c>
      <c r="D682" s="344"/>
      <c r="E682" s="196"/>
    </row>
    <row r="683" spans="1:9">
      <c r="A683" s="333">
        <v>18</v>
      </c>
      <c r="C683" s="332" t="str">
        <f>'FR-16(7)(v)-1 Functional'!C683</f>
        <v>LONG TERM DEBT</v>
      </c>
      <c r="D683" s="344"/>
      <c r="E683" s="196"/>
      <c r="F683" s="350">
        <f>ROUND(G668*F676,5)</f>
        <v>1.8620000000000001E-2</v>
      </c>
      <c r="G683" s="520"/>
      <c r="H683" s="520"/>
      <c r="I683" s="520"/>
    </row>
    <row r="684" spans="1:9">
      <c r="A684" s="333">
        <v>19</v>
      </c>
      <c r="C684" s="332" t="str">
        <f>'FR-16(7)(v)-1 Functional'!C684</f>
        <v>PREFERRED STOCK</v>
      </c>
      <c r="D684" s="344"/>
      <c r="E684" s="196"/>
      <c r="F684" s="350">
        <f>ROUND(G669*F677,5)</f>
        <v>0</v>
      </c>
      <c r="G684" s="520"/>
      <c r="H684" s="520"/>
      <c r="I684" s="520"/>
    </row>
    <row r="685" spans="1:9">
      <c r="A685" s="333">
        <v>20</v>
      </c>
      <c r="C685" s="332" t="str">
        <f>'FR-16(7)(v)-1 Functional'!C685</f>
        <v>COMMON STOCK</v>
      </c>
      <c r="D685" s="344"/>
      <c r="E685" s="196"/>
      <c r="F685" s="350">
        <f>ROUND(G670*F678,5)</f>
        <v>5.0250000000000003E-2</v>
      </c>
      <c r="G685" s="520"/>
      <c r="H685" s="520"/>
      <c r="I685" s="520"/>
    </row>
    <row r="686" spans="1:9">
      <c r="A686" s="333">
        <v>21</v>
      </c>
      <c r="C686" s="332" t="str">
        <f>'FR-16(7)(v)-1 Functional'!C686</f>
        <v>SHORT TERM DEBT</v>
      </c>
      <c r="D686" s="344"/>
      <c r="E686" s="196"/>
      <c r="F686" s="350">
        <f>ROUND(G671*F679,5)</f>
        <v>2.9399999999999999E-3</v>
      </c>
      <c r="G686" s="520"/>
      <c r="H686" s="520"/>
      <c r="I686" s="520"/>
    </row>
    <row r="687" spans="1:9">
      <c r="A687" s="333">
        <v>22</v>
      </c>
      <c r="C687" s="332" t="str">
        <f>'FR-16(7)(v)-1 Functional'!C687</f>
        <v>UNAMORTIZED DISCOUNT</v>
      </c>
      <c r="D687" s="344"/>
      <c r="E687" s="196"/>
      <c r="F687" s="350">
        <f>ROUND(G672*F680,5)</f>
        <v>0</v>
      </c>
      <c r="G687" s="520"/>
      <c r="H687" s="520"/>
      <c r="I687" s="520"/>
    </row>
    <row r="688" spans="1:9">
      <c r="A688" s="333">
        <v>23</v>
      </c>
      <c r="C688" s="332" t="str">
        <f>'FR-16(7)(v)-1 Functional'!C688</f>
        <v xml:space="preserve">  TOT RATE OF RETURN ALLOWABLE</v>
      </c>
      <c r="D688" s="344"/>
      <c r="E688" s="196"/>
      <c r="F688" s="1487">
        <f>SUM(F683:F687)</f>
        <v>7.1809999999999999E-2</v>
      </c>
      <c r="G688" s="524"/>
      <c r="H688" s="524"/>
      <c r="I688" s="524"/>
    </row>
    <row r="689" spans="1:11">
      <c r="A689" s="333">
        <v>24</v>
      </c>
      <c r="D689" s="344"/>
      <c r="E689" s="196"/>
    </row>
    <row r="690" spans="1:11">
      <c r="A690" s="333">
        <v>25</v>
      </c>
      <c r="B690" s="332" t="s">
        <v>88</v>
      </c>
      <c r="D690" s="344"/>
      <c r="E690" s="196"/>
      <c r="F690" s="365"/>
    </row>
    <row r="691" spans="1:11">
      <c r="A691" s="333">
        <v>26</v>
      </c>
      <c r="C691" s="332" t="str">
        <f>'FR-16(7)(v)-1 Functional'!C691</f>
        <v>SHORT TERM DEBT COST</v>
      </c>
      <c r="D691" s="344"/>
      <c r="E691" s="196"/>
      <c r="F691" s="766">
        <v>0</v>
      </c>
      <c r="G691" s="525">
        <f>$F$691</f>
        <v>0</v>
      </c>
      <c r="H691" s="525">
        <f>$F$691</f>
        <v>0</v>
      </c>
      <c r="I691" s="525">
        <f>$F$691</f>
        <v>0</v>
      </c>
      <c r="J691" s="525">
        <f>$F$691</f>
        <v>0</v>
      </c>
      <c r="K691" s="525">
        <f>$F$691</f>
        <v>0</v>
      </c>
    </row>
    <row r="692" spans="1:11">
      <c r="A692" s="333">
        <v>27</v>
      </c>
      <c r="C692" s="332" t="str">
        <f>'FR-16(7)(v)-1 Functional'!C692</f>
        <v>FEDERAL INCOME TAX RATE</v>
      </c>
      <c r="D692" s="344"/>
      <c r="E692" s="196"/>
      <c r="F692" s="525">
        <f t="shared" ref="F692:K692" si="118">FIT</f>
        <v>0.21</v>
      </c>
      <c r="G692" s="525">
        <f t="shared" si="118"/>
        <v>0.21</v>
      </c>
      <c r="H692" s="525">
        <f t="shared" si="118"/>
        <v>0.21</v>
      </c>
      <c r="I692" s="525">
        <f t="shared" si="118"/>
        <v>0.21</v>
      </c>
      <c r="J692" s="525">
        <f t="shared" si="118"/>
        <v>0.21</v>
      </c>
      <c r="K692" s="525">
        <f t="shared" si="118"/>
        <v>0.21</v>
      </c>
    </row>
    <row r="693" spans="1:11">
      <c r="A693" s="333">
        <v>28</v>
      </c>
      <c r="C693" s="332" t="str">
        <f>'FR-16(7)(v)-1 Functional'!C693</f>
        <v>STATE INCOME TAX RATE</v>
      </c>
      <c r="D693" s="344"/>
      <c r="E693" s="196"/>
      <c r="F693" s="525">
        <f t="shared" ref="F693:K693" si="119">SIT</f>
        <v>4.9685000000000007E-2</v>
      </c>
      <c r="G693" s="525">
        <f t="shared" si="119"/>
        <v>4.9685000000000007E-2</v>
      </c>
      <c r="H693" s="525">
        <f t="shared" si="119"/>
        <v>4.9685000000000007E-2</v>
      </c>
      <c r="I693" s="525">
        <f t="shared" si="119"/>
        <v>4.9685000000000007E-2</v>
      </c>
      <c r="J693" s="525">
        <f t="shared" si="119"/>
        <v>4.9685000000000007E-2</v>
      </c>
      <c r="K693" s="525">
        <f t="shared" si="119"/>
        <v>4.9685000000000007E-2</v>
      </c>
    </row>
    <row r="694" spans="1:11">
      <c r="A694" s="333">
        <v>29</v>
      </c>
      <c r="C694" s="332" t="str">
        <f>'FR-16(7)(v)-1 Functional'!C694</f>
        <v>REVENUE TAX RATE</v>
      </c>
      <c r="D694" s="344"/>
      <c r="E694" s="196"/>
      <c r="F694" s="522">
        <v>0</v>
      </c>
      <c r="G694" s="525">
        <f>RevTax</f>
        <v>0</v>
      </c>
      <c r="H694" s="525">
        <f>RevTax</f>
        <v>0</v>
      </c>
      <c r="I694" s="525">
        <f>RevTax</f>
        <v>0</v>
      </c>
      <c r="J694" s="525">
        <f>RevTax</f>
        <v>0</v>
      </c>
      <c r="K694" s="525">
        <f>RevTax</f>
        <v>0</v>
      </c>
    </row>
    <row r="696" spans="1:11">
      <c r="A696" s="343"/>
      <c r="C696" s="196"/>
      <c r="D696" s="344"/>
      <c r="E696" s="196"/>
      <c r="F696" s="196"/>
      <c r="G696" s="196"/>
      <c r="H696" s="196"/>
      <c r="I696" s="196"/>
      <c r="J696" s="196"/>
      <c r="K696" s="196"/>
    </row>
    <row r="697" spans="1:11">
      <c r="A697" s="343"/>
      <c r="C697" s="196"/>
      <c r="D697" s="344"/>
      <c r="E697" s="196"/>
      <c r="F697" s="196"/>
      <c r="G697" s="196"/>
      <c r="H697" s="196"/>
      <c r="I697" s="196"/>
      <c r="J697" s="196"/>
      <c r="K697" s="196"/>
    </row>
    <row r="698" spans="1:11">
      <c r="A698" s="343"/>
      <c r="C698" s="196"/>
      <c r="D698" s="344"/>
      <c r="E698" s="196"/>
      <c r="F698" s="196"/>
      <c r="G698" s="196"/>
      <c r="H698" s="196"/>
      <c r="I698" s="196"/>
      <c r="J698" s="196"/>
      <c r="K698" s="196"/>
    </row>
    <row r="699" spans="1:11">
      <c r="A699" s="343"/>
      <c r="C699" s="196"/>
      <c r="D699" s="344"/>
      <c r="E699" s="196"/>
      <c r="F699" s="196"/>
      <c r="G699" s="196"/>
      <c r="H699" s="196"/>
      <c r="I699" s="196"/>
      <c r="J699" s="196"/>
      <c r="K699" s="196"/>
    </row>
    <row r="700" spans="1:11">
      <c r="A700" s="343"/>
      <c r="C700" s="196"/>
      <c r="D700" s="344"/>
      <c r="E700" s="196"/>
      <c r="F700" s="196"/>
      <c r="G700" s="196"/>
      <c r="H700" s="196"/>
      <c r="I700" s="196"/>
      <c r="J700" s="196"/>
      <c r="K700" s="196"/>
    </row>
    <row r="747" spans="1:11">
      <c r="A747" s="343"/>
      <c r="C747" s="196"/>
      <c r="D747" s="344"/>
      <c r="E747" s="196"/>
      <c r="F747" s="196"/>
      <c r="G747" s="196"/>
      <c r="H747" s="196"/>
      <c r="I747" s="196"/>
      <c r="J747" s="196"/>
      <c r="K747" s="196"/>
    </row>
    <row r="748" spans="1:11">
      <c r="A748" s="343"/>
      <c r="C748" s="196"/>
      <c r="D748" s="344"/>
      <c r="E748" s="196"/>
      <c r="F748" s="196"/>
      <c r="G748" s="196"/>
      <c r="H748" s="196"/>
      <c r="I748" s="196"/>
      <c r="J748" s="196"/>
      <c r="K748" s="196"/>
    </row>
    <row r="749" spans="1:11">
      <c r="A749" s="343"/>
      <c r="C749" s="196"/>
      <c r="D749" s="344"/>
      <c r="E749" s="196"/>
      <c r="F749" s="196"/>
      <c r="G749" s="196"/>
      <c r="H749" s="196"/>
      <c r="I749" s="196"/>
      <c r="J749" s="196"/>
      <c r="K749" s="196"/>
    </row>
    <row r="750" spans="1:11">
      <c r="A750" s="343"/>
      <c r="C750" s="196"/>
      <c r="D750" s="344"/>
      <c r="E750" s="196"/>
      <c r="F750" s="196"/>
      <c r="G750" s="196"/>
      <c r="H750" s="196"/>
      <c r="I750" s="196"/>
      <c r="J750" s="196"/>
      <c r="K750" s="196"/>
    </row>
    <row r="751" spans="1:11">
      <c r="A751" s="343"/>
      <c r="C751" s="196"/>
      <c r="D751" s="344"/>
      <c r="E751" s="196"/>
      <c r="F751" s="196"/>
      <c r="G751" s="196"/>
      <c r="H751" s="196"/>
      <c r="I751" s="196"/>
      <c r="J751" s="196"/>
      <c r="K751" s="196"/>
    </row>
    <row r="805" spans="1:11">
      <c r="A805" s="343"/>
      <c r="C805" s="196"/>
      <c r="D805" s="344"/>
      <c r="E805" s="196"/>
      <c r="F805" s="196"/>
      <c r="G805" s="196"/>
      <c r="H805" s="196"/>
      <c r="I805" s="196"/>
      <c r="J805" s="196"/>
      <c r="K805" s="196"/>
    </row>
    <row r="806" spans="1:11">
      <c r="A806" s="343"/>
      <c r="C806" s="196"/>
      <c r="D806" s="344"/>
      <c r="E806" s="196"/>
      <c r="F806" s="196"/>
      <c r="G806" s="196"/>
      <c r="H806" s="196"/>
      <c r="I806" s="196"/>
      <c r="J806" s="196"/>
      <c r="K806" s="196"/>
    </row>
    <row r="807" spans="1:11">
      <c r="A807" s="343"/>
      <c r="C807" s="196"/>
      <c r="D807" s="344"/>
      <c r="E807" s="196"/>
      <c r="F807" s="196"/>
      <c r="G807" s="196"/>
      <c r="H807" s="196"/>
      <c r="I807" s="196"/>
      <c r="J807" s="196"/>
      <c r="K807" s="196"/>
    </row>
    <row r="808" spans="1:11">
      <c r="A808" s="343"/>
      <c r="C808" s="196"/>
      <c r="D808" s="344"/>
      <c r="E808" s="196"/>
      <c r="F808" s="196"/>
      <c r="G808" s="196"/>
      <c r="H808" s="196"/>
      <c r="I808" s="196"/>
      <c r="J808" s="196"/>
      <c r="K808" s="196"/>
    </row>
    <row r="809" spans="1:11">
      <c r="A809" s="343"/>
      <c r="C809" s="196"/>
      <c r="D809" s="344"/>
      <c r="E809" s="196"/>
      <c r="F809" s="196"/>
      <c r="G809" s="196"/>
      <c r="H809" s="196"/>
      <c r="I809" s="196"/>
      <c r="J809" s="196"/>
      <c r="K809" s="196"/>
    </row>
    <row r="861" spans="1:11" ht="20.25">
      <c r="A861" s="1192" t="s">
        <v>1215</v>
      </c>
    </row>
    <row r="863" spans="1:11">
      <c r="A863" s="344" t="s">
        <v>914</v>
      </c>
      <c r="B863" s="196"/>
      <c r="C863" s="196"/>
      <c r="D863" s="344"/>
      <c r="E863" s="196"/>
      <c r="F863" s="344" t="s">
        <v>229</v>
      </c>
      <c r="G863" s="545" t="s">
        <v>1005</v>
      </c>
      <c r="H863" s="533"/>
      <c r="I863" s="534"/>
      <c r="J863" s="344" t="s">
        <v>229</v>
      </c>
      <c r="K863" s="344" t="s">
        <v>342</v>
      </c>
    </row>
    <row r="864" spans="1:11">
      <c r="A864" s="346" t="s">
        <v>915</v>
      </c>
      <c r="B864" s="345" t="s">
        <v>99</v>
      </c>
      <c r="C864" s="345"/>
      <c r="D864" s="346" t="s">
        <v>337</v>
      </c>
      <c r="E864" s="345"/>
      <c r="F864" s="346" t="str">
        <f>$F$9</f>
        <v>INTERRUPTIBLE</v>
      </c>
      <c r="G864" s="546" t="s">
        <v>847</v>
      </c>
      <c r="H864" s="535" t="s">
        <v>848</v>
      </c>
      <c r="I864" s="536" t="s">
        <v>849</v>
      </c>
      <c r="J864" s="346" t="s">
        <v>341</v>
      </c>
      <c r="K864" s="346" t="s">
        <v>340</v>
      </c>
    </row>
    <row r="865" spans="1:11">
      <c r="B865" s="196"/>
      <c r="C865" s="578" t="s">
        <v>4</v>
      </c>
      <c r="D865" s="344"/>
      <c r="E865" s="196"/>
      <c r="G865" s="800">
        <f>$G$10</f>
        <v>3</v>
      </c>
      <c r="H865" s="801">
        <f>$H$10</f>
        <v>4</v>
      </c>
      <c r="I865" s="802">
        <f>$I$10</f>
        <v>5</v>
      </c>
    </row>
    <row r="866" spans="1:11">
      <c r="A866" s="333">
        <v>1</v>
      </c>
      <c r="B866" s="332" t="s">
        <v>100</v>
      </c>
      <c r="D866" s="344"/>
      <c r="E866" s="196"/>
      <c r="G866" s="547"/>
      <c r="H866" s="537"/>
      <c r="I866" s="538"/>
    </row>
    <row r="867" spans="1:11">
      <c r="A867" s="333">
        <v>2</v>
      </c>
      <c r="C867" s="332" t="str">
        <f>'FR-16(7)(v)-1 Functional'!C867</f>
        <v>TOTAL GAS COST OF SERVICE</v>
      </c>
      <c r="D867" s="344"/>
      <c r="E867" s="196"/>
      <c r="F867" s="347">
        <f t="shared" ref="F867:K867" si="120">F647</f>
        <v>1197780</v>
      </c>
      <c r="G867" s="548">
        <f t="shared" si="120"/>
        <v>925624</v>
      </c>
      <c r="H867" s="539">
        <f t="shared" si="120"/>
        <v>140548</v>
      </c>
      <c r="I867" s="540">
        <f t="shared" si="120"/>
        <v>131609</v>
      </c>
      <c r="J867" s="347">
        <f t="shared" si="120"/>
        <v>1197781</v>
      </c>
      <c r="K867" s="347">
        <f t="shared" si="120"/>
        <v>1</v>
      </c>
    </row>
    <row r="868" spans="1:11">
      <c r="A868" s="333">
        <v>3</v>
      </c>
      <c r="C868" s="359" t="str">
        <f>'FR-16(7)(v)-1 Functional'!C868</f>
        <v>TOTAL OTHER OPERATING REVENUES</v>
      </c>
      <c r="D868" s="344"/>
      <c r="E868" s="196"/>
      <c r="F868" s="347">
        <f>F630</f>
        <v>566</v>
      </c>
      <c r="G868" s="548">
        <f>$G$630</f>
        <v>470</v>
      </c>
      <c r="H868" s="539">
        <f>$H$630</f>
        <v>5</v>
      </c>
      <c r="I868" s="540">
        <f>$I$630</f>
        <v>91</v>
      </c>
      <c r="J868" s="347">
        <f>$J$630</f>
        <v>566</v>
      </c>
      <c r="K868" s="347">
        <f>$K$630</f>
        <v>0</v>
      </c>
    </row>
    <row r="869" spans="1:11">
      <c r="A869" s="333">
        <v>4</v>
      </c>
      <c r="C869" s="332" t="str">
        <f>'FR-16(7)(v)-1 Functional'!C869</f>
        <v xml:space="preserve">  TOTAL GAS REVENUE</v>
      </c>
      <c r="D869" s="344"/>
      <c r="E869" s="196"/>
      <c r="F869" s="348">
        <f t="shared" ref="F869:K869" si="121">SUM(F866:F868)</f>
        <v>1198346</v>
      </c>
      <c r="G869" s="549">
        <f t="shared" si="121"/>
        <v>926094</v>
      </c>
      <c r="H869" s="541">
        <f t="shared" si="121"/>
        <v>140553</v>
      </c>
      <c r="I869" s="542">
        <f t="shared" si="121"/>
        <v>131700</v>
      </c>
      <c r="J869" s="348">
        <f t="shared" si="121"/>
        <v>1198347</v>
      </c>
      <c r="K869" s="348">
        <f t="shared" si="121"/>
        <v>1</v>
      </c>
    </row>
    <row r="870" spans="1:11">
      <c r="A870" s="333">
        <v>5</v>
      </c>
      <c r="C870" s="332" t="str">
        <f>'FR-16(7)(v)-1 Functional'!C870</f>
        <v>TOTAL OP EXP EX INC &amp; REV TAX</v>
      </c>
      <c r="D870" s="344"/>
      <c r="E870" s="196"/>
      <c r="F870" s="347">
        <f>-F501</f>
        <v>-727111</v>
      </c>
      <c r="G870" s="548">
        <f>-$G$501</f>
        <v>-511714</v>
      </c>
      <c r="H870" s="539">
        <f>-$H$501</f>
        <v>-126840</v>
      </c>
      <c r="I870" s="540">
        <f>-$I$501</f>
        <v>-88557</v>
      </c>
      <c r="J870" s="512">
        <f>-$J$501</f>
        <v>-727111</v>
      </c>
      <c r="K870" s="347">
        <f>-$K$501</f>
        <v>0</v>
      </c>
    </row>
    <row r="871" spans="1:11">
      <c r="A871" s="333">
        <v>6</v>
      </c>
      <c r="C871" s="359" t="str">
        <f>'FR-16(7)(v)-1 Functional'!C871</f>
        <v>FIRM SERVICE REVENUE TAX</v>
      </c>
      <c r="D871" s="344"/>
      <c r="E871" s="196"/>
      <c r="F871" s="347">
        <f>-ROUND(F694*F867,0)</f>
        <v>0</v>
      </c>
      <c r="G871" s="548">
        <f>-ROUND(G694*G867,0)</f>
        <v>0</v>
      </c>
      <c r="H871" s="539">
        <f>-ROUND(H694*H867,0)</f>
        <v>0</v>
      </c>
      <c r="I871" s="540">
        <f>-ROUND(I694*I867,0)</f>
        <v>0</v>
      </c>
      <c r="J871" s="510">
        <f>SUM(G871:I871)</f>
        <v>0</v>
      </c>
      <c r="K871" s="347">
        <f>-ROUND('FR-16(7)(v)-1 Functional'!K694*K867,0)</f>
        <v>0</v>
      </c>
    </row>
    <row r="872" spans="1:11">
      <c r="A872" s="333">
        <v>7</v>
      </c>
      <c r="C872" s="332" t="str">
        <f>'FR-16(7)(v)-1 Functional'!C872</f>
        <v xml:space="preserve">  NET INCOME</v>
      </c>
      <c r="D872" s="344"/>
      <c r="E872" s="196"/>
      <c r="F872" s="348">
        <f>SUM(F869:F871)</f>
        <v>471235</v>
      </c>
      <c r="G872" s="549">
        <f>SUM(G869:G871)</f>
        <v>414380</v>
      </c>
      <c r="H872" s="541">
        <f>SUM(H869:H871)</f>
        <v>13713</v>
      </c>
      <c r="I872" s="542">
        <f>SUM(I869:I871)</f>
        <v>43143</v>
      </c>
      <c r="J872" s="348">
        <f>SUM(G872:I872)</f>
        <v>471236</v>
      </c>
      <c r="K872" s="348">
        <f>SUM(K869:K871)</f>
        <v>1</v>
      </c>
    </row>
    <row r="873" spans="1:11">
      <c r="A873" s="333">
        <v>8</v>
      </c>
      <c r="D873" s="344"/>
      <c r="E873" s="196"/>
      <c r="G873" s="547"/>
      <c r="H873" s="537"/>
      <c r="I873" s="538"/>
    </row>
    <row r="874" spans="1:11">
      <c r="A874" s="333">
        <v>9</v>
      </c>
      <c r="B874" s="332" t="s">
        <v>101</v>
      </c>
      <c r="D874" s="344"/>
      <c r="E874" s="196"/>
      <c r="G874" s="547"/>
      <c r="H874" s="537"/>
      <c r="I874" s="538"/>
    </row>
    <row r="875" spans="1:11">
      <c r="A875" s="333">
        <v>10</v>
      </c>
      <c r="C875" s="332" t="str">
        <f>'FR-16(7)(v)-1 Functional'!C875</f>
        <v>TOTAL INTEREST EXPENSE</v>
      </c>
      <c r="D875" s="344"/>
      <c r="E875" s="196"/>
      <c r="F875" s="347">
        <f>-F516</f>
        <v>-125860</v>
      </c>
      <c r="G875" s="548">
        <f>-$G$516</f>
        <v>-112049</v>
      </c>
      <c r="H875" s="539">
        <f>-$H$516</f>
        <v>-2662</v>
      </c>
      <c r="I875" s="540">
        <f>-$I$516</f>
        <v>-11149</v>
      </c>
      <c r="J875" s="347">
        <f>-$J$516</f>
        <v>-125860</v>
      </c>
      <c r="K875" s="347">
        <f>-$K$516</f>
        <v>0</v>
      </c>
    </row>
    <row r="876" spans="1:11">
      <c r="A876" s="333">
        <v>11</v>
      </c>
      <c r="C876" s="359" t="str">
        <f>'FR-16(7)(v)-1 Functional'!C876</f>
        <v>TOTAL OTHER DEDUCTIONS</v>
      </c>
      <c r="D876" s="344"/>
      <c r="E876" s="196"/>
      <c r="F876" s="347">
        <f>-F522</f>
        <v>-113142</v>
      </c>
      <c r="G876" s="548">
        <f>-$G$522</f>
        <v>-101743</v>
      </c>
      <c r="H876" s="539">
        <f>-$H$522</f>
        <v>-143</v>
      </c>
      <c r="I876" s="540">
        <f>-$I$522</f>
        <v>-11256</v>
      </c>
      <c r="J876" s="347">
        <f>-$J$522</f>
        <v>-113142</v>
      </c>
      <c r="K876" s="347">
        <f>-$K$522</f>
        <v>0</v>
      </c>
    </row>
    <row r="877" spans="1:11">
      <c r="A877" s="333">
        <v>12</v>
      </c>
      <c r="C877" s="332" t="str">
        <f>'FR-16(7)(v)-1 Functional'!C877</f>
        <v xml:space="preserve">  PRELIMINARY TAXABLE INCOME</v>
      </c>
      <c r="D877" s="344"/>
      <c r="E877" s="196"/>
      <c r="F877" s="348">
        <f>SUM(F874:F876)+F872</f>
        <v>232233</v>
      </c>
      <c r="G877" s="549">
        <f>SUM(G874:G876)+G872</f>
        <v>200588</v>
      </c>
      <c r="H877" s="541">
        <f>SUM(H874:H876)+H872</f>
        <v>10908</v>
      </c>
      <c r="I877" s="542">
        <f>SUM(I874:I876)+I872</f>
        <v>20738</v>
      </c>
      <c r="J877" s="348">
        <f>SUM(G877:I877)</f>
        <v>232234</v>
      </c>
      <c r="K877" s="348">
        <f>SUM(K874:K876)+K872</f>
        <v>1</v>
      </c>
    </row>
    <row r="878" spans="1:11">
      <c r="A878" s="333">
        <v>13</v>
      </c>
      <c r="D878" s="344"/>
      <c r="E878" s="196"/>
      <c r="G878" s="547"/>
      <c r="H878" s="537"/>
      <c r="I878" s="538"/>
    </row>
    <row r="879" spans="1:11">
      <c r="A879" s="333">
        <v>14</v>
      </c>
      <c r="B879" s="332" t="s">
        <v>99</v>
      </c>
      <c r="D879" s="344"/>
      <c r="E879" s="196"/>
      <c r="G879" s="547"/>
      <c r="H879" s="537"/>
      <c r="I879" s="538"/>
    </row>
    <row r="880" spans="1:11">
      <c r="A880" s="333">
        <v>15</v>
      </c>
      <c r="B880" s="332" t="s">
        <v>74</v>
      </c>
      <c r="D880" s="344"/>
      <c r="E880" s="196"/>
      <c r="G880" s="547"/>
      <c r="H880" s="537"/>
      <c r="I880" s="538"/>
    </row>
    <row r="881" spans="1:11">
      <c r="A881" s="333">
        <v>16</v>
      </c>
      <c r="C881" s="332" t="str">
        <f>'FR-16(7)(v)-1 Functional'!C881</f>
        <v>PRELIMINARY TAXABLE INCOME</v>
      </c>
      <c r="D881" s="344"/>
      <c r="E881" s="196"/>
      <c r="F881" s="347">
        <f t="shared" ref="F881:K881" si="122">F877</f>
        <v>232233</v>
      </c>
      <c r="G881" s="548">
        <f t="shared" si="122"/>
        <v>200588</v>
      </c>
      <c r="H881" s="539">
        <f t="shared" si="122"/>
        <v>10908</v>
      </c>
      <c r="I881" s="540">
        <f t="shared" si="122"/>
        <v>20738</v>
      </c>
      <c r="J881" s="347">
        <f t="shared" si="122"/>
        <v>232234</v>
      </c>
      <c r="K881" s="347">
        <f t="shared" si="122"/>
        <v>1</v>
      </c>
    </row>
    <row r="882" spans="1:11">
      <c r="A882" s="333">
        <v>17</v>
      </c>
      <c r="C882" s="332" t="str">
        <f>'FR-16(7)(v)-1 Functional'!C882</f>
        <v xml:space="preserve">  NET FEDERAL TAXABLE INCOME</v>
      </c>
      <c r="D882" s="344"/>
      <c r="E882" s="196"/>
      <c r="F882" s="347">
        <f t="shared" ref="F882:K882" si="123">SUM(F881:F881)</f>
        <v>232233</v>
      </c>
      <c r="G882" s="548">
        <f t="shared" si="123"/>
        <v>200588</v>
      </c>
      <c r="H882" s="539">
        <f t="shared" si="123"/>
        <v>10908</v>
      </c>
      <c r="I882" s="540">
        <f t="shared" si="123"/>
        <v>20738</v>
      </c>
      <c r="J882" s="347">
        <f t="shared" si="123"/>
        <v>232234</v>
      </c>
      <c r="K882" s="347">
        <f t="shared" si="123"/>
        <v>1</v>
      </c>
    </row>
    <row r="883" spans="1:11">
      <c r="A883" s="333">
        <v>18</v>
      </c>
      <c r="C883" s="332" t="str">
        <f>'FR-16(7)(v)-1 Functional'!C883</f>
        <v xml:space="preserve">  FEDERAL INCOME TAX RATE</v>
      </c>
      <c r="D883" s="344"/>
      <c r="E883" s="196"/>
      <c r="F883" s="350">
        <f>F692</f>
        <v>0.21</v>
      </c>
      <c r="G883" s="566">
        <f>G692</f>
        <v>0.21</v>
      </c>
      <c r="H883" s="567">
        <f>H692</f>
        <v>0.21</v>
      </c>
      <c r="I883" s="568">
        <f>I692</f>
        <v>0.21</v>
      </c>
      <c r="J883" s="350"/>
      <c r="K883" s="350">
        <f>'FR-16(7)(v)-1 Functional'!K692</f>
        <v>0.21</v>
      </c>
    </row>
    <row r="884" spans="1:11">
      <c r="A884" s="333">
        <v>19</v>
      </c>
      <c r="C884" s="332" t="str">
        <f>'FR-16(7)(v)-1 Functional'!C884</f>
        <v>PRELIMINARY FIT = FI01 * K190</v>
      </c>
      <c r="D884" s="344"/>
      <c r="E884" s="196"/>
      <c r="F884" s="347">
        <f>ROUND(F883*F882,0)</f>
        <v>48769</v>
      </c>
      <c r="G884" s="548">
        <f>ROUND(G883*G882,0)</f>
        <v>42123</v>
      </c>
      <c r="H884" s="539">
        <f>ROUND(H883*H882,0)</f>
        <v>2291</v>
      </c>
      <c r="I884" s="540">
        <f>ROUND(I883*I882,0)</f>
        <v>4355</v>
      </c>
      <c r="J884" s="347">
        <f>SUM(G884:I884)</f>
        <v>48769</v>
      </c>
      <c r="K884" s="347">
        <f>ROUND(K883*K882,0)</f>
        <v>0</v>
      </c>
    </row>
    <row r="885" spans="1:11">
      <c r="A885" s="333">
        <v>20</v>
      </c>
      <c r="C885" s="332" t="str">
        <f>'FR-16(7)(v)-1 Functional'!C885</f>
        <v>TOTAL FED DEF IT (410 &amp; 411)</v>
      </c>
      <c r="D885" s="344"/>
      <c r="E885" s="196"/>
      <c r="F885" s="347">
        <f>F532</f>
        <v>2604</v>
      </c>
      <c r="G885" s="548">
        <f>$G$532</f>
        <v>49</v>
      </c>
      <c r="H885" s="539">
        <f>$H$532</f>
        <v>2553</v>
      </c>
      <c r="I885" s="540">
        <f>$I$532</f>
        <v>2</v>
      </c>
      <c r="J885" s="347">
        <f>$J$532</f>
        <v>2604</v>
      </c>
      <c r="K885" s="347">
        <f>$K$532</f>
        <v>0</v>
      </c>
    </row>
    <row r="886" spans="1:11">
      <c r="A886" s="333">
        <v>21</v>
      </c>
      <c r="C886" s="359" t="str">
        <f>'FR-16(7)(v)-1 Functional'!C886</f>
        <v>TOTAL AMORTIZED ITC</v>
      </c>
      <c r="D886" s="344"/>
      <c r="E886" s="196"/>
      <c r="F886" s="347">
        <f>-F536</f>
        <v>-1203</v>
      </c>
      <c r="G886" s="548">
        <f>-$G$536</f>
        <v>-1092</v>
      </c>
      <c r="H886" s="539">
        <f>-$H$536</f>
        <v>0</v>
      </c>
      <c r="I886" s="540">
        <f>-$I$536</f>
        <v>-111</v>
      </c>
      <c r="J886" s="347">
        <f>-$J$536</f>
        <v>-1203</v>
      </c>
      <c r="K886" s="347">
        <f>-$K$536</f>
        <v>0</v>
      </c>
    </row>
    <row r="887" spans="1:11">
      <c r="A887" s="333">
        <v>22</v>
      </c>
      <c r="C887" s="332" t="str">
        <f>'FR-16(7)(v)-1 Functional'!C887</f>
        <v xml:space="preserve">  NET FED INC TAX ALLOWABLE</v>
      </c>
      <c r="D887" s="344"/>
      <c r="E887" s="196"/>
      <c r="F887" s="348">
        <f t="shared" ref="F887:K887" si="124">SUM(F884:F886)</f>
        <v>50170</v>
      </c>
      <c r="G887" s="549">
        <f t="shared" si="124"/>
        <v>41080</v>
      </c>
      <c r="H887" s="541">
        <f t="shared" si="124"/>
        <v>4844</v>
      </c>
      <c r="I887" s="542">
        <f t="shared" si="124"/>
        <v>4246</v>
      </c>
      <c r="J887" s="348">
        <f t="shared" si="124"/>
        <v>50170</v>
      </c>
      <c r="K887" s="348">
        <f t="shared" si="124"/>
        <v>0</v>
      </c>
    </row>
    <row r="888" spans="1:11">
      <c r="A888" s="333">
        <v>23</v>
      </c>
      <c r="D888" s="344"/>
      <c r="E888" s="196"/>
      <c r="G888" s="547"/>
      <c r="H888" s="537"/>
      <c r="I888" s="538"/>
    </row>
    <row r="889" spans="1:11">
      <c r="A889" s="333">
        <v>24</v>
      </c>
      <c r="B889" s="332" t="s">
        <v>75</v>
      </c>
      <c r="D889" s="344"/>
      <c r="E889" s="196"/>
      <c r="G889" s="547"/>
      <c r="H889" s="537"/>
      <c r="I889" s="538"/>
    </row>
    <row r="890" spans="1:11">
      <c r="A890" s="333">
        <v>25</v>
      </c>
      <c r="C890" s="332" t="str">
        <f>'FR-16(7)(v)-1 Functional'!C890</f>
        <v>PRELIM FIT</v>
      </c>
      <c r="D890" s="344"/>
      <c r="E890" s="196"/>
      <c r="F890" s="347">
        <f t="shared" ref="F890:K890" si="125">F884</f>
        <v>48769</v>
      </c>
      <c r="G890" s="548">
        <f t="shared" si="125"/>
        <v>42123</v>
      </c>
      <c r="H890" s="539">
        <f t="shared" si="125"/>
        <v>2291</v>
      </c>
      <c r="I890" s="540">
        <f t="shared" si="125"/>
        <v>4355</v>
      </c>
      <c r="J890" s="347">
        <f t="shared" si="125"/>
        <v>48769</v>
      </c>
      <c r="K890" s="347">
        <f t="shared" si="125"/>
        <v>0</v>
      </c>
    </row>
    <row r="891" spans="1:11">
      <c r="A891" s="333">
        <v>26</v>
      </c>
      <c r="C891" s="359" t="str">
        <f>'FR-16(7)(v)-1 Functional'!C891</f>
        <v>TEST YEAR INV TAX CREDIT</v>
      </c>
      <c r="D891" s="344"/>
      <c r="E891" s="196"/>
      <c r="F891" s="347">
        <f>-F540</f>
        <v>0</v>
      </c>
      <c r="G891" s="550">
        <f>-$G$540</f>
        <v>0</v>
      </c>
      <c r="H891" s="543">
        <f>-$H$540</f>
        <v>0</v>
      </c>
      <c r="I891" s="544">
        <f>-$I$540</f>
        <v>0</v>
      </c>
      <c r="J891" s="347">
        <f>-$J$540</f>
        <v>0</v>
      </c>
      <c r="K891" s="347">
        <f>-$K$540</f>
        <v>0</v>
      </c>
    </row>
    <row r="892" spans="1:11">
      <c r="A892" s="333">
        <v>27</v>
      </c>
      <c r="C892" s="332" t="str">
        <f>'FR-16(7)(v)-1 Functional'!C892</f>
        <v xml:space="preserve">  FED INC TAX PAYABLE</v>
      </c>
      <c r="D892" s="344"/>
      <c r="E892" s="196"/>
      <c r="F892" s="348">
        <f t="shared" ref="F892:K892" si="126">SUM(F889:F891)</f>
        <v>48769</v>
      </c>
      <c r="G892" s="549">
        <f t="shared" si="126"/>
        <v>42123</v>
      </c>
      <c r="H892" s="541">
        <f t="shared" si="126"/>
        <v>2291</v>
      </c>
      <c r="I892" s="542">
        <f t="shared" si="126"/>
        <v>4355</v>
      </c>
      <c r="J892" s="348">
        <f t="shared" si="126"/>
        <v>48769</v>
      </c>
      <c r="K892" s="348">
        <f t="shared" si="126"/>
        <v>0</v>
      </c>
    </row>
    <row r="893" spans="1:11">
      <c r="A893" s="333">
        <v>28</v>
      </c>
      <c r="D893" s="344"/>
      <c r="E893" s="196"/>
      <c r="G893" s="547"/>
      <c r="H893" s="537"/>
      <c r="I893" s="538"/>
    </row>
    <row r="894" spans="1:11">
      <c r="A894" s="333">
        <v>29</v>
      </c>
      <c r="B894" s="332" t="s">
        <v>40</v>
      </c>
      <c r="D894" s="344"/>
      <c r="E894" s="196"/>
      <c r="G894" s="547"/>
      <c r="H894" s="537"/>
      <c r="I894" s="538"/>
    </row>
    <row r="895" spans="1:11">
      <c r="A895" s="333">
        <v>30</v>
      </c>
      <c r="C895" s="332" t="str">
        <f>'FR-16(7)(v)-1 Functional'!C895</f>
        <v>NET INCOME</v>
      </c>
      <c r="D895" s="344"/>
      <c r="E895" s="196"/>
      <c r="F895" s="347">
        <f t="shared" ref="F895:K895" si="127">F872</f>
        <v>471235</v>
      </c>
      <c r="G895" s="548">
        <f t="shared" si="127"/>
        <v>414380</v>
      </c>
      <c r="H895" s="539">
        <f t="shared" si="127"/>
        <v>13713</v>
      </c>
      <c r="I895" s="540">
        <f t="shared" si="127"/>
        <v>43143</v>
      </c>
      <c r="J895" s="347">
        <f t="shared" si="127"/>
        <v>471236</v>
      </c>
      <c r="K895" s="347">
        <f t="shared" si="127"/>
        <v>1</v>
      </c>
    </row>
    <row r="896" spans="1:11">
      <c r="A896" s="333">
        <v>31</v>
      </c>
      <c r="C896" s="359" t="str">
        <f>'FR-16(7)(v)-1 Functional'!C896</f>
        <v>NET FED INC TAX ALLOWABLE</v>
      </c>
      <c r="D896" s="344"/>
      <c r="E896" s="196"/>
      <c r="F896" s="347">
        <f t="shared" ref="F896:K896" si="128">-F887</f>
        <v>-50170</v>
      </c>
      <c r="G896" s="548">
        <f t="shared" si="128"/>
        <v>-41080</v>
      </c>
      <c r="H896" s="539">
        <f t="shared" si="128"/>
        <v>-4844</v>
      </c>
      <c r="I896" s="540">
        <f t="shared" si="128"/>
        <v>-4246</v>
      </c>
      <c r="J896" s="347">
        <f t="shared" si="128"/>
        <v>-50170</v>
      </c>
      <c r="K896" s="347">
        <f t="shared" si="128"/>
        <v>0</v>
      </c>
    </row>
    <row r="897" spans="1:11">
      <c r="A897" s="333">
        <v>32</v>
      </c>
      <c r="C897" s="332" t="str">
        <f>'FR-16(7)(v)-1 Functional'!C897</f>
        <v xml:space="preserve">  OVERALL RETURN EARNED</v>
      </c>
      <c r="D897" s="344"/>
      <c r="E897" s="196"/>
      <c r="F897" s="348">
        <f t="shared" ref="F897:K897" si="129">SUM(F894:F896)</f>
        <v>421065</v>
      </c>
      <c r="G897" s="549">
        <f t="shared" si="129"/>
        <v>373300</v>
      </c>
      <c r="H897" s="541">
        <f t="shared" si="129"/>
        <v>8869</v>
      </c>
      <c r="I897" s="542">
        <f t="shared" si="129"/>
        <v>38897</v>
      </c>
      <c r="J897" s="348">
        <f t="shared" si="129"/>
        <v>421066</v>
      </c>
      <c r="K897" s="348">
        <f t="shared" si="129"/>
        <v>1</v>
      </c>
    </row>
    <row r="898" spans="1:11">
      <c r="A898" s="333">
        <v>33</v>
      </c>
      <c r="D898" s="344"/>
      <c r="E898" s="196"/>
      <c r="G898" s="547"/>
      <c r="H898" s="537"/>
      <c r="I898" s="538"/>
    </row>
    <row r="899" spans="1:11">
      <c r="A899" s="333">
        <v>34</v>
      </c>
      <c r="C899" s="332" t="str">
        <f>'FR-16(7)(v)-1 Functional'!C899</f>
        <v xml:space="preserve">  RATE OF RETURN EARNED</v>
      </c>
      <c r="D899" s="344"/>
      <c r="E899" s="196"/>
      <c r="F899" s="350">
        <f t="shared" ref="F899:K899" si="130">IF(F331=0,0,ROUND(F897/F331,5))</f>
        <v>7.2120000000000004E-2</v>
      </c>
      <c r="G899" s="575">
        <f t="shared" si="130"/>
        <v>7.1809999999999999E-2</v>
      </c>
      <c r="H899" s="576">
        <f t="shared" si="130"/>
        <v>7.1809999999999999E-2</v>
      </c>
      <c r="I899" s="577">
        <f t="shared" si="130"/>
        <v>7.5240000000000001E-2</v>
      </c>
      <c r="J899" s="350">
        <f t="shared" si="130"/>
        <v>7.2120000000000004E-2</v>
      </c>
      <c r="K899" s="350">
        <f t="shared" si="130"/>
        <v>-1</v>
      </c>
    </row>
  </sheetData>
  <pageMargins left="1" right="1" top="1" bottom="1" header="1" footer="0.5"/>
  <pageSetup scale="67" orientation="landscape" blackAndWhite="1" r:id="rId1"/>
  <headerFooter alignWithMargins="0"/>
  <rowBreaks count="13" manualBreakCount="13">
    <brk id="44" max="10" man="1"/>
    <brk id="101" max="10" man="1"/>
    <brk id="151" max="10" man="1"/>
    <brk id="191" max="10" man="1"/>
    <brk id="238" max="10" man="1"/>
    <brk id="283" max="10" man="1"/>
    <brk id="334" max="10" man="1"/>
    <brk id="389" max="10" man="1"/>
    <brk id="433" max="10" man="1"/>
    <brk id="465" max="10" man="1"/>
    <brk id="501" max="10" man="1"/>
    <brk id="565" max="10" man="1"/>
    <brk id="654" max="10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3">
    <tabColor rgb="FF92D050"/>
    <pageSetUpPr fitToPage="1"/>
  </sheetPr>
  <dimension ref="A1:AA177"/>
  <sheetViews>
    <sheetView topLeftCell="A83" zoomScale="80" zoomScaleNormal="80" zoomScaleSheetLayoutView="70" workbookViewId="0">
      <selection activeCell="A124" sqref="A124:H177"/>
    </sheetView>
  </sheetViews>
  <sheetFormatPr defaultColWidth="6.109375" defaultRowHeight="12.75"/>
  <cols>
    <col min="1" max="1" width="2" style="12" customWidth="1"/>
    <col min="2" max="2" width="2.21875" style="12" customWidth="1"/>
    <col min="3" max="3" width="33.6640625" style="12" bestFit="1" customWidth="1"/>
    <col min="4" max="4" width="13.6640625" style="12" customWidth="1"/>
    <col min="5" max="5" width="9.33203125" style="12" customWidth="1"/>
    <col min="6" max="6" width="10.21875" style="12" customWidth="1"/>
    <col min="7" max="7" width="8.77734375" style="12" customWidth="1"/>
    <col min="8" max="8" width="13" style="23" customWidth="1"/>
    <col min="9" max="9" width="11" style="45" customWidth="1"/>
    <col min="10" max="10" width="22" style="12" customWidth="1"/>
    <col min="11" max="15" width="11.77734375" style="12" customWidth="1"/>
    <col min="16" max="16" width="6.109375" style="12"/>
    <col min="17" max="17" width="18.6640625" style="12" customWidth="1"/>
    <col min="18" max="18" width="10.109375" style="12" customWidth="1"/>
    <col min="19" max="19" width="10.109375" style="216" customWidth="1"/>
    <col min="20" max="20" width="10.109375" style="12" customWidth="1"/>
    <col min="21" max="21" width="10.109375" style="216" customWidth="1"/>
    <col min="22" max="22" width="10.109375" style="12" customWidth="1"/>
    <col min="23" max="23" width="10.109375" style="216" customWidth="1"/>
    <col min="24" max="24" width="10.109375" style="12" customWidth="1"/>
    <col min="25" max="25" width="10.109375" style="216" customWidth="1"/>
    <col min="26" max="26" width="10.109375" style="12" customWidth="1"/>
    <col min="27" max="27" width="7.5546875" style="12" customWidth="1"/>
    <col min="28" max="28" width="6.77734375" style="12" bestFit="1" customWidth="1"/>
    <col min="29" max="16384" width="6.109375" style="12"/>
  </cols>
  <sheetData>
    <row r="1" spans="1:26" ht="12.75" customHeight="1">
      <c r="A1" s="196" t="str">
        <f>co_name</f>
        <v>DUKE ENERGY KENTUCKY, INC.</v>
      </c>
      <c r="B1" s="11"/>
      <c r="C1" s="11"/>
      <c r="D1" s="11"/>
      <c r="E1" s="197"/>
      <c r="G1" s="10" t="s">
        <v>1550</v>
      </c>
      <c r="H1" s="13"/>
      <c r="I1" s="1037"/>
    </row>
    <row r="2" spans="1:26" ht="12.75" customHeight="1">
      <c r="A2" s="196" t="str">
        <f>coss_type</f>
        <v xml:space="preserve">GAS COST OF SERVICE STUDY </v>
      </c>
      <c r="B2" s="11"/>
      <c r="C2" s="11"/>
      <c r="D2" s="11"/>
      <c r="E2" s="197"/>
      <c r="G2" s="10" t="s">
        <v>926</v>
      </c>
      <c r="H2" s="13"/>
      <c r="I2" s="1037"/>
    </row>
    <row r="3" spans="1:26" ht="12.75" customHeight="1">
      <c r="A3" s="196" t="str">
        <f>case_name</f>
        <v>CASE NO: 2018-00261</v>
      </c>
      <c r="B3" s="11"/>
      <c r="C3" s="11"/>
      <c r="D3" s="11"/>
      <c r="E3" s="197"/>
      <c r="G3" s="25" t="str">
        <f>PROPER(Witness)</f>
        <v>James E. Ziolkowski</v>
      </c>
      <c r="H3" s="13"/>
      <c r="I3" s="1037"/>
      <c r="K3" s="216"/>
      <c r="L3" s="216"/>
    </row>
    <row r="4" spans="1:26" ht="12.75" customHeight="1">
      <c r="A4" s="10" t="str">
        <f>alloc_factors</f>
        <v>ALLOCATION FACTORS FOR COST OF SERVICE STUDY</v>
      </c>
      <c r="B4" s="11"/>
      <c r="C4" s="11"/>
      <c r="D4" s="11"/>
      <c r="E4" s="197"/>
      <c r="F4" s="11"/>
      <c r="G4" s="10" t="s">
        <v>436</v>
      </c>
      <c r="H4" s="13"/>
      <c r="I4" s="1037"/>
    </row>
    <row r="5" spans="1:26" ht="12.75" customHeight="1">
      <c r="A5" s="10" t="str">
        <f>time_period</f>
        <v>TWELVE MONTHS ENDING DECEMBER 31, 2017</v>
      </c>
      <c r="B5" s="11"/>
      <c r="C5" s="11"/>
      <c r="D5" s="11"/>
      <c r="E5" s="197"/>
      <c r="F5" s="11"/>
      <c r="G5" s="16">
        <f ca="1">TODAY()</f>
        <v>43347</v>
      </c>
      <c r="H5" s="13"/>
      <c r="I5" s="1037"/>
      <c r="J5" s="54"/>
      <c r="K5" s="286"/>
      <c r="L5" s="286"/>
      <c r="O5" s="216"/>
    </row>
    <row r="6" spans="1:26" ht="12.75" customHeight="1">
      <c r="A6" s="198" t="s">
        <v>844</v>
      </c>
      <c r="B6" s="11"/>
      <c r="C6" s="11"/>
      <c r="D6" s="11"/>
      <c r="E6" s="197"/>
      <c r="F6" s="11"/>
      <c r="G6" s="17"/>
      <c r="H6" s="13"/>
      <c r="I6" s="1037"/>
      <c r="J6" s="54"/>
      <c r="K6" s="286"/>
      <c r="L6" s="286"/>
      <c r="O6" s="216"/>
      <c r="Q6" s="1049"/>
      <c r="R6" s="1050"/>
      <c r="S6" s="1050"/>
      <c r="T6" s="1050"/>
      <c r="U6" s="1050"/>
      <c r="V6" s="1050"/>
      <c r="W6" s="1050"/>
      <c r="X6" s="1050"/>
      <c r="Y6" s="1050"/>
      <c r="Z6" s="1050"/>
    </row>
    <row r="7" spans="1:26" ht="12.75" customHeight="1">
      <c r="A7" s="10"/>
      <c r="B7" s="11"/>
      <c r="C7" s="11"/>
      <c r="D7" s="11"/>
      <c r="E7" s="197"/>
      <c r="F7" s="11"/>
      <c r="G7" s="17"/>
      <c r="H7" s="13"/>
      <c r="I7" s="1037"/>
      <c r="J7" s="54"/>
      <c r="K7" s="286"/>
      <c r="L7" s="286"/>
      <c r="O7" s="216"/>
      <c r="Q7" s="1051"/>
      <c r="R7" s="1052"/>
      <c r="S7" s="1052"/>
      <c r="T7" s="1052"/>
      <c r="U7" s="1052"/>
      <c r="V7" s="1052"/>
      <c r="W7" s="1052"/>
      <c r="X7" s="1052"/>
      <c r="Y7" s="1052"/>
      <c r="Z7" s="1052"/>
    </row>
    <row r="8" spans="1:26" ht="12.75" customHeight="1">
      <c r="A8" s="18"/>
      <c r="B8" s="11"/>
      <c r="C8" s="11"/>
      <c r="D8" s="11"/>
      <c r="E8" s="197"/>
      <c r="F8" s="11"/>
      <c r="G8" s="14"/>
      <c r="H8" s="13"/>
      <c r="I8" s="1037"/>
      <c r="J8" s="54"/>
      <c r="K8" s="286"/>
      <c r="L8" s="286"/>
      <c r="O8" s="216"/>
      <c r="Q8" s="1049"/>
      <c r="R8" s="1053"/>
      <c r="S8" s="1053"/>
      <c r="T8" s="1053"/>
      <c r="U8" s="1053"/>
      <c r="V8" s="1053"/>
      <c r="W8" s="1053"/>
      <c r="X8" s="1053"/>
      <c r="Y8" s="1053"/>
      <c r="Z8" s="1053"/>
    </row>
    <row r="9" spans="1:26" ht="12.75" customHeight="1">
      <c r="A9" s="19" t="s">
        <v>1241</v>
      </c>
      <c r="B9" s="11"/>
      <c r="D9" s="375" t="s">
        <v>1238</v>
      </c>
      <c r="F9" s="11"/>
      <c r="G9" s="11"/>
      <c r="H9" s="20"/>
      <c r="I9" s="99"/>
      <c r="J9" s="54"/>
      <c r="K9" s="286"/>
      <c r="L9" s="286"/>
      <c r="O9" s="216"/>
      <c r="Q9" s="1049"/>
      <c r="R9" s="1054"/>
      <c r="S9" s="1054"/>
      <c r="T9" s="1054"/>
      <c r="U9" s="1054"/>
      <c r="V9" s="1054"/>
      <c r="W9" s="1054"/>
      <c r="X9" s="1054"/>
      <c r="Y9" s="1054"/>
      <c r="Z9" s="1054"/>
    </row>
    <row r="10" spans="1:26" ht="12.75" customHeight="1">
      <c r="C10" s="21" t="s">
        <v>479</v>
      </c>
      <c r="D10" s="22" t="s">
        <v>564</v>
      </c>
      <c r="E10" s="22" t="s">
        <v>565</v>
      </c>
      <c r="J10" s="54"/>
      <c r="K10" s="286"/>
      <c r="L10" s="286"/>
      <c r="O10" s="216"/>
      <c r="Q10" s="1049"/>
      <c r="R10" s="1054"/>
      <c r="S10" s="1054"/>
      <c r="T10" s="1054"/>
      <c r="U10" s="1054"/>
      <c r="V10" s="1054"/>
      <c r="W10" s="1054"/>
      <c r="X10" s="1054"/>
      <c r="Y10" s="1054"/>
      <c r="Z10" s="1054"/>
    </row>
    <row r="11" spans="1:26" ht="12.75" customHeight="1">
      <c r="E11" s="209" t="s">
        <v>908</v>
      </c>
      <c r="G11" s="216"/>
      <c r="O11" s="216"/>
      <c r="Q11" s="1049"/>
      <c r="R11" s="1054"/>
      <c r="S11" s="1054"/>
      <c r="T11" s="1054"/>
      <c r="U11" s="1054"/>
      <c r="V11" s="1054"/>
      <c r="W11" s="1054"/>
      <c r="X11" s="1054"/>
      <c r="Y11" s="1054"/>
      <c r="Z11" s="1054"/>
    </row>
    <row r="12" spans="1:26" ht="12.75" customHeight="1">
      <c r="C12" s="374" t="s">
        <v>1286</v>
      </c>
      <c r="D12" s="1022">
        <v>5314682</v>
      </c>
      <c r="E12" s="321">
        <f>1-SUM(E13:E15)</f>
        <v>0.50687000000000004</v>
      </c>
      <c r="F12" s="26"/>
      <c r="G12" s="216"/>
      <c r="O12" s="216"/>
      <c r="Q12" s="1059"/>
      <c r="R12" s="1055"/>
      <c r="S12" s="1055"/>
      <c r="T12" s="1055"/>
      <c r="U12" s="1055"/>
      <c r="V12" s="1055"/>
      <c r="W12" s="1055"/>
      <c r="X12" s="1055"/>
      <c r="Y12" s="1055"/>
      <c r="Z12" s="1055"/>
    </row>
    <row r="13" spans="1:26" ht="12.75" customHeight="1">
      <c r="C13" s="374" t="s">
        <v>1282</v>
      </c>
      <c r="D13" s="1022">
        <v>3027396</v>
      </c>
      <c r="E13" s="321">
        <f>ROUND(D13/D$16,5)</f>
        <v>0.28871999999999998</v>
      </c>
      <c r="F13" s="26"/>
      <c r="G13" s="216"/>
      <c r="O13" s="216"/>
      <c r="Q13" s="1049"/>
      <c r="R13" s="1056"/>
      <c r="S13" s="1056"/>
      <c r="T13" s="1056"/>
      <c r="U13" s="1056"/>
      <c r="V13" s="1056"/>
      <c r="W13" s="1056"/>
      <c r="X13" s="1056"/>
      <c r="Y13" s="1056"/>
      <c r="Z13" s="1056"/>
    </row>
    <row r="14" spans="1:26" ht="12.75" customHeight="1">
      <c r="C14" s="374" t="s">
        <v>984</v>
      </c>
      <c r="D14" s="1022">
        <v>2143372</v>
      </c>
      <c r="E14" s="321">
        <f>ROUND(D14/D$16,5)</f>
        <v>0.20441000000000001</v>
      </c>
      <c r="F14" s="26"/>
      <c r="G14" s="216"/>
      <c r="O14" s="216"/>
      <c r="Q14" s="1050"/>
      <c r="R14" s="1056"/>
      <c r="S14" s="1056"/>
      <c r="T14" s="1056"/>
      <c r="U14" s="1056"/>
      <c r="V14" s="1056"/>
      <c r="W14" s="1056"/>
      <c r="X14" s="1056"/>
      <c r="Y14" s="1056"/>
      <c r="Z14" s="1056"/>
    </row>
    <row r="15" spans="1:26" ht="12.75" customHeight="1">
      <c r="C15" s="374" t="s">
        <v>566</v>
      </c>
      <c r="D15" s="1022">
        <v>0</v>
      </c>
      <c r="E15" s="321">
        <f>ROUND(D15/D$16,5)</f>
        <v>0</v>
      </c>
      <c r="F15" s="27"/>
      <c r="G15" s="216"/>
      <c r="O15" s="216"/>
      <c r="Q15" s="1049"/>
      <c r="R15" s="1054"/>
      <c r="S15" s="1054"/>
      <c r="T15" s="1054"/>
      <c r="U15" s="1054"/>
      <c r="V15" s="1054"/>
      <c r="W15" s="1054"/>
      <c r="X15" s="1054"/>
      <c r="Y15" s="1054"/>
      <c r="Z15" s="1054"/>
    </row>
    <row r="16" spans="1:26" ht="12.75" customHeight="1">
      <c r="C16" s="375" t="s">
        <v>567</v>
      </c>
      <c r="D16" s="376">
        <f>SUM(D12:D15)</f>
        <v>10485450</v>
      </c>
      <c r="E16" s="377">
        <f>SUM(E12:E15)</f>
        <v>1</v>
      </c>
      <c r="F16" s="28"/>
      <c r="G16" s="216"/>
      <c r="O16" s="216"/>
      <c r="Q16" s="1049"/>
      <c r="R16" s="1054"/>
      <c r="S16" s="1054"/>
      <c r="T16" s="1054"/>
      <c r="U16" s="1054"/>
      <c r="V16" s="1054"/>
      <c r="W16" s="1054"/>
      <c r="X16" s="1054"/>
      <c r="Y16" s="1054"/>
      <c r="Z16" s="1054"/>
    </row>
    <row r="17" spans="1:27" ht="12.75" customHeight="1">
      <c r="A17" s="18"/>
      <c r="B17" s="11"/>
      <c r="C17" s="378"/>
      <c r="D17" s="378"/>
      <c r="E17" s="378"/>
      <c r="F17" s="11"/>
      <c r="G17" s="216"/>
      <c r="I17" s="99"/>
      <c r="O17" s="216"/>
      <c r="Q17" s="1049"/>
      <c r="R17" s="1054"/>
      <c r="S17" s="1054"/>
      <c r="T17" s="1054"/>
      <c r="U17" s="1054"/>
      <c r="V17" s="1054"/>
      <c r="W17" s="1054"/>
      <c r="X17" s="1054"/>
      <c r="Y17" s="1054"/>
      <c r="Z17" s="1054"/>
    </row>
    <row r="18" spans="1:27" ht="12.75" customHeight="1">
      <c r="A18" s="29" t="s">
        <v>861</v>
      </c>
      <c r="C18" s="211"/>
      <c r="D18" s="211"/>
      <c r="E18" s="211"/>
      <c r="F18" s="11"/>
      <c r="G18" s="216"/>
      <c r="O18" s="216"/>
      <c r="Q18" s="1059"/>
      <c r="R18" s="1055"/>
      <c r="S18" s="1055"/>
      <c r="T18" s="1055"/>
      <c r="U18" s="1055"/>
      <c r="V18" s="1055"/>
      <c r="W18" s="1055"/>
      <c r="X18" s="1055"/>
      <c r="Y18" s="1055"/>
      <c r="Z18" s="1055"/>
    </row>
    <row r="19" spans="1:27" ht="12.75" customHeight="1">
      <c r="C19" s="379" t="s">
        <v>479</v>
      </c>
      <c r="D19" s="380" t="s">
        <v>565</v>
      </c>
      <c r="E19" s="380" t="s">
        <v>565</v>
      </c>
      <c r="F19" s="11"/>
      <c r="G19" s="216"/>
      <c r="I19" s="21"/>
      <c r="O19" s="216"/>
      <c r="Q19" s="1049"/>
      <c r="R19" s="1056"/>
      <c r="S19" s="1056"/>
      <c r="T19" s="1056"/>
      <c r="U19" s="1056"/>
      <c r="V19" s="1056"/>
      <c r="W19" s="1056"/>
      <c r="X19" s="1056"/>
      <c r="Y19" s="1056"/>
      <c r="Z19" s="1056"/>
    </row>
    <row r="20" spans="1:27" ht="12.75" customHeight="1">
      <c r="C20" s="211"/>
      <c r="D20" s="375" t="s">
        <v>568</v>
      </c>
      <c r="E20" s="375" t="s">
        <v>569</v>
      </c>
      <c r="F20" s="11"/>
      <c r="G20" s="216"/>
      <c r="I20" s="32"/>
      <c r="O20" s="216"/>
      <c r="Q20" s="1049"/>
      <c r="R20" s="1056"/>
      <c r="S20" s="1056"/>
      <c r="T20" s="1056"/>
      <c r="U20" s="1056"/>
      <c r="V20" s="1056"/>
      <c r="W20" s="1056"/>
      <c r="X20" s="1056"/>
      <c r="Y20" s="1056"/>
      <c r="Z20" s="1056"/>
    </row>
    <row r="21" spans="1:27" ht="12.75" customHeight="1">
      <c r="C21" s="374" t="s">
        <v>1286</v>
      </c>
      <c r="D21" s="321">
        <f>1-SUM(D22:D24)</f>
        <v>0.56467000000000001</v>
      </c>
      <c r="E21" s="321">
        <f>1-SUM(E22:E24)</f>
        <v>0.58336999999999994</v>
      </c>
      <c r="F21" s="11"/>
      <c r="G21" s="216"/>
      <c r="I21" s="28"/>
      <c r="O21" s="216"/>
      <c r="Q21" s="1057"/>
      <c r="R21" s="1056"/>
      <c r="S21" s="1056"/>
      <c r="T21" s="1056"/>
      <c r="U21" s="1056"/>
      <c r="V21" s="1056"/>
      <c r="W21" s="1056"/>
      <c r="X21" s="1056"/>
      <c r="Y21" s="1056"/>
      <c r="Z21" s="1056"/>
    </row>
    <row r="22" spans="1:27" ht="12.75" customHeight="1">
      <c r="C22" s="374" t="s">
        <v>1282</v>
      </c>
      <c r="D22" s="321">
        <f>'WP FR-16(7)(v)-Peak &amp; Avg'!S20</f>
        <v>0.29522999999999999</v>
      </c>
      <c r="E22" s="321">
        <f>'WP FR-16(7)(v)-Peak &amp; Avg'!S39</f>
        <v>0.30480000000000002</v>
      </c>
      <c r="F22" s="11"/>
      <c r="G22" s="216"/>
      <c r="I22" s="28"/>
      <c r="O22" s="216"/>
      <c r="R22" s="217"/>
      <c r="S22" s="217"/>
      <c r="T22" s="217"/>
      <c r="U22" s="217"/>
      <c r="V22" s="217"/>
      <c r="W22" s="217"/>
      <c r="X22" s="217"/>
      <c r="Y22" s="217"/>
    </row>
    <row r="23" spans="1:27" ht="12.75" customHeight="1">
      <c r="C23" s="374" t="s">
        <v>984</v>
      </c>
      <c r="D23" s="321">
        <f>'WP FR-16(7)(v)-Peak &amp; Avg'!S21</f>
        <v>0.10913</v>
      </c>
      <c r="E23" s="321">
        <f>'WP FR-16(7)(v)-Peak &amp; Avg'!S40</f>
        <v>0.11183</v>
      </c>
      <c r="F23" s="11"/>
      <c r="G23" s="216"/>
      <c r="I23" s="28"/>
      <c r="O23" s="216"/>
      <c r="R23" s="1047"/>
      <c r="S23" s="177"/>
      <c r="T23" s="1047"/>
      <c r="U23" s="177"/>
      <c r="V23" s="1047"/>
      <c r="W23" s="177"/>
      <c r="X23" s="1047"/>
      <c r="Y23" s="177"/>
      <c r="Z23" s="1047"/>
      <c r="AA23" s="177"/>
    </row>
    <row r="24" spans="1:27" ht="12.75" customHeight="1">
      <c r="C24" s="374" t="s">
        <v>566</v>
      </c>
      <c r="D24" s="321">
        <f>'WP FR-16(7)(v)-Peak &amp; Avg'!S22</f>
        <v>3.0970000000000001E-2</v>
      </c>
      <c r="E24" s="321">
        <f>'WP FR-16(7)(v)-Peak &amp; Avg'!S41</f>
        <v>0</v>
      </c>
      <c r="F24" s="11"/>
      <c r="G24" s="216"/>
      <c r="I24" s="28"/>
      <c r="O24" s="216"/>
      <c r="R24" s="1047"/>
      <c r="S24" s="177"/>
      <c r="T24" s="1047"/>
      <c r="U24" s="177"/>
      <c r="V24" s="1047"/>
      <c r="W24" s="177"/>
      <c r="X24" s="1047"/>
      <c r="Y24" s="177"/>
      <c r="Z24" s="1047"/>
      <c r="AA24" s="177"/>
    </row>
    <row r="25" spans="1:27" ht="12.75" customHeight="1">
      <c r="C25" s="375" t="s">
        <v>567</v>
      </c>
      <c r="D25" s="377">
        <f>SUM(D21:D24)</f>
        <v>1</v>
      </c>
      <c r="E25" s="377">
        <f>SUM(E21:E24)</f>
        <v>0.99999999999999989</v>
      </c>
      <c r="F25" s="11"/>
      <c r="G25" s="216"/>
      <c r="I25" s="27"/>
      <c r="O25" s="216"/>
      <c r="R25" s="1047"/>
      <c r="S25" s="177"/>
      <c r="T25" s="1047"/>
      <c r="U25" s="177"/>
      <c r="V25" s="1047"/>
      <c r="W25" s="177"/>
      <c r="X25" s="1047"/>
      <c r="Y25" s="177"/>
      <c r="Z25" s="1047"/>
      <c r="AA25" s="177"/>
    </row>
    <row r="26" spans="1:27" ht="12.75" customHeight="1">
      <c r="C26" s="211"/>
      <c r="D26" s="211"/>
      <c r="E26" s="211"/>
      <c r="F26" s="11"/>
      <c r="G26" s="216"/>
      <c r="O26" s="216"/>
      <c r="R26" s="1048"/>
      <c r="S26" s="177"/>
      <c r="T26" s="1048"/>
      <c r="U26" s="177"/>
      <c r="V26" s="1048"/>
      <c r="W26" s="177"/>
      <c r="X26" s="1048"/>
      <c r="Y26" s="177"/>
      <c r="Z26" s="1048"/>
      <c r="AA26" s="177"/>
    </row>
    <row r="27" spans="1:27" ht="12.75" customHeight="1">
      <c r="A27" s="19" t="s">
        <v>570</v>
      </c>
      <c r="C27" s="211"/>
      <c r="D27" s="375" t="s">
        <v>1239</v>
      </c>
      <c r="E27" s="211"/>
      <c r="F27" s="11"/>
      <c r="G27" s="216"/>
      <c r="O27" s="216"/>
      <c r="R27" s="1047"/>
      <c r="S27" s="177"/>
      <c r="T27" s="1047"/>
      <c r="U27" s="177"/>
      <c r="V27" s="1047"/>
      <c r="W27" s="177"/>
      <c r="X27" s="1047"/>
      <c r="Y27" s="177"/>
      <c r="Z27" s="1047"/>
      <c r="AA27" s="177"/>
    </row>
    <row r="28" spans="1:27" ht="12.75" customHeight="1">
      <c r="C28" s="379" t="s">
        <v>479</v>
      </c>
      <c r="D28" s="380" t="s">
        <v>564</v>
      </c>
      <c r="E28" s="380" t="s">
        <v>565</v>
      </c>
      <c r="F28" s="33"/>
      <c r="G28" s="216"/>
      <c r="O28" s="216"/>
    </row>
    <row r="29" spans="1:27" ht="12.75" customHeight="1">
      <c r="C29" s="211"/>
      <c r="D29" s="211"/>
      <c r="E29" s="375" t="s">
        <v>571</v>
      </c>
      <c r="O29" s="216"/>
    </row>
    <row r="30" spans="1:27" ht="12.75" customHeight="1">
      <c r="C30" s="374" t="s">
        <v>1286</v>
      </c>
      <c r="D30" s="1023">
        <f>D12</f>
        <v>5314682</v>
      </c>
      <c r="E30" s="321">
        <f>1-SUM(E31:E33)</f>
        <v>0.44175000000000009</v>
      </c>
      <c r="F30" s="26"/>
      <c r="O30" s="216"/>
      <c r="Q30" s="1049"/>
    </row>
    <row r="31" spans="1:27" ht="12.75" customHeight="1">
      <c r="C31" s="374" t="s">
        <v>1282</v>
      </c>
      <c r="D31" s="1023">
        <f>D13</f>
        <v>3027396</v>
      </c>
      <c r="E31" s="321">
        <f>ROUND(D31/D$34,5)</f>
        <v>0.25163999999999997</v>
      </c>
      <c r="F31" s="26"/>
      <c r="O31" s="216"/>
      <c r="Q31" s="1049"/>
    </row>
    <row r="32" spans="1:27" ht="12.75" customHeight="1">
      <c r="C32" s="374" t="s">
        <v>984</v>
      </c>
      <c r="D32" s="1023">
        <f>D14</f>
        <v>2143372</v>
      </c>
      <c r="E32" s="321">
        <f>ROUND(D32/D$34,5)</f>
        <v>0.17816000000000001</v>
      </c>
      <c r="F32" s="26"/>
      <c r="O32" s="216"/>
      <c r="Q32" s="1049"/>
    </row>
    <row r="33" spans="1:26" ht="12.75" customHeight="1">
      <c r="C33" s="374" t="s">
        <v>566</v>
      </c>
      <c r="D33" s="1032">
        <v>1545311</v>
      </c>
      <c r="E33" s="321">
        <f>ROUND(D33/D$34,5)</f>
        <v>0.12845000000000001</v>
      </c>
      <c r="F33" s="27"/>
      <c r="O33" s="216"/>
      <c r="Q33" s="1049"/>
      <c r="R33" s="1054"/>
      <c r="S33" s="1054"/>
      <c r="T33" s="1054"/>
      <c r="U33" s="1054"/>
      <c r="V33" s="1054"/>
      <c r="W33" s="1054"/>
      <c r="X33" s="1054"/>
      <c r="Y33" s="1054"/>
      <c r="Z33" s="1054"/>
    </row>
    <row r="34" spans="1:26" ht="12.75" customHeight="1">
      <c r="C34" s="375" t="s">
        <v>567</v>
      </c>
      <c r="D34" s="376">
        <f>SUM(D30:D33)</f>
        <v>12030761</v>
      </c>
      <c r="E34" s="377">
        <f>SUM(E30:E33)</f>
        <v>1</v>
      </c>
      <c r="F34" s="28"/>
      <c r="O34" s="216"/>
      <c r="Q34" s="1049"/>
      <c r="R34" s="1054"/>
      <c r="S34" s="1054"/>
      <c r="T34" s="1054"/>
      <c r="U34" s="1054"/>
      <c r="V34" s="1054"/>
      <c r="W34" s="1054"/>
      <c r="X34" s="1054"/>
      <c r="Y34" s="1054"/>
      <c r="Z34" s="1054"/>
    </row>
    <row r="35" spans="1:26" ht="12.75" customHeight="1">
      <c r="C35" s="330"/>
      <c r="D35" s="381"/>
      <c r="E35" s="382"/>
      <c r="F35" s="28"/>
      <c r="O35" s="216"/>
      <c r="Q35" s="1049"/>
      <c r="R35" s="1054"/>
      <c r="S35" s="1054"/>
      <c r="T35" s="1054"/>
      <c r="U35" s="1054"/>
      <c r="V35" s="1054"/>
      <c r="W35" s="1054"/>
      <c r="X35" s="1054"/>
      <c r="Y35" s="1054"/>
      <c r="Z35" s="1054"/>
    </row>
    <row r="36" spans="1:26" ht="12.75" customHeight="1">
      <c r="A36" s="1258" t="s">
        <v>1174</v>
      </c>
      <c r="B36" s="211"/>
      <c r="C36" s="211"/>
      <c r="D36" s="375" t="s">
        <v>1240</v>
      </c>
      <c r="E36" s="211"/>
      <c r="O36" s="216"/>
      <c r="Q36" s="1059"/>
      <c r="R36" s="1055"/>
      <c r="S36" s="1055"/>
      <c r="T36" s="1055"/>
      <c r="U36" s="1055"/>
      <c r="V36" s="1055"/>
      <c r="W36" s="1055"/>
      <c r="X36" s="1055"/>
      <c r="Y36" s="1055"/>
      <c r="Z36" s="1055"/>
    </row>
    <row r="37" spans="1:26" ht="12.75" customHeight="1">
      <c r="C37" s="379" t="s">
        <v>479</v>
      </c>
      <c r="D37" s="380" t="s">
        <v>564</v>
      </c>
      <c r="E37" s="380" t="s">
        <v>565</v>
      </c>
      <c r="O37" s="216"/>
      <c r="Q37" s="1049"/>
      <c r="R37" s="1058"/>
      <c r="S37" s="1058"/>
      <c r="T37" s="1058"/>
      <c r="U37" s="1058"/>
      <c r="V37" s="1058"/>
      <c r="W37" s="1058"/>
      <c r="X37" s="1058"/>
      <c r="Y37" s="1058"/>
      <c r="Z37" s="1058"/>
    </row>
    <row r="38" spans="1:26" ht="12.75" customHeight="1">
      <c r="C38" s="211"/>
      <c r="D38" s="211"/>
      <c r="E38" s="375" t="s">
        <v>572</v>
      </c>
      <c r="G38" s="216"/>
      <c r="O38" s="216"/>
      <c r="Q38" s="1049"/>
    </row>
    <row r="39" spans="1:26" ht="12.75" customHeight="1">
      <c r="C39" s="374" t="s">
        <v>1286</v>
      </c>
      <c r="D39" s="1022">
        <f>D12</f>
        <v>5314682</v>
      </c>
      <c r="E39" s="321">
        <f>ROUND(D39/D$43,5)</f>
        <v>0.50685999999999998</v>
      </c>
      <c r="G39" s="216"/>
      <c r="O39" s="216"/>
      <c r="Q39" s="1049"/>
      <c r="R39" s="1054"/>
      <c r="S39" s="1054"/>
      <c r="T39" s="1054"/>
      <c r="U39" s="1054"/>
      <c r="V39" s="1054"/>
      <c r="W39" s="1054"/>
      <c r="X39" s="1054"/>
      <c r="Y39" s="1054"/>
      <c r="Z39" s="1054"/>
    </row>
    <row r="40" spans="1:26" ht="12.75" customHeight="1">
      <c r="C40" s="374" t="s">
        <v>1282</v>
      </c>
      <c r="D40" s="1022">
        <f t="shared" ref="D40:D41" si="0">D13</f>
        <v>3027396</v>
      </c>
      <c r="E40" s="321">
        <f>ROUND(D40/D$43,5)</f>
        <v>0.28871999999999998</v>
      </c>
      <c r="G40" s="216"/>
      <c r="O40" s="216"/>
      <c r="Q40" s="1049"/>
      <c r="R40" s="1054"/>
      <c r="S40" s="1054"/>
      <c r="T40" s="1054"/>
      <c r="U40" s="1054"/>
      <c r="V40" s="1054"/>
      <c r="W40" s="1054"/>
      <c r="X40" s="1054"/>
      <c r="Y40" s="1054"/>
      <c r="Z40" s="1054"/>
    </row>
    <row r="41" spans="1:26" ht="12.75" customHeight="1">
      <c r="C41" s="374" t="s">
        <v>984</v>
      </c>
      <c r="D41" s="1022">
        <f t="shared" si="0"/>
        <v>2143372</v>
      </c>
      <c r="E41" s="321">
        <f>ROUND(D41/D$43,5)</f>
        <v>0.20441000000000001</v>
      </c>
      <c r="G41" s="216"/>
      <c r="O41" s="216"/>
      <c r="Q41" s="1049"/>
      <c r="R41" s="1054"/>
      <c r="S41" s="1054"/>
      <c r="T41" s="1054"/>
      <c r="U41" s="1054"/>
      <c r="V41" s="1054"/>
      <c r="W41" s="1054"/>
      <c r="X41" s="1054"/>
      <c r="Y41" s="1054"/>
      <c r="Z41" s="1054"/>
    </row>
    <row r="42" spans="1:26" ht="12.75" customHeight="1">
      <c r="C42" s="374" t="s">
        <v>566</v>
      </c>
      <c r="D42" s="1022">
        <v>0</v>
      </c>
      <c r="E42" s="321">
        <f>ROUND(D42/D$43,5)</f>
        <v>0</v>
      </c>
      <c r="G42" s="216"/>
      <c r="O42" s="216"/>
      <c r="Q42" s="1059"/>
      <c r="R42" s="1055"/>
      <c r="S42" s="1055"/>
      <c r="T42" s="1055"/>
      <c r="U42" s="1055"/>
      <c r="V42" s="1055"/>
      <c r="W42" s="1055"/>
      <c r="X42" s="1055"/>
      <c r="Y42" s="1055"/>
      <c r="Z42" s="1055"/>
    </row>
    <row r="43" spans="1:26" ht="12.75" customHeight="1">
      <c r="C43" s="375" t="s">
        <v>567</v>
      </c>
      <c r="D43" s="376">
        <f>SUM(D39:D42)</f>
        <v>10485450</v>
      </c>
      <c r="E43" s="377">
        <f>SUM(E39:E42)</f>
        <v>0.99998999999999993</v>
      </c>
      <c r="O43" s="216"/>
      <c r="Q43" s="1049"/>
      <c r="R43" s="1058"/>
      <c r="S43" s="1058"/>
      <c r="T43" s="1058"/>
      <c r="U43" s="1058"/>
      <c r="V43" s="1058"/>
      <c r="W43" s="1058"/>
      <c r="X43" s="1058"/>
      <c r="Y43" s="1058"/>
      <c r="Z43" s="1058"/>
    </row>
    <row r="44" spans="1:26" ht="12.75" customHeight="1">
      <c r="C44" s="24"/>
      <c r="D44" s="35"/>
      <c r="E44" s="27"/>
      <c r="O44" s="216"/>
      <c r="Q44" s="216"/>
      <c r="R44" s="1058"/>
      <c r="S44" s="1058"/>
      <c r="T44" s="1058"/>
      <c r="U44" s="1058"/>
      <c r="V44" s="1058"/>
      <c r="W44" s="1058"/>
      <c r="X44" s="1058"/>
      <c r="Y44" s="1058"/>
      <c r="Z44" s="1058"/>
    </row>
    <row r="45" spans="1:26" s="216" customFormat="1" ht="12.75" customHeight="1">
      <c r="B45" s="216" t="s">
        <v>1234</v>
      </c>
      <c r="C45" s="1194"/>
      <c r="D45" s="35"/>
      <c r="E45" s="27"/>
      <c r="H45" s="23"/>
      <c r="I45" s="45"/>
      <c r="R45" s="1058"/>
      <c r="S45" s="1058"/>
      <c r="T45" s="1058"/>
      <c r="U45" s="1058"/>
      <c r="V45" s="1058"/>
      <c r="W45" s="1058"/>
      <c r="X45" s="1058"/>
      <c r="Y45" s="1058"/>
      <c r="Z45" s="1058"/>
    </row>
    <row r="46" spans="1:26" ht="12.75" customHeight="1">
      <c r="B46" s="216" t="s">
        <v>1557</v>
      </c>
      <c r="C46" s="24"/>
      <c r="D46" s="35"/>
      <c r="E46" s="27"/>
      <c r="O46" s="216"/>
    </row>
    <row r="47" spans="1:26" ht="12.75" customHeight="1">
      <c r="B47" s="216" t="s">
        <v>1558</v>
      </c>
      <c r="C47" s="24"/>
      <c r="D47" s="35"/>
      <c r="E47" s="27"/>
      <c r="O47" s="216"/>
      <c r="Q47" s="216"/>
      <c r="R47" s="1047"/>
      <c r="S47" s="1047"/>
      <c r="T47" s="1047"/>
      <c r="U47" s="1047"/>
      <c r="V47" s="1047"/>
      <c r="W47" s="1047"/>
      <c r="X47" s="1047"/>
      <c r="Y47" s="1047"/>
      <c r="Z47" s="1047"/>
    </row>
    <row r="48" spans="1:26" ht="12.75" customHeight="1">
      <c r="A48" s="45"/>
      <c r="B48" s="45"/>
      <c r="C48" s="32"/>
      <c r="D48" s="35"/>
      <c r="E48" s="27"/>
      <c r="F48" s="45"/>
      <c r="G48" s="45"/>
      <c r="H48" s="28"/>
      <c r="O48" s="216"/>
      <c r="Q48" s="216"/>
      <c r="R48" s="1047"/>
      <c r="S48" s="1047"/>
      <c r="T48" s="1047"/>
      <c r="U48" s="1047"/>
      <c r="V48" s="1047"/>
      <c r="W48" s="1047"/>
      <c r="X48" s="1047"/>
      <c r="Y48" s="1047"/>
      <c r="Z48" s="1047"/>
    </row>
    <row r="49" spans="1:26" ht="12.75" customHeight="1">
      <c r="A49" s="10" t="str">
        <f>A1</f>
        <v>DUKE ENERGY KENTUCKY, INC.</v>
      </c>
      <c r="B49" s="11"/>
      <c r="C49" s="11"/>
      <c r="D49" s="11"/>
      <c r="E49" s="11"/>
      <c r="G49" s="10" t="str">
        <f>G1</f>
        <v>Allocation Factors Summary</v>
      </c>
      <c r="H49" s="13"/>
      <c r="I49" s="1037"/>
      <c r="O49" s="216"/>
      <c r="Q49" s="216"/>
      <c r="R49" s="1047"/>
      <c r="S49" s="1047"/>
      <c r="T49" s="1047"/>
      <c r="U49" s="1047"/>
      <c r="V49" s="1047"/>
      <c r="W49" s="1047"/>
      <c r="X49" s="1047"/>
      <c r="Y49" s="1047"/>
      <c r="Z49" s="1047"/>
    </row>
    <row r="50" spans="1:26" ht="12.75" customHeight="1">
      <c r="A50" s="10" t="str">
        <f>A2</f>
        <v xml:space="preserve">GAS COST OF SERVICE STUDY </v>
      </c>
      <c r="B50" s="11"/>
      <c r="C50" s="11"/>
      <c r="D50" s="11"/>
      <c r="E50" s="11"/>
      <c r="G50" s="10" t="str">
        <f>G2</f>
        <v>Witness Responsible:</v>
      </c>
      <c r="H50" s="13"/>
      <c r="I50" s="1037"/>
      <c r="O50" s="216"/>
      <c r="Q50" s="216"/>
      <c r="R50" s="1048"/>
      <c r="S50" s="1048"/>
      <c r="T50" s="1048"/>
      <c r="U50" s="1048"/>
      <c r="V50" s="1048"/>
      <c r="W50" s="1048"/>
      <c r="X50" s="1048"/>
      <c r="Y50" s="1048"/>
      <c r="Z50" s="1048"/>
    </row>
    <row r="51" spans="1:26" ht="12.75" customHeight="1">
      <c r="A51" s="10" t="str">
        <f>A3</f>
        <v>CASE NO: 2018-00261</v>
      </c>
      <c r="B51" s="11"/>
      <c r="C51" s="11"/>
      <c r="D51" s="11"/>
      <c r="E51" s="11"/>
      <c r="G51" s="10" t="str">
        <f>G3</f>
        <v>James E. Ziolkowski</v>
      </c>
      <c r="H51" s="13"/>
      <c r="I51" s="1037"/>
      <c r="O51" s="216"/>
      <c r="R51" s="1047"/>
      <c r="S51" s="1047"/>
      <c r="T51" s="1047"/>
      <c r="U51" s="1047"/>
      <c r="V51" s="1047"/>
      <c r="W51" s="1047"/>
      <c r="X51" s="1047"/>
      <c r="Y51" s="1047"/>
      <c r="Z51" s="1047"/>
    </row>
    <row r="52" spans="1:26" ht="12.75" customHeight="1">
      <c r="A52" s="10" t="str">
        <f>$A$4</f>
        <v>ALLOCATION FACTORS FOR COST OF SERVICE STUDY</v>
      </c>
      <c r="B52" s="11"/>
      <c r="C52" s="11"/>
      <c r="D52" s="11"/>
      <c r="E52" s="11"/>
      <c r="F52" s="11"/>
      <c r="G52" s="10" t="s">
        <v>574</v>
      </c>
      <c r="H52" s="13"/>
      <c r="I52" s="1037"/>
      <c r="O52" s="216"/>
    </row>
    <row r="53" spans="1:26" ht="12.75" customHeight="1">
      <c r="A53" s="10" t="str">
        <f>time_period</f>
        <v>TWELVE MONTHS ENDING DECEMBER 31, 2017</v>
      </c>
      <c r="B53" s="11"/>
      <c r="C53" s="11"/>
      <c r="D53" s="11"/>
      <c r="E53" s="11"/>
      <c r="F53" s="11"/>
      <c r="G53" s="16">
        <f ca="1">G5</f>
        <v>43347</v>
      </c>
      <c r="H53" s="13"/>
      <c r="I53" s="1037"/>
      <c r="O53" s="216"/>
    </row>
    <row r="54" spans="1:26" ht="12.75" customHeight="1">
      <c r="A54" s="198" t="s">
        <v>844</v>
      </c>
      <c r="B54" s="11"/>
      <c r="C54" s="11"/>
      <c r="D54" s="18"/>
      <c r="F54" s="24"/>
      <c r="O54" s="216"/>
      <c r="Q54" s="1049"/>
    </row>
    <row r="55" spans="1:26" s="216" customFormat="1" ht="12.75" customHeight="1">
      <c r="A55" s="198"/>
      <c r="B55" s="11"/>
      <c r="C55" s="11"/>
      <c r="D55" s="18"/>
      <c r="F55" s="209"/>
      <c r="H55" s="23"/>
      <c r="I55" s="45"/>
      <c r="Q55" s="1049"/>
      <c r="R55" s="12"/>
      <c r="T55" s="12"/>
      <c r="V55" s="12"/>
      <c r="X55" s="12"/>
      <c r="Z55" s="12"/>
    </row>
    <row r="56" spans="1:26" s="216" customFormat="1" ht="12.75" customHeight="1">
      <c r="A56" s="198"/>
      <c r="B56" s="11"/>
      <c r="C56" s="11"/>
      <c r="D56" s="18"/>
      <c r="F56" s="209"/>
      <c r="H56" s="23"/>
      <c r="I56" s="45"/>
      <c r="Q56" s="1049"/>
    </row>
    <row r="57" spans="1:26" ht="12.75" customHeight="1">
      <c r="A57" s="19" t="s">
        <v>1242</v>
      </c>
      <c r="E57" s="24" t="s">
        <v>343</v>
      </c>
      <c r="F57" s="22"/>
      <c r="O57" s="216"/>
      <c r="Q57" s="1049"/>
      <c r="R57" s="217"/>
      <c r="S57" s="217"/>
      <c r="T57" s="217"/>
      <c r="U57" s="217"/>
      <c r="V57" s="217"/>
      <c r="W57" s="217"/>
      <c r="X57" s="217"/>
      <c r="Y57" s="217"/>
      <c r="Z57" s="217"/>
    </row>
    <row r="58" spans="1:26" ht="12.75" customHeight="1">
      <c r="C58" s="21" t="s">
        <v>479</v>
      </c>
      <c r="D58" s="21" t="s">
        <v>575</v>
      </c>
      <c r="E58" s="21" t="s">
        <v>565</v>
      </c>
      <c r="K58" s="21"/>
      <c r="O58" s="216"/>
      <c r="Q58" s="1049"/>
      <c r="R58" s="217"/>
      <c r="S58" s="217"/>
      <c r="T58" s="217"/>
      <c r="U58" s="217"/>
      <c r="V58" s="217"/>
      <c r="W58" s="217"/>
      <c r="X58" s="217"/>
      <c r="Y58" s="217"/>
      <c r="Z58" s="217"/>
    </row>
    <row r="59" spans="1:26" ht="12.75" customHeight="1">
      <c r="D59" s="37"/>
      <c r="E59" s="24" t="s">
        <v>576</v>
      </c>
      <c r="O59" s="216"/>
      <c r="Q59" s="1049"/>
      <c r="R59" s="217"/>
      <c r="S59" s="217"/>
      <c r="T59" s="217"/>
      <c r="U59" s="217"/>
      <c r="V59" s="217"/>
      <c r="W59" s="217"/>
      <c r="X59" s="217"/>
      <c r="Y59" s="217"/>
      <c r="Z59" s="217"/>
    </row>
    <row r="60" spans="1:26" ht="12.75" customHeight="1">
      <c r="C60" s="374" t="s">
        <v>1286</v>
      </c>
      <c r="D60" s="1022">
        <v>91382</v>
      </c>
      <c r="E60" s="321">
        <f>1-SUM(E61:E63)</f>
        <v>0.92827999999999999</v>
      </c>
      <c r="H60" s="321"/>
      <c r="K60" s="383"/>
      <c r="O60" s="216"/>
      <c r="Q60" s="1059"/>
      <c r="R60" s="1046"/>
      <c r="S60" s="1046"/>
      <c r="T60" s="1046"/>
      <c r="U60" s="1046"/>
      <c r="V60" s="1046"/>
      <c r="W60" s="1046"/>
      <c r="X60" s="1046"/>
      <c r="Y60" s="1046"/>
      <c r="Z60" s="1046"/>
    </row>
    <row r="61" spans="1:26" ht="12.75" customHeight="1">
      <c r="C61" s="374" t="s">
        <v>1282</v>
      </c>
      <c r="D61" s="1022">
        <v>6943</v>
      </c>
      <c r="E61" s="321">
        <f>ROUND(D61/D$64,5)</f>
        <v>7.0529999999999995E-2</v>
      </c>
      <c r="F61" s="383"/>
      <c r="G61" s="321">
        <f>ROUND(D61/($D$61+$D$62),4)</f>
        <v>0.98650000000000004</v>
      </c>
      <c r="H61" s="321"/>
      <c r="K61" s="383"/>
      <c r="O61" s="216"/>
      <c r="Q61" s="1049"/>
      <c r="R61" s="217"/>
      <c r="S61" s="217"/>
      <c r="T61" s="217"/>
      <c r="U61" s="217"/>
      <c r="V61" s="217"/>
      <c r="W61" s="217"/>
      <c r="X61" s="217"/>
      <c r="Y61" s="217"/>
      <c r="Z61" s="217"/>
    </row>
    <row r="62" spans="1:26" ht="12.75" customHeight="1">
      <c r="C62" s="374" t="s">
        <v>984</v>
      </c>
      <c r="D62" s="1022">
        <v>95</v>
      </c>
      <c r="E62" s="321">
        <f>ROUND(D62/D$64,5)</f>
        <v>9.7000000000000005E-4</v>
      </c>
      <c r="F62" s="383"/>
      <c r="G62" s="321">
        <f>ROUND(D62/($D$61+$D$62),4)</f>
        <v>1.35E-2</v>
      </c>
      <c r="H62" s="321"/>
      <c r="K62" s="383"/>
      <c r="O62" s="216"/>
      <c r="Q62" s="1049"/>
      <c r="R62" s="217"/>
      <c r="S62" s="217"/>
      <c r="T62" s="217"/>
      <c r="U62" s="217"/>
      <c r="V62" s="217"/>
      <c r="W62" s="217"/>
      <c r="X62" s="217"/>
      <c r="Y62" s="217"/>
      <c r="Z62" s="217"/>
    </row>
    <row r="63" spans="1:26" ht="12.75" customHeight="1">
      <c r="C63" s="374" t="s">
        <v>566</v>
      </c>
      <c r="D63" s="1022">
        <v>22</v>
      </c>
      <c r="E63" s="321">
        <f>ROUND(D63/D$64,5)</f>
        <v>2.2000000000000001E-4</v>
      </c>
      <c r="F63" s="384"/>
      <c r="H63" s="321"/>
      <c r="K63" s="383"/>
      <c r="O63" s="216"/>
      <c r="Q63" s="1049"/>
      <c r="R63" s="217"/>
      <c r="S63" s="217"/>
      <c r="T63" s="217"/>
      <c r="U63" s="217"/>
      <c r="V63" s="217"/>
      <c r="W63" s="217"/>
      <c r="X63" s="217"/>
      <c r="Y63" s="217"/>
      <c r="Z63" s="217"/>
    </row>
    <row r="64" spans="1:26" ht="12.75" customHeight="1">
      <c r="B64" s="12" t="s">
        <v>343</v>
      </c>
      <c r="C64" s="375" t="s">
        <v>567</v>
      </c>
      <c r="D64" s="376">
        <f>SUM(D60:D63)</f>
        <v>98442</v>
      </c>
      <c r="E64" s="377">
        <f>SUM(E60:E63)</f>
        <v>1</v>
      </c>
      <c r="F64" s="331"/>
      <c r="G64" s="211"/>
      <c r="H64" s="321"/>
      <c r="O64" s="216"/>
      <c r="Q64" s="1049"/>
      <c r="R64" s="217"/>
      <c r="S64" s="217"/>
      <c r="T64" s="217"/>
      <c r="U64" s="217"/>
      <c r="V64" s="217"/>
      <c r="W64" s="217"/>
      <c r="X64" s="217"/>
      <c r="Y64" s="217"/>
      <c r="Z64" s="217"/>
    </row>
    <row r="65" spans="1:26" ht="12.75" customHeight="1">
      <c r="C65" s="211"/>
      <c r="D65" s="385"/>
      <c r="E65" s="211"/>
      <c r="F65" s="211"/>
      <c r="G65" s="211"/>
      <c r="H65" s="321"/>
      <c r="O65" s="216"/>
      <c r="Q65" s="1049"/>
      <c r="R65" s="217"/>
      <c r="S65" s="217"/>
      <c r="T65" s="217"/>
      <c r="U65" s="217"/>
      <c r="V65" s="217"/>
      <c r="W65" s="217"/>
      <c r="X65" s="217"/>
      <c r="Y65" s="217"/>
      <c r="Z65" s="217"/>
    </row>
    <row r="66" spans="1:26" ht="12.75" customHeight="1">
      <c r="C66" s="211"/>
      <c r="D66" s="211"/>
      <c r="E66" s="211"/>
      <c r="F66" s="211"/>
      <c r="G66" s="211"/>
      <c r="H66" s="321"/>
      <c r="O66" s="216"/>
      <c r="Q66" s="1059"/>
      <c r="R66" s="1046"/>
      <c r="S66" s="1046"/>
      <c r="T66" s="1046"/>
      <c r="U66" s="1046"/>
      <c r="V66" s="1046"/>
      <c r="W66" s="1046"/>
      <c r="X66" s="1046"/>
      <c r="Y66" s="1046"/>
      <c r="Z66" s="1046"/>
    </row>
    <row r="67" spans="1:26" ht="12.75" customHeight="1">
      <c r="A67" s="19" t="s">
        <v>577</v>
      </c>
      <c r="C67" s="211"/>
      <c r="D67" s="211"/>
      <c r="E67" s="211"/>
      <c r="F67" s="211"/>
      <c r="G67" s="211"/>
      <c r="H67" s="321"/>
      <c r="O67" s="216"/>
      <c r="Q67" s="1049"/>
      <c r="R67" s="217"/>
      <c r="S67" s="217"/>
      <c r="T67" s="217"/>
      <c r="U67" s="217"/>
      <c r="V67" s="217"/>
      <c r="W67" s="217"/>
      <c r="X67" s="217"/>
      <c r="Y67" s="217"/>
      <c r="Z67" s="217"/>
    </row>
    <row r="68" spans="1:26" s="216" customFormat="1" ht="12.75" customHeight="1">
      <c r="A68" s="19"/>
      <c r="C68" s="211"/>
      <c r="D68" s="211"/>
      <c r="E68" s="211"/>
      <c r="F68" s="211"/>
      <c r="G68" s="211"/>
      <c r="H68" s="321"/>
      <c r="I68" s="45"/>
      <c r="R68" s="217"/>
      <c r="S68" s="217"/>
      <c r="T68" s="217"/>
      <c r="U68" s="217"/>
      <c r="V68" s="217"/>
      <c r="W68" s="217"/>
      <c r="X68" s="217"/>
      <c r="Y68" s="217"/>
      <c r="Z68" s="217"/>
    </row>
    <row r="69" spans="1:26" ht="12.75" customHeight="1">
      <c r="A69" s="19"/>
      <c r="C69" s="211"/>
      <c r="D69" s="386"/>
      <c r="E69" s="386" t="s">
        <v>763</v>
      </c>
      <c r="F69" s="386" t="s">
        <v>578</v>
      </c>
      <c r="G69" s="386" t="s">
        <v>343</v>
      </c>
      <c r="H69" s="387"/>
      <c r="O69" s="216"/>
      <c r="Q69" s="216"/>
      <c r="R69" s="217"/>
      <c r="S69" s="217"/>
      <c r="T69" s="217"/>
      <c r="U69" s="217"/>
      <c r="V69" s="217"/>
      <c r="W69" s="217"/>
      <c r="X69" s="217"/>
      <c r="Y69" s="217"/>
      <c r="Z69" s="217"/>
    </row>
    <row r="70" spans="1:26" ht="12.75" customHeight="1">
      <c r="A70" s="19"/>
      <c r="C70" s="379" t="s">
        <v>479</v>
      </c>
      <c r="D70" s="379" t="s">
        <v>575</v>
      </c>
      <c r="E70" s="379" t="s">
        <v>645</v>
      </c>
      <c r="F70" s="379" t="s">
        <v>575</v>
      </c>
      <c r="G70" s="379" t="s">
        <v>565</v>
      </c>
      <c r="H70" s="388"/>
      <c r="O70" s="216"/>
      <c r="Q70" s="216"/>
      <c r="R70" s="217"/>
      <c r="S70" s="217"/>
      <c r="T70" s="217"/>
      <c r="U70" s="217"/>
      <c r="V70" s="217"/>
      <c r="W70" s="217"/>
      <c r="X70" s="217"/>
      <c r="Y70" s="217"/>
      <c r="Z70" s="217"/>
    </row>
    <row r="71" spans="1:26" ht="12.75" customHeight="1">
      <c r="C71" s="211"/>
      <c r="D71" s="211"/>
      <c r="E71" s="211"/>
      <c r="F71" s="211"/>
      <c r="G71" s="375" t="s">
        <v>579</v>
      </c>
      <c r="H71" s="321"/>
      <c r="O71" s="216"/>
      <c r="Q71" s="216"/>
      <c r="R71" s="217"/>
      <c r="S71" s="217"/>
      <c r="T71" s="217"/>
      <c r="U71" s="217"/>
      <c r="V71" s="217"/>
      <c r="W71" s="217"/>
      <c r="X71" s="217"/>
      <c r="Y71" s="217"/>
      <c r="Z71" s="217"/>
    </row>
    <row r="72" spans="1:26" ht="12.75" customHeight="1">
      <c r="C72" s="374" t="s">
        <v>1286</v>
      </c>
      <c r="D72" s="309">
        <f>'WP FR-16(7)(v)-Services'!C94</f>
        <v>91382</v>
      </c>
      <c r="E72" s="389">
        <f>'WP FR-16(7)(v)-Services'!D94</f>
        <v>1</v>
      </c>
      <c r="F72" s="390">
        <f>ROUND(E72*D72,0)</f>
        <v>91382</v>
      </c>
      <c r="G72" s="321">
        <f>1-SUM(G73:G75)</f>
        <v>0.87299000000000004</v>
      </c>
      <c r="H72" s="383"/>
      <c r="O72" s="216"/>
      <c r="Q72" s="216"/>
      <c r="R72" s="217"/>
      <c r="S72" s="217"/>
      <c r="T72" s="217"/>
      <c r="U72" s="217"/>
      <c r="V72" s="217"/>
      <c r="W72" s="217"/>
      <c r="X72" s="217"/>
      <c r="Y72" s="217"/>
      <c r="Z72" s="217"/>
    </row>
    <row r="73" spans="1:26" ht="12.75" customHeight="1">
      <c r="C73" s="374" t="s">
        <v>1282</v>
      </c>
      <c r="D73" s="309">
        <f>'WP FR-16(7)(v)-Services'!C95</f>
        <v>6943</v>
      </c>
      <c r="E73" s="389">
        <f>'WP FR-16(7)(v)-Services'!D95</f>
        <v>1.8062166365268015</v>
      </c>
      <c r="F73" s="390">
        <f>ROUND(E73*D73,0)</f>
        <v>12541</v>
      </c>
      <c r="G73" s="321">
        <f>ROUND(F73/$F$76,5)</f>
        <v>0.11981</v>
      </c>
      <c r="H73" s="383"/>
      <c r="O73" s="216"/>
      <c r="Q73" s="216"/>
      <c r="R73" s="1046"/>
      <c r="S73" s="1046"/>
      <c r="T73" s="1046"/>
      <c r="U73" s="1046"/>
      <c r="V73" s="1046"/>
      <c r="W73" s="1046"/>
      <c r="X73" s="1046"/>
      <c r="Y73" s="1046"/>
      <c r="Z73" s="1046"/>
    </row>
    <row r="74" spans="1:26" ht="12.75" customHeight="1">
      <c r="C74" s="374" t="s">
        <v>984</v>
      </c>
      <c r="D74" s="309">
        <f>'WP FR-16(7)(v)-Services'!C96</f>
        <v>95</v>
      </c>
      <c r="E74" s="389">
        <f>'WP FR-16(7)(v)-Services'!D96</f>
        <v>2.6955337606733831</v>
      </c>
      <c r="F74" s="390">
        <f>ROUND(E74*D74,0)</f>
        <v>256</v>
      </c>
      <c r="G74" s="321">
        <f>ROUND(F74/$F$76,5)</f>
        <v>2.4499999999999999E-3</v>
      </c>
      <c r="H74" s="383"/>
      <c r="O74" s="216"/>
      <c r="Q74" s="318"/>
      <c r="R74" s="217"/>
      <c r="S74" s="217"/>
      <c r="T74" s="217"/>
      <c r="U74" s="217"/>
      <c r="V74" s="217"/>
      <c r="W74" s="217"/>
      <c r="X74" s="217"/>
      <c r="Y74" s="217"/>
      <c r="Z74" s="217"/>
    </row>
    <row r="75" spans="1:26" ht="12.75" customHeight="1">
      <c r="C75" s="374" t="s">
        <v>566</v>
      </c>
      <c r="D75" s="309">
        <f>'WP FR-16(7)(v)-Services'!C97</f>
        <v>22</v>
      </c>
      <c r="E75" s="389">
        <f>'WP FR-16(7)(v)-Services'!D97</f>
        <v>22.600183085670764</v>
      </c>
      <c r="F75" s="391">
        <f>ROUND(E75*D75,0)</f>
        <v>497</v>
      </c>
      <c r="G75" s="321">
        <f>ROUND(F75/$F$76,5)</f>
        <v>4.7499999999999999E-3</v>
      </c>
      <c r="H75" s="382"/>
      <c r="O75" s="216"/>
    </row>
    <row r="76" spans="1:26" ht="12.75" customHeight="1">
      <c r="C76" s="375" t="s">
        <v>567</v>
      </c>
      <c r="D76" s="376">
        <f>SUM(D72:D75)</f>
        <v>98442</v>
      </c>
      <c r="E76" s="382"/>
      <c r="F76" s="392">
        <f>SUM(F72:F75)</f>
        <v>104676</v>
      </c>
      <c r="G76" s="393">
        <f>SUM(G72:G75)</f>
        <v>1</v>
      </c>
      <c r="H76" s="331"/>
      <c r="O76" s="216"/>
    </row>
    <row r="77" spans="1:26" ht="12.75" customHeight="1">
      <c r="C77" s="375"/>
      <c r="D77" s="392"/>
      <c r="E77" s="382"/>
      <c r="F77" s="392"/>
      <c r="G77" s="331"/>
      <c r="H77" s="331"/>
      <c r="O77" s="216"/>
    </row>
    <row r="78" spans="1:26" ht="12.75" customHeight="1">
      <c r="C78" s="394"/>
      <c r="D78" s="392"/>
      <c r="E78" s="382"/>
      <c r="F78" s="392"/>
      <c r="G78" s="331"/>
      <c r="H78" s="331"/>
      <c r="O78" s="216"/>
    </row>
    <row r="79" spans="1:26" ht="12.75" customHeight="1">
      <c r="C79" s="211"/>
      <c r="D79" s="385"/>
      <c r="E79" s="385"/>
      <c r="F79" s="385"/>
      <c r="G79" s="211"/>
      <c r="H79" s="321"/>
      <c r="O79" s="216"/>
    </row>
    <row r="80" spans="1:26" ht="12.75" customHeight="1">
      <c r="A80" s="25" t="s">
        <v>1243</v>
      </c>
      <c r="B80" s="25"/>
      <c r="C80" s="374"/>
      <c r="D80" s="374"/>
      <c r="E80" s="374"/>
      <c r="F80" s="374"/>
      <c r="G80" s="211"/>
      <c r="H80" s="321"/>
      <c r="O80" s="216"/>
    </row>
    <row r="81" spans="1:26" ht="12.75" customHeight="1">
      <c r="C81" s="211"/>
      <c r="D81" s="211"/>
      <c r="E81" s="211"/>
      <c r="F81" s="211"/>
      <c r="G81" s="211"/>
      <c r="H81" s="321"/>
      <c r="O81" s="216"/>
    </row>
    <row r="82" spans="1:26" ht="12.75" customHeight="1">
      <c r="C82" s="211"/>
      <c r="D82" s="379" t="s">
        <v>1237</v>
      </c>
      <c r="E82" s="379" t="s">
        <v>580</v>
      </c>
      <c r="F82" s="379" t="s">
        <v>581</v>
      </c>
      <c r="G82" s="379" t="s">
        <v>582</v>
      </c>
      <c r="H82" s="395" t="s">
        <v>565</v>
      </c>
      <c r="O82" s="216"/>
    </row>
    <row r="83" spans="1:26" s="216" customFormat="1" ht="12.75" customHeight="1">
      <c r="C83" s="211"/>
      <c r="D83" s="379"/>
      <c r="E83" s="379"/>
      <c r="F83" s="379"/>
      <c r="G83" s="379"/>
      <c r="H83" s="1257" t="s">
        <v>1193</v>
      </c>
      <c r="I83" s="45"/>
      <c r="Q83" s="12"/>
      <c r="R83" s="12"/>
      <c r="T83" s="12"/>
      <c r="V83" s="12"/>
      <c r="X83" s="12"/>
      <c r="Z83" s="12"/>
    </row>
    <row r="84" spans="1:26" ht="12.75" customHeight="1">
      <c r="C84" s="374" t="s">
        <v>1286</v>
      </c>
      <c r="D84" s="212">
        <f>'WP FR-16(7)(v)-CustAcctg'!C11</f>
        <v>545470.02076349524</v>
      </c>
      <c r="E84" s="212">
        <f>'WP FR-16(7)(v)-CustAcctg'!C12</f>
        <v>434408.42871944903</v>
      </c>
      <c r="F84" s="212">
        <f>'WP FR-16(7)(v)-CustAcctg'!C13</f>
        <v>2384289.3286402146</v>
      </c>
      <c r="G84" s="212">
        <f>SUM(D84:F84)</f>
        <v>3364167.778123159</v>
      </c>
      <c r="H84" s="321">
        <f>1-SUM(H85:H87)</f>
        <v>0.92827999999999999</v>
      </c>
      <c r="O84" s="216"/>
      <c r="Q84" s="216"/>
      <c r="R84" s="216"/>
      <c r="T84" s="216"/>
      <c r="V84" s="216"/>
      <c r="X84" s="216"/>
      <c r="Z84" s="216"/>
    </row>
    <row r="85" spans="1:26" ht="12.75" customHeight="1">
      <c r="C85" s="374" t="s">
        <v>1282</v>
      </c>
      <c r="D85" s="212">
        <f>'WP FR-16(7)(v)-CustAcctg'!D11</f>
        <v>41443.59232847768</v>
      </c>
      <c r="E85" s="212">
        <f>'WP FR-16(7)(v)-CustAcctg'!D12</f>
        <v>33005.380934966779</v>
      </c>
      <c r="F85" s="212">
        <f>'WP FR-16(7)(v)-CustAcctg'!D13</f>
        <v>181152.97114036692</v>
      </c>
      <c r="G85" s="212">
        <f>SUM(D85:F85)</f>
        <v>255601.94440381139</v>
      </c>
      <c r="H85" s="321">
        <f>ROUND(G85/$G$88,5)</f>
        <v>7.0529999999999995E-2</v>
      </c>
      <c r="O85" s="216"/>
    </row>
    <row r="86" spans="1:26" ht="12.75" customHeight="1">
      <c r="C86" s="374" t="s">
        <v>984</v>
      </c>
      <c r="D86" s="212">
        <f>+'WP FR-16(7)(v)-CustAcctg'!E11</f>
        <v>567.06629284248595</v>
      </c>
      <c r="E86" s="212">
        <f>+'WP FR-16(7)(v)-CustAcctg'!E12</f>
        <v>451.60754555982203</v>
      </c>
      <c r="F86" s="212">
        <f>+'WP FR-16(7)(v)-CustAcctg'!E13</f>
        <v>2478.6882123483879</v>
      </c>
      <c r="G86" s="212">
        <f>SUM(D86:F86)</f>
        <v>3497.3620507506957</v>
      </c>
      <c r="H86" s="321">
        <f>ROUND(G86/$G$88,5)</f>
        <v>9.7000000000000005E-4</v>
      </c>
      <c r="O86" s="216"/>
    </row>
    <row r="87" spans="1:26" ht="12.75" customHeight="1">
      <c r="C87" s="374" t="s">
        <v>566</v>
      </c>
      <c r="D87" s="212">
        <f>'WP FR-16(7)(v)-CustAcctg'!F11</f>
        <v>131.32061518457567</v>
      </c>
      <c r="E87" s="212">
        <f>'WP FR-16(7)(v)-CustAcctg'!F12</f>
        <v>104.58280002437984</v>
      </c>
      <c r="F87" s="212">
        <f>'WP FR-16(7)(v)-CustAcctg'!F13</f>
        <v>574.012007070153</v>
      </c>
      <c r="G87" s="212">
        <f>SUM(D87:F87)</f>
        <v>809.9154222791085</v>
      </c>
      <c r="H87" s="321">
        <f>ROUND(G87/$G$88,5)</f>
        <v>2.2000000000000001E-4</v>
      </c>
      <c r="O87" s="216"/>
    </row>
    <row r="88" spans="1:26" ht="12.75" customHeight="1" thickBot="1">
      <c r="C88" s="375" t="s">
        <v>567</v>
      </c>
      <c r="D88" s="396">
        <f>SUM(D84:D87)</f>
        <v>587612</v>
      </c>
      <c r="E88" s="396">
        <f>SUM(E84:E87)</f>
        <v>467970</v>
      </c>
      <c r="F88" s="396">
        <f>SUM(F84:F87)</f>
        <v>2568495.0000000005</v>
      </c>
      <c r="G88" s="396">
        <f>SUM(G84:G87)</f>
        <v>3624077</v>
      </c>
      <c r="H88" s="397">
        <f>SUM(H84:H87)</f>
        <v>1</v>
      </c>
      <c r="O88" s="216"/>
    </row>
    <row r="89" spans="1:26" ht="12.75" customHeight="1" thickTop="1">
      <c r="C89" s="211"/>
      <c r="D89" s="211"/>
      <c r="E89" s="211"/>
      <c r="F89" s="211"/>
      <c r="G89" s="211"/>
      <c r="H89" s="321"/>
      <c r="O89" s="216"/>
    </row>
    <row r="90" spans="1:26" ht="12.75" customHeight="1">
      <c r="A90" s="25" t="s">
        <v>1246</v>
      </c>
      <c r="C90" s="374"/>
      <c r="D90" s="374"/>
      <c r="E90" s="374"/>
      <c r="F90" s="374"/>
      <c r="G90" s="374"/>
      <c r="H90" s="321"/>
      <c r="O90" s="216"/>
    </row>
    <row r="91" spans="1:26" ht="12.75" customHeight="1">
      <c r="C91" s="211"/>
      <c r="D91" s="375"/>
      <c r="E91" s="398"/>
      <c r="F91" s="212"/>
      <c r="G91" s="212"/>
      <c r="H91" s="321"/>
      <c r="O91" s="216"/>
    </row>
    <row r="92" spans="1:26" ht="12.75" customHeight="1">
      <c r="C92" s="211"/>
      <c r="D92" s="379" t="s">
        <v>583</v>
      </c>
      <c r="E92" s="379" t="s">
        <v>565</v>
      </c>
      <c r="F92" s="212"/>
      <c r="G92" s="211"/>
      <c r="H92" s="321"/>
      <c r="O92" s="216"/>
    </row>
    <row r="93" spans="1:26" s="216" customFormat="1" ht="12.75" customHeight="1">
      <c r="C93" s="211"/>
      <c r="D93" s="379"/>
      <c r="E93" s="386" t="s">
        <v>1180</v>
      </c>
      <c r="F93" s="212"/>
      <c r="G93" s="211"/>
      <c r="H93" s="321"/>
      <c r="I93" s="45"/>
      <c r="Q93" s="12"/>
      <c r="R93" s="12"/>
      <c r="T93" s="12"/>
      <c r="V93" s="12"/>
      <c r="X93" s="12"/>
      <c r="Z93" s="12"/>
    </row>
    <row r="94" spans="1:26" ht="12.75" customHeight="1">
      <c r="B94" s="25"/>
      <c r="C94" s="374" t="s">
        <v>1286</v>
      </c>
      <c r="D94" s="212">
        <f>'WP FR-16(7)(v)-CustAcctg'!C14</f>
        <v>3638.8679628613804</v>
      </c>
      <c r="E94" s="321">
        <f>1-SUM(E95:E97)</f>
        <v>0.92827999999999999</v>
      </c>
      <c r="F94" s="212"/>
      <c r="G94" s="211"/>
      <c r="H94" s="321"/>
      <c r="O94" s="216"/>
      <c r="Q94" s="216"/>
      <c r="R94" s="216"/>
      <c r="T94" s="216"/>
      <c r="V94" s="216"/>
      <c r="X94" s="216"/>
      <c r="Z94" s="216"/>
    </row>
    <row r="95" spans="1:26" ht="12.75" customHeight="1">
      <c r="B95" s="25"/>
      <c r="C95" s="374" t="s">
        <v>1282</v>
      </c>
      <c r="D95" s="212">
        <f>'WP FR-16(7)(v)-CustAcctg'!D14</f>
        <v>276.47305012088339</v>
      </c>
      <c r="E95" s="321">
        <f>ROUND(D95/D$98,5)</f>
        <v>7.0529999999999995E-2</v>
      </c>
      <c r="F95" s="212"/>
      <c r="G95" s="211"/>
      <c r="H95" s="321"/>
      <c r="O95" s="216"/>
    </row>
    <row r="96" spans="1:26" ht="12.75" customHeight="1">
      <c r="B96" s="25"/>
      <c r="C96" s="374" t="s">
        <v>984</v>
      </c>
      <c r="D96" s="212">
        <f>+'WP FR-16(7)(v)-CustAcctg'!E14</f>
        <v>3.7829381767944579</v>
      </c>
      <c r="E96" s="321">
        <f>ROUND(D96/D$98,5)</f>
        <v>9.7000000000000005E-4</v>
      </c>
      <c r="F96" s="212"/>
      <c r="G96" s="211"/>
      <c r="H96" s="321"/>
      <c r="O96" s="216"/>
    </row>
    <row r="97" spans="1:26" ht="12.75" customHeight="1">
      <c r="B97" s="25"/>
      <c r="C97" s="374" t="s">
        <v>566</v>
      </c>
      <c r="D97" s="212">
        <f>'WP FR-16(7)(v)-CustAcctg'!F14</f>
        <v>0.8760488409418743</v>
      </c>
      <c r="E97" s="321">
        <f>ROUND(D97/D$98,5)</f>
        <v>2.2000000000000001E-4</v>
      </c>
      <c r="F97" s="211"/>
      <c r="G97" s="211"/>
      <c r="H97" s="321"/>
      <c r="O97" s="216"/>
    </row>
    <row r="98" spans="1:26" ht="12.75" customHeight="1" thickBot="1">
      <c r="B98" s="25"/>
      <c r="C98" s="375" t="s">
        <v>567</v>
      </c>
      <c r="D98" s="396">
        <f>SUM(D94:D97)</f>
        <v>3920</v>
      </c>
      <c r="E98" s="397">
        <f>SUM(E94:E97)</f>
        <v>1</v>
      </c>
      <c r="F98" s="211"/>
      <c r="G98" s="211"/>
      <c r="H98" s="321"/>
      <c r="O98" s="216"/>
    </row>
    <row r="99" spans="1:26" ht="12.75" customHeight="1" thickTop="1">
      <c r="C99" s="211"/>
      <c r="D99" s="211"/>
      <c r="E99" s="211"/>
      <c r="F99" s="211"/>
      <c r="G99" s="211"/>
      <c r="H99" s="321"/>
      <c r="O99" s="216"/>
    </row>
    <row r="100" spans="1:26" ht="12.75" customHeight="1">
      <c r="A100" s="25" t="s">
        <v>1244</v>
      </c>
      <c r="C100" s="374"/>
      <c r="D100" s="374"/>
      <c r="E100" s="374"/>
      <c r="F100" s="374"/>
      <c r="G100" s="374"/>
      <c r="H100" s="321"/>
      <c r="O100" s="216"/>
    </row>
    <row r="101" spans="1:26" ht="12.75" customHeight="1">
      <c r="C101" s="211"/>
      <c r="D101" s="211"/>
      <c r="E101" s="211"/>
      <c r="F101" s="211"/>
      <c r="G101" s="211"/>
      <c r="H101" s="321"/>
      <c r="O101" s="216"/>
    </row>
    <row r="102" spans="1:26" ht="12.75" customHeight="1">
      <c r="C102" s="211"/>
      <c r="D102" s="379" t="s">
        <v>1236</v>
      </c>
      <c r="E102" s="379" t="s">
        <v>584</v>
      </c>
      <c r="F102" s="379" t="s">
        <v>585</v>
      </c>
      <c r="G102" s="379" t="s">
        <v>582</v>
      </c>
      <c r="H102" s="395" t="s">
        <v>565</v>
      </c>
      <c r="O102" s="216"/>
    </row>
    <row r="103" spans="1:26" s="216" customFormat="1" ht="12.75" customHeight="1">
      <c r="C103" s="211"/>
      <c r="D103" s="379"/>
      <c r="E103" s="379"/>
      <c r="F103" s="379"/>
      <c r="G103" s="379"/>
      <c r="H103" s="1257" t="s">
        <v>1179</v>
      </c>
      <c r="I103" s="45"/>
      <c r="Q103" s="12"/>
      <c r="R103" s="12"/>
      <c r="T103" s="12"/>
      <c r="V103" s="12"/>
      <c r="X103" s="12"/>
      <c r="Z103" s="12"/>
    </row>
    <row r="104" spans="1:26" ht="12.75" customHeight="1">
      <c r="B104" s="25"/>
      <c r="C104" s="374" t="s">
        <v>1286</v>
      </c>
      <c r="D104" s="212">
        <f>'WP FR-16(7)(v)-CustAcctg'!C15</f>
        <v>0</v>
      </c>
      <c r="E104" s="212">
        <f>'WP FR-16(7)(v)-CustAcctg'!C16</f>
        <v>129349.68840535544</v>
      </c>
      <c r="F104" s="212">
        <f>'WP FR-16(7)(v)-CustAcctg'!C17</f>
        <v>1216.0502630990836</v>
      </c>
      <c r="G104" s="212">
        <f>SUM(D104:F104)</f>
        <v>130565.73866845452</v>
      </c>
      <c r="H104" s="321">
        <f>1-SUM(H105:H107)</f>
        <v>0.92827999999999999</v>
      </c>
      <c r="O104" s="216"/>
      <c r="Q104" s="216"/>
      <c r="R104" s="216"/>
      <c r="T104" s="216"/>
      <c r="V104" s="216"/>
      <c r="X104" s="216"/>
      <c r="Z104" s="216"/>
    </row>
    <row r="105" spans="1:26" ht="12.75" customHeight="1">
      <c r="B105" s="25"/>
      <c r="C105" s="374" t="s">
        <v>1282</v>
      </c>
      <c r="D105" s="212">
        <f>'WP FR-16(7)(v)-CustAcctg'!D15</f>
        <v>0</v>
      </c>
      <c r="E105" s="212">
        <f>'WP FR-16(7)(v)-CustAcctg'!D16</f>
        <v>9827.7000568862877</v>
      </c>
      <c r="F105" s="212">
        <f>'WP FR-16(7)(v)-CustAcctg'!D17</f>
        <v>92.392779504682963</v>
      </c>
      <c r="G105" s="212">
        <f>SUM(D105:F105)</f>
        <v>9920.0928363909716</v>
      </c>
      <c r="H105" s="321">
        <f>ROUND(G105/$G$108,5)</f>
        <v>7.0529999999999995E-2</v>
      </c>
      <c r="O105" s="216"/>
    </row>
    <row r="106" spans="1:26" ht="12.75" customHeight="1">
      <c r="B106" s="25"/>
      <c r="C106" s="374" t="s">
        <v>984</v>
      </c>
      <c r="D106" s="212">
        <f>+'WP FR-16(7)(v)-CustAcctg'!E15</f>
        <v>0</v>
      </c>
      <c r="E106" s="212">
        <f>+'WP FR-16(7)(v)-CustAcctg'!E16</f>
        <v>134.47090672680361</v>
      </c>
      <c r="F106" s="212">
        <f>+'WP FR-16(7)(v)-CustAcctg'!E17</f>
        <v>1.2641961764287601</v>
      </c>
      <c r="G106" s="212">
        <f>SUM(D106:F106)</f>
        <v>135.73510290323236</v>
      </c>
      <c r="H106" s="321">
        <f>ROUND(G106/$G$108,5)</f>
        <v>9.7000000000000005E-4</v>
      </c>
      <c r="O106" s="216"/>
    </row>
    <row r="107" spans="1:26" ht="12.75" customHeight="1">
      <c r="B107" s="25"/>
      <c r="C107" s="374" t="s">
        <v>566</v>
      </c>
      <c r="D107" s="212">
        <v>0</v>
      </c>
      <c r="E107" s="212">
        <f>'WP FR-16(7)(v)-CustAcctg'!F16</f>
        <v>31.140631031470306</v>
      </c>
      <c r="F107" s="212">
        <f>'WP FR-16(7)(v)-CustAcctg'!F17</f>
        <v>0.29276121980455494</v>
      </c>
      <c r="G107" s="212">
        <f>SUM(D107:F107)</f>
        <v>31.43339225127486</v>
      </c>
      <c r="H107" s="321">
        <f>ROUND(G107/$G$108,5)</f>
        <v>2.2000000000000001E-4</v>
      </c>
      <c r="O107" s="216"/>
    </row>
    <row r="108" spans="1:26" ht="12.75" customHeight="1" thickBot="1">
      <c r="B108" s="25"/>
      <c r="C108" s="375" t="s">
        <v>567</v>
      </c>
      <c r="D108" s="396">
        <f>SUM(D104:D107)</f>
        <v>0</v>
      </c>
      <c r="E108" s="396">
        <f>SUM(E104:E107)</f>
        <v>139343.00000000003</v>
      </c>
      <c r="F108" s="396">
        <f>SUM(F104:F107)</f>
        <v>1310</v>
      </c>
      <c r="G108" s="396">
        <f>SUM(G104:G107)</f>
        <v>140653.00000000003</v>
      </c>
      <c r="H108" s="397">
        <f>SUM(H104:H107)</f>
        <v>1</v>
      </c>
      <c r="O108" s="216"/>
    </row>
    <row r="109" spans="1:26" ht="12.75" customHeight="1" thickTop="1">
      <c r="C109" s="211"/>
      <c r="D109" s="211"/>
      <c r="E109" s="211"/>
      <c r="F109" s="211"/>
      <c r="G109" s="211"/>
      <c r="H109" s="321"/>
      <c r="O109" s="216"/>
    </row>
    <row r="110" spans="1:26" ht="12.75" customHeight="1">
      <c r="A110" s="25" t="s">
        <v>1245</v>
      </c>
      <c r="C110" s="374"/>
      <c r="D110" s="374"/>
      <c r="E110" s="374"/>
      <c r="F110" s="374"/>
      <c r="G110" s="374"/>
      <c r="H110" s="321"/>
      <c r="O110" s="216"/>
    </row>
    <row r="111" spans="1:26" ht="12.75" customHeight="1">
      <c r="C111" s="211"/>
      <c r="D111" s="211"/>
      <c r="E111" s="211"/>
      <c r="F111" s="211"/>
      <c r="G111" s="211"/>
      <c r="H111" s="321"/>
      <c r="O111" s="216"/>
    </row>
    <row r="112" spans="1:26" ht="12.75" customHeight="1">
      <c r="C112" s="211"/>
      <c r="D112" s="379" t="s">
        <v>1235</v>
      </c>
      <c r="E112" s="379" t="s">
        <v>586</v>
      </c>
      <c r="F112" s="379" t="s">
        <v>582</v>
      </c>
      <c r="G112" s="395" t="s">
        <v>565</v>
      </c>
      <c r="H112" s="321"/>
      <c r="O112" s="216"/>
    </row>
    <row r="113" spans="1:15" s="216" customFormat="1" ht="12.75" customHeight="1">
      <c r="C113" s="211"/>
      <c r="D113" s="379"/>
      <c r="E113" s="379"/>
      <c r="F113" s="379"/>
      <c r="G113" s="1257" t="s">
        <v>1178</v>
      </c>
      <c r="H113" s="321"/>
      <c r="I113" s="45"/>
    </row>
    <row r="114" spans="1:15" ht="12.75" customHeight="1">
      <c r="B114" s="25"/>
      <c r="C114" s="374" t="s">
        <v>1286</v>
      </c>
      <c r="D114" s="212">
        <f>ROUND('WP FR-16(7)(v)-CustAcctg'!C19,0)</f>
        <v>18</v>
      </c>
      <c r="E114" s="212">
        <f>ROUND('WP FR-16(7)(v)-CustAcctg'!C21,0)</f>
        <v>6779</v>
      </c>
      <c r="F114" s="212">
        <f>SUM(D114:E114)</f>
        <v>6797</v>
      </c>
      <c r="G114" s="321">
        <f>1-SUM(G115:G117)</f>
        <v>0.92830000000000001</v>
      </c>
      <c r="H114" s="321"/>
      <c r="O114" s="216"/>
    </row>
    <row r="115" spans="1:15" ht="12.75" customHeight="1">
      <c r="B115" s="25"/>
      <c r="C115" s="374" t="s">
        <v>1282</v>
      </c>
      <c r="D115" s="212">
        <f>ROUND('WP FR-16(7)(v)-CustAcctg'!D19,0)</f>
        <v>1</v>
      </c>
      <c r="E115" s="212">
        <f>ROUND('WP FR-16(7)(v)-CustAcctg'!D21,0)</f>
        <v>515</v>
      </c>
      <c r="F115" s="212">
        <f>SUM(D115:E115)</f>
        <v>516</v>
      </c>
      <c r="G115" s="321">
        <f>ROUND(F115/$F$118,5)</f>
        <v>7.0470000000000005E-2</v>
      </c>
      <c r="H115" s="321"/>
      <c r="O115" s="216"/>
    </row>
    <row r="116" spans="1:15" ht="12.75" customHeight="1">
      <c r="B116" s="25"/>
      <c r="C116" s="374" t="s">
        <v>984</v>
      </c>
      <c r="D116" s="212">
        <f>ROUND('WP FR-16(7)(v)-CustAcctg'!E19,0)</f>
        <v>0</v>
      </c>
      <c r="E116" s="212">
        <f>ROUND('WP FR-16(7)(v)-CustAcctg'!E21,0)</f>
        <v>7</v>
      </c>
      <c r="F116" s="212">
        <f>SUM(D116:E116)</f>
        <v>7</v>
      </c>
      <c r="G116" s="321">
        <f>ROUND(F116/$F$118,5)</f>
        <v>9.6000000000000002E-4</v>
      </c>
      <c r="H116" s="321"/>
      <c r="O116" s="216"/>
    </row>
    <row r="117" spans="1:15" ht="12.75" customHeight="1">
      <c r="B117" s="25"/>
      <c r="C117" s="374" t="s">
        <v>566</v>
      </c>
      <c r="D117" s="212">
        <f>ROUND('WP FR-16(7)(v)-CustAcctg'!F19,0)</f>
        <v>0</v>
      </c>
      <c r="E117" s="212">
        <f>ROUND('WP FR-16(7)(v)-CustAcctg'!F21,0)</f>
        <v>2</v>
      </c>
      <c r="F117" s="212">
        <f>SUM(D117:E117)</f>
        <v>2</v>
      </c>
      <c r="G117" s="321">
        <f>ROUND(F117/$F$118,5)</f>
        <v>2.7E-4</v>
      </c>
      <c r="H117" s="321"/>
      <c r="O117" s="216"/>
    </row>
    <row r="118" spans="1:15" ht="12.75" customHeight="1" thickBot="1">
      <c r="B118" s="25"/>
      <c r="C118" s="375" t="s">
        <v>567</v>
      </c>
      <c r="D118" s="396">
        <f>SUM(D114:D117)</f>
        <v>19</v>
      </c>
      <c r="E118" s="396">
        <f>SUM(E114:E117)</f>
        <v>7303</v>
      </c>
      <c r="F118" s="396">
        <f>SUM(F114:F117)</f>
        <v>7322</v>
      </c>
      <c r="G118" s="397">
        <f>SUM(G114:G117)</f>
        <v>1</v>
      </c>
      <c r="H118" s="321"/>
      <c r="O118" s="216"/>
    </row>
    <row r="119" spans="1:15" ht="12.75" customHeight="1" thickTop="1">
      <c r="B119" s="25"/>
      <c r="C119" s="375"/>
      <c r="D119" s="399"/>
      <c r="E119" s="399"/>
      <c r="F119" s="399"/>
      <c r="G119" s="331"/>
      <c r="H119" s="321"/>
      <c r="O119" s="216"/>
    </row>
    <row r="120" spans="1:15" ht="12.75" customHeight="1">
      <c r="B120" s="216" t="s">
        <v>1561</v>
      </c>
      <c r="C120" s="375"/>
      <c r="D120" s="399"/>
      <c r="E120" s="399"/>
      <c r="F120" s="399"/>
      <c r="G120" s="331"/>
      <c r="H120" s="321"/>
      <c r="O120" s="216"/>
    </row>
    <row r="121" spans="1:15" ht="12.75" customHeight="1">
      <c r="B121" s="36" t="s">
        <v>1560</v>
      </c>
      <c r="C121" s="375"/>
      <c r="D121" s="399"/>
      <c r="E121" s="399"/>
      <c r="F121" s="399"/>
      <c r="G121" s="331"/>
      <c r="H121" s="321"/>
    </row>
    <row r="122" spans="1:15" ht="12.75" customHeight="1">
      <c r="B122" s="36" t="s">
        <v>1559</v>
      </c>
      <c r="C122" s="211"/>
      <c r="D122" s="211"/>
      <c r="E122" s="211"/>
      <c r="F122" s="211"/>
      <c r="G122" s="211"/>
      <c r="H122" s="321"/>
    </row>
    <row r="123" spans="1:15" ht="12.75" customHeight="1">
      <c r="A123" s="45"/>
      <c r="B123" s="45"/>
      <c r="C123" s="234"/>
      <c r="D123" s="234"/>
      <c r="E123" s="234"/>
      <c r="F123" s="234"/>
      <c r="G123" s="234"/>
      <c r="H123" s="331"/>
    </row>
    <row r="124" spans="1:15" ht="12.75" customHeight="1">
      <c r="A124" s="10" t="str">
        <f>A1</f>
        <v>DUKE ENERGY KENTUCKY, INC.</v>
      </c>
      <c r="B124" s="11"/>
      <c r="C124" s="378"/>
      <c r="D124" s="378"/>
      <c r="E124" s="378"/>
      <c r="F124" s="211"/>
      <c r="G124" s="394" t="str">
        <f>G1</f>
        <v>Allocation Factors Summary</v>
      </c>
      <c r="H124" s="400"/>
      <c r="I124" s="1037"/>
    </row>
    <row r="125" spans="1:15" ht="12.75" customHeight="1">
      <c r="A125" s="10" t="str">
        <f>A2</f>
        <v xml:space="preserve">GAS COST OF SERVICE STUDY </v>
      </c>
      <c r="B125" s="44"/>
      <c r="C125" s="378"/>
      <c r="D125" s="378"/>
      <c r="E125" s="378"/>
      <c r="F125" s="211"/>
      <c r="G125" s="394" t="str">
        <f>G2</f>
        <v>Witness Responsible:</v>
      </c>
      <c r="H125" s="400"/>
      <c r="I125" s="1037"/>
    </row>
    <row r="126" spans="1:15" ht="12.75" customHeight="1">
      <c r="A126" s="10" t="str">
        <f>A3</f>
        <v>CASE NO: 2018-00261</v>
      </c>
      <c r="B126" s="11"/>
      <c r="C126" s="378"/>
      <c r="D126" s="378"/>
      <c r="E126" s="378"/>
      <c r="F126" s="211"/>
      <c r="G126" s="394" t="str">
        <f>G3</f>
        <v>James E. Ziolkowski</v>
      </c>
      <c r="H126" s="400"/>
      <c r="I126" s="1037"/>
    </row>
    <row r="127" spans="1:15" ht="12.75" customHeight="1">
      <c r="A127" s="10" t="str">
        <f>$A$4</f>
        <v>ALLOCATION FACTORS FOR COST OF SERVICE STUDY</v>
      </c>
      <c r="B127" s="11"/>
      <c r="C127" s="378"/>
      <c r="D127" s="378"/>
      <c r="E127" s="378"/>
      <c r="F127" s="378"/>
      <c r="G127" s="394" t="s">
        <v>587</v>
      </c>
      <c r="H127" s="400"/>
      <c r="I127" s="1037"/>
    </row>
    <row r="128" spans="1:15" ht="12.75" customHeight="1">
      <c r="A128" s="10" t="str">
        <f>time_period</f>
        <v>TWELVE MONTHS ENDING DECEMBER 31, 2017</v>
      </c>
      <c r="B128" s="11"/>
      <c r="C128" s="378"/>
      <c r="D128" s="378"/>
      <c r="E128" s="378"/>
      <c r="F128" s="378"/>
      <c r="G128" s="1286">
        <f ca="1">G5</f>
        <v>43347</v>
      </c>
      <c r="H128" s="400"/>
      <c r="I128" s="1037"/>
    </row>
    <row r="129" spans="1:9" s="216" customFormat="1" ht="12.75" customHeight="1">
      <c r="A129" s="198" t="s">
        <v>844</v>
      </c>
      <c r="B129" s="11"/>
      <c r="C129" s="378"/>
      <c r="D129" s="378"/>
      <c r="E129" s="378"/>
      <c r="F129" s="378"/>
      <c r="G129" s="401"/>
      <c r="H129" s="400"/>
      <c r="I129" s="1037"/>
    </row>
    <row r="130" spans="1:9" s="216" customFormat="1" ht="12.75" customHeight="1">
      <c r="A130" s="10"/>
      <c r="B130" s="11"/>
      <c r="C130" s="378"/>
      <c r="D130" s="378"/>
      <c r="E130" s="378"/>
      <c r="F130" s="378"/>
      <c r="G130" s="401"/>
      <c r="H130" s="400"/>
      <c r="I130" s="1037"/>
    </row>
    <row r="131" spans="1:9" ht="12.75" customHeight="1">
      <c r="C131" s="211"/>
      <c r="D131" s="385"/>
      <c r="E131" s="385"/>
      <c r="F131" s="385"/>
      <c r="G131" s="211"/>
      <c r="H131" s="321"/>
    </row>
    <row r="132" spans="1:9" ht="12.75" customHeight="1">
      <c r="A132" s="19" t="s">
        <v>588</v>
      </c>
      <c r="C132" s="211"/>
      <c r="D132" s="211"/>
      <c r="E132" s="211"/>
      <c r="F132" s="234"/>
      <c r="G132" s="234"/>
      <c r="H132" s="321"/>
    </row>
    <row r="133" spans="1:9" ht="12.75" customHeight="1">
      <c r="A133" s="19"/>
      <c r="C133" s="211"/>
      <c r="D133" s="386"/>
      <c r="E133" s="386" t="s">
        <v>343</v>
      </c>
      <c r="F133" s="234"/>
      <c r="G133" s="234"/>
      <c r="H133" s="321"/>
    </row>
    <row r="134" spans="1:9" ht="12.75" customHeight="1">
      <c r="A134" s="19"/>
      <c r="C134" s="211"/>
      <c r="D134" s="386" t="s">
        <v>589</v>
      </c>
      <c r="E134" s="211"/>
      <c r="F134" s="386"/>
      <c r="G134" s="386"/>
      <c r="H134" s="387"/>
    </row>
    <row r="135" spans="1:9" ht="12.75" customHeight="1">
      <c r="C135" s="379" t="s">
        <v>479</v>
      </c>
      <c r="D135" s="379" t="s">
        <v>590</v>
      </c>
      <c r="E135" s="379" t="s">
        <v>565</v>
      </c>
      <c r="F135" s="379"/>
      <c r="G135" s="379"/>
      <c r="H135" s="388"/>
    </row>
    <row r="136" spans="1:9" ht="12.75" customHeight="1">
      <c r="C136" s="386"/>
      <c r="D136" s="386"/>
      <c r="E136" s="386" t="s">
        <v>591</v>
      </c>
      <c r="F136" s="379"/>
      <c r="G136" s="379"/>
      <c r="H136" s="388"/>
    </row>
    <row r="137" spans="1:9" ht="12.75" customHeight="1">
      <c r="C137" s="374" t="s">
        <v>1286</v>
      </c>
      <c r="D137" s="309">
        <f>ROUND('WP FR-16(7)(v)-METERS 2018'!K11,0)</f>
        <v>18152038</v>
      </c>
      <c r="E137" s="321">
        <f>1-SUM(E138:E140)</f>
        <v>0.79176000000000002</v>
      </c>
      <c r="F137" s="234"/>
      <c r="G137" s="234"/>
      <c r="H137" s="321"/>
    </row>
    <row r="138" spans="1:9" ht="12.75" customHeight="1">
      <c r="C138" s="374" t="s">
        <v>1282</v>
      </c>
      <c r="D138" s="309">
        <f>ROUND('WP FR-16(7)(v)-METERS 2018'!K12,0)</f>
        <v>4499288</v>
      </c>
      <c r="E138" s="321">
        <f>ROUND(D138/D$141,5)</f>
        <v>0.19625000000000001</v>
      </c>
      <c r="F138" s="402"/>
      <c r="G138" s="331"/>
      <c r="H138" s="383"/>
    </row>
    <row r="139" spans="1:9" ht="12.75" customHeight="1">
      <c r="C139" s="374" t="s">
        <v>984</v>
      </c>
      <c r="D139" s="309">
        <f>ROUND('WP FR-16(7)(v)-METERS 2018'!K13,0)</f>
        <v>184982</v>
      </c>
      <c r="E139" s="321">
        <f>ROUND(D139/D$141,5)</f>
        <v>8.0700000000000008E-3</v>
      </c>
      <c r="F139" s="402"/>
      <c r="G139" s="331"/>
      <c r="H139" s="383"/>
    </row>
    <row r="140" spans="1:9" ht="12.75" customHeight="1">
      <c r="C140" s="374" t="s">
        <v>566</v>
      </c>
      <c r="D140" s="309">
        <f>ROUND('WP FR-16(7)(v)-METERS 2018'!K14,0)</f>
        <v>89763</v>
      </c>
      <c r="E140" s="321">
        <f>ROUND(D140/D$141,5)</f>
        <v>3.9199999999999999E-3</v>
      </c>
      <c r="F140" s="402"/>
      <c r="G140" s="331"/>
      <c r="H140" s="383"/>
    </row>
    <row r="141" spans="1:9" ht="12.75" customHeight="1">
      <c r="C141" s="375" t="s">
        <v>567</v>
      </c>
      <c r="D141" s="376">
        <f>SUM(D137:D140)</f>
        <v>22926071</v>
      </c>
      <c r="E141" s="377">
        <f>SUM(E137:E140)</f>
        <v>1</v>
      </c>
      <c r="F141" s="402"/>
      <c r="G141" s="331"/>
      <c r="H141" s="383"/>
    </row>
    <row r="142" spans="1:9" ht="12.75" customHeight="1">
      <c r="A142" s="45"/>
      <c r="B142" s="45"/>
      <c r="C142" s="234"/>
      <c r="D142" s="402"/>
      <c r="E142" s="402"/>
      <c r="F142" s="402"/>
      <c r="G142" s="331"/>
      <c r="H142" s="383"/>
    </row>
    <row r="143" spans="1:9" ht="12.75" customHeight="1">
      <c r="A143" s="10" t="s">
        <v>592</v>
      </c>
      <c r="C143" s="378"/>
      <c r="D143" s="211"/>
      <c r="E143" s="375"/>
      <c r="F143" s="211"/>
      <c r="G143" s="375"/>
      <c r="H143" s="387"/>
    </row>
    <row r="144" spans="1:9" ht="12.75" customHeight="1">
      <c r="C144" s="211"/>
      <c r="D144" s="386"/>
      <c r="E144" s="211"/>
      <c r="F144" s="211"/>
      <c r="G144" s="380"/>
      <c r="H144" s="388"/>
    </row>
    <row r="145" spans="1:8" ht="12.75" customHeight="1">
      <c r="C145" s="379" t="s">
        <v>479</v>
      </c>
      <c r="D145" s="379" t="s">
        <v>593</v>
      </c>
      <c r="E145" s="379" t="s">
        <v>565</v>
      </c>
      <c r="F145" s="211"/>
      <c r="G145" s="211"/>
      <c r="H145" s="321"/>
    </row>
    <row r="146" spans="1:8" ht="12.75" customHeight="1">
      <c r="A146" s="19"/>
      <c r="C146" s="386"/>
      <c r="D146" s="386"/>
      <c r="E146" s="386" t="s">
        <v>594</v>
      </c>
      <c r="F146" s="211"/>
      <c r="G146" s="211"/>
      <c r="H146" s="321"/>
    </row>
    <row r="147" spans="1:8" ht="12.75" customHeight="1">
      <c r="C147" s="374" t="s">
        <v>1286</v>
      </c>
      <c r="D147" s="309">
        <f>ROUND('WP FR-16(7)(v)-House Reg DEK'!D43,0)</f>
        <v>91382</v>
      </c>
      <c r="E147" s="321">
        <f>1-SUM(E148:E150)</f>
        <v>0.66073999999999999</v>
      </c>
      <c r="F147" s="211"/>
      <c r="G147" s="211"/>
      <c r="H147" s="321"/>
    </row>
    <row r="148" spans="1:8" ht="12.75" customHeight="1">
      <c r="C148" s="374" t="s">
        <v>1282</v>
      </c>
      <c r="D148" s="309">
        <f>ROUND('WP FR-16(7)(v)-House Reg DEK'!D44,0)</f>
        <v>45530</v>
      </c>
      <c r="E148" s="321">
        <f>ROUND(D148/D$151,5)</f>
        <v>0.32919999999999999</v>
      </c>
      <c r="F148" s="403"/>
      <c r="G148" s="321"/>
      <c r="H148" s="383"/>
    </row>
    <row r="149" spans="1:8" ht="12.75" customHeight="1">
      <c r="C149" s="374" t="s">
        <v>984</v>
      </c>
      <c r="D149" s="309">
        <f>ROUND('WP FR-16(7)(v)-House Reg DEK'!D45,0)</f>
        <v>1130</v>
      </c>
      <c r="E149" s="321">
        <f>ROUND(D149/D$151,5)</f>
        <v>8.1700000000000002E-3</v>
      </c>
      <c r="F149" s="403"/>
      <c r="G149" s="321"/>
      <c r="H149" s="383"/>
    </row>
    <row r="150" spans="1:8" ht="12.75" customHeight="1">
      <c r="C150" s="374" t="s">
        <v>566</v>
      </c>
      <c r="D150" s="1012">
        <f>ROUND('WP FR-16(7)(v)-House Reg DEK'!D46,0)</f>
        <v>262</v>
      </c>
      <c r="E150" s="321">
        <f>ROUND(D150/D$151,5)</f>
        <v>1.89E-3</v>
      </c>
      <c r="F150" s="403"/>
      <c r="G150" s="404"/>
      <c r="H150" s="383"/>
    </row>
    <row r="151" spans="1:8" ht="12.75" customHeight="1">
      <c r="C151" s="375" t="s">
        <v>567</v>
      </c>
      <c r="D151" s="376">
        <f>SUM(D147:D150)</f>
        <v>138304</v>
      </c>
      <c r="E151" s="377">
        <f>SUM(E147:E150)</f>
        <v>1</v>
      </c>
      <c r="F151" s="403"/>
      <c r="G151" s="321"/>
      <c r="H151" s="383"/>
    </row>
    <row r="152" spans="1:8" ht="12.75" customHeight="1">
      <c r="C152" s="234"/>
      <c r="D152" s="405"/>
      <c r="E152" s="406"/>
      <c r="F152" s="402"/>
      <c r="G152" s="331"/>
      <c r="H152" s="382"/>
    </row>
    <row r="153" spans="1:8" ht="12.75" customHeight="1">
      <c r="A153" s="10" t="s">
        <v>595</v>
      </c>
      <c r="C153" s="234"/>
      <c r="D153" s="405"/>
      <c r="E153" s="406"/>
      <c r="F153" s="402"/>
      <c r="G153" s="331"/>
      <c r="H153" s="382"/>
    </row>
    <row r="154" spans="1:8" ht="12.75" customHeight="1">
      <c r="A154" s="32"/>
      <c r="C154" s="407"/>
      <c r="D154" s="392"/>
      <c r="E154" s="408"/>
      <c r="F154" s="392"/>
      <c r="G154" s="384"/>
      <c r="H154" s="331"/>
    </row>
    <row r="155" spans="1:8" ht="12.75" customHeight="1">
      <c r="C155" s="379" t="s">
        <v>479</v>
      </c>
      <c r="D155" s="380" t="s">
        <v>564</v>
      </c>
      <c r="E155" s="379" t="s">
        <v>565</v>
      </c>
      <c r="F155" s="385"/>
      <c r="G155" s="211"/>
      <c r="H155" s="321"/>
    </row>
    <row r="156" spans="1:8" ht="12.75" customHeight="1">
      <c r="C156" s="386"/>
      <c r="D156" s="211"/>
      <c r="E156" s="386" t="s">
        <v>596</v>
      </c>
      <c r="F156" s="211"/>
      <c r="G156" s="211"/>
      <c r="H156" s="321"/>
    </row>
    <row r="157" spans="1:8" ht="12.75" customHeight="1">
      <c r="A157" s="45"/>
      <c r="B157" s="45"/>
      <c r="C157" s="374" t="s">
        <v>984</v>
      </c>
      <c r="D157" s="309">
        <f>'WP FR-16(7)(v)-IndustrialM&amp;R'!D13</f>
        <v>2143372</v>
      </c>
      <c r="E157" s="331">
        <f>ROUND(D157/D$159,5)</f>
        <v>0.58106999999999998</v>
      </c>
      <c r="F157" s="402"/>
      <c r="G157" s="331"/>
      <c r="H157" s="382"/>
    </row>
    <row r="158" spans="1:8" ht="12.75" customHeight="1">
      <c r="A158" s="45"/>
      <c r="B158" s="45"/>
      <c r="C158" s="374" t="s">
        <v>566</v>
      </c>
      <c r="D158" s="309">
        <f>'WP FR-16(7)(v)-IndustrialM&amp;R'!$D$14</f>
        <v>1545311</v>
      </c>
      <c r="E158" s="331">
        <f>ROUND(D158/D$159,5)</f>
        <v>0.41893000000000002</v>
      </c>
      <c r="F158" s="402"/>
      <c r="G158" s="331"/>
      <c r="H158" s="382"/>
    </row>
    <row r="159" spans="1:8" ht="12.75" customHeight="1" thickBot="1">
      <c r="A159" s="45"/>
      <c r="B159" s="45"/>
      <c r="C159" s="375" t="s">
        <v>567</v>
      </c>
      <c r="D159" s="409">
        <f>SUM(D157:D158)</f>
        <v>3688683</v>
      </c>
      <c r="E159" s="397">
        <f>SUM(E157:E158)</f>
        <v>1</v>
      </c>
      <c r="F159" s="402"/>
      <c r="G159" s="331"/>
      <c r="H159" s="382"/>
    </row>
    <row r="160" spans="1:8" ht="12.75" customHeight="1" thickTop="1">
      <c r="A160" s="45"/>
      <c r="B160" s="45"/>
      <c r="C160" s="211"/>
      <c r="D160" s="211"/>
      <c r="E160" s="410"/>
      <c r="F160" s="402"/>
      <c r="G160" s="331"/>
      <c r="H160" s="382"/>
    </row>
    <row r="161" spans="1:8" ht="12.75" customHeight="1">
      <c r="B161" s="45"/>
      <c r="C161" s="234"/>
      <c r="D161" s="405"/>
      <c r="E161" s="410"/>
      <c r="F161" s="402"/>
      <c r="G161" s="331"/>
      <c r="H161" s="382"/>
    </row>
    <row r="162" spans="1:8" ht="12.75" customHeight="1">
      <c r="A162" s="50" t="s">
        <v>597</v>
      </c>
      <c r="C162" s="330"/>
      <c r="D162" s="331"/>
      <c r="E162" s="234"/>
      <c r="F162" s="331"/>
      <c r="G162" s="411"/>
      <c r="H162" s="331"/>
    </row>
    <row r="163" spans="1:8" ht="12.75" customHeight="1">
      <c r="C163" s="211"/>
      <c r="D163" s="392"/>
      <c r="E163" s="410"/>
      <c r="F163" s="412" t="s">
        <v>598</v>
      </c>
      <c r="G163" s="382"/>
      <c r="H163" s="331"/>
    </row>
    <row r="164" spans="1:8" ht="12.75" customHeight="1">
      <c r="C164" s="211"/>
      <c r="D164" s="375" t="s">
        <v>599</v>
      </c>
      <c r="E164" s="375" t="s">
        <v>911</v>
      </c>
      <c r="F164" s="375" t="s">
        <v>600</v>
      </c>
      <c r="G164" s="375" t="s">
        <v>912</v>
      </c>
      <c r="H164" s="387" t="s">
        <v>601</v>
      </c>
    </row>
    <row r="165" spans="1:8" ht="12.75" customHeight="1">
      <c r="C165" s="379" t="s">
        <v>479</v>
      </c>
      <c r="D165" s="379" t="s">
        <v>565</v>
      </c>
      <c r="E165" s="413" t="s">
        <v>565</v>
      </c>
      <c r="F165" s="379" t="s">
        <v>565</v>
      </c>
      <c r="G165" s="379" t="s">
        <v>565</v>
      </c>
      <c r="H165" s="395" t="s">
        <v>602</v>
      </c>
    </row>
    <row r="166" spans="1:8" ht="12.75" customHeight="1">
      <c r="C166" s="386"/>
      <c r="D166" s="375" t="s">
        <v>576</v>
      </c>
      <c r="E166" s="387">
        <f>'WP FR-16(7)(v)-Mains (Plastic)'!$F$39</f>
        <v>0.15748337690752648</v>
      </c>
      <c r="F166" s="375" t="s">
        <v>568</v>
      </c>
      <c r="G166" s="387">
        <f>1-E166</f>
        <v>0.84251662309247355</v>
      </c>
      <c r="H166" s="387" t="s">
        <v>603</v>
      </c>
    </row>
    <row r="167" spans="1:8" ht="12.75" customHeight="1">
      <c r="C167" s="374" t="s">
        <v>1286</v>
      </c>
      <c r="D167" s="321">
        <f>E60</f>
        <v>0.92827999999999999</v>
      </c>
      <c r="E167" s="321">
        <f>ROUND($E$166*D167,5)</f>
        <v>0.14618999999999999</v>
      </c>
      <c r="F167" s="321">
        <f>D21</f>
        <v>0.56467000000000001</v>
      </c>
      <c r="G167" s="321">
        <f>ROUND($G$166*F167,5)</f>
        <v>0.47574</v>
      </c>
      <c r="H167" s="321">
        <f>1-SUM(H168:H170)</f>
        <v>0.62194000000000005</v>
      </c>
    </row>
    <row r="168" spans="1:8" ht="12.75" customHeight="1">
      <c r="C168" s="374" t="s">
        <v>1282</v>
      </c>
      <c r="D168" s="321">
        <f>E61</f>
        <v>7.0529999999999995E-2</v>
      </c>
      <c r="E168" s="321">
        <f>ROUND($E$166*D168,5)</f>
        <v>1.111E-2</v>
      </c>
      <c r="F168" s="321">
        <f>D22</f>
        <v>0.29522999999999999</v>
      </c>
      <c r="G168" s="321">
        <f>ROUND($G$166*F168,5)</f>
        <v>0.24873999999999999</v>
      </c>
      <c r="H168" s="321">
        <f>E168+G168</f>
        <v>0.25984999999999997</v>
      </c>
    </row>
    <row r="169" spans="1:8" ht="12.75" customHeight="1">
      <c r="C169" s="374" t="s">
        <v>984</v>
      </c>
      <c r="D169" s="321">
        <f>E62</f>
        <v>9.7000000000000005E-4</v>
      </c>
      <c r="E169" s="321">
        <f>ROUND($E$166*D169,5)</f>
        <v>1.4999999999999999E-4</v>
      </c>
      <c r="F169" s="321">
        <f>D23</f>
        <v>0.10913</v>
      </c>
      <c r="G169" s="321">
        <f>ROUND($G$166*F169,5)</f>
        <v>9.1939999999999994E-2</v>
      </c>
      <c r="H169" s="321">
        <f>E169+G169</f>
        <v>9.2089999999999991E-2</v>
      </c>
    </row>
    <row r="170" spans="1:8" ht="12.75" customHeight="1">
      <c r="C170" s="374" t="s">
        <v>566</v>
      </c>
      <c r="D170" s="321">
        <f>E63</f>
        <v>2.2000000000000001E-4</v>
      </c>
      <c r="E170" s="321">
        <f>ROUND($E$166*D170,5)</f>
        <v>3.0000000000000001E-5</v>
      </c>
      <c r="F170" s="321">
        <f>D24</f>
        <v>3.0970000000000001E-2</v>
      </c>
      <c r="G170" s="321">
        <f>ROUND($G$166*F170,5)</f>
        <v>2.6089999999999999E-2</v>
      </c>
      <c r="H170" s="321">
        <f>E170+G170</f>
        <v>2.6119999999999997E-2</v>
      </c>
    </row>
    <row r="171" spans="1:8" ht="12.75" customHeight="1" thickBot="1">
      <c r="C171" s="375" t="s">
        <v>567</v>
      </c>
      <c r="D171" s="397">
        <f>SUM(D167:D170)</f>
        <v>1</v>
      </c>
      <c r="E171" s="234"/>
      <c r="F171" s="397">
        <f>SUM(F167:F170)</f>
        <v>1</v>
      </c>
      <c r="G171" s="411"/>
      <c r="H171" s="397">
        <f>SUM(H167:H170)</f>
        <v>1</v>
      </c>
    </row>
    <row r="172" spans="1:8" ht="12.75" customHeight="1" thickTop="1">
      <c r="C172" s="211"/>
      <c r="D172" s="211"/>
      <c r="E172" s="211"/>
      <c r="F172" s="211"/>
      <c r="G172" s="211"/>
      <c r="H172" s="321"/>
    </row>
    <row r="173" spans="1:8" ht="12.75" customHeight="1">
      <c r="B173" s="12" t="s">
        <v>1562</v>
      </c>
      <c r="C173" s="24"/>
    </row>
    <row r="174" spans="1:8" ht="12.75" customHeight="1">
      <c r="B174" s="36" t="s">
        <v>1563</v>
      </c>
      <c r="C174" s="24"/>
    </row>
    <row r="175" spans="1:8" ht="12.75" customHeight="1">
      <c r="B175" s="36" t="s">
        <v>1564</v>
      </c>
      <c r="F175" s="183"/>
      <c r="H175" s="183"/>
    </row>
    <row r="176" spans="1:8" ht="12.75" customHeight="1">
      <c r="B176" s="36" t="s">
        <v>1565</v>
      </c>
    </row>
    <row r="177" ht="12.75" customHeight="1"/>
  </sheetData>
  <printOptions horizontalCentered="1"/>
  <pageMargins left="1" right="1" top="1" bottom="0.5" header="0.5" footer="0.5"/>
  <pageSetup scale="74" orientation="portrait" blackAndWhite="1" r:id="rId1"/>
  <headerFooter alignWithMargins="0"/>
  <rowBreaks count="2" manualBreakCount="2">
    <brk id="47" max="16383" man="1"/>
    <brk id="122" max="7" man="1"/>
  </rowBreaks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4">
    <tabColor rgb="FF92D050"/>
    <pageSetUpPr fitToPage="1"/>
  </sheetPr>
  <dimension ref="A1:X82"/>
  <sheetViews>
    <sheetView view="pageBreakPreview" zoomScaleNormal="100" zoomScaleSheetLayoutView="100" workbookViewId="0"/>
  </sheetViews>
  <sheetFormatPr defaultColWidth="8.88671875" defaultRowHeight="12.75"/>
  <cols>
    <col min="1" max="1" width="33.5546875" style="216" customWidth="1"/>
    <col min="2" max="2" width="0.77734375" style="216" customWidth="1"/>
    <col min="3" max="3" width="10.77734375" style="216" customWidth="1"/>
    <col min="4" max="4" width="1.21875" style="216" customWidth="1"/>
    <col min="5" max="5" width="9.33203125" style="216" customWidth="1"/>
    <col min="6" max="6" width="1.33203125" style="216" customWidth="1"/>
    <col min="7" max="7" width="8.109375" style="216" customWidth="1"/>
    <col min="8" max="8" width="1.21875" style="216" customWidth="1"/>
    <col min="9" max="9" width="9" style="216" customWidth="1"/>
    <col min="10" max="10" width="1.21875" style="216" customWidth="1"/>
    <col min="11" max="11" width="8.88671875" style="216" customWidth="1"/>
    <col min="12" max="12" width="1" style="45" customWidth="1"/>
    <col min="13" max="13" width="7.88671875" style="216" customWidth="1"/>
    <col min="14" max="14" width="0.77734375" style="45" customWidth="1"/>
    <col min="15" max="15" width="8.88671875" style="216"/>
    <col min="16" max="16" width="0.77734375" style="216" customWidth="1"/>
    <col min="17" max="17" width="8.88671875" style="216"/>
    <col min="18" max="18" width="0.77734375" style="216" customWidth="1"/>
    <col min="19" max="19" width="8.88671875" style="216"/>
    <col min="20" max="20" width="2.77734375" style="216" customWidth="1"/>
    <col min="21" max="16384" width="8.88671875" style="216"/>
  </cols>
  <sheetData>
    <row r="1" spans="1:21">
      <c r="A1" s="196" t="str">
        <f>co_name</f>
        <v>DUKE ENERGY KENTUCKY, INC.</v>
      </c>
      <c r="O1" s="10" t="s">
        <v>1551</v>
      </c>
    </row>
    <row r="2" spans="1:21">
      <c r="A2" s="196" t="str">
        <f>coss_type</f>
        <v xml:space="preserve">GAS COST OF SERVICE STUDY </v>
      </c>
      <c r="O2" s="10" t="str">
        <f>'Alloc Factors Summary'!G2</f>
        <v>Witness Responsible:</v>
      </c>
    </row>
    <row r="3" spans="1:21">
      <c r="A3" s="196" t="str">
        <f>case_name</f>
        <v>CASE NO: 2018-00261</v>
      </c>
      <c r="O3" s="10" t="str">
        <f>'Alloc Factors Summary'!G3</f>
        <v>James E. Ziolkowski</v>
      </c>
    </row>
    <row r="4" spans="1:21">
      <c r="A4" s="10" t="str">
        <f>alloc_factors</f>
        <v>ALLOCATION FACTORS FOR COST OF SERVICE STUDY</v>
      </c>
      <c r="O4" s="10" t="s">
        <v>604</v>
      </c>
    </row>
    <row r="5" spans="1:21">
      <c r="A5" s="10" t="str">
        <f>time_period</f>
        <v>TWELVE MONTHS ENDING DECEMBER 31, 2017</v>
      </c>
      <c r="E5" s="372"/>
      <c r="O5" s="1285">
        <f ca="1">TODAY()</f>
        <v>43347</v>
      </c>
    </row>
    <row r="6" spans="1:21">
      <c r="A6" s="198" t="s">
        <v>859</v>
      </c>
      <c r="E6" s="372"/>
      <c r="I6" s="372"/>
    </row>
    <row r="7" spans="1:21">
      <c r="A7" s="198"/>
      <c r="E7" s="372"/>
      <c r="I7" s="372"/>
    </row>
    <row r="8" spans="1:21">
      <c r="A8" s="1259" t="s">
        <v>860</v>
      </c>
      <c r="E8" s="372"/>
    </row>
    <row r="9" spans="1:21">
      <c r="K9" s="217"/>
      <c r="P9" s="45"/>
      <c r="Q9" s="45"/>
      <c r="R9" s="45"/>
      <c r="S9" s="45"/>
      <c r="T9" s="45"/>
      <c r="U9" s="45"/>
    </row>
    <row r="10" spans="1:21">
      <c r="A10" s="216" t="s">
        <v>949</v>
      </c>
      <c r="C10" s="217">
        <f>C23</f>
        <v>12030761</v>
      </c>
      <c r="P10" s="45"/>
      <c r="Q10" s="45"/>
      <c r="R10" s="45"/>
      <c r="S10" s="45"/>
      <c r="T10" s="45"/>
      <c r="U10" s="45"/>
    </row>
    <row r="11" spans="1:21">
      <c r="A11" s="211" t="str">
        <f>"(Peak Day Mcf * 365)           "&amp;TEXT(I23,"###,###")&amp;"* 365 ="</f>
        <v>(Peak Day Mcf * 365)           136,722* 365 =</v>
      </c>
      <c r="B11" s="211"/>
      <c r="C11" s="212">
        <f>ROUND(I23*365,0)</f>
        <v>49903530</v>
      </c>
      <c r="K11" s="217"/>
      <c r="P11" s="45"/>
      <c r="Q11" s="45"/>
      <c r="R11" s="45"/>
      <c r="S11" s="45"/>
      <c r="T11" s="45"/>
      <c r="U11" s="45"/>
    </row>
    <row r="12" spans="1:21">
      <c r="A12" s="216" t="s">
        <v>950</v>
      </c>
      <c r="C12" s="23">
        <f>ROUND(C10/C11,5)</f>
        <v>0.24107999999999999</v>
      </c>
      <c r="G12" s="23"/>
      <c r="K12" s="23"/>
      <c r="P12" s="45"/>
      <c r="Q12" s="45"/>
      <c r="R12" s="45"/>
      <c r="S12" s="45"/>
      <c r="T12" s="45"/>
      <c r="U12" s="45"/>
    </row>
    <row r="14" spans="1:21" ht="38.25">
      <c r="C14" s="295" t="s">
        <v>610</v>
      </c>
      <c r="D14" s="295"/>
      <c r="E14" s="295" t="s">
        <v>943</v>
      </c>
      <c r="F14" s="295"/>
      <c r="G14" s="295" t="s">
        <v>943</v>
      </c>
      <c r="H14" s="295"/>
      <c r="I14" s="295" t="s">
        <v>1197</v>
      </c>
      <c r="J14" s="295"/>
      <c r="K14" s="295" t="s">
        <v>946</v>
      </c>
      <c r="L14" s="298"/>
      <c r="M14" s="295" t="s">
        <v>946</v>
      </c>
      <c r="N14" s="298"/>
      <c r="O14" s="296" t="s">
        <v>947</v>
      </c>
      <c r="P14" s="34"/>
      <c r="Q14" s="296" t="s">
        <v>948</v>
      </c>
      <c r="S14" s="1079" t="s">
        <v>620</v>
      </c>
    </row>
    <row r="15" spans="1:21">
      <c r="A15" s="186" t="s">
        <v>611</v>
      </c>
      <c r="B15" s="187"/>
      <c r="C15" s="297" t="s">
        <v>612</v>
      </c>
      <c r="D15" s="34"/>
      <c r="E15" s="297" t="s">
        <v>613</v>
      </c>
      <c r="F15" s="47"/>
      <c r="G15" s="297" t="s">
        <v>614</v>
      </c>
      <c r="H15" s="34"/>
      <c r="I15" s="297" t="s">
        <v>613</v>
      </c>
      <c r="K15" s="297" t="s">
        <v>613</v>
      </c>
      <c r="L15" s="47"/>
      <c r="M15" s="297" t="s">
        <v>614</v>
      </c>
      <c r="N15" s="47"/>
      <c r="O15" s="297" t="s">
        <v>614</v>
      </c>
      <c r="Q15" s="297" t="s">
        <v>614</v>
      </c>
      <c r="S15" s="1010" t="s">
        <v>614</v>
      </c>
    </row>
    <row r="16" spans="1:21">
      <c r="A16" s="298"/>
      <c r="B16" s="187"/>
      <c r="C16" s="299" t="s">
        <v>605</v>
      </c>
      <c r="D16" s="299"/>
      <c r="E16" s="299" t="s">
        <v>606</v>
      </c>
      <c r="F16" s="299"/>
      <c r="G16" s="299" t="s">
        <v>607</v>
      </c>
      <c r="H16" s="299"/>
      <c r="I16" s="299" t="s">
        <v>608</v>
      </c>
      <c r="K16" s="299" t="s">
        <v>609</v>
      </c>
      <c r="L16" s="107"/>
      <c r="M16" s="299" t="s">
        <v>616</v>
      </c>
      <c r="N16" s="34"/>
      <c r="O16" s="299" t="s">
        <v>617</v>
      </c>
      <c r="P16" s="34"/>
      <c r="Q16" s="299" t="s">
        <v>618</v>
      </c>
      <c r="S16" s="1080" t="s">
        <v>619</v>
      </c>
    </row>
    <row r="17" spans="1:24">
      <c r="C17" s="34"/>
      <c r="E17" s="34" t="s">
        <v>944</v>
      </c>
      <c r="F17" s="34"/>
      <c r="I17" s="34"/>
      <c r="K17" s="34" t="s">
        <v>945</v>
      </c>
      <c r="O17" s="300">
        <f>C12</f>
        <v>0.24107999999999999</v>
      </c>
      <c r="Q17" s="301">
        <f>1-C12</f>
        <v>0.75892000000000004</v>
      </c>
      <c r="S17" s="211"/>
      <c r="V17" s="302"/>
      <c r="W17" s="302"/>
      <c r="X17" s="302"/>
    </row>
    <row r="18" spans="1:24">
      <c r="O18" s="300"/>
      <c r="Q18" s="301"/>
      <c r="S18" s="211"/>
      <c r="V18" s="302"/>
      <c r="W18" s="302"/>
      <c r="X18" s="302"/>
    </row>
    <row r="19" spans="1:24">
      <c r="A19" s="211" t="s">
        <v>1286</v>
      </c>
      <c r="C19" s="309">
        <f>'Alloc Factors Summary'!D30</f>
        <v>5314682</v>
      </c>
      <c r="D19" s="30"/>
      <c r="E19" s="38">
        <f>ROUND(C19/365,0)</f>
        <v>14561</v>
      </c>
      <c r="F19" s="38"/>
      <c r="G19" s="319">
        <f>ROUND(E19/$E$23,5)</f>
        <v>0.44175999999999999</v>
      </c>
      <c r="H19" s="30"/>
      <c r="I19" s="303">
        <f>MAX('WP FR-16(7)(v)-Daily Dem'!L12:L23)+MAX('WP FR-16(7)(v)-Daily Dem'!L111:L122)</f>
        <v>79760</v>
      </c>
      <c r="J19" s="30"/>
      <c r="K19" s="303">
        <f>I19-E19</f>
        <v>65199</v>
      </c>
      <c r="L19" s="46"/>
      <c r="M19" s="23">
        <f>ROUND(K19/K$23,5)</f>
        <v>0.60372000000000003</v>
      </c>
      <c r="N19" s="28"/>
      <c r="O19" s="23">
        <f>O17-SUM(O20:O22)</f>
        <v>0.10649999999999998</v>
      </c>
      <c r="P19" s="30"/>
      <c r="Q19" s="23">
        <f>Q17-SUM(Q20:Q22)</f>
        <v>0.45817000000000002</v>
      </c>
      <c r="S19" s="416">
        <f>Q19+O19</f>
        <v>0.56467000000000001</v>
      </c>
    </row>
    <row r="20" spans="1:24">
      <c r="A20" s="211" t="s">
        <v>1282</v>
      </c>
      <c r="B20" s="211"/>
      <c r="C20" s="309">
        <f>'Alloc Factors Summary'!D31</f>
        <v>3027396</v>
      </c>
      <c r="D20" s="414"/>
      <c r="E20" s="309">
        <f>ROUND(C20/365,0)</f>
        <v>8294</v>
      </c>
      <c r="F20" s="309"/>
      <c r="G20" s="415">
        <f>ROUND(E20/$E$23,5)</f>
        <v>0.25163000000000002</v>
      </c>
      <c r="H20" s="414"/>
      <c r="I20" s="303">
        <f>MAX('WP FR-16(7)(v)-Daily Dem'!L31:L42)</f>
        <v>41673</v>
      </c>
      <c r="J20" s="414"/>
      <c r="K20" s="303">
        <f>I20-E20</f>
        <v>33379</v>
      </c>
      <c r="L20" s="405"/>
      <c r="M20" s="321">
        <f>ROUND(K20/K$23,5)</f>
        <v>0.30908000000000002</v>
      </c>
      <c r="N20" s="331"/>
      <c r="O20" s="321">
        <f>ROUND(G20*$O$17,5)</f>
        <v>6.0659999999999999E-2</v>
      </c>
      <c r="P20" s="414"/>
      <c r="Q20" s="321">
        <f>ROUND($Q$17*M20,5)</f>
        <v>0.23457</v>
      </c>
      <c r="R20" s="211"/>
      <c r="S20" s="416">
        <f>Q20+O20</f>
        <v>0.29522999999999999</v>
      </c>
    </row>
    <row r="21" spans="1:24">
      <c r="A21" s="211" t="s">
        <v>984</v>
      </c>
      <c r="B21" s="211"/>
      <c r="C21" s="309">
        <f>'Alloc Factors Summary'!D32</f>
        <v>2143372</v>
      </c>
      <c r="D21" s="414"/>
      <c r="E21" s="309">
        <f>ROUND(C21/365,0)</f>
        <v>5872</v>
      </c>
      <c r="F21" s="309"/>
      <c r="G21" s="415">
        <f>ROUND(E21/$E$23,5)</f>
        <v>0.17815</v>
      </c>
      <c r="H21" s="414"/>
      <c r="I21" s="303">
        <f>MAX('WP FR-16(7)(v)-Daily Dem'!L60:L71)</f>
        <v>15289</v>
      </c>
      <c r="J21" s="414"/>
      <c r="K21" s="303">
        <f>I21-E21</f>
        <v>9417</v>
      </c>
      <c r="L21" s="405"/>
      <c r="M21" s="321">
        <f>ROUND(K21/K$23,5)</f>
        <v>8.72E-2</v>
      </c>
      <c r="N21" s="331"/>
      <c r="O21" s="321">
        <f>ROUND(G21*$O$17,5)</f>
        <v>4.2950000000000002E-2</v>
      </c>
      <c r="P21" s="414"/>
      <c r="Q21" s="321">
        <f>ROUND($Q$17*M21,5)</f>
        <v>6.6180000000000003E-2</v>
      </c>
      <c r="R21" s="211"/>
      <c r="S21" s="416">
        <f>Q21+O21</f>
        <v>0.10913</v>
      </c>
    </row>
    <row r="22" spans="1:24">
      <c r="A22" s="216" t="s">
        <v>566</v>
      </c>
      <c r="C22" s="38">
        <f>'Alloc Factors Summary'!D33</f>
        <v>1545311</v>
      </c>
      <c r="E22" s="38">
        <f>ROUND(C22/365,0)</f>
        <v>4234</v>
      </c>
      <c r="F22" s="38"/>
      <c r="G22" s="319">
        <f>ROUND(E22/$E$23,5)</f>
        <v>0.12845000000000001</v>
      </c>
      <c r="I22" s="292">
        <v>0</v>
      </c>
      <c r="J22" s="37"/>
      <c r="K22" s="1044">
        <v>0</v>
      </c>
      <c r="L22" s="46"/>
      <c r="M22" s="23">
        <f>ROUND(K22/K$23,5)</f>
        <v>0</v>
      </c>
      <c r="N22" s="28"/>
      <c r="O22" s="23">
        <f>ROUND(G22*$O$17,5)</f>
        <v>3.0970000000000001E-2</v>
      </c>
      <c r="P22" s="30"/>
      <c r="Q22" s="23">
        <f>ROUND($Q$17*M22,5)</f>
        <v>0</v>
      </c>
      <c r="S22" s="416">
        <f>Q22+O22</f>
        <v>3.0970000000000001E-2</v>
      </c>
    </row>
    <row r="23" spans="1:24" ht="13.5" thickBot="1">
      <c r="A23" s="318" t="s">
        <v>582</v>
      </c>
      <c r="C23" s="49">
        <f>SUM(C19:C22)</f>
        <v>12030761</v>
      </c>
      <c r="D23" s="30"/>
      <c r="E23" s="409">
        <f>SUM(E19:E22)</f>
        <v>32961</v>
      </c>
      <c r="F23" s="35"/>
      <c r="G23" s="185">
        <f>SUM(G19:G22)</f>
        <v>0.99998999999999993</v>
      </c>
      <c r="H23" s="30"/>
      <c r="I23" s="49">
        <f>SUM(I19:I22)</f>
        <v>136722</v>
      </c>
      <c r="J23" s="30"/>
      <c r="K23" s="305">
        <f>SUM(K19:K22)</f>
        <v>107995</v>
      </c>
      <c r="L23" s="46"/>
      <c r="M23" s="185">
        <f>SUM(M19:M22)</f>
        <v>1</v>
      </c>
      <c r="N23" s="128"/>
      <c r="O23" s="42">
        <f>SUM(O19:O22)</f>
        <v>0.24107999999999996</v>
      </c>
      <c r="P23" s="30"/>
      <c r="Q23" s="42">
        <f>SUM(Q19:Q22)</f>
        <v>0.75892000000000004</v>
      </c>
      <c r="S23" s="1081">
        <f>SUM(S19:S22)</f>
        <v>1</v>
      </c>
    </row>
    <row r="24" spans="1:24" ht="13.5" thickTop="1">
      <c r="G24" s="45"/>
      <c r="K24" s="306"/>
      <c r="L24" s="314"/>
      <c r="O24" s="45"/>
      <c r="P24" s="45"/>
      <c r="Q24" s="45"/>
      <c r="R24" s="45"/>
      <c r="S24" s="234"/>
    </row>
    <row r="25" spans="1:24">
      <c r="S25" s="211"/>
    </row>
    <row r="26" spans="1:24">
      <c r="A26" s="45"/>
      <c r="B26" s="45"/>
      <c r="C26" s="31"/>
      <c r="D26" s="45"/>
      <c r="E26" s="31"/>
      <c r="F26" s="31"/>
      <c r="G26" s="28"/>
      <c r="H26" s="45"/>
      <c r="I26" s="31"/>
      <c r="J26" s="45"/>
      <c r="S26" s="211"/>
    </row>
    <row r="27" spans="1:24">
      <c r="A27" s="1259" t="s">
        <v>1152</v>
      </c>
      <c r="B27" s="45"/>
      <c r="C27" s="31"/>
      <c r="D27" s="31"/>
      <c r="E27" s="31"/>
      <c r="F27" s="31"/>
      <c r="G27" s="28"/>
      <c r="H27" s="31"/>
      <c r="I27" s="31"/>
      <c r="J27" s="31"/>
      <c r="S27" s="211"/>
    </row>
    <row r="28" spans="1:24">
      <c r="D28" s="31"/>
      <c r="S28" s="211"/>
    </row>
    <row r="29" spans="1:24">
      <c r="A29" s="216" t="s">
        <v>949</v>
      </c>
      <c r="C29" s="217">
        <f>C42</f>
        <v>10485450</v>
      </c>
      <c r="D29" s="31"/>
      <c r="S29" s="211"/>
    </row>
    <row r="30" spans="1:24">
      <c r="A30" s="211" t="str">
        <f>"(Peak Day Mcf * 365)           "&amp;TEXT(I42,"###,###")&amp;"* 365 ="</f>
        <v>(Peak Day Mcf * 365)           136,722* 365 =</v>
      </c>
      <c r="B30" s="211"/>
      <c r="C30" s="212">
        <f>I42*365</f>
        <v>49903530</v>
      </c>
      <c r="D30" s="31"/>
      <c r="S30" s="211"/>
    </row>
    <row r="31" spans="1:24">
      <c r="A31" s="216" t="s">
        <v>950</v>
      </c>
      <c r="C31" s="23">
        <f>ROUND(C29/C30,5)</f>
        <v>0.21010999999999999</v>
      </c>
      <c r="S31" s="211"/>
    </row>
    <row r="32" spans="1:24">
      <c r="C32" s="299"/>
      <c r="D32" s="299"/>
      <c r="E32" s="299"/>
      <c r="F32" s="299"/>
      <c r="G32" s="299"/>
      <c r="H32" s="299"/>
      <c r="I32" s="299"/>
      <c r="J32" s="299"/>
      <c r="K32" s="299"/>
      <c r="L32" s="107"/>
      <c r="M32" s="299"/>
      <c r="N32" s="107"/>
      <c r="O32" s="299"/>
      <c r="P32" s="34"/>
      <c r="Q32" s="299"/>
      <c r="S32" s="1080"/>
    </row>
    <row r="33" spans="1:19" ht="38.25">
      <c r="C33" s="295" t="s">
        <v>610</v>
      </c>
      <c r="D33" s="295"/>
      <c r="E33" s="295" t="s">
        <v>943</v>
      </c>
      <c r="F33" s="295"/>
      <c r="G33" s="295" t="s">
        <v>943</v>
      </c>
      <c r="H33" s="295"/>
      <c r="I33" s="295" t="s">
        <v>1197</v>
      </c>
      <c r="J33" s="295"/>
      <c r="K33" s="295" t="s">
        <v>946</v>
      </c>
      <c r="L33" s="298"/>
      <c r="M33" s="295" t="s">
        <v>946</v>
      </c>
      <c r="N33" s="298"/>
      <c r="O33" s="296" t="s">
        <v>947</v>
      </c>
      <c r="P33" s="34"/>
      <c r="Q33" s="296" t="s">
        <v>948</v>
      </c>
      <c r="S33" s="1079" t="s">
        <v>620</v>
      </c>
    </row>
    <row r="34" spans="1:19">
      <c r="A34" s="186" t="s">
        <v>611</v>
      </c>
      <c r="B34" s="187"/>
      <c r="C34" s="297" t="s">
        <v>612</v>
      </c>
      <c r="D34" s="34"/>
      <c r="E34" s="297" t="s">
        <v>613</v>
      </c>
      <c r="F34" s="47"/>
      <c r="G34" s="297" t="s">
        <v>614</v>
      </c>
      <c r="H34" s="34"/>
      <c r="I34" s="297" t="s">
        <v>613</v>
      </c>
      <c r="K34" s="297" t="s">
        <v>613</v>
      </c>
      <c r="L34" s="47"/>
      <c r="M34" s="297" t="s">
        <v>614</v>
      </c>
      <c r="N34" s="47"/>
      <c r="O34" s="297" t="s">
        <v>614</v>
      </c>
      <c r="Q34" s="297" t="s">
        <v>614</v>
      </c>
      <c r="S34" s="1010" t="s">
        <v>614</v>
      </c>
    </row>
    <row r="35" spans="1:19">
      <c r="C35" s="299" t="s">
        <v>605</v>
      </c>
      <c r="D35" s="299"/>
      <c r="E35" s="299" t="s">
        <v>606</v>
      </c>
      <c r="F35" s="299"/>
      <c r="G35" s="299" t="s">
        <v>607</v>
      </c>
      <c r="H35" s="299"/>
      <c r="I35" s="299" t="s">
        <v>608</v>
      </c>
      <c r="J35" s="299"/>
      <c r="K35" s="299" t="s">
        <v>609</v>
      </c>
      <c r="L35" s="107"/>
      <c r="M35" s="299" t="s">
        <v>616</v>
      </c>
      <c r="N35" s="34"/>
      <c r="O35" s="299" t="s">
        <v>617</v>
      </c>
      <c r="P35" s="34"/>
      <c r="Q35" s="299" t="s">
        <v>618</v>
      </c>
      <c r="S35" s="1080" t="s">
        <v>619</v>
      </c>
    </row>
    <row r="36" spans="1:19">
      <c r="C36" s="34"/>
      <c r="D36" s="299"/>
      <c r="E36" s="34" t="s">
        <v>944</v>
      </c>
      <c r="F36" s="34"/>
      <c r="G36" s="299"/>
      <c r="H36" s="299"/>
      <c r="I36" s="34"/>
      <c r="J36" s="299"/>
      <c r="K36" s="34" t="s">
        <v>945</v>
      </c>
      <c r="L36" s="107"/>
      <c r="M36" s="299"/>
      <c r="N36" s="107"/>
      <c r="O36" s="307">
        <f>C31</f>
        <v>0.21010999999999999</v>
      </c>
      <c r="P36" s="34"/>
      <c r="Q36" s="308">
        <f>1-O36</f>
        <v>0.78988999999999998</v>
      </c>
      <c r="S36" s="1080"/>
    </row>
    <row r="37" spans="1:19">
      <c r="C37" s="299"/>
      <c r="D37" s="299"/>
      <c r="E37" s="299"/>
      <c r="F37" s="299"/>
      <c r="G37" s="299"/>
      <c r="H37" s="299"/>
      <c r="I37" s="299"/>
      <c r="J37" s="299"/>
      <c r="K37" s="299"/>
      <c r="L37" s="107"/>
      <c r="M37" s="299"/>
      <c r="N37" s="107"/>
      <c r="O37" s="299"/>
      <c r="P37" s="34"/>
      <c r="Q37" s="299"/>
      <c r="R37" s="211"/>
      <c r="S37" s="1080"/>
    </row>
    <row r="38" spans="1:19">
      <c r="A38" s="211" t="s">
        <v>1286</v>
      </c>
      <c r="C38" s="38">
        <f>'Alloc Factors Summary'!D30</f>
        <v>5314682</v>
      </c>
      <c r="D38" s="38"/>
      <c r="E38" s="38">
        <f>ROUND(C38/365,0)</f>
        <v>14561</v>
      </c>
      <c r="F38" s="38"/>
      <c r="G38" s="319">
        <f>1-SUM(G39:G41)</f>
        <v>0.50687000000000004</v>
      </c>
      <c r="H38" s="38"/>
      <c r="I38" s="309">
        <f>I19</f>
        <v>79760</v>
      </c>
      <c r="J38" s="38"/>
      <c r="K38" s="37">
        <f>I38-E38</f>
        <v>65199</v>
      </c>
      <c r="L38" s="46"/>
      <c r="M38" s="23">
        <f>ROUND(K38/K$42,5)</f>
        <v>0.60372000000000003</v>
      </c>
      <c r="N38" s="28"/>
      <c r="O38" s="23">
        <f>O36-SUM(O39:O41)</f>
        <v>0.10649999999999998</v>
      </c>
      <c r="P38" s="30"/>
      <c r="Q38" s="23">
        <f>Q36-SUM(Q39:Q41)</f>
        <v>0.47687000000000002</v>
      </c>
      <c r="R38" s="211"/>
      <c r="S38" s="416">
        <f>Q38+O38</f>
        <v>0.58336999999999994</v>
      </c>
    </row>
    <row r="39" spans="1:19">
      <c r="A39" s="211" t="s">
        <v>1282</v>
      </c>
      <c r="B39" s="211"/>
      <c r="C39" s="309">
        <f>'Alloc Factors Summary'!D31</f>
        <v>3027396</v>
      </c>
      <c r="D39" s="309"/>
      <c r="E39" s="309">
        <f>ROUND(C39/365,0)</f>
        <v>8294</v>
      </c>
      <c r="F39" s="309"/>
      <c r="G39" s="415">
        <f>ROUND(E39/$E$42,5)</f>
        <v>0.28871999999999998</v>
      </c>
      <c r="H39" s="309"/>
      <c r="I39" s="309">
        <f>I20</f>
        <v>41673</v>
      </c>
      <c r="J39" s="309"/>
      <c r="K39" s="385">
        <f>I39-E39</f>
        <v>33379</v>
      </c>
      <c r="L39" s="405"/>
      <c r="M39" s="321">
        <f>ROUND(K39/K$42,5)</f>
        <v>0.30908000000000002</v>
      </c>
      <c r="N39" s="331"/>
      <c r="O39" s="321">
        <f>ROUND(G39*$O$36,5)</f>
        <v>6.0659999999999999E-2</v>
      </c>
      <c r="P39" s="414"/>
      <c r="Q39" s="321">
        <f>ROUND($Q$36*M39,5)</f>
        <v>0.24414</v>
      </c>
      <c r="R39" s="211"/>
      <c r="S39" s="416">
        <f>Q39+O39</f>
        <v>0.30480000000000002</v>
      </c>
    </row>
    <row r="40" spans="1:19">
      <c r="A40" s="211" t="s">
        <v>984</v>
      </c>
      <c r="B40" s="211"/>
      <c r="C40" s="309">
        <f>'Alloc Factors Summary'!D32</f>
        <v>2143372</v>
      </c>
      <c r="D40" s="309"/>
      <c r="E40" s="309">
        <f>ROUND(C40/365,0)</f>
        <v>5872</v>
      </c>
      <c r="F40" s="309"/>
      <c r="G40" s="415">
        <f>ROUND(E40/$E$42,5)</f>
        <v>0.20441000000000001</v>
      </c>
      <c r="H40" s="309"/>
      <c r="I40" s="309">
        <f>I21</f>
        <v>15289</v>
      </c>
      <c r="J40" s="309"/>
      <c r="K40" s="385">
        <f>I40-E40</f>
        <v>9417</v>
      </c>
      <c r="L40" s="405"/>
      <c r="M40" s="321">
        <f>ROUND(K40/K$42,5)</f>
        <v>8.72E-2</v>
      </c>
      <c r="N40" s="331"/>
      <c r="O40" s="321">
        <f>ROUND(G40*$O$36,5)</f>
        <v>4.2950000000000002E-2</v>
      </c>
      <c r="P40" s="414"/>
      <c r="Q40" s="321">
        <f>ROUND($Q$36*M40,5)</f>
        <v>6.8879999999999997E-2</v>
      </c>
      <c r="R40" s="211"/>
      <c r="S40" s="416">
        <f>Q40+O40</f>
        <v>0.11183</v>
      </c>
    </row>
    <row r="41" spans="1:19">
      <c r="A41" s="216" t="s">
        <v>566</v>
      </c>
      <c r="C41" s="38">
        <v>0</v>
      </c>
      <c r="D41" s="37"/>
      <c r="E41" s="38">
        <f>ROUND(C41/365,0)</f>
        <v>0</v>
      </c>
      <c r="F41" s="38"/>
      <c r="G41" s="319">
        <f>ROUND(E41/$E$42,5)</f>
        <v>0</v>
      </c>
      <c r="H41" s="37"/>
      <c r="I41" s="292">
        <v>0</v>
      </c>
      <c r="J41" s="37"/>
      <c r="K41" s="1044">
        <f>I41-E41</f>
        <v>0</v>
      </c>
      <c r="L41" s="405"/>
      <c r="M41" s="321">
        <f>ROUND(K41/K$42,5)</f>
        <v>0</v>
      </c>
      <c r="N41" s="331"/>
      <c r="O41" s="321">
        <f>ROUND(G41*$O$36,5)</f>
        <v>0</v>
      </c>
      <c r="P41" s="414"/>
      <c r="Q41" s="321">
        <f>ROUND($Q$36*M41,5)</f>
        <v>0</v>
      </c>
      <c r="R41" s="211"/>
      <c r="S41" s="416">
        <f>Q41+O41</f>
        <v>0</v>
      </c>
    </row>
    <row r="42" spans="1:19" ht="13.5" thickBot="1">
      <c r="A42" s="318" t="s">
        <v>582</v>
      </c>
      <c r="C42" s="49">
        <f>SUM(C38:C41)</f>
        <v>10485450</v>
      </c>
      <c r="D42" s="38"/>
      <c r="E42" s="49">
        <f>SUM(E38:E41)</f>
        <v>28727</v>
      </c>
      <c r="F42" s="35"/>
      <c r="G42" s="185">
        <f>SUM(G38:G41)</f>
        <v>1</v>
      </c>
      <c r="H42" s="38"/>
      <c r="I42" s="409">
        <f>SUM(I38:I41)</f>
        <v>136722</v>
      </c>
      <c r="J42" s="38"/>
      <c r="K42" s="305">
        <f>SUM(K38:K41)</f>
        <v>107995</v>
      </c>
      <c r="L42" s="46"/>
      <c r="M42" s="42">
        <f>SUM(M38:M41)</f>
        <v>1</v>
      </c>
      <c r="N42" s="28"/>
      <c r="O42" s="42">
        <f>SUM(O38:O41)</f>
        <v>0.21010999999999996</v>
      </c>
      <c r="P42" s="30"/>
      <c r="Q42" s="42">
        <f>SUM(Q38:Q41)</f>
        <v>0.78988999999999998</v>
      </c>
      <c r="R42" s="211"/>
      <c r="S42" s="1081">
        <f>SUM(S38:S41)</f>
        <v>0.99999999999999989</v>
      </c>
    </row>
    <row r="43" spans="1:19" ht="13.5" thickTop="1">
      <c r="G43" s="45"/>
      <c r="K43" s="45"/>
    </row>
    <row r="45" spans="1:19">
      <c r="A45" s="45"/>
    </row>
    <row r="46" spans="1:19">
      <c r="A46" s="216" t="s">
        <v>858</v>
      </c>
    </row>
    <row r="47" spans="1:19">
      <c r="A47" s="45"/>
    </row>
    <row r="48" spans="1:19">
      <c r="A48" s="45"/>
    </row>
    <row r="49" spans="1:14">
      <c r="A49" s="45"/>
    </row>
    <row r="50" spans="1:14">
      <c r="A50" s="45"/>
    </row>
    <row r="51" spans="1:14">
      <c r="A51" s="45"/>
    </row>
    <row r="52" spans="1:14">
      <c r="A52" s="45"/>
    </row>
    <row r="53" spans="1:14">
      <c r="A53" s="45"/>
    </row>
    <row r="54" spans="1:14">
      <c r="A54" s="45"/>
      <c r="B54" s="45"/>
      <c r="C54" s="310"/>
      <c r="D54" s="310"/>
      <c r="E54" s="310"/>
      <c r="F54" s="310"/>
      <c r="G54" s="107"/>
      <c r="H54" s="310"/>
      <c r="I54" s="310"/>
      <c r="J54" s="310"/>
      <c r="K54" s="107"/>
    </row>
    <row r="55" spans="1:14">
      <c r="B55" s="45"/>
      <c r="C55" s="311"/>
      <c r="D55" s="312"/>
      <c r="E55" s="311"/>
      <c r="F55" s="311"/>
      <c r="G55" s="298"/>
      <c r="H55" s="312"/>
      <c r="I55" s="311"/>
      <c r="J55" s="312"/>
      <c r="K55" s="298"/>
    </row>
    <row r="56" spans="1:14" s="45" customFormat="1">
      <c r="C56" s="310"/>
      <c r="D56" s="31"/>
      <c r="E56" s="310"/>
      <c r="F56" s="310"/>
      <c r="G56" s="47"/>
      <c r="H56" s="31"/>
      <c r="I56" s="310"/>
      <c r="J56" s="31"/>
      <c r="K56" s="47"/>
    </row>
    <row r="57" spans="1:14" s="45" customFormat="1">
      <c r="A57" s="237"/>
      <c r="C57" s="31"/>
      <c r="D57" s="31"/>
      <c r="E57" s="31"/>
      <c r="F57" s="31"/>
      <c r="G57" s="28"/>
      <c r="H57" s="31"/>
      <c r="I57" s="31"/>
      <c r="J57" s="31"/>
      <c r="K57" s="28"/>
    </row>
    <row r="58" spans="1:14" s="45" customFormat="1">
      <c r="G58" s="43"/>
      <c r="K58" s="43"/>
    </row>
    <row r="59" spans="1:14" s="45" customFormat="1">
      <c r="G59" s="43"/>
      <c r="K59" s="43"/>
    </row>
    <row r="60" spans="1:14" s="45" customFormat="1">
      <c r="G60" s="28"/>
      <c r="K60" s="28"/>
    </row>
    <row r="61" spans="1:14" s="45" customFormat="1"/>
    <row r="62" spans="1:14" s="45" customFormat="1">
      <c r="C62" s="107"/>
      <c r="D62" s="107"/>
      <c r="E62" s="107"/>
      <c r="F62" s="107"/>
      <c r="G62" s="107"/>
      <c r="H62" s="107"/>
      <c r="I62" s="107"/>
      <c r="J62" s="107"/>
      <c r="K62" s="107"/>
      <c r="M62" s="107"/>
      <c r="N62" s="107"/>
    </row>
    <row r="63" spans="1:14" s="45" customFormat="1">
      <c r="B63" s="313"/>
      <c r="C63" s="298"/>
      <c r="D63" s="298"/>
      <c r="E63" s="298"/>
      <c r="F63" s="298"/>
      <c r="G63" s="298"/>
      <c r="H63" s="298"/>
      <c r="I63" s="298"/>
      <c r="J63" s="298"/>
      <c r="K63" s="298"/>
      <c r="M63" s="298"/>
      <c r="N63" s="298"/>
    </row>
    <row r="64" spans="1:14" s="45" customFormat="1">
      <c r="A64" s="298"/>
      <c r="C64" s="47"/>
      <c r="D64" s="47"/>
      <c r="E64" s="47"/>
      <c r="F64" s="47"/>
      <c r="G64" s="47"/>
      <c r="H64" s="47"/>
      <c r="I64" s="47"/>
      <c r="K64" s="47"/>
      <c r="M64" s="47"/>
      <c r="N64" s="47"/>
    </row>
    <row r="65" spans="1:14" s="45" customFormat="1">
      <c r="C65" s="31"/>
      <c r="D65" s="31"/>
      <c r="E65" s="31"/>
      <c r="F65" s="31"/>
      <c r="G65" s="304"/>
      <c r="H65" s="31"/>
      <c r="I65" s="31"/>
      <c r="J65" s="31"/>
      <c r="K65" s="304"/>
      <c r="M65" s="314"/>
      <c r="N65" s="314"/>
    </row>
    <row r="66" spans="1:14" s="45" customFormat="1">
      <c r="C66" s="31"/>
      <c r="D66" s="31"/>
      <c r="E66" s="31"/>
      <c r="F66" s="31"/>
      <c r="G66" s="304"/>
      <c r="H66" s="31"/>
      <c r="I66" s="31"/>
      <c r="J66" s="31"/>
      <c r="K66" s="304"/>
      <c r="M66" s="314"/>
      <c r="N66" s="314"/>
    </row>
    <row r="67" spans="1:14" s="45" customFormat="1">
      <c r="C67" s="31"/>
      <c r="D67" s="31"/>
      <c r="E67" s="315"/>
      <c r="F67" s="315"/>
      <c r="G67" s="304"/>
      <c r="H67" s="31"/>
      <c r="I67" s="31"/>
      <c r="J67" s="31"/>
      <c r="K67" s="304"/>
      <c r="M67" s="314"/>
      <c r="N67" s="314"/>
    </row>
    <row r="68" spans="1:14" s="45" customFormat="1">
      <c r="C68" s="31"/>
      <c r="D68" s="31"/>
      <c r="E68" s="315"/>
      <c r="F68" s="315"/>
      <c r="G68" s="304"/>
      <c r="H68" s="31"/>
      <c r="I68" s="31"/>
      <c r="J68" s="31"/>
      <c r="K68" s="304"/>
      <c r="M68" s="314"/>
      <c r="N68" s="314"/>
    </row>
    <row r="69" spans="1:14" s="45" customFormat="1">
      <c r="C69" s="122"/>
      <c r="E69" s="315"/>
      <c r="F69" s="315"/>
      <c r="G69" s="304"/>
      <c r="I69" s="122"/>
      <c r="K69" s="304"/>
      <c r="M69" s="122"/>
      <c r="N69" s="122"/>
    </row>
    <row r="70" spans="1:14" s="45" customFormat="1">
      <c r="C70" s="31"/>
      <c r="D70" s="31"/>
      <c r="E70" s="31"/>
      <c r="F70" s="31"/>
      <c r="H70" s="31"/>
      <c r="I70" s="31"/>
      <c r="J70" s="31"/>
      <c r="M70" s="314"/>
      <c r="N70" s="314"/>
    </row>
    <row r="71" spans="1:14" s="45" customFormat="1"/>
    <row r="72" spans="1:14" s="45" customFormat="1">
      <c r="C72" s="107"/>
      <c r="D72" s="47"/>
      <c r="E72" s="107"/>
      <c r="F72" s="107"/>
      <c r="G72" s="107"/>
      <c r="H72" s="47"/>
      <c r="I72" s="107"/>
      <c r="J72" s="47"/>
      <c r="K72" s="107"/>
      <c r="M72" s="107"/>
      <c r="N72" s="107"/>
    </row>
    <row r="73" spans="1:14" s="45" customFormat="1">
      <c r="C73" s="298"/>
      <c r="D73" s="47"/>
      <c r="E73" s="298"/>
      <c r="F73" s="298"/>
      <c r="G73" s="316"/>
      <c r="H73" s="47"/>
      <c r="I73" s="316"/>
      <c r="J73" s="47"/>
      <c r="K73" s="316"/>
      <c r="M73" s="316"/>
      <c r="N73" s="316"/>
    </row>
    <row r="74" spans="1:14" s="45" customFormat="1">
      <c r="A74" s="298"/>
      <c r="C74" s="47"/>
      <c r="E74" s="47"/>
      <c r="F74" s="47"/>
      <c r="G74" s="47"/>
      <c r="I74" s="47"/>
      <c r="K74" s="47"/>
      <c r="M74" s="47"/>
      <c r="N74" s="47"/>
    </row>
    <row r="75" spans="1:14" s="45" customFormat="1">
      <c r="G75" s="317"/>
      <c r="I75" s="304"/>
      <c r="K75" s="317"/>
    </row>
    <row r="76" spans="1:14" s="45" customFormat="1">
      <c r="C76" s="28"/>
      <c r="D76" s="31"/>
      <c r="E76" s="128"/>
      <c r="F76" s="128"/>
      <c r="G76" s="28"/>
      <c r="H76" s="31"/>
      <c r="I76" s="28"/>
      <c r="J76" s="31"/>
      <c r="K76" s="28"/>
      <c r="M76" s="128"/>
      <c r="N76" s="128"/>
    </row>
    <row r="77" spans="1:14" s="45" customFormat="1">
      <c r="C77" s="28"/>
      <c r="D77" s="31"/>
      <c r="E77" s="128"/>
      <c r="F77" s="128"/>
      <c r="G77" s="28"/>
      <c r="H77" s="31"/>
      <c r="I77" s="28"/>
      <c r="J77" s="31"/>
      <c r="K77" s="28"/>
      <c r="M77" s="128"/>
      <c r="N77" s="128"/>
    </row>
    <row r="78" spans="1:14" s="45" customFormat="1">
      <c r="C78" s="28"/>
      <c r="D78" s="31"/>
      <c r="E78" s="128"/>
      <c r="F78" s="128"/>
      <c r="G78" s="28"/>
      <c r="H78" s="31"/>
      <c r="I78" s="28"/>
      <c r="J78" s="31"/>
      <c r="K78" s="28"/>
      <c r="M78" s="128"/>
      <c r="N78" s="128"/>
    </row>
    <row r="79" spans="1:14" s="45" customFormat="1">
      <c r="C79" s="28"/>
      <c r="D79" s="31"/>
      <c r="E79" s="128"/>
      <c r="F79" s="128"/>
      <c r="G79" s="28"/>
      <c r="H79" s="31"/>
      <c r="I79" s="28"/>
      <c r="J79" s="31"/>
      <c r="K79" s="28"/>
      <c r="M79" s="128"/>
      <c r="N79" s="128"/>
    </row>
    <row r="80" spans="1:14" s="45" customFormat="1">
      <c r="C80" s="28"/>
      <c r="E80" s="128"/>
      <c r="F80" s="128"/>
      <c r="G80" s="28"/>
      <c r="I80" s="28"/>
      <c r="J80" s="31"/>
      <c r="K80" s="28"/>
      <c r="M80" s="128"/>
      <c r="N80" s="128"/>
    </row>
    <row r="81" spans="2:14" s="45" customFormat="1">
      <c r="C81" s="28"/>
      <c r="D81" s="31"/>
      <c r="E81" s="28"/>
      <c r="F81" s="28"/>
      <c r="G81" s="28"/>
      <c r="H81" s="31"/>
      <c r="I81" s="28"/>
      <c r="J81" s="31"/>
      <c r="K81" s="28"/>
      <c r="M81" s="128"/>
      <c r="N81" s="128"/>
    </row>
    <row r="82" spans="2:14">
      <c r="B82" s="45"/>
      <c r="C82" s="311"/>
      <c r="D82" s="312"/>
      <c r="E82" s="311"/>
      <c r="F82" s="311"/>
      <c r="G82" s="298"/>
      <c r="H82" s="312"/>
      <c r="I82" s="311"/>
      <c r="J82" s="312"/>
      <c r="K82" s="298"/>
    </row>
  </sheetData>
  <pageMargins left="1" right="1" top="1" bottom="1" header="0.5" footer="0.5"/>
  <pageSetup scale="71" orientation="landscape" blackAndWhite="1" r:id="rId1"/>
  <headerFooter alignWithMargins="0"/>
  <rowBreaks count="1" manualBreakCount="1">
    <brk id="55" max="16383" man="1"/>
  </rowBreaks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5">
    <tabColor rgb="FF92D050"/>
    <pageSetUpPr fitToPage="1"/>
  </sheetPr>
  <dimension ref="A1:AD151"/>
  <sheetViews>
    <sheetView topLeftCell="A88" zoomScale="70" zoomScaleNormal="70" zoomScaleSheetLayoutView="70" workbookViewId="0">
      <selection activeCell="O114" sqref="O114"/>
    </sheetView>
  </sheetViews>
  <sheetFormatPr defaultColWidth="7.109375" defaultRowHeight="12.75"/>
  <cols>
    <col min="1" max="1" width="6.88671875" style="55" customWidth="1"/>
    <col min="2" max="2" width="8.5546875" style="54" customWidth="1"/>
    <col min="3" max="3" width="11.109375" style="54" customWidth="1"/>
    <col min="4" max="4" width="2.44140625" style="54" customWidth="1"/>
    <col min="5" max="5" width="15.88671875" style="1201" bestFit="1" customWidth="1"/>
    <col min="6" max="6" width="13.21875" style="420" bestFit="1" customWidth="1"/>
    <col min="7" max="7" width="10.21875" style="421" customWidth="1"/>
    <col min="8" max="8" width="9.5546875" style="420" customWidth="1"/>
    <col min="9" max="9" width="12.6640625" style="421" bestFit="1" customWidth="1"/>
    <col min="10" max="10" width="11.6640625" style="418" customWidth="1"/>
    <col min="11" max="11" width="11.77734375" style="418" bestFit="1" customWidth="1"/>
    <col min="12" max="12" width="11.6640625" style="54" customWidth="1"/>
    <col min="13" max="13" width="9.77734375" style="54" customWidth="1"/>
    <col min="14" max="14" width="11.109375" style="54" customWidth="1"/>
    <col min="15" max="15" width="13.5546875" style="54" customWidth="1"/>
    <col min="16" max="28" width="10.5546875" style="54" customWidth="1"/>
    <col min="29" max="29" width="7.109375" style="54"/>
    <col min="30" max="30" width="8.33203125" style="54" customWidth="1"/>
    <col min="31" max="16384" width="7.109375" style="54"/>
  </cols>
  <sheetData>
    <row r="1" spans="1:30">
      <c r="A1" s="196" t="str">
        <f>co_name</f>
        <v>DUKE ENERGY KENTUCKY, INC.</v>
      </c>
      <c r="B1" s="53"/>
      <c r="C1" s="53"/>
      <c r="D1" s="53"/>
      <c r="E1" s="1198"/>
      <c r="G1" s="1198"/>
      <c r="H1" s="1198"/>
      <c r="I1" s="1198"/>
      <c r="J1" s="1198" t="s">
        <v>1551</v>
      </c>
      <c r="K1" s="1198"/>
      <c r="L1" s="53"/>
    </row>
    <row r="2" spans="1:30">
      <c r="A2" s="196" t="str">
        <f>coss_type</f>
        <v xml:space="preserve">GAS COST OF SERVICE STUDY </v>
      </c>
      <c r="B2" s="53"/>
      <c r="C2" s="53"/>
      <c r="D2" s="53"/>
      <c r="E2" s="1198"/>
      <c r="G2" s="1198"/>
      <c r="H2" s="1198"/>
      <c r="I2" s="1198"/>
      <c r="J2" s="1199" t="str">
        <f>'Alloc Factors Summary'!G2</f>
        <v>Witness Responsible:</v>
      </c>
      <c r="K2" s="1198"/>
      <c r="L2" s="53"/>
    </row>
    <row r="3" spans="1:30">
      <c r="A3" s="196" t="str">
        <f>case_name</f>
        <v>CASE NO: 2018-00261</v>
      </c>
      <c r="B3" s="53"/>
      <c r="C3" s="53"/>
      <c r="D3" s="53"/>
      <c r="E3" s="1198"/>
      <c r="G3" s="1198"/>
      <c r="H3" s="1198"/>
      <c r="I3" s="1198"/>
      <c r="J3" s="1199" t="str">
        <f>'Alloc Factors Summary'!G3</f>
        <v>James E. Ziolkowski</v>
      </c>
      <c r="K3" s="1198"/>
      <c r="L3" s="53"/>
      <c r="O3" s="870" t="s">
        <v>1002</v>
      </c>
      <c r="P3" s="871"/>
      <c r="Q3" s="871"/>
      <c r="R3" s="871"/>
      <c r="S3" s="72"/>
      <c r="T3" s="72"/>
      <c r="U3" s="72"/>
      <c r="V3" s="72"/>
      <c r="W3" s="72"/>
      <c r="X3" s="72"/>
      <c r="Y3" s="72"/>
      <c r="Z3" s="72"/>
      <c r="AA3" s="72"/>
      <c r="AB3" s="72"/>
    </row>
    <row r="4" spans="1:30">
      <c r="A4" s="10" t="str">
        <f>alloc_factors</f>
        <v>ALLOCATION FACTORS FOR COST OF SERVICE STUDY</v>
      </c>
      <c r="B4" s="53"/>
      <c r="C4" s="53"/>
      <c r="D4" s="53"/>
      <c r="E4" s="1198"/>
      <c r="F4" s="418"/>
      <c r="G4" s="1198"/>
      <c r="H4" s="1198"/>
      <c r="I4" s="1198"/>
      <c r="J4" s="1287" t="s">
        <v>1070</v>
      </c>
      <c r="K4" s="1198"/>
      <c r="L4" s="53"/>
      <c r="O4" s="450" t="s">
        <v>1001</v>
      </c>
      <c r="P4" s="451"/>
      <c r="Q4" s="451"/>
      <c r="R4" s="451"/>
      <c r="S4" s="451"/>
      <c r="T4" s="451"/>
      <c r="U4" s="451"/>
      <c r="V4" s="451"/>
      <c r="W4" s="451"/>
      <c r="X4" s="451"/>
      <c r="Y4" s="451"/>
      <c r="Z4" s="451"/>
      <c r="AA4" s="451"/>
      <c r="AB4" s="451"/>
      <c r="AC4" s="449"/>
      <c r="AD4" s="54" t="s">
        <v>1196</v>
      </c>
    </row>
    <row r="5" spans="1:30">
      <c r="A5" s="10" t="str">
        <f>time_period</f>
        <v>TWELVE MONTHS ENDING DECEMBER 31, 2017</v>
      </c>
      <c r="B5" s="53"/>
      <c r="C5" s="53"/>
      <c r="D5" s="53"/>
      <c r="E5" s="1198"/>
      <c r="F5" s="418"/>
      <c r="G5" s="1198"/>
      <c r="H5" s="1198"/>
      <c r="I5" s="1198"/>
      <c r="J5" s="1287">
        <f ca="1">NOW()</f>
        <v>43347.578002314818</v>
      </c>
      <c r="K5" s="1198"/>
      <c r="L5" s="53"/>
      <c r="O5" s="1060" t="s">
        <v>471</v>
      </c>
      <c r="P5" s="1061">
        <v>40544</v>
      </c>
      <c r="Q5" s="1062">
        <v>40575</v>
      </c>
      <c r="R5" s="1062">
        <v>40603</v>
      </c>
      <c r="S5" s="1062">
        <v>40634</v>
      </c>
      <c r="T5" s="1062">
        <v>40664</v>
      </c>
      <c r="U5" s="1062">
        <v>40695</v>
      </c>
      <c r="V5" s="1062">
        <v>40725</v>
      </c>
      <c r="W5" s="1062">
        <v>40756</v>
      </c>
      <c r="X5" s="1062">
        <v>40787</v>
      </c>
      <c r="Y5" s="1062">
        <v>40817</v>
      </c>
      <c r="Z5" s="1062">
        <v>40848</v>
      </c>
      <c r="AA5" s="1062">
        <v>40878</v>
      </c>
      <c r="AB5" s="1063" t="s">
        <v>582</v>
      </c>
      <c r="AC5" s="449"/>
    </row>
    <row r="6" spans="1:30">
      <c r="A6" s="198" t="s">
        <v>833</v>
      </c>
      <c r="B6" s="53"/>
      <c r="C6" s="53"/>
      <c r="D6" s="53"/>
      <c r="E6" s="1198"/>
      <c r="F6" s="418"/>
      <c r="G6" s="1198"/>
      <c r="H6" s="1198"/>
      <c r="I6" s="1198"/>
      <c r="J6" s="1200"/>
      <c r="K6" s="1198"/>
      <c r="L6" s="53"/>
      <c r="O6" s="1060" t="s">
        <v>985</v>
      </c>
      <c r="P6" s="453"/>
      <c r="Q6" s="1065"/>
      <c r="R6" s="1065"/>
      <c r="S6" s="1065"/>
      <c r="T6" s="1065"/>
      <c r="U6" s="1065"/>
      <c r="V6" s="1065"/>
      <c r="W6" s="1065"/>
      <c r="X6" s="1065"/>
      <c r="Y6" s="1065"/>
      <c r="Z6" s="1065"/>
      <c r="AA6" s="1065"/>
      <c r="AB6" s="1066"/>
      <c r="AC6" s="449"/>
    </row>
    <row r="7" spans="1:30">
      <c r="O7" s="862" t="s">
        <v>986</v>
      </c>
      <c r="P7" s="452">
        <v>1095446</v>
      </c>
      <c r="Q7" s="452">
        <v>804474</v>
      </c>
      <c r="R7" s="452">
        <v>688959</v>
      </c>
      <c r="S7" s="452">
        <v>158370</v>
      </c>
      <c r="T7" s="452">
        <v>218886</v>
      </c>
      <c r="U7" s="452">
        <v>132605</v>
      </c>
      <c r="V7" s="452">
        <v>116991</v>
      </c>
      <c r="W7" s="452">
        <v>118287</v>
      </c>
      <c r="X7" s="452">
        <v>145289</v>
      </c>
      <c r="Y7" s="452">
        <v>244236</v>
      </c>
      <c r="Z7" s="452">
        <v>391117</v>
      </c>
      <c r="AA7" s="452">
        <v>654727</v>
      </c>
      <c r="AB7" s="1074">
        <v>4769387</v>
      </c>
      <c r="AC7" s="449"/>
      <c r="AD7" s="1074">
        <v>3405</v>
      </c>
    </row>
    <row r="8" spans="1:30">
      <c r="A8" s="57" t="s">
        <v>1247</v>
      </c>
      <c r="E8" s="419" t="s">
        <v>621</v>
      </c>
      <c r="I8" s="423" t="s">
        <v>1499</v>
      </c>
      <c r="J8" s="1202" t="s">
        <v>623</v>
      </c>
      <c r="K8" s="423" t="s">
        <v>1499</v>
      </c>
      <c r="L8" s="58" t="s">
        <v>1499</v>
      </c>
      <c r="M8" s="60"/>
      <c r="O8" s="862" t="s">
        <v>987</v>
      </c>
      <c r="P8" s="452">
        <v>2106020</v>
      </c>
      <c r="Q8" s="452">
        <v>1561396</v>
      </c>
      <c r="R8" s="452">
        <v>1407068</v>
      </c>
      <c r="S8" s="452">
        <v>387038</v>
      </c>
      <c r="T8" s="452">
        <v>580766</v>
      </c>
      <c r="U8" s="452">
        <v>423456</v>
      </c>
      <c r="V8" s="452">
        <v>417273</v>
      </c>
      <c r="W8" s="452">
        <v>410095</v>
      </c>
      <c r="X8" s="452">
        <v>515085</v>
      </c>
      <c r="Y8" s="452">
        <v>804998</v>
      </c>
      <c r="Z8" s="452">
        <v>1101051</v>
      </c>
      <c r="AA8" s="452">
        <v>1559055</v>
      </c>
      <c r="AB8" s="1074">
        <v>11273301</v>
      </c>
      <c r="AC8" s="449"/>
      <c r="AD8" s="1074">
        <v>4651</v>
      </c>
    </row>
    <row r="9" spans="1:30">
      <c r="A9" s="62"/>
      <c r="B9" s="59"/>
      <c r="C9" s="63" t="s">
        <v>1497</v>
      </c>
      <c r="D9" s="59"/>
      <c r="E9" s="419" t="s">
        <v>622</v>
      </c>
      <c r="F9" s="422" t="s">
        <v>909</v>
      </c>
      <c r="G9" s="423" t="s">
        <v>1498</v>
      </c>
      <c r="H9" s="422" t="s">
        <v>851</v>
      </c>
      <c r="I9" s="1203" t="s">
        <v>625</v>
      </c>
      <c r="J9" s="1202" t="s">
        <v>626</v>
      </c>
      <c r="K9" s="1202" t="s">
        <v>627</v>
      </c>
      <c r="L9" s="59" t="s">
        <v>627</v>
      </c>
      <c r="M9" s="61"/>
      <c r="O9" s="862" t="s">
        <v>988</v>
      </c>
      <c r="P9" s="452">
        <v>454323</v>
      </c>
      <c r="Q9" s="452">
        <v>329629</v>
      </c>
      <c r="R9" s="452">
        <v>245332</v>
      </c>
      <c r="S9" s="452">
        <v>53689</v>
      </c>
      <c r="T9" s="452">
        <v>46884</v>
      </c>
      <c r="U9" s="452">
        <v>25046</v>
      </c>
      <c r="V9" s="452">
        <v>21638</v>
      </c>
      <c r="W9" s="452">
        <v>18633</v>
      </c>
      <c r="X9" s="452">
        <v>24921</v>
      </c>
      <c r="Y9" s="452">
        <v>57799</v>
      </c>
      <c r="Z9" s="452">
        <v>108583</v>
      </c>
      <c r="AA9" s="452">
        <v>243271</v>
      </c>
      <c r="AB9" s="1073">
        <v>1629748</v>
      </c>
      <c r="AC9" s="449"/>
      <c r="AD9" s="1073">
        <v>12583</v>
      </c>
    </row>
    <row r="10" spans="1:30">
      <c r="A10" s="65" t="s">
        <v>628</v>
      </c>
      <c r="B10" s="66" t="s">
        <v>629</v>
      </c>
      <c r="C10" s="66" t="s">
        <v>630</v>
      </c>
      <c r="D10" s="66"/>
      <c r="E10" s="424" t="s">
        <v>1115</v>
      </c>
      <c r="F10" s="425" t="s">
        <v>910</v>
      </c>
      <c r="G10" s="426" t="s">
        <v>631</v>
      </c>
      <c r="H10" s="425" t="s">
        <v>632</v>
      </c>
      <c r="I10" s="426" t="s">
        <v>633</v>
      </c>
      <c r="J10" s="1204" t="s">
        <v>634</v>
      </c>
      <c r="K10" s="1204" t="s">
        <v>631</v>
      </c>
      <c r="L10" s="66" t="s">
        <v>634</v>
      </c>
      <c r="M10" s="61"/>
      <c r="O10" s="862" t="s">
        <v>989</v>
      </c>
      <c r="P10" s="452">
        <v>281065</v>
      </c>
      <c r="Q10" s="452">
        <v>206711</v>
      </c>
      <c r="R10" s="452">
        <v>161966</v>
      </c>
      <c r="S10" s="452">
        <v>35029</v>
      </c>
      <c r="T10" s="452">
        <v>37484</v>
      </c>
      <c r="U10" s="452">
        <v>20361</v>
      </c>
      <c r="V10" s="452">
        <v>18136</v>
      </c>
      <c r="W10" s="452">
        <v>18214</v>
      </c>
      <c r="X10" s="452">
        <v>19889</v>
      </c>
      <c r="Y10" s="452">
        <v>44976</v>
      </c>
      <c r="Z10" s="452">
        <v>167520</v>
      </c>
      <c r="AA10" s="452">
        <v>215400</v>
      </c>
      <c r="AB10" s="1073">
        <v>1226751</v>
      </c>
      <c r="AC10" s="449"/>
      <c r="AD10" s="1073">
        <v>8079</v>
      </c>
    </row>
    <row r="11" spans="1:30">
      <c r="A11" s="201"/>
      <c r="B11" s="202"/>
      <c r="C11" s="202"/>
      <c r="D11" s="202"/>
      <c r="E11" s="427"/>
      <c r="F11" s="428"/>
      <c r="G11" s="429" t="s">
        <v>852</v>
      </c>
      <c r="H11" s="428"/>
      <c r="I11" s="429" t="s">
        <v>853</v>
      </c>
      <c r="J11" s="1205"/>
      <c r="K11" s="1206" t="s">
        <v>854</v>
      </c>
      <c r="L11" s="202"/>
      <c r="M11" s="194"/>
      <c r="O11" s="862" t="s">
        <v>990</v>
      </c>
      <c r="P11" s="452">
        <v>1996799</v>
      </c>
      <c r="Q11" s="452">
        <v>1584055</v>
      </c>
      <c r="R11" s="452">
        <v>1669699</v>
      </c>
      <c r="S11" s="452">
        <v>1472734</v>
      </c>
      <c r="T11" s="452">
        <v>1448387</v>
      </c>
      <c r="U11" s="452">
        <v>1315896</v>
      </c>
      <c r="V11" s="452">
        <v>1328410</v>
      </c>
      <c r="W11" s="452">
        <v>1345331</v>
      </c>
      <c r="X11" s="452">
        <v>1273397</v>
      </c>
      <c r="Y11" s="452">
        <v>1594277</v>
      </c>
      <c r="Z11" s="452">
        <v>1694624</v>
      </c>
      <c r="AA11" s="452">
        <v>1834679</v>
      </c>
      <c r="AB11" s="1076">
        <v>18558288</v>
      </c>
      <c r="AC11" s="449"/>
      <c r="AD11" s="1076">
        <v>117</v>
      </c>
    </row>
    <row r="12" spans="1:30">
      <c r="A12" s="959" t="s">
        <v>1344</v>
      </c>
      <c r="B12" s="960">
        <v>31</v>
      </c>
      <c r="C12" s="431" t="str">
        <f>'WP FR-16(7)(v)-Daily Gas Stats'!K129</f>
        <v>01/06/17</v>
      </c>
      <c r="D12" s="67"/>
      <c r="E12" s="1196">
        <v>1183299</v>
      </c>
      <c r="F12" s="872">
        <f t="shared" ref="F12:F23" si="0">ROUND(E12/B12,0)</f>
        <v>38171</v>
      </c>
      <c r="G12" s="961">
        <f>'WP FR-16(7)(v)-Daily Gas Stats'!O18</f>
        <v>48.9236</v>
      </c>
      <c r="H12" s="872">
        <f t="shared" ref="H12:H23" si="1">ROUND(F12/(G12/100),0)</f>
        <v>78022</v>
      </c>
      <c r="I12" s="961">
        <f>'WP FR-16(7)(v)-Daily Gas Stats'!N18</f>
        <v>48.9236</v>
      </c>
      <c r="J12" s="872">
        <f>ROUND($F12/(I12/100),0)</f>
        <v>78022</v>
      </c>
      <c r="K12" s="962">
        <f>'WP FR-16(7)(v)-Daily Gas Stats'!M18</f>
        <v>47.857300000000002</v>
      </c>
      <c r="L12" s="286">
        <f t="shared" ref="L12:L23" si="2">ROUND($F12/(K12/100),0)</f>
        <v>79760</v>
      </c>
      <c r="M12" s="61"/>
      <c r="O12" s="862" t="s">
        <v>991</v>
      </c>
      <c r="P12" s="452">
        <v>0</v>
      </c>
      <c r="Q12" s="452">
        <v>0</v>
      </c>
      <c r="R12" s="452">
        <v>0</v>
      </c>
      <c r="S12" s="452">
        <v>0</v>
      </c>
      <c r="T12" s="452">
        <v>0</v>
      </c>
      <c r="U12" s="452">
        <v>0</v>
      </c>
      <c r="V12" s="452">
        <v>0</v>
      </c>
      <c r="W12" s="452">
        <v>0</v>
      </c>
      <c r="X12" s="452">
        <v>0</v>
      </c>
      <c r="Y12" s="452">
        <v>0</v>
      </c>
      <c r="Z12" s="452">
        <v>0</v>
      </c>
      <c r="AA12" s="452">
        <v>0</v>
      </c>
      <c r="AB12" s="865">
        <v>0</v>
      </c>
      <c r="AC12" s="449"/>
      <c r="AD12" s="865"/>
    </row>
    <row r="13" spans="1:30">
      <c r="A13" s="959" t="s">
        <v>635</v>
      </c>
      <c r="B13" s="960">
        <v>28</v>
      </c>
      <c r="C13" s="431" t="str">
        <f>'WP FR-16(7)(v)-Daily Gas Stats'!K130</f>
        <v>02/09/17</v>
      </c>
      <c r="D13" s="67"/>
      <c r="E13" s="1196">
        <v>873880</v>
      </c>
      <c r="F13" s="872">
        <f t="shared" si="0"/>
        <v>31210</v>
      </c>
      <c r="G13" s="961">
        <f>'WP FR-16(7)(v)-Daily Gas Stats'!O19</f>
        <v>48.058599999999998</v>
      </c>
      <c r="H13" s="872">
        <f t="shared" si="1"/>
        <v>64942</v>
      </c>
      <c r="I13" s="961">
        <f>'WP FR-16(7)(v)-Daily Gas Stats'!N19</f>
        <v>48.058599999999998</v>
      </c>
      <c r="J13" s="872">
        <f t="shared" ref="J13:J23" si="3">ROUND(F13/(I13/100),0)</f>
        <v>64942</v>
      </c>
      <c r="K13" s="962">
        <f>'WP FR-16(7)(v)-Daily Gas Stats'!M19</f>
        <v>46.122399999999999</v>
      </c>
      <c r="L13" s="286">
        <f t="shared" si="2"/>
        <v>67668</v>
      </c>
      <c r="M13" s="61"/>
      <c r="O13" s="862" t="s">
        <v>992</v>
      </c>
      <c r="P13" s="452">
        <v>0</v>
      </c>
      <c r="Q13" s="452">
        <v>0</v>
      </c>
      <c r="R13" s="452">
        <v>0</v>
      </c>
      <c r="S13" s="452">
        <v>0</v>
      </c>
      <c r="T13" s="452">
        <v>0</v>
      </c>
      <c r="U13" s="452">
        <v>0</v>
      </c>
      <c r="V13" s="452">
        <v>0</v>
      </c>
      <c r="W13" s="452">
        <v>0</v>
      </c>
      <c r="X13" s="452">
        <v>0</v>
      </c>
      <c r="Y13" s="452">
        <v>0</v>
      </c>
      <c r="Z13" s="452">
        <v>0</v>
      </c>
      <c r="AA13" s="452">
        <v>0</v>
      </c>
      <c r="AB13" s="865">
        <v>0</v>
      </c>
      <c r="AC13" s="449"/>
      <c r="AD13" s="865"/>
    </row>
    <row r="14" spans="1:30">
      <c r="A14" s="959" t="s">
        <v>636</v>
      </c>
      <c r="B14" s="960">
        <v>31</v>
      </c>
      <c r="C14" s="431" t="str">
        <f>'WP FR-16(7)(v)-Daily Gas Stats'!K131</f>
        <v>03/14/17</v>
      </c>
      <c r="D14" s="67"/>
      <c r="E14" s="1196">
        <v>729831</v>
      </c>
      <c r="F14" s="872">
        <f t="shared" si="0"/>
        <v>23543</v>
      </c>
      <c r="G14" s="961">
        <f>'WP FR-16(7)(v)-Daily Gas Stats'!O20</f>
        <v>48.132599999999996</v>
      </c>
      <c r="H14" s="872">
        <f t="shared" si="1"/>
        <v>48913</v>
      </c>
      <c r="I14" s="961">
        <f>'WP FR-16(7)(v)-Daily Gas Stats'!N20</f>
        <v>48.132599999999996</v>
      </c>
      <c r="J14" s="872">
        <f t="shared" si="3"/>
        <v>48913</v>
      </c>
      <c r="K14" s="962">
        <f>'WP FR-16(7)(v)-Daily Gas Stats'!M20</f>
        <v>46.511800000000001</v>
      </c>
      <c r="L14" s="286">
        <f t="shared" si="2"/>
        <v>50617</v>
      </c>
      <c r="M14" s="61"/>
      <c r="O14" s="862" t="s">
        <v>993</v>
      </c>
      <c r="P14" s="452">
        <v>0</v>
      </c>
      <c r="Q14" s="452">
        <v>0</v>
      </c>
      <c r="R14" s="452">
        <v>0</v>
      </c>
      <c r="S14" s="452">
        <v>0</v>
      </c>
      <c r="T14" s="452">
        <v>0</v>
      </c>
      <c r="U14" s="452">
        <v>0</v>
      </c>
      <c r="V14" s="452">
        <v>0</v>
      </c>
      <c r="W14" s="452">
        <v>0</v>
      </c>
      <c r="X14" s="452">
        <v>0</v>
      </c>
      <c r="Y14" s="452">
        <v>0</v>
      </c>
      <c r="Z14" s="452">
        <v>0</v>
      </c>
      <c r="AA14" s="452">
        <v>0</v>
      </c>
      <c r="AB14" s="865">
        <v>0</v>
      </c>
      <c r="AC14" s="449"/>
      <c r="AD14" s="865"/>
    </row>
    <row r="15" spans="1:30">
      <c r="A15" s="959" t="s">
        <v>1114</v>
      </c>
      <c r="B15" s="960">
        <v>30</v>
      </c>
      <c r="C15" s="431" t="str">
        <f>'WP FR-16(7)(v)-Daily Gas Stats'!K132</f>
        <v>04/06/17</v>
      </c>
      <c r="D15" s="67"/>
      <c r="E15" s="1196">
        <v>441301</v>
      </c>
      <c r="F15" s="872">
        <f t="shared" si="0"/>
        <v>14710</v>
      </c>
      <c r="G15" s="961">
        <f>'WP FR-16(7)(v)-Daily Gas Stats'!O21</f>
        <v>26.611899999999999</v>
      </c>
      <c r="H15" s="872">
        <f t="shared" si="1"/>
        <v>55276</v>
      </c>
      <c r="I15" s="961">
        <f>'WP FR-16(7)(v)-Daily Gas Stats'!N21</f>
        <v>26.611899999999999</v>
      </c>
      <c r="J15" s="872">
        <f t="shared" si="3"/>
        <v>55276</v>
      </c>
      <c r="K15" s="962">
        <f>'WP FR-16(7)(v)-Daily Gas Stats'!M21</f>
        <v>25.536799999999999</v>
      </c>
      <c r="L15" s="286">
        <f t="shared" si="2"/>
        <v>57603</v>
      </c>
      <c r="M15" s="60"/>
      <c r="O15" s="862" t="s">
        <v>773</v>
      </c>
      <c r="P15" s="452">
        <v>4830376</v>
      </c>
      <c r="Q15" s="452">
        <v>3305493</v>
      </c>
      <c r="R15" s="452">
        <v>2966754</v>
      </c>
      <c r="S15" s="452">
        <v>1340264</v>
      </c>
      <c r="T15" s="452">
        <v>818206</v>
      </c>
      <c r="U15" s="452">
        <v>419865</v>
      </c>
      <c r="V15" s="452">
        <v>362649</v>
      </c>
      <c r="W15" s="452">
        <v>337345</v>
      </c>
      <c r="X15" s="452">
        <v>413081</v>
      </c>
      <c r="Y15" s="452">
        <v>955484</v>
      </c>
      <c r="Z15" s="452">
        <v>1589231</v>
      </c>
      <c r="AA15" s="452">
        <v>3074731</v>
      </c>
      <c r="AB15" s="1071">
        <v>20413479</v>
      </c>
      <c r="AC15" s="449"/>
      <c r="AD15" s="1071">
        <v>253081</v>
      </c>
    </row>
    <row r="16" spans="1:30">
      <c r="A16" s="959" t="s">
        <v>637</v>
      </c>
      <c r="B16" s="960">
        <v>31</v>
      </c>
      <c r="C16" s="431" t="str">
        <f>'WP FR-16(7)(v)-Daily Gas Stats'!K133</f>
        <v>05/05/17</v>
      </c>
      <c r="D16" s="67"/>
      <c r="E16" s="1196">
        <v>223509</v>
      </c>
      <c r="F16" s="872">
        <f t="shared" si="0"/>
        <v>7210</v>
      </c>
      <c r="G16" s="961">
        <f>'WP FR-16(7)(v)-Daily Gas Stats'!O22</f>
        <v>28.9908</v>
      </c>
      <c r="H16" s="872">
        <f t="shared" si="1"/>
        <v>24870</v>
      </c>
      <c r="I16" s="961">
        <f>'WP FR-16(7)(v)-Daily Gas Stats'!N22</f>
        <v>28.9908</v>
      </c>
      <c r="J16" s="872">
        <f t="shared" si="3"/>
        <v>24870</v>
      </c>
      <c r="K16" s="962">
        <f>'WP FR-16(7)(v)-Daily Gas Stats'!M22</f>
        <v>27.102900000000002</v>
      </c>
      <c r="L16" s="286">
        <f t="shared" si="2"/>
        <v>26602</v>
      </c>
      <c r="M16" s="60"/>
      <c r="O16" s="862" t="s">
        <v>994</v>
      </c>
      <c r="P16" s="452">
        <v>2145761</v>
      </c>
      <c r="Q16" s="452">
        <v>1573670</v>
      </c>
      <c r="R16" s="452">
        <v>1437369</v>
      </c>
      <c r="S16" s="452">
        <v>666156</v>
      </c>
      <c r="T16" s="452">
        <v>427689</v>
      </c>
      <c r="U16" s="452">
        <v>225421</v>
      </c>
      <c r="V16" s="452">
        <v>188178</v>
      </c>
      <c r="W16" s="452">
        <v>173358</v>
      </c>
      <c r="X16" s="452">
        <v>215334</v>
      </c>
      <c r="Y16" s="452">
        <v>521219</v>
      </c>
      <c r="Z16" s="452">
        <v>843623</v>
      </c>
      <c r="AA16" s="452">
        <v>1608826</v>
      </c>
      <c r="AB16" s="1072">
        <v>10026604</v>
      </c>
      <c r="AC16" s="449"/>
      <c r="AD16" s="1072">
        <v>109819</v>
      </c>
    </row>
    <row r="17" spans="1:30">
      <c r="A17" s="959" t="s">
        <v>638</v>
      </c>
      <c r="B17" s="960">
        <v>30</v>
      </c>
      <c r="C17" s="431" t="str">
        <f>'WP FR-16(7)(v)-Daily Gas Stats'!K134</f>
        <v>06/07/17</v>
      </c>
      <c r="D17" s="67"/>
      <c r="E17" s="1196">
        <v>127454</v>
      </c>
      <c r="F17" s="872">
        <f t="shared" si="0"/>
        <v>4248</v>
      </c>
      <c r="G17" s="961">
        <f>'WP FR-16(7)(v)-Daily Gas Stats'!O23</f>
        <v>92.663499999999999</v>
      </c>
      <c r="H17" s="872">
        <f t="shared" si="1"/>
        <v>4584</v>
      </c>
      <c r="I17" s="961">
        <f>'WP FR-16(7)(v)-Daily Gas Stats'!N23</f>
        <v>84.384100000000004</v>
      </c>
      <c r="J17" s="872">
        <f t="shared" si="3"/>
        <v>5034</v>
      </c>
      <c r="K17" s="962">
        <f>'WP FR-16(7)(v)-Daily Gas Stats'!M23</f>
        <v>52.5976</v>
      </c>
      <c r="L17" s="286">
        <f t="shared" si="2"/>
        <v>8076</v>
      </c>
      <c r="M17" s="60"/>
      <c r="O17" s="862" t="s">
        <v>983</v>
      </c>
      <c r="P17" s="452">
        <v>55550</v>
      </c>
      <c r="Q17" s="452">
        <v>37359</v>
      </c>
      <c r="R17" s="452">
        <v>37705</v>
      </c>
      <c r="S17" s="452">
        <v>18984</v>
      </c>
      <c r="T17" s="452">
        <v>11216</v>
      </c>
      <c r="U17" s="452">
        <v>5129</v>
      </c>
      <c r="V17" s="452">
        <v>4246</v>
      </c>
      <c r="W17" s="452">
        <v>3799</v>
      </c>
      <c r="X17" s="452">
        <v>4828</v>
      </c>
      <c r="Y17" s="452">
        <v>12549</v>
      </c>
      <c r="Z17" s="452">
        <v>19363</v>
      </c>
      <c r="AA17" s="452">
        <v>34252</v>
      </c>
      <c r="AB17" s="1071">
        <v>244980</v>
      </c>
      <c r="AC17" s="449"/>
      <c r="AD17" s="1071">
        <v>3733</v>
      </c>
    </row>
    <row r="18" spans="1:30">
      <c r="A18" s="959" t="s">
        <v>639</v>
      </c>
      <c r="B18" s="960">
        <v>31</v>
      </c>
      <c r="C18" s="431" t="str">
        <f>'WP FR-16(7)(v)-Daily Gas Stats'!K135</f>
        <v>07/25/17</v>
      </c>
      <c r="D18" s="67"/>
      <c r="E18" s="1196">
        <v>103943</v>
      </c>
      <c r="F18" s="872">
        <f t="shared" si="0"/>
        <v>3353</v>
      </c>
      <c r="G18" s="961">
        <f>'WP FR-16(7)(v)-Daily Gas Stats'!O24</f>
        <v>105.22369999999999</v>
      </c>
      <c r="H18" s="872">
        <f t="shared" si="1"/>
        <v>3187</v>
      </c>
      <c r="I18" s="961">
        <f>'WP FR-16(7)(v)-Daily Gas Stats'!N24</f>
        <v>87.798299999999998</v>
      </c>
      <c r="J18" s="872">
        <f t="shared" si="3"/>
        <v>3819</v>
      </c>
      <c r="K18" s="962">
        <f>'WP FR-16(7)(v)-Daily Gas Stats'!M24</f>
        <v>52.966000000000001</v>
      </c>
      <c r="L18" s="286">
        <f t="shared" si="2"/>
        <v>6330</v>
      </c>
      <c r="M18" s="60"/>
      <c r="O18" s="862" t="s">
        <v>995</v>
      </c>
      <c r="P18" s="452">
        <v>21917</v>
      </c>
      <c r="Q18" s="452">
        <v>15815</v>
      </c>
      <c r="R18" s="452">
        <v>14798</v>
      </c>
      <c r="S18" s="452">
        <v>7624</v>
      </c>
      <c r="T18" s="452">
        <v>4793</v>
      </c>
      <c r="U18" s="452">
        <v>2360</v>
      </c>
      <c r="V18" s="452">
        <v>1662</v>
      </c>
      <c r="W18" s="452">
        <v>1644</v>
      </c>
      <c r="X18" s="452">
        <v>2367</v>
      </c>
      <c r="Y18" s="452">
        <v>6210</v>
      </c>
      <c r="Z18" s="452">
        <v>9960</v>
      </c>
      <c r="AA18" s="452">
        <v>18351</v>
      </c>
      <c r="AB18" s="1072">
        <v>107501</v>
      </c>
      <c r="AC18" s="449"/>
      <c r="AD18" s="1072">
        <v>1604</v>
      </c>
    </row>
    <row r="19" spans="1:30">
      <c r="A19" s="959" t="s">
        <v>640</v>
      </c>
      <c r="B19" s="960">
        <v>31</v>
      </c>
      <c r="C19" s="431" t="str">
        <f>'WP FR-16(7)(v)-Daily Gas Stats'!K136</f>
        <v>08/02/17</v>
      </c>
      <c r="D19" s="67"/>
      <c r="E19" s="1196">
        <v>92361</v>
      </c>
      <c r="F19" s="872">
        <f t="shared" si="0"/>
        <v>2979</v>
      </c>
      <c r="G19" s="961">
        <f>'WP FR-16(7)(v)-Daily Gas Stats'!O25</f>
        <v>103.1759</v>
      </c>
      <c r="H19" s="872">
        <f t="shared" si="1"/>
        <v>2887</v>
      </c>
      <c r="I19" s="961">
        <f>'WP FR-16(7)(v)-Daily Gas Stats'!N25</f>
        <v>88.347899999999996</v>
      </c>
      <c r="J19" s="872">
        <f t="shared" si="3"/>
        <v>3372</v>
      </c>
      <c r="K19" s="962">
        <f>'WP FR-16(7)(v)-Daily Gas Stats'!M25</f>
        <v>55.554699999999997</v>
      </c>
      <c r="L19" s="286">
        <f t="shared" si="2"/>
        <v>5362</v>
      </c>
      <c r="M19" s="60"/>
      <c r="O19" s="862" t="s">
        <v>996</v>
      </c>
      <c r="P19" s="452">
        <v>385155</v>
      </c>
      <c r="Q19" s="452">
        <v>264299</v>
      </c>
      <c r="R19" s="452">
        <v>270464</v>
      </c>
      <c r="S19" s="452">
        <v>124227</v>
      </c>
      <c r="T19" s="452">
        <v>85397</v>
      </c>
      <c r="U19" s="452">
        <v>43859</v>
      </c>
      <c r="V19" s="452">
        <v>32239</v>
      </c>
      <c r="W19" s="452">
        <v>30761</v>
      </c>
      <c r="X19" s="452">
        <v>38567</v>
      </c>
      <c r="Y19" s="452">
        <v>106816</v>
      </c>
      <c r="Z19" s="452">
        <v>167172</v>
      </c>
      <c r="AA19" s="452">
        <v>302025</v>
      </c>
      <c r="AB19" s="1071">
        <v>1850981</v>
      </c>
      <c r="AC19" s="449"/>
      <c r="AD19" s="1071">
        <v>19334</v>
      </c>
    </row>
    <row r="20" spans="1:30">
      <c r="A20" s="959" t="s">
        <v>641</v>
      </c>
      <c r="B20" s="960">
        <v>30</v>
      </c>
      <c r="C20" s="431" t="str">
        <f>'WP FR-16(7)(v)-Daily Gas Stats'!K137</f>
        <v>09/06/17</v>
      </c>
      <c r="D20" s="67"/>
      <c r="E20" s="1196">
        <v>108749</v>
      </c>
      <c r="F20" s="872">
        <f t="shared" si="0"/>
        <v>3625</v>
      </c>
      <c r="G20" s="961">
        <f>'WP FR-16(7)(v)-Daily Gas Stats'!O26</f>
        <v>101.6065</v>
      </c>
      <c r="H20" s="872">
        <f t="shared" si="1"/>
        <v>3568</v>
      </c>
      <c r="I20" s="961">
        <f>'WP FR-16(7)(v)-Daily Gas Stats'!N26</f>
        <v>75.724599999999995</v>
      </c>
      <c r="J20" s="872">
        <f t="shared" si="3"/>
        <v>4787</v>
      </c>
      <c r="K20" s="962">
        <f>'WP FR-16(7)(v)-Daily Gas Stats'!M26</f>
        <v>47.143900000000002</v>
      </c>
      <c r="L20" s="286">
        <f t="shared" si="2"/>
        <v>7689</v>
      </c>
      <c r="M20" s="60"/>
      <c r="O20" s="862" t="s">
        <v>997</v>
      </c>
      <c r="P20" s="452">
        <v>15910</v>
      </c>
      <c r="Q20" s="452">
        <v>9337</v>
      </c>
      <c r="R20" s="452">
        <v>8082</v>
      </c>
      <c r="S20" s="452">
        <v>1949</v>
      </c>
      <c r="T20" s="452">
        <v>5316</v>
      </c>
      <c r="U20" s="452">
        <v>10275</v>
      </c>
      <c r="V20" s="452">
        <v>8840</v>
      </c>
      <c r="W20" s="452">
        <v>1211</v>
      </c>
      <c r="X20" s="452">
        <v>2024</v>
      </c>
      <c r="Y20" s="452">
        <v>1623</v>
      </c>
      <c r="Z20" s="452">
        <v>2503</v>
      </c>
      <c r="AA20" s="452">
        <v>7774</v>
      </c>
      <c r="AB20" s="865">
        <v>74844</v>
      </c>
      <c r="AC20" s="449"/>
    </row>
    <row r="21" spans="1:30">
      <c r="A21" s="959" t="s">
        <v>642</v>
      </c>
      <c r="B21" s="960">
        <v>31</v>
      </c>
      <c r="C21" s="431" t="str">
        <f>'WP FR-16(7)(v)-Daily Gas Stats'!K138</f>
        <v>10/30/17</v>
      </c>
      <c r="D21" s="67"/>
      <c r="E21" s="1196">
        <v>112188</v>
      </c>
      <c r="F21" s="872">
        <f t="shared" si="0"/>
        <v>3619</v>
      </c>
      <c r="G21" s="961">
        <f>'WP FR-16(7)(v)-Daily Gas Stats'!O27</f>
        <v>30.761700000000001</v>
      </c>
      <c r="H21" s="872">
        <f t="shared" si="1"/>
        <v>11765</v>
      </c>
      <c r="I21" s="961">
        <f>'WP FR-16(7)(v)-Daily Gas Stats'!N27</f>
        <v>27.563800000000001</v>
      </c>
      <c r="J21" s="872">
        <f t="shared" si="3"/>
        <v>13130</v>
      </c>
      <c r="K21" s="962">
        <f>'WP FR-16(7)(v)-Daily Gas Stats'!M27</f>
        <v>27.070799999999998</v>
      </c>
      <c r="L21" s="286">
        <f t="shared" si="2"/>
        <v>13369</v>
      </c>
      <c r="M21" s="60"/>
      <c r="N21" s="60"/>
      <c r="O21" s="862" t="s">
        <v>998</v>
      </c>
      <c r="P21" s="1067">
        <v>-79</v>
      </c>
      <c r="Q21" s="1067">
        <v>324810</v>
      </c>
      <c r="R21" s="1067">
        <v>-386203</v>
      </c>
      <c r="S21" s="1067">
        <v>-5</v>
      </c>
      <c r="T21" s="1067">
        <v>-1</v>
      </c>
      <c r="U21" s="1067">
        <v>2</v>
      </c>
      <c r="V21" s="1067">
        <v>-1</v>
      </c>
      <c r="W21" s="1067">
        <v>6</v>
      </c>
      <c r="X21" s="1067">
        <v>-68</v>
      </c>
      <c r="Y21" s="1067">
        <v>-1</v>
      </c>
      <c r="Z21" s="1067">
        <v>-13</v>
      </c>
      <c r="AA21" s="1067">
        <v>-3</v>
      </c>
      <c r="AB21" s="1068">
        <v>-61556</v>
      </c>
      <c r="AC21" s="449"/>
    </row>
    <row r="22" spans="1:30">
      <c r="A22" s="959" t="s">
        <v>643</v>
      </c>
      <c r="B22" s="960">
        <v>30</v>
      </c>
      <c r="C22" s="431" t="str">
        <f>'WP FR-16(7)(v)-Daily Gas Stats'!K139</f>
        <v>11/10/17</v>
      </c>
      <c r="D22" s="67"/>
      <c r="E22" s="1196">
        <v>431523</v>
      </c>
      <c r="F22" s="872">
        <f t="shared" si="0"/>
        <v>14384</v>
      </c>
      <c r="G22" s="961">
        <f>'WP FR-16(7)(v)-Daily Gas Stats'!O28</f>
        <v>60.625700000000002</v>
      </c>
      <c r="H22" s="872">
        <f t="shared" si="1"/>
        <v>23726</v>
      </c>
      <c r="I22" s="961">
        <f>'WP FR-16(7)(v)-Daily Gas Stats'!N28</f>
        <v>59.896599999999999</v>
      </c>
      <c r="J22" s="872">
        <f t="shared" si="3"/>
        <v>24015</v>
      </c>
      <c r="K22" s="962">
        <f>'WP FR-16(7)(v)-Daily Gas Stats'!M28</f>
        <v>56.1038</v>
      </c>
      <c r="L22" s="286">
        <f t="shared" si="2"/>
        <v>25638</v>
      </c>
      <c r="M22" s="60"/>
      <c r="N22" s="60"/>
      <c r="O22" s="866" t="s">
        <v>582</v>
      </c>
      <c r="P22" s="452">
        <v>13388243</v>
      </c>
      <c r="Q22" s="452">
        <v>10017048</v>
      </c>
      <c r="R22" s="452">
        <v>8521993</v>
      </c>
      <c r="S22" s="452">
        <v>4266059</v>
      </c>
      <c r="T22" s="452">
        <v>3685023</v>
      </c>
      <c r="U22" s="452">
        <v>2624275</v>
      </c>
      <c r="V22" s="452">
        <v>2500261</v>
      </c>
      <c r="W22" s="452">
        <v>2458684</v>
      </c>
      <c r="X22" s="452">
        <v>2654714</v>
      </c>
      <c r="Y22" s="452">
        <v>4350186</v>
      </c>
      <c r="Z22" s="452">
        <v>6094734</v>
      </c>
      <c r="AA22" s="452">
        <v>9553088</v>
      </c>
      <c r="AB22" s="865">
        <v>70114308</v>
      </c>
      <c r="AC22" s="449"/>
    </row>
    <row r="23" spans="1:30">
      <c r="A23" s="959" t="s">
        <v>1345</v>
      </c>
      <c r="B23" s="960">
        <v>31</v>
      </c>
      <c r="C23" s="431" t="str">
        <f>'WP FR-16(7)(v)-Daily Gas Stats'!K140</f>
        <v>12/27/17</v>
      </c>
      <c r="D23" s="67"/>
      <c r="E23" s="1197">
        <v>886644</v>
      </c>
      <c r="F23" s="872">
        <f t="shared" si="0"/>
        <v>28601</v>
      </c>
      <c r="G23" s="961">
        <f>'WP FR-16(7)(v)-Daily Gas Stats'!O29</f>
        <v>61.708399999999997</v>
      </c>
      <c r="H23" s="1207">
        <f t="shared" si="1"/>
        <v>46349</v>
      </c>
      <c r="I23" s="961">
        <f>'WP FR-16(7)(v)-Daily Gas Stats'!N29</f>
        <v>58.202199999999998</v>
      </c>
      <c r="J23" s="1207">
        <f t="shared" si="3"/>
        <v>49141</v>
      </c>
      <c r="K23" s="962">
        <f>'WP FR-16(7)(v)-Daily Gas Stats'!M29</f>
        <v>55.920400000000001</v>
      </c>
      <c r="L23" s="294">
        <f t="shared" si="2"/>
        <v>51146</v>
      </c>
      <c r="M23" s="60"/>
      <c r="N23" s="60"/>
      <c r="O23" s="862"/>
      <c r="P23" s="863"/>
      <c r="Q23" s="863"/>
      <c r="R23" s="863"/>
      <c r="S23" s="863"/>
      <c r="T23" s="863"/>
      <c r="U23" s="863"/>
      <c r="V23" s="863"/>
      <c r="W23" s="863"/>
      <c r="X23" s="863"/>
      <c r="Y23" s="863"/>
      <c r="Z23" s="863"/>
      <c r="AA23" s="863"/>
      <c r="AB23" s="864"/>
      <c r="AC23" s="449"/>
    </row>
    <row r="24" spans="1:30">
      <c r="B24" s="59"/>
      <c r="C24" s="320"/>
      <c r="E24" s="309">
        <f>SUM(E12:E23)</f>
        <v>5314682</v>
      </c>
      <c r="F24" s="872"/>
      <c r="G24" s="961"/>
      <c r="H24" s="872">
        <f>MAX(H12:H23)</f>
        <v>78022</v>
      </c>
      <c r="I24" s="961"/>
      <c r="J24" s="872">
        <f>MAX(J12:J23)</f>
        <v>78022</v>
      </c>
      <c r="K24" s="1208"/>
      <c r="L24" s="286">
        <f>MAX(L12:L23)</f>
        <v>79760</v>
      </c>
      <c r="M24" s="60"/>
      <c r="O24" s="862" t="s">
        <v>999</v>
      </c>
      <c r="P24" s="867">
        <v>13388246</v>
      </c>
      <c r="Q24" s="867">
        <v>10017048</v>
      </c>
      <c r="R24" s="867">
        <v>8521994</v>
      </c>
      <c r="S24" s="867">
        <v>4266059</v>
      </c>
      <c r="T24" s="867">
        <v>3685024</v>
      </c>
      <c r="U24" s="867">
        <v>2624275</v>
      </c>
      <c r="V24" s="867">
        <v>2500262</v>
      </c>
      <c r="W24" s="867">
        <v>2458683</v>
      </c>
      <c r="X24" s="867">
        <v>2654715</v>
      </c>
      <c r="Y24" s="867">
        <v>4350185</v>
      </c>
      <c r="Z24" s="867">
        <v>6094734</v>
      </c>
      <c r="AA24" s="867">
        <v>9553087</v>
      </c>
      <c r="AB24" s="865">
        <v>70114312</v>
      </c>
      <c r="AC24" s="449"/>
    </row>
    <row r="25" spans="1:30">
      <c r="C25" s="70"/>
      <c r="N25" s="60"/>
      <c r="O25" s="862"/>
      <c r="P25" s="452">
        <v>3</v>
      </c>
      <c r="Q25" s="452">
        <v>0</v>
      </c>
      <c r="R25" s="452">
        <v>1</v>
      </c>
      <c r="S25" s="452">
        <v>0</v>
      </c>
      <c r="T25" s="452">
        <v>1</v>
      </c>
      <c r="U25" s="452">
        <v>0</v>
      </c>
      <c r="V25" s="452">
        <v>1</v>
      </c>
      <c r="W25" s="452">
        <v>-1</v>
      </c>
      <c r="X25" s="452">
        <v>1</v>
      </c>
      <c r="Y25" s="452">
        <v>-1</v>
      </c>
      <c r="Z25" s="452">
        <v>0</v>
      </c>
      <c r="AA25" s="452">
        <v>-1</v>
      </c>
      <c r="AB25" s="865">
        <v>4</v>
      </c>
      <c r="AC25" s="449"/>
    </row>
    <row r="26" spans="1:30">
      <c r="O26" s="862"/>
      <c r="P26" s="452"/>
      <c r="Q26" s="452"/>
      <c r="R26" s="452"/>
      <c r="S26" s="452"/>
      <c r="T26" s="452"/>
      <c r="U26" s="452"/>
      <c r="V26" s="452"/>
      <c r="W26" s="452"/>
      <c r="X26" s="452"/>
      <c r="Y26" s="452"/>
      <c r="Z26" s="452"/>
      <c r="AA26" s="452"/>
      <c r="AB26" s="865"/>
      <c r="AC26" s="449"/>
    </row>
    <row r="27" spans="1:30">
      <c r="A27" s="417" t="s">
        <v>1287</v>
      </c>
      <c r="B27" s="418"/>
      <c r="C27" s="418"/>
      <c r="E27" s="419" t="s">
        <v>621</v>
      </c>
      <c r="I27" s="423" t="s">
        <v>1499</v>
      </c>
      <c r="J27" s="1202" t="s">
        <v>623</v>
      </c>
      <c r="K27" s="423" t="s">
        <v>1499</v>
      </c>
      <c r="L27" s="58" t="s">
        <v>1499</v>
      </c>
      <c r="N27" s="60"/>
      <c r="O27" s="862" t="s">
        <v>773</v>
      </c>
      <c r="P27" s="452">
        <v>5271081</v>
      </c>
      <c r="Q27" s="452">
        <v>3607151</v>
      </c>
      <c r="R27" s="452">
        <v>3274923</v>
      </c>
      <c r="S27" s="452">
        <v>1483475</v>
      </c>
      <c r="T27" s="452">
        <v>914819</v>
      </c>
      <c r="U27" s="452">
        <v>468853</v>
      </c>
      <c r="V27" s="452">
        <v>399134</v>
      </c>
      <c r="W27" s="452">
        <v>371905</v>
      </c>
      <c r="X27" s="452">
        <v>456476</v>
      </c>
      <c r="Y27" s="452">
        <v>1074849</v>
      </c>
      <c r="Z27" s="452">
        <v>1775766</v>
      </c>
      <c r="AA27" s="452">
        <v>3411008</v>
      </c>
      <c r="AB27" s="1071">
        <f>AB15+AB17+AB19</f>
        <v>22509440</v>
      </c>
      <c r="AC27" s="449"/>
      <c r="AD27" s="1071">
        <f>AD15+AD17+AD19</f>
        <v>276148</v>
      </c>
    </row>
    <row r="28" spans="1:30">
      <c r="A28" s="62"/>
      <c r="B28" s="59"/>
      <c r="C28" s="63" t="s">
        <v>1497</v>
      </c>
      <c r="D28" s="59"/>
      <c r="E28" s="419" t="s">
        <v>622</v>
      </c>
      <c r="F28" s="422" t="s">
        <v>909</v>
      </c>
      <c r="G28" s="423" t="s">
        <v>1498</v>
      </c>
      <c r="H28" s="422" t="s">
        <v>851</v>
      </c>
      <c r="I28" s="1203" t="s">
        <v>625</v>
      </c>
      <c r="J28" s="1202" t="s">
        <v>626</v>
      </c>
      <c r="K28" s="1202" t="s">
        <v>627</v>
      </c>
      <c r="L28" s="59" t="s">
        <v>627</v>
      </c>
      <c r="O28" s="862" t="s">
        <v>1000</v>
      </c>
      <c r="P28" s="452">
        <v>2167678</v>
      </c>
      <c r="Q28" s="452">
        <v>1589485</v>
      </c>
      <c r="R28" s="452">
        <v>1452167</v>
      </c>
      <c r="S28" s="452">
        <v>673780</v>
      </c>
      <c r="T28" s="452">
        <v>432482</v>
      </c>
      <c r="U28" s="452">
        <v>227781</v>
      </c>
      <c r="V28" s="452">
        <v>189840</v>
      </c>
      <c r="W28" s="452">
        <v>175002</v>
      </c>
      <c r="X28" s="452">
        <v>217701</v>
      </c>
      <c r="Y28" s="452">
        <v>527429</v>
      </c>
      <c r="Z28" s="452">
        <v>853583</v>
      </c>
      <c r="AA28" s="452">
        <v>1627177</v>
      </c>
      <c r="AB28" s="1072">
        <f>AB16+AB18</f>
        <v>10134105</v>
      </c>
      <c r="AC28" s="449"/>
      <c r="AD28" s="1072">
        <f>AD16+AD18</f>
        <v>111423</v>
      </c>
    </row>
    <row r="29" spans="1:30">
      <c r="A29" s="65" t="s">
        <v>628</v>
      </c>
      <c r="B29" s="66" t="s">
        <v>629</v>
      </c>
      <c r="C29" s="66" t="s">
        <v>630</v>
      </c>
      <c r="D29" s="66"/>
      <c r="E29" s="424" t="s">
        <v>1115</v>
      </c>
      <c r="F29" s="425" t="s">
        <v>910</v>
      </c>
      <c r="G29" s="426" t="s">
        <v>631</v>
      </c>
      <c r="H29" s="425" t="s">
        <v>632</v>
      </c>
      <c r="I29" s="426" t="s">
        <v>633</v>
      </c>
      <c r="J29" s="1204" t="s">
        <v>634</v>
      </c>
      <c r="K29" s="1204" t="s">
        <v>631</v>
      </c>
      <c r="L29" s="66" t="s">
        <v>634</v>
      </c>
      <c r="N29" s="60"/>
      <c r="O29" s="862" t="s">
        <v>1003</v>
      </c>
      <c r="P29" s="452">
        <f>P9+P10</f>
        <v>735388</v>
      </c>
      <c r="Q29" s="452">
        <f t="shared" ref="Q29:AB29" si="4">Q9+Q10</f>
        <v>536340</v>
      </c>
      <c r="R29" s="452">
        <f t="shared" si="4"/>
        <v>407298</v>
      </c>
      <c r="S29" s="452">
        <f t="shared" si="4"/>
        <v>88718</v>
      </c>
      <c r="T29" s="452">
        <f t="shared" si="4"/>
        <v>84368</v>
      </c>
      <c r="U29" s="452">
        <f t="shared" si="4"/>
        <v>45407</v>
      </c>
      <c r="V29" s="452">
        <f t="shared" si="4"/>
        <v>39774</v>
      </c>
      <c r="W29" s="452">
        <f t="shared" si="4"/>
        <v>36847</v>
      </c>
      <c r="X29" s="452">
        <f t="shared" si="4"/>
        <v>44810</v>
      </c>
      <c r="Y29" s="452">
        <f t="shared" si="4"/>
        <v>102775</v>
      </c>
      <c r="Z29" s="452">
        <f t="shared" si="4"/>
        <v>276103</v>
      </c>
      <c r="AA29" s="452">
        <f t="shared" si="4"/>
        <v>458671</v>
      </c>
      <c r="AB29" s="1073">
        <f t="shared" si="4"/>
        <v>2856499</v>
      </c>
      <c r="AC29" s="449"/>
      <c r="AD29" s="1073">
        <f>AD9+AD10</f>
        <v>20662</v>
      </c>
    </row>
    <row r="30" spans="1:30">
      <c r="A30" s="201"/>
      <c r="B30" s="202"/>
      <c r="C30" s="202"/>
      <c r="D30" s="202"/>
      <c r="E30" s="427"/>
      <c r="F30" s="428"/>
      <c r="G30" s="429" t="s">
        <v>852</v>
      </c>
      <c r="H30" s="428"/>
      <c r="I30" s="429" t="s">
        <v>853</v>
      </c>
      <c r="J30" s="1205"/>
      <c r="K30" s="1206" t="s">
        <v>854</v>
      </c>
      <c r="L30" s="202"/>
      <c r="O30" s="862" t="s">
        <v>1004</v>
      </c>
      <c r="P30" s="1064">
        <f>P7+P8+P20+P21</f>
        <v>3217297</v>
      </c>
      <c r="Q30" s="1064">
        <f t="shared" ref="Q30:AB30" si="5">Q7+Q8+Q20+Q21</f>
        <v>2700017</v>
      </c>
      <c r="R30" s="1064">
        <f t="shared" si="5"/>
        <v>1717906</v>
      </c>
      <c r="S30" s="1064">
        <f t="shared" si="5"/>
        <v>547352</v>
      </c>
      <c r="T30" s="1064">
        <f t="shared" si="5"/>
        <v>804967</v>
      </c>
      <c r="U30" s="1064">
        <f t="shared" si="5"/>
        <v>566338</v>
      </c>
      <c r="V30" s="1064">
        <f t="shared" si="5"/>
        <v>543103</v>
      </c>
      <c r="W30" s="1064">
        <f t="shared" si="5"/>
        <v>529599</v>
      </c>
      <c r="X30" s="1064">
        <f t="shared" si="5"/>
        <v>662330</v>
      </c>
      <c r="Y30" s="1064">
        <f t="shared" si="5"/>
        <v>1050856</v>
      </c>
      <c r="Z30" s="1064">
        <f t="shared" si="5"/>
        <v>1494658</v>
      </c>
      <c r="AA30" s="1064">
        <f t="shared" si="5"/>
        <v>2221553</v>
      </c>
      <c r="AB30" s="1077">
        <f t="shared" si="5"/>
        <v>16055976</v>
      </c>
      <c r="AC30" s="449"/>
      <c r="AD30" s="1077">
        <f>AD7+AD8+AD20+AD21</f>
        <v>8056</v>
      </c>
    </row>
    <row r="31" spans="1:30">
      <c r="A31" s="435" t="str">
        <f t="shared" ref="A31:C42" si="6">A12</f>
        <v>Jan 2017</v>
      </c>
      <c r="B31" s="433">
        <f t="shared" si="6"/>
        <v>31</v>
      </c>
      <c r="C31" s="434" t="str">
        <f t="shared" si="6"/>
        <v>01/06/17</v>
      </c>
      <c r="D31" s="67"/>
      <c r="E31" s="1196">
        <v>644311</v>
      </c>
      <c r="F31" s="872">
        <f t="shared" ref="F31:F42" si="7">ROUND(E31/B31,0)</f>
        <v>20784</v>
      </c>
      <c r="G31" s="963">
        <f>'WP FR-16(7)(v)-Daily Gas Stats'!O55</f>
        <v>54.1751</v>
      </c>
      <c r="H31" s="872">
        <f t="shared" ref="H31:H42" si="8">ROUND(F31/(G31/100),0)</f>
        <v>38364</v>
      </c>
      <c r="I31" s="964">
        <f>'WP FR-16(7)(v)-Daily Gas Stats'!N55</f>
        <v>54.1751</v>
      </c>
      <c r="J31" s="872">
        <f t="shared" ref="J31:J42" si="9">ROUND(F31/(I31/100),0)</f>
        <v>38364</v>
      </c>
      <c r="K31" s="964">
        <f>'WP FR-16(7)(v)-Daily Gas Stats'!M55</f>
        <v>49.873800000000003</v>
      </c>
      <c r="L31" s="286">
        <f t="shared" ref="L31:L42" si="10">ROUND($F31/(K31/100),0)</f>
        <v>41673</v>
      </c>
      <c r="N31" s="60"/>
      <c r="O31" s="1069" t="s">
        <v>370</v>
      </c>
      <c r="P31" s="1067">
        <f>P11</f>
        <v>1996799</v>
      </c>
      <c r="Q31" s="1067">
        <f t="shared" ref="Q31:AA31" si="11">Q11</f>
        <v>1584055</v>
      </c>
      <c r="R31" s="1067">
        <f t="shared" si="11"/>
        <v>1669699</v>
      </c>
      <c r="S31" s="1067">
        <f t="shared" si="11"/>
        <v>1472734</v>
      </c>
      <c r="T31" s="1067">
        <f t="shared" si="11"/>
        <v>1448387</v>
      </c>
      <c r="U31" s="1067">
        <f t="shared" si="11"/>
        <v>1315896</v>
      </c>
      <c r="V31" s="1067">
        <f t="shared" si="11"/>
        <v>1328410</v>
      </c>
      <c r="W31" s="1067">
        <f t="shared" si="11"/>
        <v>1345331</v>
      </c>
      <c r="X31" s="1067">
        <f t="shared" si="11"/>
        <v>1273397</v>
      </c>
      <c r="Y31" s="1067">
        <f t="shared" si="11"/>
        <v>1594277</v>
      </c>
      <c r="Z31" s="1067">
        <f t="shared" si="11"/>
        <v>1694624</v>
      </c>
      <c r="AA31" s="1067">
        <f t="shared" si="11"/>
        <v>1834679</v>
      </c>
      <c r="AB31" s="1075">
        <f>AB11</f>
        <v>18558288</v>
      </c>
      <c r="AD31" s="1075">
        <f>AD11</f>
        <v>117</v>
      </c>
    </row>
    <row r="32" spans="1:30">
      <c r="A32" s="435" t="str">
        <f t="shared" si="6"/>
        <v>Feb</v>
      </c>
      <c r="B32" s="433">
        <f t="shared" si="6"/>
        <v>28</v>
      </c>
      <c r="C32" s="434" t="str">
        <f t="shared" si="6"/>
        <v>02/09/17</v>
      </c>
      <c r="D32" s="67"/>
      <c r="E32" s="1196">
        <v>468296</v>
      </c>
      <c r="F32" s="872">
        <f t="shared" si="7"/>
        <v>16725</v>
      </c>
      <c r="G32" s="963">
        <f>'WP FR-16(7)(v)-Daily Gas Stats'!O56</f>
        <v>49.287500000000001</v>
      </c>
      <c r="H32" s="872">
        <f t="shared" si="8"/>
        <v>33934</v>
      </c>
      <c r="I32" s="964">
        <f>'WP FR-16(7)(v)-Daily Gas Stats'!N56</f>
        <v>49.287500000000001</v>
      </c>
      <c r="J32" s="872">
        <f t="shared" si="9"/>
        <v>33934</v>
      </c>
      <c r="K32" s="964">
        <f>'WP FR-16(7)(v)-Daily Gas Stats'!M56</f>
        <v>46.983400000000003</v>
      </c>
      <c r="L32" s="286">
        <f t="shared" si="10"/>
        <v>35598</v>
      </c>
      <c r="O32" s="1070" t="s">
        <v>582</v>
      </c>
      <c r="P32" s="868">
        <f>SUM(P27:P31)</f>
        <v>13388243</v>
      </c>
      <c r="Q32" s="868">
        <f t="shared" ref="Q32:AD32" si="12">SUM(Q27:Q31)</f>
        <v>10017048</v>
      </c>
      <c r="R32" s="868">
        <f t="shared" si="12"/>
        <v>8521993</v>
      </c>
      <c r="S32" s="868">
        <f t="shared" si="12"/>
        <v>4266059</v>
      </c>
      <c r="T32" s="868">
        <f t="shared" si="12"/>
        <v>3685023</v>
      </c>
      <c r="U32" s="868">
        <f t="shared" si="12"/>
        <v>2624275</v>
      </c>
      <c r="V32" s="868">
        <f t="shared" si="12"/>
        <v>2500261</v>
      </c>
      <c r="W32" s="868">
        <f t="shared" si="12"/>
        <v>2458684</v>
      </c>
      <c r="X32" s="868">
        <f t="shared" si="12"/>
        <v>2654714</v>
      </c>
      <c r="Y32" s="868">
        <f t="shared" si="12"/>
        <v>4350186</v>
      </c>
      <c r="Z32" s="868">
        <f t="shared" si="12"/>
        <v>6094734</v>
      </c>
      <c r="AA32" s="868">
        <f t="shared" si="12"/>
        <v>9553088</v>
      </c>
      <c r="AB32" s="869">
        <f t="shared" si="12"/>
        <v>70114308</v>
      </c>
      <c r="AD32" s="869">
        <f t="shared" si="12"/>
        <v>416406</v>
      </c>
    </row>
    <row r="33" spans="1:17">
      <c r="A33" s="435" t="str">
        <f t="shared" si="6"/>
        <v>Mar</v>
      </c>
      <c r="B33" s="433">
        <f t="shared" si="6"/>
        <v>31</v>
      </c>
      <c r="C33" s="434" t="str">
        <f t="shared" si="6"/>
        <v>03/14/17</v>
      </c>
      <c r="D33" s="67"/>
      <c r="E33" s="1196">
        <v>388223</v>
      </c>
      <c r="F33" s="872">
        <f t="shared" si="7"/>
        <v>12523</v>
      </c>
      <c r="G33" s="963">
        <f>'WP FR-16(7)(v)-Daily Gas Stats'!O57</f>
        <v>49.573999999999998</v>
      </c>
      <c r="H33" s="872">
        <f t="shared" si="8"/>
        <v>25261</v>
      </c>
      <c r="I33" s="964">
        <f>'WP FR-16(7)(v)-Daily Gas Stats'!N57</f>
        <v>49.573999999999998</v>
      </c>
      <c r="J33" s="872">
        <f t="shared" si="9"/>
        <v>25261</v>
      </c>
      <c r="K33" s="964">
        <f>'WP FR-16(7)(v)-Daily Gas Stats'!M57</f>
        <v>47.318600000000004</v>
      </c>
      <c r="L33" s="286">
        <f t="shared" si="10"/>
        <v>26465</v>
      </c>
      <c r="M33" s="60"/>
      <c r="N33" s="60"/>
      <c r="P33" s="69"/>
    </row>
    <row r="34" spans="1:17">
      <c r="A34" s="435" t="str">
        <f t="shared" si="6"/>
        <v>Apr</v>
      </c>
      <c r="B34" s="433">
        <f t="shared" si="6"/>
        <v>30</v>
      </c>
      <c r="C34" s="434" t="str">
        <f t="shared" si="6"/>
        <v>04/06/17</v>
      </c>
      <c r="D34" s="67"/>
      <c r="E34" s="1196">
        <v>257576</v>
      </c>
      <c r="F34" s="872">
        <f t="shared" si="7"/>
        <v>8586</v>
      </c>
      <c r="G34" s="963">
        <f>'WP FR-16(7)(v)-Daily Gas Stats'!O58</f>
        <v>36.3795</v>
      </c>
      <c r="H34" s="872">
        <f t="shared" si="8"/>
        <v>23601</v>
      </c>
      <c r="I34" s="964">
        <f>'WP FR-16(7)(v)-Daily Gas Stats'!N58</f>
        <v>36.3795</v>
      </c>
      <c r="J34" s="872">
        <f t="shared" si="9"/>
        <v>23601</v>
      </c>
      <c r="K34" s="964">
        <f>'WP FR-16(7)(v)-Daily Gas Stats'!M58</f>
        <v>33.242100000000001</v>
      </c>
      <c r="L34" s="286">
        <f t="shared" si="10"/>
        <v>25829</v>
      </c>
      <c r="M34" s="60"/>
      <c r="P34" s="71"/>
    </row>
    <row r="35" spans="1:17">
      <c r="A35" s="435" t="str">
        <f t="shared" si="6"/>
        <v>May</v>
      </c>
      <c r="B35" s="433">
        <f t="shared" si="6"/>
        <v>31</v>
      </c>
      <c r="C35" s="434" t="str">
        <f t="shared" si="6"/>
        <v>05/05/17</v>
      </c>
      <c r="D35" s="67"/>
      <c r="E35" s="1196">
        <v>131171</v>
      </c>
      <c r="F35" s="872">
        <f t="shared" si="7"/>
        <v>4231</v>
      </c>
      <c r="G35" s="963">
        <f>'WP FR-16(7)(v)-Daily Gas Stats'!O59</f>
        <v>52.432200000000002</v>
      </c>
      <c r="H35" s="872">
        <f t="shared" si="8"/>
        <v>8069</v>
      </c>
      <c r="I35" s="964">
        <f>'WP FR-16(7)(v)-Daily Gas Stats'!N59</f>
        <v>52.432200000000002</v>
      </c>
      <c r="J35" s="872">
        <f t="shared" si="9"/>
        <v>8069</v>
      </c>
      <c r="K35" s="964">
        <f>'WP FR-16(7)(v)-Daily Gas Stats'!M59</f>
        <v>40.367199999999997</v>
      </c>
      <c r="L35" s="286">
        <f t="shared" si="10"/>
        <v>10481</v>
      </c>
      <c r="M35" s="60"/>
      <c r="N35" s="60"/>
      <c r="P35" s="69"/>
    </row>
    <row r="36" spans="1:17">
      <c r="A36" s="435" t="str">
        <f t="shared" si="6"/>
        <v>Jun</v>
      </c>
      <c r="B36" s="433">
        <f t="shared" si="6"/>
        <v>30</v>
      </c>
      <c r="C36" s="434" t="str">
        <f t="shared" si="6"/>
        <v>06/07/17</v>
      </c>
      <c r="D36" s="67"/>
      <c r="E36" s="1196">
        <v>90230</v>
      </c>
      <c r="F36" s="872">
        <f t="shared" si="7"/>
        <v>3008</v>
      </c>
      <c r="G36" s="963">
        <f>'WP FR-16(7)(v)-Daily Gas Stats'!O60</f>
        <v>74.984099999999998</v>
      </c>
      <c r="H36" s="872">
        <f t="shared" si="8"/>
        <v>4012</v>
      </c>
      <c r="I36" s="964">
        <f>'WP FR-16(7)(v)-Daily Gas Stats'!N60</f>
        <v>74.984099999999998</v>
      </c>
      <c r="J36" s="872">
        <f t="shared" si="9"/>
        <v>4012</v>
      </c>
      <c r="K36" s="964">
        <f>'WP FR-16(7)(v)-Daily Gas Stats'!M60</f>
        <v>63.813400000000001</v>
      </c>
      <c r="L36" s="286">
        <f t="shared" si="10"/>
        <v>4714</v>
      </c>
      <c r="M36" s="60"/>
      <c r="P36" s="71"/>
    </row>
    <row r="37" spans="1:17">
      <c r="A37" s="435" t="str">
        <f t="shared" si="6"/>
        <v>Jul</v>
      </c>
      <c r="B37" s="433">
        <f t="shared" si="6"/>
        <v>31</v>
      </c>
      <c r="C37" s="434" t="str">
        <f t="shared" si="6"/>
        <v>07/25/17</v>
      </c>
      <c r="D37" s="67"/>
      <c r="E37" s="1196">
        <v>75456</v>
      </c>
      <c r="F37" s="872">
        <f t="shared" si="7"/>
        <v>2434</v>
      </c>
      <c r="G37" s="963">
        <f>'WP FR-16(7)(v)-Daily Gas Stats'!O61</f>
        <v>86.942099999999996</v>
      </c>
      <c r="H37" s="872">
        <f t="shared" si="8"/>
        <v>2800</v>
      </c>
      <c r="I37" s="964">
        <f>'WP FR-16(7)(v)-Daily Gas Stats'!N61</f>
        <v>81.135999999999996</v>
      </c>
      <c r="J37" s="872">
        <f t="shared" si="9"/>
        <v>3000</v>
      </c>
      <c r="K37" s="964">
        <f>'WP FR-16(7)(v)-Daily Gas Stats'!M61</f>
        <v>60.423099999999998</v>
      </c>
      <c r="L37" s="286">
        <f t="shared" si="10"/>
        <v>4028</v>
      </c>
      <c r="M37" s="60"/>
      <c r="N37" s="60"/>
      <c r="P37" s="69" t="s">
        <v>582</v>
      </c>
      <c r="Q37" s="54" t="s">
        <v>1195</v>
      </c>
    </row>
    <row r="38" spans="1:17">
      <c r="A38" s="435" t="str">
        <f t="shared" si="6"/>
        <v>Aug</v>
      </c>
      <c r="B38" s="433">
        <f t="shared" si="6"/>
        <v>31</v>
      </c>
      <c r="C38" s="434" t="str">
        <f t="shared" si="6"/>
        <v>08/02/17</v>
      </c>
      <c r="D38" s="67"/>
      <c r="E38" s="1196">
        <v>73087</v>
      </c>
      <c r="F38" s="872">
        <f t="shared" si="7"/>
        <v>2358</v>
      </c>
      <c r="G38" s="963">
        <f>'WP FR-16(7)(v)-Daily Gas Stats'!O62</f>
        <v>94.983400000000003</v>
      </c>
      <c r="H38" s="872">
        <f t="shared" si="8"/>
        <v>2483</v>
      </c>
      <c r="I38" s="964">
        <f>'WP FR-16(7)(v)-Daily Gas Stats'!N62</f>
        <v>79.385099999999994</v>
      </c>
      <c r="J38" s="872">
        <f t="shared" si="9"/>
        <v>2970</v>
      </c>
      <c r="K38" s="964">
        <f>'WP FR-16(7)(v)-Daily Gas Stats'!M62</f>
        <v>60.542299999999997</v>
      </c>
      <c r="L38" s="286">
        <f t="shared" si="10"/>
        <v>3895</v>
      </c>
      <c r="M38" s="60"/>
      <c r="O38" s="54" t="s">
        <v>773</v>
      </c>
      <c r="P38" s="286">
        <v>22509440</v>
      </c>
      <c r="Q38" s="56">
        <f>AB15+AB17+AB19</f>
        <v>22509440</v>
      </c>
    </row>
    <row r="39" spans="1:17">
      <c r="A39" s="435" t="str">
        <f t="shared" si="6"/>
        <v>Sept</v>
      </c>
      <c r="B39" s="433">
        <f t="shared" si="6"/>
        <v>30</v>
      </c>
      <c r="C39" s="434" t="str">
        <f t="shared" si="6"/>
        <v>09/06/17</v>
      </c>
      <c r="D39" s="67"/>
      <c r="E39" s="1196">
        <v>85010</v>
      </c>
      <c r="F39" s="872">
        <f t="shared" si="7"/>
        <v>2834</v>
      </c>
      <c r="G39" s="963">
        <f>'WP FR-16(7)(v)-Daily Gas Stats'!O63</f>
        <v>82.674999999999997</v>
      </c>
      <c r="H39" s="872">
        <f t="shared" si="8"/>
        <v>3428</v>
      </c>
      <c r="I39" s="964">
        <f>'WP FR-16(7)(v)-Daily Gas Stats'!N63</f>
        <v>78.928700000000006</v>
      </c>
      <c r="J39" s="872">
        <f t="shared" si="9"/>
        <v>3591</v>
      </c>
      <c r="K39" s="964">
        <f>'WP FR-16(7)(v)-Daily Gas Stats'!M63</f>
        <v>55.575699999999998</v>
      </c>
      <c r="L39" s="286">
        <f t="shared" si="10"/>
        <v>5099</v>
      </c>
      <c r="M39" s="60"/>
      <c r="N39" s="60"/>
      <c r="O39" s="54" t="s">
        <v>1000</v>
      </c>
      <c r="P39" s="286">
        <v>10134105</v>
      </c>
    </row>
    <row r="40" spans="1:17">
      <c r="A40" s="435" t="str">
        <f t="shared" si="6"/>
        <v xml:space="preserve">Oct </v>
      </c>
      <c r="B40" s="433">
        <f t="shared" si="6"/>
        <v>31</v>
      </c>
      <c r="C40" s="434" t="str">
        <f t="shared" si="6"/>
        <v>10/30/17</v>
      </c>
      <c r="D40" s="67"/>
      <c r="E40" s="1196">
        <v>83070</v>
      </c>
      <c r="F40" s="872">
        <f t="shared" si="7"/>
        <v>2680</v>
      </c>
      <c r="G40" s="963">
        <f>'WP FR-16(7)(v)-Daily Gas Stats'!O64</f>
        <v>34.224200000000003</v>
      </c>
      <c r="H40" s="872">
        <f t="shared" si="8"/>
        <v>7831</v>
      </c>
      <c r="I40" s="964">
        <f>'WP FR-16(7)(v)-Daily Gas Stats'!N64</f>
        <v>34.224200000000003</v>
      </c>
      <c r="J40" s="872">
        <f t="shared" si="9"/>
        <v>7831</v>
      </c>
      <c r="K40" s="964">
        <f>'WP FR-16(7)(v)-Daily Gas Stats'!M64</f>
        <v>28.742599999999999</v>
      </c>
      <c r="L40" s="286">
        <f t="shared" si="10"/>
        <v>9324</v>
      </c>
      <c r="M40" s="60"/>
      <c r="O40" s="54" t="s">
        <v>1003</v>
      </c>
      <c r="P40" s="286">
        <v>2856499</v>
      </c>
      <c r="Q40" s="56">
        <f>AB9</f>
        <v>1629748</v>
      </c>
    </row>
    <row r="41" spans="1:17">
      <c r="A41" s="435" t="str">
        <f t="shared" si="6"/>
        <v>Nov</v>
      </c>
      <c r="B41" s="433">
        <f t="shared" si="6"/>
        <v>30</v>
      </c>
      <c r="C41" s="434" t="str">
        <f t="shared" si="6"/>
        <v>11/10/17</v>
      </c>
      <c r="D41" s="67"/>
      <c r="E41" s="1196">
        <v>248923</v>
      </c>
      <c r="F41" s="872">
        <f t="shared" si="7"/>
        <v>8297</v>
      </c>
      <c r="G41" s="963">
        <f>'WP FR-16(7)(v)-Daily Gas Stats'!O65</f>
        <v>70.437799999999996</v>
      </c>
      <c r="H41" s="872">
        <f t="shared" si="8"/>
        <v>11779</v>
      </c>
      <c r="I41" s="964">
        <f>'WP FR-16(7)(v)-Daily Gas Stats'!N65</f>
        <v>64.474800000000002</v>
      </c>
      <c r="J41" s="872">
        <f t="shared" si="9"/>
        <v>12869</v>
      </c>
      <c r="K41" s="964">
        <f>'WP FR-16(7)(v)-Daily Gas Stats'!M65</f>
        <v>55.951799999999999</v>
      </c>
      <c r="L41" s="286">
        <f t="shared" si="10"/>
        <v>14829</v>
      </c>
      <c r="M41" s="60"/>
      <c r="N41" s="60"/>
      <c r="O41" s="54" t="s">
        <v>1004</v>
      </c>
      <c r="P41" s="286">
        <v>16055976</v>
      </c>
      <c r="Q41" s="56">
        <f>AB7+AB20+AB21</f>
        <v>4782675</v>
      </c>
    </row>
    <row r="42" spans="1:17">
      <c r="A42" s="435" t="str">
        <f t="shared" si="6"/>
        <v>Dec 2017</v>
      </c>
      <c r="B42" s="433">
        <f t="shared" si="6"/>
        <v>31</v>
      </c>
      <c r="C42" s="434" t="str">
        <f t="shared" si="6"/>
        <v>12/27/17</v>
      </c>
      <c r="D42" s="67"/>
      <c r="E42" s="1197">
        <v>482043</v>
      </c>
      <c r="F42" s="872">
        <f t="shared" si="7"/>
        <v>15550</v>
      </c>
      <c r="G42" s="963">
        <f>'WP FR-16(7)(v)-Daily Gas Stats'!O66</f>
        <v>62.989800000000002</v>
      </c>
      <c r="H42" s="1207">
        <f t="shared" si="8"/>
        <v>24687</v>
      </c>
      <c r="I42" s="964">
        <f>'WP FR-16(7)(v)-Daily Gas Stats'!N66</f>
        <v>61.462600000000002</v>
      </c>
      <c r="J42" s="1207">
        <f t="shared" si="9"/>
        <v>25300</v>
      </c>
      <c r="K42" s="964">
        <f>'WP FR-16(7)(v)-Daily Gas Stats'!M66</f>
        <v>56.857999999999997</v>
      </c>
      <c r="L42" s="294">
        <f t="shared" si="10"/>
        <v>27349</v>
      </c>
      <c r="M42" s="60"/>
      <c r="O42" s="54" t="s">
        <v>370</v>
      </c>
      <c r="P42" s="286">
        <v>18558288</v>
      </c>
    </row>
    <row r="43" spans="1:17">
      <c r="E43" s="309">
        <f>SUM(E31:E42)</f>
        <v>3027396</v>
      </c>
      <c r="F43" s="872"/>
      <c r="G43" s="961"/>
      <c r="H43" s="872">
        <f>MAX(H31:H42)</f>
        <v>38364</v>
      </c>
      <c r="I43" s="961"/>
      <c r="J43" s="872">
        <f>MAX(J31:J42)</f>
        <v>38364</v>
      </c>
      <c r="K43" s="1208"/>
      <c r="L43" s="286">
        <f>MAX(L31:L42)</f>
        <v>41673</v>
      </c>
      <c r="M43" s="60"/>
      <c r="N43" s="60"/>
      <c r="O43" s="54" t="s">
        <v>582</v>
      </c>
      <c r="P43" s="286">
        <f>SUM(P38:P42)</f>
        <v>70114308</v>
      </c>
    </row>
    <row r="44" spans="1:17">
      <c r="E44" s="1196"/>
      <c r="F44" s="1209"/>
      <c r="G44" s="1210"/>
      <c r="H44" s="1209"/>
      <c r="I44" s="430"/>
      <c r="J44" s="1209"/>
      <c r="K44" s="1208"/>
      <c r="L44" s="68"/>
      <c r="M44" s="60"/>
      <c r="P44" s="71"/>
    </row>
    <row r="45" spans="1:17">
      <c r="A45" s="203" t="s">
        <v>852</v>
      </c>
      <c r="B45" s="54" t="s">
        <v>855</v>
      </c>
      <c r="E45" s="1196"/>
      <c r="F45" s="1209"/>
      <c r="G45" s="1210"/>
      <c r="H45" s="1209"/>
      <c r="I45" s="430"/>
      <c r="J45" s="1209"/>
      <c r="K45" s="1208"/>
      <c r="L45" s="68"/>
      <c r="M45" s="60"/>
      <c r="N45" s="60"/>
      <c r="O45" s="60"/>
      <c r="P45" s="71"/>
    </row>
    <row r="46" spans="1:17">
      <c r="A46" s="203" t="s">
        <v>853</v>
      </c>
      <c r="B46" s="54" t="s">
        <v>857</v>
      </c>
      <c r="E46" s="1196"/>
      <c r="F46" s="1209"/>
      <c r="G46" s="1210"/>
      <c r="H46" s="1209"/>
      <c r="I46" s="430"/>
      <c r="J46" s="1209"/>
      <c r="K46" s="1208"/>
      <c r="L46" s="68"/>
      <c r="M46" s="60"/>
      <c r="N46" s="60"/>
      <c r="O46" s="60"/>
      <c r="P46" s="71"/>
    </row>
    <row r="47" spans="1:17">
      <c r="A47" s="203" t="s">
        <v>854</v>
      </c>
      <c r="B47" s="54" t="s">
        <v>856</v>
      </c>
      <c r="E47" s="1196"/>
      <c r="F47" s="1209"/>
      <c r="G47" s="1210"/>
      <c r="H47" s="1209"/>
      <c r="I47" s="1210"/>
      <c r="J47" s="1211"/>
      <c r="K47" s="1211"/>
      <c r="L47" s="71"/>
      <c r="M47" s="60"/>
      <c r="N47" s="60"/>
      <c r="O47" s="60"/>
      <c r="P47" s="71"/>
    </row>
    <row r="48" spans="1:17">
      <c r="A48" s="203"/>
      <c r="E48" s="1196"/>
      <c r="F48" s="1209"/>
      <c r="G48" s="1210"/>
      <c r="H48" s="1209"/>
      <c r="I48" s="1210"/>
      <c r="J48" s="1211"/>
      <c r="K48" s="1211"/>
      <c r="L48" s="71"/>
      <c r="M48" s="60"/>
      <c r="N48" s="60"/>
      <c r="O48" s="60"/>
      <c r="P48" s="71"/>
    </row>
    <row r="49" spans="1:16">
      <c r="A49" s="196" t="str">
        <f>co_name</f>
        <v>DUKE ENERGY KENTUCKY, INC.</v>
      </c>
      <c r="B49" s="53"/>
      <c r="C49" s="53"/>
      <c r="D49" s="53"/>
      <c r="E49" s="1198"/>
      <c r="F49" s="1198"/>
      <c r="G49" s="1198"/>
      <c r="H49" s="1198"/>
      <c r="I49" s="1198"/>
      <c r="J49" s="1198" t="s">
        <v>1551</v>
      </c>
      <c r="K49" s="1198"/>
      <c r="L49" s="71"/>
      <c r="M49" s="60"/>
      <c r="N49" s="60"/>
      <c r="O49" s="60"/>
      <c r="P49" s="71"/>
    </row>
    <row r="50" spans="1:16">
      <c r="A50" s="196" t="str">
        <f>coss_type</f>
        <v xml:space="preserve">GAS COST OF SERVICE STUDY </v>
      </c>
      <c r="B50" s="53"/>
      <c r="C50" s="53"/>
      <c r="D50" s="53"/>
      <c r="E50" s="1198"/>
      <c r="F50" s="1198"/>
      <c r="G50" s="1198"/>
      <c r="H50" s="1198"/>
      <c r="I50" s="1198"/>
      <c r="J50" s="1199" t="str">
        <f>'Alloc Factors Summary'!G2</f>
        <v>Witness Responsible:</v>
      </c>
      <c r="K50" s="1198"/>
      <c r="L50" s="71"/>
      <c r="M50" s="60"/>
      <c r="N50" s="60"/>
      <c r="O50" s="60"/>
      <c r="P50" s="71"/>
    </row>
    <row r="51" spans="1:16">
      <c r="A51" s="196" t="str">
        <f>case_name</f>
        <v>CASE NO: 2018-00261</v>
      </c>
      <c r="B51" s="53"/>
      <c r="C51" s="53"/>
      <c r="D51" s="53"/>
      <c r="E51" s="1198"/>
      <c r="F51" s="1198"/>
      <c r="G51" s="1198"/>
      <c r="H51" s="1198"/>
      <c r="I51" s="1198"/>
      <c r="J51" s="1199" t="str">
        <f>'Alloc Factors Summary'!G3</f>
        <v>James E. Ziolkowski</v>
      </c>
      <c r="K51" s="1198"/>
      <c r="L51" s="71"/>
      <c r="M51" s="60"/>
      <c r="N51" s="60"/>
      <c r="O51" s="60"/>
      <c r="P51" s="71"/>
    </row>
    <row r="52" spans="1:16">
      <c r="A52" s="10" t="str">
        <f>alloc_factors</f>
        <v>ALLOCATION FACTORS FOR COST OF SERVICE STUDY</v>
      </c>
      <c r="B52" s="53"/>
      <c r="C52" s="53"/>
      <c r="D52" s="53"/>
      <c r="E52" s="1198"/>
      <c r="F52" s="1198"/>
      <c r="G52" s="1198"/>
      <c r="H52" s="1198"/>
      <c r="I52" s="1198"/>
      <c r="J52" s="1198" t="s">
        <v>1071</v>
      </c>
      <c r="K52" s="1198"/>
    </row>
    <row r="53" spans="1:16">
      <c r="A53" s="10" t="str">
        <f>time_period</f>
        <v>TWELVE MONTHS ENDING DECEMBER 31, 2017</v>
      </c>
      <c r="B53" s="53"/>
      <c r="C53" s="53"/>
      <c r="D53" s="53"/>
      <c r="E53" s="1198"/>
      <c r="F53" s="1198"/>
      <c r="G53" s="1198"/>
      <c r="H53" s="1198"/>
      <c r="I53" s="1198"/>
      <c r="J53" s="1287">
        <f ca="1">NOW()</f>
        <v>43347.578002314818</v>
      </c>
      <c r="K53" s="1198"/>
    </row>
    <row r="54" spans="1:16">
      <c r="A54" s="198" t="s">
        <v>833</v>
      </c>
      <c r="B54" s="53"/>
      <c r="C54" s="53"/>
      <c r="D54" s="53"/>
      <c r="E54" s="1198"/>
      <c r="F54" s="1198"/>
      <c r="G54" s="1198"/>
      <c r="H54" s="1198"/>
      <c r="I54" s="1198"/>
      <c r="J54" s="1200"/>
      <c r="K54" s="1198"/>
    </row>
    <row r="55" spans="1:16">
      <c r="A55" s="54"/>
      <c r="M55" s="60"/>
      <c r="N55" s="60"/>
      <c r="O55" s="60"/>
    </row>
    <row r="56" spans="1:16">
      <c r="A56" s="417" t="s">
        <v>1288</v>
      </c>
      <c r="B56" s="418"/>
      <c r="C56" s="418"/>
      <c r="E56" s="419" t="s">
        <v>621</v>
      </c>
      <c r="I56" s="423" t="s">
        <v>1499</v>
      </c>
      <c r="J56" s="1202" t="s">
        <v>623</v>
      </c>
      <c r="K56" s="423" t="s">
        <v>1499</v>
      </c>
      <c r="L56" s="58" t="s">
        <v>1499</v>
      </c>
      <c r="M56" s="73"/>
    </row>
    <row r="57" spans="1:16">
      <c r="A57" s="62"/>
      <c r="B57" s="59"/>
      <c r="C57" s="63" t="s">
        <v>1497</v>
      </c>
      <c r="D57" s="59"/>
      <c r="E57" s="419" t="s">
        <v>622</v>
      </c>
      <c r="F57" s="422" t="s">
        <v>909</v>
      </c>
      <c r="G57" s="423" t="s">
        <v>1498</v>
      </c>
      <c r="H57" s="422" t="s">
        <v>851</v>
      </c>
      <c r="I57" s="1203" t="s">
        <v>625</v>
      </c>
      <c r="J57" s="1202" t="s">
        <v>626</v>
      </c>
      <c r="K57" s="1202" t="s">
        <v>627</v>
      </c>
      <c r="L57" s="59" t="s">
        <v>627</v>
      </c>
      <c r="M57" s="74"/>
    </row>
    <row r="58" spans="1:16">
      <c r="A58" s="65" t="s">
        <v>628</v>
      </c>
      <c r="B58" s="66" t="s">
        <v>629</v>
      </c>
      <c r="C58" s="66" t="s">
        <v>630</v>
      </c>
      <c r="D58" s="66"/>
      <c r="E58" s="424" t="s">
        <v>1115</v>
      </c>
      <c r="F58" s="425" t="s">
        <v>910</v>
      </c>
      <c r="G58" s="426" t="s">
        <v>631</v>
      </c>
      <c r="H58" s="425" t="s">
        <v>632</v>
      </c>
      <c r="I58" s="426" t="s">
        <v>633</v>
      </c>
      <c r="J58" s="1204" t="s">
        <v>634</v>
      </c>
      <c r="K58" s="1204" t="s">
        <v>631</v>
      </c>
      <c r="L58" s="66" t="s">
        <v>634</v>
      </c>
      <c r="M58" s="73"/>
      <c r="N58" s="60"/>
      <c r="O58" s="60"/>
    </row>
    <row r="59" spans="1:16">
      <c r="A59" s="201"/>
      <c r="B59" s="202"/>
      <c r="C59" s="202"/>
      <c r="D59" s="202"/>
      <c r="E59" s="427"/>
      <c r="F59" s="428"/>
      <c r="G59" s="429" t="s">
        <v>852</v>
      </c>
      <c r="H59" s="428"/>
      <c r="I59" s="429" t="s">
        <v>853</v>
      </c>
      <c r="J59" s="1205"/>
      <c r="K59" s="1206" t="s">
        <v>854</v>
      </c>
      <c r="L59" s="202"/>
      <c r="M59" s="73"/>
    </row>
    <row r="60" spans="1:16">
      <c r="A60" s="432" t="str">
        <f t="shared" ref="A60:C71" si="13">A12</f>
        <v>Jan 2017</v>
      </c>
      <c r="B60" s="63">
        <f t="shared" si="13"/>
        <v>31</v>
      </c>
      <c r="C60" s="431" t="str">
        <f t="shared" si="13"/>
        <v>01/06/17</v>
      </c>
      <c r="D60" s="67"/>
      <c r="E60" s="1196">
        <v>273436</v>
      </c>
      <c r="F60" s="872">
        <f t="shared" ref="F60:F71" si="14">ROUND(E60/B60,0)</f>
        <v>8821</v>
      </c>
      <c r="G60" s="963">
        <f>'WP FR-16(7)(v)-Daily Gas Stats'!O92</f>
        <v>72.304199999999994</v>
      </c>
      <c r="H60" s="872">
        <f t="shared" ref="H60:H71" si="15">ROUND(F60/(G60/100),0)</f>
        <v>12200</v>
      </c>
      <c r="I60" s="964">
        <f>'WP FR-16(7)(v)-Daily Gas Stats'!N92</f>
        <v>72.304199999999994</v>
      </c>
      <c r="J60" s="872">
        <f t="shared" ref="J60:J71" si="16">ROUND(F60/(I60/100),0)</f>
        <v>12200</v>
      </c>
      <c r="K60" s="964">
        <f>'WP FR-16(7)(v)-Daily Gas Stats'!M92</f>
        <v>64.4221</v>
      </c>
      <c r="L60" s="286">
        <f t="shared" ref="L60:L71" si="17">ROUND($F60/(K60/100),0)</f>
        <v>13693</v>
      </c>
      <c r="M60" s="60"/>
      <c r="P60" s="71"/>
    </row>
    <row r="61" spans="1:16">
      <c r="A61" s="435" t="str">
        <f t="shared" si="13"/>
        <v>Feb</v>
      </c>
      <c r="B61" s="433">
        <f t="shared" si="13"/>
        <v>28</v>
      </c>
      <c r="C61" s="434" t="str">
        <f t="shared" si="13"/>
        <v>02/09/17</v>
      </c>
      <c r="D61" s="67"/>
      <c r="E61" s="1196">
        <v>265314</v>
      </c>
      <c r="F61" s="872">
        <f t="shared" si="14"/>
        <v>9476</v>
      </c>
      <c r="G61" s="963">
        <f>'WP FR-16(7)(v)-Daily Gas Stats'!O93</f>
        <v>65.993099999999998</v>
      </c>
      <c r="H61" s="872">
        <f t="shared" si="15"/>
        <v>14359</v>
      </c>
      <c r="I61" s="964">
        <f>'WP FR-16(7)(v)-Daily Gas Stats'!N93</f>
        <v>65.993099999999998</v>
      </c>
      <c r="J61" s="872">
        <f t="shared" si="16"/>
        <v>14359</v>
      </c>
      <c r="K61" s="964">
        <f>'WP FR-16(7)(v)-Daily Gas Stats'!M93</f>
        <v>61.979300000000002</v>
      </c>
      <c r="L61" s="286">
        <f t="shared" si="17"/>
        <v>15289</v>
      </c>
      <c r="M61" s="60"/>
      <c r="N61" s="60"/>
      <c r="O61" s="60"/>
      <c r="P61" s="71"/>
    </row>
    <row r="62" spans="1:16">
      <c r="A62" s="435" t="str">
        <f t="shared" si="13"/>
        <v>Mar</v>
      </c>
      <c r="B62" s="433">
        <f t="shared" si="13"/>
        <v>31</v>
      </c>
      <c r="C62" s="434" t="str">
        <f t="shared" si="13"/>
        <v>03/14/17</v>
      </c>
      <c r="D62" s="67"/>
      <c r="E62" s="1196">
        <v>213598</v>
      </c>
      <c r="F62" s="872">
        <f t="shared" si="14"/>
        <v>6890</v>
      </c>
      <c r="G62" s="963">
        <f>'WP FR-16(7)(v)-Daily Gas Stats'!O94</f>
        <v>66.787499999999994</v>
      </c>
      <c r="H62" s="872">
        <f t="shared" si="15"/>
        <v>10316</v>
      </c>
      <c r="I62" s="964">
        <f>'WP FR-16(7)(v)-Daily Gas Stats'!N94</f>
        <v>66.787499999999994</v>
      </c>
      <c r="J62" s="872">
        <f t="shared" si="16"/>
        <v>10316</v>
      </c>
      <c r="K62" s="964">
        <f>'WP FR-16(7)(v)-Daily Gas Stats'!M94</f>
        <v>62.321300000000001</v>
      </c>
      <c r="L62" s="286">
        <f t="shared" si="17"/>
        <v>11056</v>
      </c>
      <c r="M62" s="60"/>
      <c r="P62" s="71"/>
    </row>
    <row r="63" spans="1:16">
      <c r="A63" s="435" t="str">
        <f t="shared" si="13"/>
        <v>Apr</v>
      </c>
      <c r="B63" s="433">
        <f t="shared" si="13"/>
        <v>30</v>
      </c>
      <c r="C63" s="434" t="str">
        <f t="shared" si="13"/>
        <v>04/06/17</v>
      </c>
      <c r="D63" s="67"/>
      <c r="E63" s="1196">
        <v>232508</v>
      </c>
      <c r="F63" s="872">
        <f t="shared" si="14"/>
        <v>7750</v>
      </c>
      <c r="G63" s="963">
        <f>'WP FR-16(7)(v)-Daily Gas Stats'!O95</f>
        <v>61.599800000000002</v>
      </c>
      <c r="H63" s="872">
        <f t="shared" si="15"/>
        <v>12581</v>
      </c>
      <c r="I63" s="964">
        <f>'WP FR-16(7)(v)-Daily Gas Stats'!N95</f>
        <v>61.599800000000002</v>
      </c>
      <c r="J63" s="872">
        <f t="shared" si="16"/>
        <v>12581</v>
      </c>
      <c r="K63" s="964">
        <f>'WP FR-16(7)(v)-Daily Gas Stats'!M95</f>
        <v>56.017499999999998</v>
      </c>
      <c r="L63" s="286">
        <f t="shared" si="17"/>
        <v>13835</v>
      </c>
      <c r="M63" s="60"/>
      <c r="P63" s="71"/>
    </row>
    <row r="64" spans="1:16">
      <c r="A64" s="435" t="str">
        <f t="shared" si="13"/>
        <v>May</v>
      </c>
      <c r="B64" s="433">
        <f t="shared" si="13"/>
        <v>31</v>
      </c>
      <c r="C64" s="434" t="str">
        <f t="shared" si="13"/>
        <v>05/05/17</v>
      </c>
      <c r="D64" s="67"/>
      <c r="E64" s="1196">
        <v>150114</v>
      </c>
      <c r="F64" s="872">
        <f t="shared" si="14"/>
        <v>4842</v>
      </c>
      <c r="G64" s="963">
        <f>'WP FR-16(7)(v)-Daily Gas Stats'!O96</f>
        <v>81.254300000000001</v>
      </c>
      <c r="H64" s="872">
        <f t="shared" si="15"/>
        <v>5959</v>
      </c>
      <c r="I64" s="964">
        <f>'WP FR-16(7)(v)-Daily Gas Stats'!N96</f>
        <v>76.430700000000002</v>
      </c>
      <c r="J64" s="872">
        <f t="shared" si="16"/>
        <v>6335</v>
      </c>
      <c r="K64" s="964">
        <f>'WP FR-16(7)(v)-Daily Gas Stats'!M96</f>
        <v>63.547699999999999</v>
      </c>
      <c r="L64" s="286">
        <f t="shared" si="17"/>
        <v>7619</v>
      </c>
      <c r="M64" s="60"/>
      <c r="N64" s="60"/>
      <c r="O64" s="60"/>
      <c r="P64" s="71"/>
    </row>
    <row r="65" spans="1:16">
      <c r="A65" s="435" t="str">
        <f t="shared" si="13"/>
        <v>Jun</v>
      </c>
      <c r="B65" s="433">
        <f t="shared" si="13"/>
        <v>30</v>
      </c>
      <c r="C65" s="434" t="str">
        <f t="shared" si="13"/>
        <v>06/07/17</v>
      </c>
      <c r="D65" s="67"/>
      <c r="E65" s="1196">
        <v>144525</v>
      </c>
      <c r="F65" s="872">
        <f t="shared" si="14"/>
        <v>4818</v>
      </c>
      <c r="G65" s="963">
        <f>'WP FR-16(7)(v)-Daily Gas Stats'!O97</f>
        <v>78.321200000000005</v>
      </c>
      <c r="H65" s="872">
        <f t="shared" si="15"/>
        <v>6152</v>
      </c>
      <c r="I65" s="964">
        <f>'WP FR-16(7)(v)-Daily Gas Stats'!N97</f>
        <v>78.321200000000005</v>
      </c>
      <c r="J65" s="872">
        <f t="shared" si="16"/>
        <v>6152</v>
      </c>
      <c r="K65" s="964">
        <f>'WP FR-16(7)(v)-Daily Gas Stats'!M97</f>
        <v>72.432599999999994</v>
      </c>
      <c r="L65" s="286">
        <f t="shared" si="17"/>
        <v>6652</v>
      </c>
      <c r="M65" s="60"/>
      <c r="P65" s="71"/>
    </row>
    <row r="66" spans="1:16">
      <c r="A66" s="435" t="str">
        <f t="shared" si="13"/>
        <v>Jul</v>
      </c>
      <c r="B66" s="433">
        <f t="shared" si="13"/>
        <v>31</v>
      </c>
      <c r="C66" s="434" t="str">
        <f t="shared" si="13"/>
        <v>07/25/17</v>
      </c>
      <c r="D66" s="67"/>
      <c r="E66" s="1196">
        <v>128123</v>
      </c>
      <c r="F66" s="872">
        <f t="shared" si="14"/>
        <v>4133</v>
      </c>
      <c r="G66" s="963">
        <f>'WP FR-16(7)(v)-Daily Gas Stats'!O98</f>
        <v>77.457099999999997</v>
      </c>
      <c r="H66" s="872">
        <f t="shared" si="15"/>
        <v>5336</v>
      </c>
      <c r="I66" s="964">
        <f>'WP FR-16(7)(v)-Daily Gas Stats'!N98</f>
        <v>76.227900000000005</v>
      </c>
      <c r="J66" s="872">
        <f t="shared" si="16"/>
        <v>5422</v>
      </c>
      <c r="K66" s="964">
        <f>'WP FR-16(7)(v)-Daily Gas Stats'!M98</f>
        <v>65.808400000000006</v>
      </c>
      <c r="L66" s="286">
        <f t="shared" si="17"/>
        <v>6280</v>
      </c>
      <c r="M66" s="60"/>
      <c r="P66" s="71"/>
    </row>
    <row r="67" spans="1:16">
      <c r="A67" s="435" t="str">
        <f t="shared" si="13"/>
        <v>Aug</v>
      </c>
      <c r="B67" s="433">
        <f t="shared" si="13"/>
        <v>31</v>
      </c>
      <c r="C67" s="434" t="str">
        <f t="shared" si="13"/>
        <v>08/02/17</v>
      </c>
      <c r="D67" s="67"/>
      <c r="E67" s="1196">
        <v>113137</v>
      </c>
      <c r="F67" s="872">
        <f t="shared" si="14"/>
        <v>3650</v>
      </c>
      <c r="G67" s="963">
        <f>'WP FR-16(7)(v)-Daily Gas Stats'!O99</f>
        <v>90.589200000000005</v>
      </c>
      <c r="H67" s="872">
        <f t="shared" si="15"/>
        <v>4029</v>
      </c>
      <c r="I67" s="964">
        <f>'WP FR-16(7)(v)-Daily Gas Stats'!N99</f>
        <v>83.644599999999997</v>
      </c>
      <c r="J67" s="872">
        <f t="shared" si="16"/>
        <v>4364</v>
      </c>
      <c r="K67" s="964">
        <f>'WP FR-16(7)(v)-Daily Gas Stats'!M99</f>
        <v>73.460300000000004</v>
      </c>
      <c r="L67" s="286">
        <f t="shared" si="17"/>
        <v>4969</v>
      </c>
      <c r="M67" s="60"/>
      <c r="N67" s="60"/>
      <c r="O67" s="60"/>
      <c r="P67" s="71"/>
    </row>
    <row r="68" spans="1:16">
      <c r="A68" s="435" t="str">
        <f t="shared" si="13"/>
        <v>Sept</v>
      </c>
      <c r="B68" s="433">
        <f t="shared" si="13"/>
        <v>30</v>
      </c>
      <c r="C68" s="434" t="str">
        <f t="shared" si="13"/>
        <v>09/06/17</v>
      </c>
      <c r="D68" s="67"/>
      <c r="E68" s="1196">
        <v>132424</v>
      </c>
      <c r="F68" s="872">
        <f t="shared" si="14"/>
        <v>4414</v>
      </c>
      <c r="G68" s="963">
        <f>'WP FR-16(7)(v)-Daily Gas Stats'!O100</f>
        <v>79.799400000000006</v>
      </c>
      <c r="H68" s="872">
        <f t="shared" si="15"/>
        <v>5531</v>
      </c>
      <c r="I68" s="964">
        <f>'WP FR-16(7)(v)-Daily Gas Stats'!N100</f>
        <v>79.295900000000003</v>
      </c>
      <c r="J68" s="872">
        <f t="shared" si="16"/>
        <v>5566</v>
      </c>
      <c r="K68" s="964">
        <f>'WP FR-16(7)(v)-Daily Gas Stats'!M100</f>
        <v>65.611800000000002</v>
      </c>
      <c r="L68" s="286">
        <f t="shared" si="17"/>
        <v>6727</v>
      </c>
      <c r="M68" s="60"/>
      <c r="P68" s="71"/>
    </row>
    <row r="69" spans="1:16">
      <c r="A69" s="435" t="str">
        <f t="shared" si="13"/>
        <v xml:space="preserve">Oct </v>
      </c>
      <c r="B69" s="433">
        <f t="shared" si="13"/>
        <v>31</v>
      </c>
      <c r="C69" s="434" t="str">
        <f t="shared" si="13"/>
        <v>10/30/17</v>
      </c>
      <c r="D69" s="67"/>
      <c r="E69" s="1196">
        <v>126307</v>
      </c>
      <c r="F69" s="872">
        <f t="shared" si="14"/>
        <v>4074</v>
      </c>
      <c r="G69" s="963">
        <f>'WP FR-16(7)(v)-Daily Gas Stats'!O101</f>
        <v>60.981200000000001</v>
      </c>
      <c r="H69" s="872">
        <f t="shared" si="15"/>
        <v>6681</v>
      </c>
      <c r="I69" s="964">
        <f>'WP FR-16(7)(v)-Daily Gas Stats'!N101</f>
        <v>60.981200000000001</v>
      </c>
      <c r="J69" s="872">
        <f t="shared" si="16"/>
        <v>6681</v>
      </c>
      <c r="K69" s="964">
        <f>'WP FR-16(7)(v)-Daily Gas Stats'!M101</f>
        <v>54.7226</v>
      </c>
      <c r="L69" s="286">
        <f t="shared" si="17"/>
        <v>7445</v>
      </c>
      <c r="M69" s="60"/>
      <c r="P69" s="71"/>
    </row>
    <row r="70" spans="1:16">
      <c r="A70" s="435" t="str">
        <f t="shared" si="13"/>
        <v>Nov</v>
      </c>
      <c r="B70" s="433">
        <f t="shared" si="13"/>
        <v>30</v>
      </c>
      <c r="C70" s="434" t="str">
        <f t="shared" si="13"/>
        <v>11/10/17</v>
      </c>
      <c r="D70" s="67"/>
      <c r="E70" s="1196">
        <v>154220</v>
      </c>
      <c r="F70" s="872">
        <f t="shared" si="14"/>
        <v>5141</v>
      </c>
      <c r="G70" s="963">
        <f>'WP FR-16(7)(v)-Daily Gas Stats'!O102</f>
        <v>79.680700000000002</v>
      </c>
      <c r="H70" s="872">
        <f t="shared" si="15"/>
        <v>6452</v>
      </c>
      <c r="I70" s="964">
        <f>'WP FR-16(7)(v)-Daily Gas Stats'!N102</f>
        <v>78.554500000000004</v>
      </c>
      <c r="J70" s="872">
        <f t="shared" si="16"/>
        <v>6545</v>
      </c>
      <c r="K70" s="964">
        <f>'WP FR-16(7)(v)-Daily Gas Stats'!M102</f>
        <v>66.613</v>
      </c>
      <c r="L70" s="286">
        <f t="shared" si="17"/>
        <v>7718</v>
      </c>
      <c r="M70" s="60"/>
      <c r="N70" s="60"/>
      <c r="O70" s="60"/>
      <c r="P70" s="71"/>
    </row>
    <row r="71" spans="1:16">
      <c r="A71" s="435" t="str">
        <f t="shared" si="13"/>
        <v>Dec 2017</v>
      </c>
      <c r="B71" s="433">
        <f t="shared" si="13"/>
        <v>31</v>
      </c>
      <c r="C71" s="434" t="str">
        <f t="shared" si="13"/>
        <v>12/27/17</v>
      </c>
      <c r="D71" s="67"/>
      <c r="E71" s="1197">
        <v>209666</v>
      </c>
      <c r="F71" s="872">
        <f t="shared" si="14"/>
        <v>6763</v>
      </c>
      <c r="G71" s="963">
        <f>'WP FR-16(7)(v)-Daily Gas Stats'!O103</f>
        <v>74.639799999999994</v>
      </c>
      <c r="H71" s="1207">
        <f t="shared" si="15"/>
        <v>9061</v>
      </c>
      <c r="I71" s="964">
        <f>'WP FR-16(7)(v)-Daily Gas Stats'!N103</f>
        <v>74.639799999999994</v>
      </c>
      <c r="J71" s="1207">
        <f t="shared" si="16"/>
        <v>9061</v>
      </c>
      <c r="K71" s="964">
        <f>'WP FR-16(7)(v)-Daily Gas Stats'!M103</f>
        <v>63.980499999999999</v>
      </c>
      <c r="L71" s="294">
        <f t="shared" si="17"/>
        <v>10570</v>
      </c>
      <c r="M71" s="60"/>
      <c r="P71" s="71"/>
    </row>
    <row r="72" spans="1:16">
      <c r="E72" s="309">
        <f>SUM(E60:E71)</f>
        <v>2143372</v>
      </c>
      <c r="F72" s="872"/>
      <c r="G72" s="961"/>
      <c r="H72" s="872">
        <f>MAX(H60:H71)</f>
        <v>14359</v>
      </c>
      <c r="I72" s="961"/>
      <c r="J72" s="872">
        <f>MAX(J60:J71)</f>
        <v>14359</v>
      </c>
      <c r="K72" s="1208"/>
      <c r="L72" s="286">
        <f>MAX(L60:L71)</f>
        <v>15289</v>
      </c>
      <c r="M72" s="60"/>
      <c r="P72" s="71"/>
    </row>
    <row r="73" spans="1:16">
      <c r="E73" s="1196"/>
      <c r="F73" s="1209"/>
      <c r="G73" s="430"/>
      <c r="H73" s="1209"/>
      <c r="I73" s="430"/>
      <c r="J73" s="1209"/>
      <c r="K73" s="1208"/>
      <c r="L73" s="68"/>
      <c r="M73" s="60"/>
      <c r="N73" s="60"/>
      <c r="O73" s="60"/>
      <c r="P73" s="71"/>
    </row>
    <row r="74" spans="1:16">
      <c r="A74" s="57" t="s">
        <v>1248</v>
      </c>
    </row>
    <row r="75" spans="1:16">
      <c r="M75" s="60"/>
    </row>
    <row r="76" spans="1:16">
      <c r="A76" s="54"/>
      <c r="B76" s="59"/>
      <c r="E76" s="419" t="s">
        <v>621</v>
      </c>
      <c r="I76" s="423" t="s">
        <v>1499</v>
      </c>
      <c r="J76" s="1202" t="s">
        <v>623</v>
      </c>
      <c r="K76" s="423" t="s">
        <v>1499</v>
      </c>
      <c r="L76" s="58" t="s">
        <v>1499</v>
      </c>
      <c r="N76" s="60"/>
      <c r="O76" s="60"/>
    </row>
    <row r="77" spans="1:16">
      <c r="A77" s="62"/>
      <c r="B77" s="59"/>
      <c r="C77" s="63" t="s">
        <v>1497</v>
      </c>
      <c r="D77" s="59"/>
      <c r="E77" s="419" t="s">
        <v>622</v>
      </c>
      <c r="F77" s="422" t="s">
        <v>909</v>
      </c>
      <c r="G77" s="423" t="s">
        <v>1498</v>
      </c>
      <c r="H77" s="422" t="s">
        <v>851</v>
      </c>
      <c r="I77" s="1203" t="s">
        <v>625</v>
      </c>
      <c r="J77" s="1202" t="s">
        <v>626</v>
      </c>
      <c r="K77" s="1202" t="s">
        <v>627</v>
      </c>
      <c r="L77" s="59" t="s">
        <v>627</v>
      </c>
      <c r="M77" s="60"/>
    </row>
    <row r="78" spans="1:16">
      <c r="A78" s="65" t="s">
        <v>628</v>
      </c>
      <c r="B78" s="66" t="s">
        <v>629</v>
      </c>
      <c r="C78" s="66" t="s">
        <v>630</v>
      </c>
      <c r="D78" s="66"/>
      <c r="E78" s="424" t="s">
        <v>1115</v>
      </c>
      <c r="F78" s="425" t="s">
        <v>910</v>
      </c>
      <c r="G78" s="426" t="s">
        <v>631</v>
      </c>
      <c r="H78" s="425" t="s">
        <v>632</v>
      </c>
      <c r="I78" s="426" t="s">
        <v>633</v>
      </c>
      <c r="J78" s="1204" t="s">
        <v>634</v>
      </c>
      <c r="K78" s="1204" t="s">
        <v>631</v>
      </c>
      <c r="L78" s="66" t="s">
        <v>634</v>
      </c>
    </row>
    <row r="79" spans="1:16">
      <c r="A79" s="201"/>
      <c r="B79" s="202"/>
      <c r="C79" s="202"/>
      <c r="D79" s="202"/>
      <c r="E79" s="427"/>
      <c r="F79" s="428"/>
      <c r="G79" s="429" t="s">
        <v>852</v>
      </c>
      <c r="H79" s="428"/>
      <c r="I79" s="429" t="s">
        <v>853</v>
      </c>
      <c r="J79" s="1205"/>
      <c r="K79" s="1206" t="s">
        <v>854</v>
      </c>
      <c r="L79" s="202"/>
      <c r="N79" s="60"/>
      <c r="O79" s="60"/>
    </row>
    <row r="80" spans="1:16">
      <c r="A80" s="432" t="str">
        <f t="shared" ref="A80:C91" si="18">A12</f>
        <v>Jan 2017</v>
      </c>
      <c r="B80" s="63">
        <f t="shared" si="18"/>
        <v>31</v>
      </c>
      <c r="C80" s="431" t="str">
        <f t="shared" si="18"/>
        <v>01/06/17</v>
      </c>
      <c r="D80" s="67"/>
      <c r="E80" s="1196">
        <v>139431</v>
      </c>
      <c r="F80" s="872">
        <f t="shared" ref="F80:F91" si="19">ROUND(E80/B80,0)</f>
        <v>4498</v>
      </c>
      <c r="G80" s="964">
        <f>'WP FR-16(7)(v)-Daily Gas Stats'!O129</f>
        <v>76.714799999999997</v>
      </c>
      <c r="H80" s="872">
        <f t="shared" ref="H80:H91" si="20">ROUND(F80/(G80/100),0)</f>
        <v>5863</v>
      </c>
      <c r="I80" s="964">
        <f>'WP FR-16(7)(v)-Daily Gas Stats'!N129</f>
        <v>75.368499999999997</v>
      </c>
      <c r="J80" s="872">
        <f t="shared" ref="J80:J91" si="21">ROUND(F80/(I80/100),0)</f>
        <v>5968</v>
      </c>
      <c r="K80" s="964">
        <f>'WP FR-16(7)(v)-Daily Gas Stats'!M129</f>
        <v>66.514600000000002</v>
      </c>
      <c r="L80" s="286">
        <f t="shared" ref="L80:L91" si="22">ROUND($F80/(K80/100),0)</f>
        <v>6762</v>
      </c>
      <c r="M80" s="64"/>
      <c r="P80" s="69"/>
    </row>
    <row r="81" spans="1:16">
      <c r="A81" s="432" t="str">
        <f t="shared" si="18"/>
        <v>Feb</v>
      </c>
      <c r="B81" s="63">
        <f t="shared" si="18"/>
        <v>28</v>
      </c>
      <c r="C81" s="431" t="str">
        <f t="shared" si="18"/>
        <v>02/09/17</v>
      </c>
      <c r="D81" s="67"/>
      <c r="E81" s="1196">
        <v>134661</v>
      </c>
      <c r="F81" s="872">
        <f t="shared" si="19"/>
        <v>4809</v>
      </c>
      <c r="G81" s="964">
        <f>'WP FR-16(7)(v)-Daily Gas Stats'!O130</f>
        <v>75.5381</v>
      </c>
      <c r="H81" s="872">
        <f t="shared" si="20"/>
        <v>6366</v>
      </c>
      <c r="I81" s="964">
        <f>'WP FR-16(7)(v)-Daily Gas Stats'!N130</f>
        <v>75.5381</v>
      </c>
      <c r="J81" s="872">
        <f t="shared" si="21"/>
        <v>6366</v>
      </c>
      <c r="K81" s="964">
        <f>'WP FR-16(7)(v)-Daily Gas Stats'!M130</f>
        <v>72.406999999999996</v>
      </c>
      <c r="L81" s="286">
        <f t="shared" si="22"/>
        <v>6642</v>
      </c>
      <c r="M81" s="75"/>
      <c r="P81" s="69"/>
    </row>
    <row r="82" spans="1:16">
      <c r="A82" s="432" t="str">
        <f t="shared" si="18"/>
        <v>Mar</v>
      </c>
      <c r="B82" s="63">
        <f t="shared" si="18"/>
        <v>31</v>
      </c>
      <c r="C82" s="431" t="str">
        <f t="shared" si="18"/>
        <v>03/14/17</v>
      </c>
      <c r="D82" s="67"/>
      <c r="E82" s="1196">
        <v>120079</v>
      </c>
      <c r="F82" s="872">
        <f t="shared" si="19"/>
        <v>3874</v>
      </c>
      <c r="G82" s="964">
        <f>'WP FR-16(7)(v)-Daily Gas Stats'!O131</f>
        <v>75.964699999999993</v>
      </c>
      <c r="H82" s="872">
        <f t="shared" si="20"/>
        <v>5100</v>
      </c>
      <c r="I82" s="964">
        <f>'WP FR-16(7)(v)-Daily Gas Stats'!N131</f>
        <v>74.819699999999997</v>
      </c>
      <c r="J82" s="872">
        <f t="shared" si="21"/>
        <v>5178</v>
      </c>
      <c r="K82" s="964">
        <f>'WP FR-16(7)(v)-Daily Gas Stats'!M131</f>
        <v>69.748400000000004</v>
      </c>
      <c r="L82" s="286">
        <f t="shared" si="22"/>
        <v>5554</v>
      </c>
      <c r="M82" s="75"/>
      <c r="N82" s="60"/>
      <c r="O82" s="60"/>
      <c r="P82" s="69"/>
    </row>
    <row r="83" spans="1:16">
      <c r="A83" s="432" t="str">
        <f t="shared" si="18"/>
        <v>Apr</v>
      </c>
      <c r="B83" s="63">
        <f t="shared" si="18"/>
        <v>30</v>
      </c>
      <c r="C83" s="431" t="str">
        <f t="shared" si="18"/>
        <v>04/06/17</v>
      </c>
      <c r="D83" s="67"/>
      <c r="E83" s="1196">
        <v>125241</v>
      </c>
      <c r="F83" s="872">
        <f t="shared" si="19"/>
        <v>4175</v>
      </c>
      <c r="G83" s="964">
        <f>'WP FR-16(7)(v)-Daily Gas Stats'!O132</f>
        <v>84.113200000000006</v>
      </c>
      <c r="H83" s="872">
        <f t="shared" si="20"/>
        <v>4964</v>
      </c>
      <c r="I83" s="964">
        <f>'WP FR-16(7)(v)-Daily Gas Stats'!N132</f>
        <v>71.789500000000004</v>
      </c>
      <c r="J83" s="872">
        <f t="shared" si="21"/>
        <v>5816</v>
      </c>
      <c r="K83" s="964">
        <f>'WP FR-16(7)(v)-Daily Gas Stats'!M132</f>
        <v>52.672199999999997</v>
      </c>
      <c r="L83" s="286">
        <f t="shared" si="22"/>
        <v>7926</v>
      </c>
      <c r="M83" s="75"/>
      <c r="P83" s="69"/>
    </row>
    <row r="84" spans="1:16">
      <c r="A84" s="432" t="str">
        <f t="shared" si="18"/>
        <v>May</v>
      </c>
      <c r="B84" s="63">
        <f t="shared" si="18"/>
        <v>31</v>
      </c>
      <c r="C84" s="431" t="str">
        <f t="shared" si="18"/>
        <v>05/05/17</v>
      </c>
      <c r="D84" s="67"/>
      <c r="E84" s="1196">
        <v>115293</v>
      </c>
      <c r="F84" s="872">
        <f t="shared" si="19"/>
        <v>3719</v>
      </c>
      <c r="G84" s="964">
        <f>'WP FR-16(7)(v)-Daily Gas Stats'!O133</f>
        <v>90.853499999999997</v>
      </c>
      <c r="H84" s="872">
        <f t="shared" si="20"/>
        <v>4093</v>
      </c>
      <c r="I84" s="964">
        <f>'WP FR-16(7)(v)-Daily Gas Stats'!N133</f>
        <v>75.784300000000002</v>
      </c>
      <c r="J84" s="872">
        <f t="shared" si="21"/>
        <v>4907</v>
      </c>
      <c r="K84" s="964">
        <f>'WP FR-16(7)(v)-Daily Gas Stats'!M133</f>
        <v>57.8215</v>
      </c>
      <c r="L84" s="286">
        <f t="shared" si="22"/>
        <v>6432</v>
      </c>
      <c r="M84" s="75"/>
      <c r="P84" s="69"/>
    </row>
    <row r="85" spans="1:16">
      <c r="A85" s="432" t="str">
        <f t="shared" si="18"/>
        <v>Jun</v>
      </c>
      <c r="B85" s="63">
        <f t="shared" si="18"/>
        <v>30</v>
      </c>
      <c r="C85" s="431" t="str">
        <f t="shared" si="18"/>
        <v>06/07/17</v>
      </c>
      <c r="D85" s="67"/>
      <c r="E85" s="1196">
        <v>126560</v>
      </c>
      <c r="F85" s="872">
        <f t="shared" si="19"/>
        <v>4219</v>
      </c>
      <c r="G85" s="964">
        <f>'WP FR-16(7)(v)-Daily Gas Stats'!O134</f>
        <v>75.257300000000001</v>
      </c>
      <c r="H85" s="872">
        <f t="shared" si="20"/>
        <v>5606</v>
      </c>
      <c r="I85" s="964">
        <f>'WP FR-16(7)(v)-Daily Gas Stats'!N134</f>
        <v>75.257300000000001</v>
      </c>
      <c r="J85" s="872">
        <f t="shared" si="21"/>
        <v>5606</v>
      </c>
      <c r="K85" s="964">
        <f>'WP FR-16(7)(v)-Daily Gas Stats'!M134</f>
        <v>60.656199999999998</v>
      </c>
      <c r="L85" s="286">
        <f t="shared" si="22"/>
        <v>6956</v>
      </c>
      <c r="M85" s="75"/>
      <c r="N85" s="60"/>
      <c r="O85" s="60"/>
      <c r="P85" s="69"/>
    </row>
    <row r="86" spans="1:16">
      <c r="A86" s="432" t="str">
        <f t="shared" si="18"/>
        <v>Jul</v>
      </c>
      <c r="B86" s="63">
        <f t="shared" si="18"/>
        <v>31</v>
      </c>
      <c r="C86" s="431" t="str">
        <f t="shared" si="18"/>
        <v>07/25/17</v>
      </c>
      <c r="D86" s="67"/>
      <c r="E86" s="1196">
        <v>130626</v>
      </c>
      <c r="F86" s="872">
        <f t="shared" si="19"/>
        <v>4214</v>
      </c>
      <c r="G86" s="964">
        <f>'WP FR-16(7)(v)-Daily Gas Stats'!O135</f>
        <v>68.654600000000002</v>
      </c>
      <c r="H86" s="872">
        <f t="shared" si="20"/>
        <v>6138</v>
      </c>
      <c r="I86" s="964">
        <f>'WP FR-16(7)(v)-Daily Gas Stats'!N135</f>
        <v>67.887699999999995</v>
      </c>
      <c r="J86" s="872">
        <f t="shared" si="21"/>
        <v>6207</v>
      </c>
      <c r="K86" s="964">
        <f>'WP FR-16(7)(v)-Daily Gas Stats'!M135</f>
        <v>59.007899999999999</v>
      </c>
      <c r="L86" s="286">
        <f t="shared" si="22"/>
        <v>7141</v>
      </c>
      <c r="M86" s="75"/>
      <c r="P86" s="69"/>
    </row>
    <row r="87" spans="1:16">
      <c r="A87" s="432" t="str">
        <f t="shared" si="18"/>
        <v>Aug</v>
      </c>
      <c r="B87" s="63">
        <f t="shared" si="18"/>
        <v>31</v>
      </c>
      <c r="C87" s="431" t="str">
        <f t="shared" si="18"/>
        <v>08/02/17</v>
      </c>
      <c r="D87" s="67"/>
      <c r="E87" s="1196">
        <v>124678</v>
      </c>
      <c r="F87" s="872">
        <f t="shared" si="19"/>
        <v>4022</v>
      </c>
      <c r="G87" s="964">
        <f>'WP FR-16(7)(v)-Daily Gas Stats'!O136</f>
        <v>75.940799999999996</v>
      </c>
      <c r="H87" s="872">
        <f t="shared" si="20"/>
        <v>5296</v>
      </c>
      <c r="I87" s="964">
        <f>'WP FR-16(7)(v)-Daily Gas Stats'!N136</f>
        <v>75.940799999999996</v>
      </c>
      <c r="J87" s="872">
        <f t="shared" si="21"/>
        <v>5296</v>
      </c>
      <c r="K87" s="964">
        <f>'WP FR-16(7)(v)-Daily Gas Stats'!M136</f>
        <v>62.7502</v>
      </c>
      <c r="L87" s="286">
        <f t="shared" si="22"/>
        <v>6410</v>
      </c>
      <c r="M87" s="75"/>
      <c r="P87" s="69"/>
    </row>
    <row r="88" spans="1:16">
      <c r="A88" s="432" t="str">
        <f t="shared" si="18"/>
        <v>Sept</v>
      </c>
      <c r="B88" s="63">
        <f t="shared" si="18"/>
        <v>30</v>
      </c>
      <c r="C88" s="431" t="str">
        <f t="shared" si="18"/>
        <v>09/06/17</v>
      </c>
      <c r="D88" s="67"/>
      <c r="E88" s="1196">
        <v>133264</v>
      </c>
      <c r="F88" s="872">
        <f t="shared" si="19"/>
        <v>4442</v>
      </c>
      <c r="G88" s="964">
        <f>'WP FR-16(7)(v)-Daily Gas Stats'!O137</f>
        <v>76.202299999999994</v>
      </c>
      <c r="H88" s="872">
        <f t="shared" si="20"/>
        <v>5829</v>
      </c>
      <c r="I88" s="964">
        <f>'WP FR-16(7)(v)-Daily Gas Stats'!N137</f>
        <v>75.519300000000001</v>
      </c>
      <c r="J88" s="872">
        <f t="shared" si="21"/>
        <v>5882</v>
      </c>
      <c r="K88" s="964">
        <f>'WP FR-16(7)(v)-Daily Gas Stats'!M137</f>
        <v>59.615099999999998</v>
      </c>
      <c r="L88" s="286">
        <f t="shared" si="22"/>
        <v>7451</v>
      </c>
      <c r="M88" s="75"/>
      <c r="N88" s="60"/>
      <c r="O88" s="60"/>
      <c r="P88" s="69"/>
    </row>
    <row r="89" spans="1:16">
      <c r="A89" s="432" t="str">
        <f t="shared" si="18"/>
        <v xml:space="preserve">Oct </v>
      </c>
      <c r="B89" s="63">
        <f t="shared" si="18"/>
        <v>31</v>
      </c>
      <c r="C89" s="431" t="str">
        <f t="shared" si="18"/>
        <v>10/30/17</v>
      </c>
      <c r="D89" s="67"/>
      <c r="E89" s="1196">
        <v>112002</v>
      </c>
      <c r="F89" s="872">
        <f t="shared" si="19"/>
        <v>3613</v>
      </c>
      <c r="G89" s="964">
        <f>'WP FR-16(7)(v)-Daily Gas Stats'!O138</f>
        <v>74.335599999999999</v>
      </c>
      <c r="H89" s="872">
        <f t="shared" si="20"/>
        <v>4860</v>
      </c>
      <c r="I89" s="964">
        <f>'WP FR-16(7)(v)-Daily Gas Stats'!N138</f>
        <v>74.335599999999999</v>
      </c>
      <c r="J89" s="872">
        <f t="shared" si="21"/>
        <v>4860</v>
      </c>
      <c r="K89" s="964">
        <f>'WP FR-16(7)(v)-Daily Gas Stats'!M138</f>
        <v>57.564300000000003</v>
      </c>
      <c r="L89" s="286">
        <f t="shared" si="22"/>
        <v>6276</v>
      </c>
      <c r="M89" s="75"/>
      <c r="P89" s="69"/>
    </row>
    <row r="90" spans="1:16">
      <c r="A90" s="432" t="str">
        <f t="shared" si="18"/>
        <v>Nov</v>
      </c>
      <c r="B90" s="63">
        <f t="shared" si="18"/>
        <v>30</v>
      </c>
      <c r="C90" s="431" t="str">
        <f t="shared" si="18"/>
        <v>11/10/17</v>
      </c>
      <c r="D90" s="67"/>
      <c r="E90" s="1196">
        <v>142680</v>
      </c>
      <c r="F90" s="872">
        <f t="shared" si="19"/>
        <v>4756</v>
      </c>
      <c r="G90" s="964">
        <f>'WP FR-16(7)(v)-Daily Gas Stats'!O139</f>
        <v>86.141499999999994</v>
      </c>
      <c r="H90" s="872">
        <f t="shared" si="20"/>
        <v>5521</v>
      </c>
      <c r="I90" s="964">
        <f>'WP FR-16(7)(v)-Daily Gas Stats'!N139</f>
        <v>73.075299999999999</v>
      </c>
      <c r="J90" s="872">
        <f t="shared" si="21"/>
        <v>6508</v>
      </c>
      <c r="K90" s="964">
        <f>'WP FR-16(7)(v)-Daily Gas Stats'!M139</f>
        <v>58.294600000000003</v>
      </c>
      <c r="L90" s="286">
        <f t="shared" si="22"/>
        <v>8159</v>
      </c>
      <c r="M90" s="75"/>
      <c r="P90" s="69"/>
    </row>
    <row r="91" spans="1:16">
      <c r="A91" s="432" t="str">
        <f t="shared" si="18"/>
        <v>Dec 2017</v>
      </c>
      <c r="B91" s="63">
        <f t="shared" si="18"/>
        <v>31</v>
      </c>
      <c r="C91" s="431" t="str">
        <f t="shared" si="18"/>
        <v>12/27/17</v>
      </c>
      <c r="D91" s="67"/>
      <c r="E91" s="1197">
        <v>140796</v>
      </c>
      <c r="F91" s="872">
        <f t="shared" si="19"/>
        <v>4542</v>
      </c>
      <c r="G91" s="964">
        <f>'WP FR-16(7)(v)-Daily Gas Stats'!O140</f>
        <v>92.510900000000007</v>
      </c>
      <c r="H91" s="1207">
        <f t="shared" si="20"/>
        <v>4910</v>
      </c>
      <c r="I91" s="964">
        <f>'WP FR-16(7)(v)-Daily Gas Stats'!N140</f>
        <v>75.316100000000006</v>
      </c>
      <c r="J91" s="1207">
        <f t="shared" si="21"/>
        <v>6031</v>
      </c>
      <c r="K91" s="964">
        <f>'WP FR-16(7)(v)-Daily Gas Stats'!M140</f>
        <v>54.268599999999999</v>
      </c>
      <c r="L91" s="294">
        <f t="shared" si="22"/>
        <v>8369</v>
      </c>
      <c r="M91" s="75"/>
      <c r="N91" s="60"/>
      <c r="O91" s="60"/>
      <c r="P91" s="69"/>
    </row>
    <row r="92" spans="1:16">
      <c r="E92" s="309">
        <f>SUM(E80:E91)</f>
        <v>1545311</v>
      </c>
      <c r="F92" s="872"/>
      <c r="G92" s="961"/>
      <c r="H92" s="872">
        <f>MAX(H80:H91)</f>
        <v>6366</v>
      </c>
      <c r="I92" s="961"/>
      <c r="J92" s="872">
        <f>MAX(J80:J91)</f>
        <v>6508</v>
      </c>
      <c r="K92" s="1208"/>
      <c r="L92" s="286">
        <f>MAX(L80:L91)</f>
        <v>8369</v>
      </c>
      <c r="M92" s="75"/>
      <c r="P92" s="71"/>
    </row>
    <row r="93" spans="1:16">
      <c r="E93" s="1196"/>
      <c r="F93" s="1209"/>
      <c r="G93" s="430"/>
      <c r="H93" s="1209"/>
      <c r="I93" s="430"/>
      <c r="J93" s="1209"/>
      <c r="K93" s="1208"/>
      <c r="L93" s="68"/>
      <c r="M93" s="75"/>
      <c r="P93" s="71"/>
    </row>
    <row r="94" spans="1:16">
      <c r="A94" s="203" t="s">
        <v>852</v>
      </c>
      <c r="B94" s="54" t="s">
        <v>855</v>
      </c>
      <c r="E94" s="1196"/>
      <c r="F94" s="1209"/>
      <c r="G94" s="430"/>
      <c r="H94" s="1209"/>
      <c r="I94" s="430"/>
      <c r="J94" s="1209"/>
      <c r="K94" s="1208"/>
      <c r="L94" s="68"/>
      <c r="M94" s="75"/>
      <c r="N94" s="60"/>
      <c r="O94" s="60"/>
      <c r="P94" s="71"/>
    </row>
    <row r="95" spans="1:16">
      <c r="A95" s="203" t="s">
        <v>853</v>
      </c>
      <c r="B95" s="54" t="s">
        <v>857</v>
      </c>
      <c r="E95" s="1196"/>
      <c r="F95" s="1209"/>
      <c r="G95" s="430"/>
      <c r="H95" s="1209"/>
      <c r="I95" s="430"/>
      <c r="J95" s="1209"/>
      <c r="K95" s="1208"/>
      <c r="L95" s="68"/>
      <c r="M95" s="75"/>
      <c r="P95" s="71"/>
    </row>
    <row r="96" spans="1:16">
      <c r="A96" s="203" t="s">
        <v>854</v>
      </c>
      <c r="B96" s="54" t="s">
        <v>856</v>
      </c>
      <c r="M96" s="76"/>
    </row>
    <row r="97" spans="1:15">
      <c r="A97" s="203"/>
      <c r="M97" s="76"/>
    </row>
    <row r="98" spans="1:15">
      <c r="A98" s="196" t="str">
        <f>co_name</f>
        <v>DUKE ENERGY KENTUCKY, INC.</v>
      </c>
      <c r="B98" s="53"/>
      <c r="C98" s="53"/>
      <c r="D98" s="53"/>
      <c r="E98" s="1198"/>
      <c r="F98" s="1198"/>
      <c r="G98" s="1198"/>
      <c r="H98" s="1198"/>
      <c r="I98" s="1198"/>
      <c r="J98" s="1198" t="s">
        <v>1551</v>
      </c>
      <c r="K98" s="1198"/>
      <c r="M98" s="76"/>
      <c r="N98" s="60"/>
      <c r="O98" s="60"/>
    </row>
    <row r="99" spans="1:15">
      <c r="A99" s="196" t="str">
        <f>coss_type</f>
        <v xml:space="preserve">GAS COST OF SERVICE STUDY </v>
      </c>
      <c r="B99" s="53"/>
      <c r="C99" s="53"/>
      <c r="D99" s="53"/>
      <c r="E99" s="1198"/>
      <c r="F99" s="1198"/>
      <c r="G99" s="1198"/>
      <c r="H99" s="1198"/>
      <c r="I99" s="1198"/>
      <c r="J99" s="1199" t="str">
        <f>'Alloc Factors Summary'!G2</f>
        <v>Witness Responsible:</v>
      </c>
      <c r="K99" s="1198"/>
      <c r="M99" s="76"/>
    </row>
    <row r="100" spans="1:15">
      <c r="A100" s="196" t="str">
        <f>case_name</f>
        <v>CASE NO: 2018-00261</v>
      </c>
      <c r="B100" s="53"/>
      <c r="C100" s="53"/>
      <c r="D100" s="53"/>
      <c r="E100" s="1198"/>
      <c r="F100" s="1198"/>
      <c r="G100" s="1198"/>
      <c r="H100" s="1198"/>
      <c r="I100" s="1198"/>
      <c r="J100" s="1199" t="str">
        <f>'Alloc Factors Summary'!G3</f>
        <v>James E. Ziolkowski</v>
      </c>
      <c r="K100" s="1198"/>
      <c r="M100" s="76"/>
    </row>
    <row r="101" spans="1:15">
      <c r="A101" s="10" t="str">
        <f>alloc_factors</f>
        <v>ALLOCATION FACTORS FOR COST OF SERVICE STUDY</v>
      </c>
      <c r="B101" s="53"/>
      <c r="C101" s="53"/>
      <c r="D101" s="53"/>
      <c r="E101" s="1198"/>
      <c r="F101" s="1198"/>
      <c r="G101" s="1198"/>
      <c r="H101" s="1198"/>
      <c r="I101" s="1198"/>
      <c r="J101" s="1198" t="s">
        <v>1072</v>
      </c>
      <c r="K101" s="1198"/>
      <c r="M101" s="76"/>
      <c r="N101" s="60"/>
      <c r="O101" s="60"/>
    </row>
    <row r="102" spans="1:15">
      <c r="A102" s="10" t="str">
        <f>time_period</f>
        <v>TWELVE MONTHS ENDING DECEMBER 31, 2017</v>
      </c>
      <c r="B102" s="53"/>
      <c r="C102" s="53"/>
      <c r="D102" s="53"/>
      <c r="E102" s="1198"/>
      <c r="F102" s="1198"/>
      <c r="G102" s="1198"/>
      <c r="H102" s="1198"/>
      <c r="I102" s="1198"/>
      <c r="J102" s="1287">
        <f ca="1">NOW()</f>
        <v>43347.578002314818</v>
      </c>
      <c r="K102" s="1198"/>
      <c r="M102" s="76"/>
    </row>
    <row r="103" spans="1:15">
      <c r="A103" s="198" t="s">
        <v>833</v>
      </c>
      <c r="B103" s="53"/>
      <c r="C103" s="53"/>
      <c r="D103" s="53"/>
      <c r="E103" s="1198"/>
      <c r="F103" s="1198"/>
      <c r="G103" s="1198"/>
      <c r="H103" s="1198"/>
      <c r="I103" s="1198"/>
      <c r="J103" s="1200"/>
      <c r="K103" s="1198"/>
      <c r="M103" s="76"/>
    </row>
    <row r="104" spans="1:15">
      <c r="A104" s="198"/>
      <c r="B104" s="53"/>
      <c r="C104" s="53"/>
      <c r="D104" s="53"/>
      <c r="E104" s="1198"/>
      <c r="F104" s="1198"/>
      <c r="G104" s="1198"/>
      <c r="H104" s="1198"/>
      <c r="I104" s="1198"/>
      <c r="J104" s="1200"/>
      <c r="K104" s="1198"/>
      <c r="M104" s="76"/>
      <c r="N104" s="60"/>
      <c r="O104" s="60"/>
    </row>
    <row r="105" spans="1:15" ht="15">
      <c r="A105"/>
      <c r="B105"/>
      <c r="C105"/>
      <c r="D105"/>
      <c r="E105"/>
      <c r="F105"/>
      <c r="G105"/>
      <c r="H105"/>
      <c r="I105"/>
      <c r="J105"/>
      <c r="K105"/>
      <c r="L105"/>
      <c r="M105" s="76"/>
    </row>
    <row r="106" spans="1:15" ht="15">
      <c r="A106"/>
      <c r="B106"/>
      <c r="C106"/>
      <c r="D106"/>
      <c r="E106"/>
      <c r="F106"/>
      <c r="G106"/>
      <c r="H106"/>
      <c r="I106"/>
      <c r="J106"/>
      <c r="K106"/>
      <c r="L106"/>
      <c r="M106" s="76"/>
    </row>
    <row r="107" spans="1:15" ht="15">
      <c r="A107"/>
      <c r="B107"/>
      <c r="C107"/>
      <c r="D107"/>
      <c r="E107"/>
      <c r="F107"/>
      <c r="G107"/>
      <c r="H107"/>
      <c r="I107"/>
      <c r="J107"/>
      <c r="K107"/>
      <c r="L107"/>
      <c r="N107" s="60"/>
      <c r="O107" s="60"/>
    </row>
    <row r="108" spans="1:15" ht="15">
      <c r="A108"/>
      <c r="B108"/>
      <c r="C108"/>
      <c r="D108"/>
      <c r="E108"/>
      <c r="F108"/>
      <c r="G108"/>
      <c r="H108"/>
      <c r="I108"/>
      <c r="J108"/>
      <c r="K108"/>
      <c r="L108"/>
      <c r="M108" s="76"/>
    </row>
    <row r="109" spans="1:15" ht="15">
      <c r="A109"/>
      <c r="B109"/>
      <c r="C109"/>
      <c r="D109"/>
      <c r="E109"/>
      <c r="F109"/>
      <c r="G109"/>
      <c r="H109"/>
      <c r="I109"/>
      <c r="J109"/>
      <c r="K109"/>
      <c r="L109"/>
    </row>
    <row r="110" spans="1:15" ht="15">
      <c r="A110"/>
      <c r="B110"/>
      <c r="C110"/>
      <c r="D110"/>
      <c r="E110"/>
      <c r="F110"/>
      <c r="G110"/>
      <c r="H110"/>
      <c r="I110"/>
      <c r="J110"/>
      <c r="K110"/>
      <c r="L110"/>
      <c r="N110" s="60"/>
      <c r="O110" s="60"/>
    </row>
    <row r="111" spans="1:15" ht="15">
      <c r="A111"/>
      <c r="B111"/>
      <c r="C111"/>
      <c r="D111"/>
      <c r="E111"/>
      <c r="F111"/>
      <c r="G111"/>
      <c r="H111"/>
      <c r="I111"/>
      <c r="J111"/>
      <c r="K111"/>
      <c r="L111"/>
    </row>
    <row r="112" spans="1:15" ht="15">
      <c r="A112"/>
      <c r="B112"/>
      <c r="C112"/>
      <c r="D112"/>
      <c r="E112"/>
      <c r="F112"/>
      <c r="G112"/>
      <c r="H112"/>
      <c r="I112"/>
      <c r="J112"/>
      <c r="K112"/>
      <c r="L112"/>
    </row>
    <row r="113" spans="1:15" ht="15">
      <c r="A113"/>
      <c r="B113"/>
      <c r="C113"/>
      <c r="D113"/>
      <c r="E113"/>
      <c r="F113"/>
      <c r="G113"/>
      <c r="H113"/>
      <c r="I113"/>
      <c r="J113"/>
      <c r="K113"/>
      <c r="L113"/>
      <c r="N113" s="60"/>
      <c r="O113" s="60"/>
    </row>
    <row r="114" spans="1:15" ht="15">
      <c r="A114"/>
      <c r="B114"/>
      <c r="C114"/>
      <c r="D114"/>
      <c r="E114"/>
      <c r="F114"/>
      <c r="G114"/>
      <c r="H114"/>
      <c r="I114"/>
      <c r="J114"/>
      <c r="K114"/>
      <c r="L114"/>
    </row>
    <row r="115" spans="1:15" ht="15">
      <c r="A115"/>
      <c r="B115"/>
      <c r="C115"/>
      <c r="D115"/>
      <c r="E115"/>
      <c r="F115"/>
      <c r="G115"/>
      <c r="H115"/>
      <c r="I115"/>
      <c r="J115"/>
      <c r="K115"/>
      <c r="L115"/>
    </row>
    <row r="116" spans="1:15" ht="15">
      <c r="A116"/>
      <c r="B116"/>
      <c r="C116"/>
      <c r="D116"/>
      <c r="E116"/>
      <c r="F116"/>
      <c r="G116"/>
      <c r="H116"/>
      <c r="I116"/>
      <c r="J116"/>
      <c r="K116"/>
      <c r="L116"/>
      <c r="N116" s="60"/>
      <c r="O116" s="60"/>
    </row>
    <row r="117" spans="1:15" ht="15">
      <c r="A117"/>
      <c r="B117"/>
      <c r="C117"/>
      <c r="D117"/>
      <c r="E117"/>
      <c r="F117"/>
      <c r="G117"/>
      <c r="H117"/>
      <c r="I117"/>
      <c r="J117"/>
      <c r="K117"/>
      <c r="L117"/>
    </row>
    <row r="118" spans="1:15" ht="15">
      <c r="A118"/>
      <c r="B118"/>
      <c r="C118"/>
      <c r="D118"/>
      <c r="E118"/>
      <c r="F118"/>
      <c r="G118"/>
      <c r="H118"/>
      <c r="I118"/>
      <c r="J118"/>
      <c r="K118"/>
      <c r="L118"/>
    </row>
    <row r="119" spans="1:15" ht="15">
      <c r="A119"/>
      <c r="B119"/>
      <c r="C119"/>
      <c r="D119"/>
      <c r="E119"/>
      <c r="F119"/>
      <c r="G119"/>
      <c r="H119"/>
      <c r="I119"/>
      <c r="J119"/>
      <c r="K119"/>
      <c r="L119"/>
      <c r="N119" s="60"/>
      <c r="O119" s="60"/>
    </row>
    <row r="120" spans="1:15" ht="15">
      <c r="A120"/>
      <c r="B120"/>
      <c r="C120"/>
      <c r="D120"/>
      <c r="E120"/>
      <c r="F120"/>
      <c r="G120"/>
      <c r="H120"/>
      <c r="I120"/>
      <c r="J120"/>
      <c r="K120"/>
      <c r="L120"/>
      <c r="M120" s="58"/>
    </row>
    <row r="121" spans="1:15" ht="15">
      <c r="A121"/>
      <c r="B121"/>
      <c r="C121"/>
      <c r="D121"/>
      <c r="E121"/>
      <c r="F121"/>
      <c r="G121"/>
      <c r="H121"/>
      <c r="I121"/>
      <c r="J121"/>
      <c r="K121"/>
      <c r="L121"/>
      <c r="M121" s="58"/>
    </row>
    <row r="122" spans="1:15" ht="15">
      <c r="A122"/>
      <c r="B122"/>
      <c r="C122"/>
      <c r="D122"/>
      <c r="E122"/>
      <c r="F122"/>
      <c r="G122"/>
      <c r="H122"/>
      <c r="I122"/>
      <c r="J122"/>
      <c r="K122"/>
      <c r="L122"/>
      <c r="M122" s="58"/>
      <c r="N122" s="60"/>
      <c r="O122" s="60"/>
    </row>
    <row r="123" spans="1:15" ht="15">
      <c r="A123"/>
      <c r="B123"/>
      <c r="C123"/>
      <c r="D123"/>
      <c r="E123"/>
      <c r="F123"/>
      <c r="G123"/>
      <c r="H123"/>
      <c r="I123"/>
      <c r="J123"/>
      <c r="K123"/>
      <c r="L123"/>
      <c r="M123" s="58"/>
    </row>
    <row r="124" spans="1:15">
      <c r="E124" s="1212" t="s">
        <v>343</v>
      </c>
      <c r="M124" s="58"/>
    </row>
    <row r="125" spans="1:15">
      <c r="M125" s="58"/>
      <c r="N125" s="60"/>
      <c r="O125" s="60"/>
    </row>
    <row r="126" spans="1:15">
      <c r="A126" s="57" t="s">
        <v>582</v>
      </c>
      <c r="B126" s="59"/>
      <c r="E126" s="419" t="s">
        <v>621</v>
      </c>
      <c r="I126" s="423" t="s">
        <v>1499</v>
      </c>
      <c r="J126" s="1202" t="s">
        <v>623</v>
      </c>
      <c r="K126" s="423" t="s">
        <v>1499</v>
      </c>
      <c r="L126" s="58" t="s">
        <v>1499</v>
      </c>
      <c r="M126" s="58"/>
    </row>
    <row r="127" spans="1:15">
      <c r="A127" s="62"/>
      <c r="B127" s="59"/>
      <c r="C127" s="63" t="s">
        <v>1497</v>
      </c>
      <c r="D127" s="59"/>
      <c r="E127" s="419" t="s">
        <v>622</v>
      </c>
      <c r="F127" s="422" t="s">
        <v>909</v>
      </c>
      <c r="G127" s="423" t="s">
        <v>1498</v>
      </c>
      <c r="H127" s="422" t="s">
        <v>851</v>
      </c>
      <c r="I127" s="1203" t="s">
        <v>625</v>
      </c>
      <c r="J127" s="1202" t="s">
        <v>626</v>
      </c>
      <c r="K127" s="1202" t="s">
        <v>627</v>
      </c>
      <c r="L127" s="59" t="s">
        <v>627</v>
      </c>
      <c r="M127" s="58"/>
    </row>
    <row r="128" spans="1:15">
      <c r="A128" s="65" t="s">
        <v>628</v>
      </c>
      <c r="B128" s="66" t="s">
        <v>629</v>
      </c>
      <c r="C128" s="66" t="s">
        <v>630</v>
      </c>
      <c r="D128" s="66"/>
      <c r="E128" s="424" t="s">
        <v>1115</v>
      </c>
      <c r="F128" s="425" t="s">
        <v>910</v>
      </c>
      <c r="G128" s="426" t="s">
        <v>631</v>
      </c>
      <c r="H128" s="425" t="s">
        <v>632</v>
      </c>
      <c r="I128" s="426" t="s">
        <v>633</v>
      </c>
      <c r="J128" s="1204" t="s">
        <v>634</v>
      </c>
      <c r="K128" s="1204" t="s">
        <v>631</v>
      </c>
      <c r="L128" s="66" t="s">
        <v>634</v>
      </c>
      <c r="M128" s="58"/>
      <c r="N128" s="60"/>
      <c r="O128" s="60"/>
    </row>
    <row r="129" spans="1:15">
      <c r="A129" s="201"/>
      <c r="B129" s="202"/>
      <c r="C129" s="202"/>
      <c r="D129" s="202"/>
      <c r="E129" s="427"/>
      <c r="F129" s="428"/>
      <c r="G129" s="429" t="s">
        <v>852</v>
      </c>
      <c r="H129" s="428"/>
      <c r="I129" s="429" t="s">
        <v>853</v>
      </c>
      <c r="J129" s="1205"/>
      <c r="K129" s="1206" t="s">
        <v>854</v>
      </c>
      <c r="L129" s="202"/>
      <c r="M129" s="58"/>
    </row>
    <row r="130" spans="1:15">
      <c r="A130" s="432" t="str">
        <f t="shared" ref="A130:C141" si="23">A12</f>
        <v>Jan 2017</v>
      </c>
      <c r="B130" s="63">
        <f t="shared" si="23"/>
        <v>31</v>
      </c>
      <c r="C130" s="431" t="str">
        <f t="shared" si="23"/>
        <v>01/06/17</v>
      </c>
      <c r="E130" s="309">
        <f t="shared" ref="E130:F141" si="24">E12+E31+E60+E80+E111</f>
        <v>2240477</v>
      </c>
      <c r="F130" s="309">
        <f t="shared" si="24"/>
        <v>72274</v>
      </c>
      <c r="G130" s="430"/>
      <c r="H130" s="309">
        <f t="shared" ref="H130:H141" si="25">H12+H31+H60+H80+H111</f>
        <v>134449</v>
      </c>
      <c r="I130" s="961"/>
      <c r="J130" s="309">
        <f t="shared" ref="J130:J141" si="26">J12+J31+J60+J80+J111</f>
        <v>134554</v>
      </c>
      <c r="K130" s="1208"/>
      <c r="L130" s="38">
        <f t="shared" ref="L130:L141" si="27">L12+L31+L60+L80+L111</f>
        <v>141888</v>
      </c>
      <c r="M130" s="58"/>
    </row>
    <row r="131" spans="1:15">
      <c r="A131" s="432" t="str">
        <f t="shared" si="23"/>
        <v>Feb</v>
      </c>
      <c r="B131" s="63">
        <f t="shared" si="23"/>
        <v>28</v>
      </c>
      <c r="C131" s="431" t="str">
        <f t="shared" si="23"/>
        <v>02/09/17</v>
      </c>
      <c r="E131" s="309">
        <f t="shared" si="24"/>
        <v>1742151</v>
      </c>
      <c r="F131" s="309">
        <f t="shared" si="24"/>
        <v>62220</v>
      </c>
      <c r="G131" s="430"/>
      <c r="H131" s="309">
        <f t="shared" si="25"/>
        <v>119601</v>
      </c>
      <c r="I131" s="961"/>
      <c r="J131" s="309">
        <f t="shared" si="26"/>
        <v>119601</v>
      </c>
      <c r="K131" s="1208"/>
      <c r="L131" s="38">
        <f t="shared" si="27"/>
        <v>125197</v>
      </c>
      <c r="M131" s="58"/>
      <c r="N131" s="60"/>
      <c r="O131" s="60"/>
    </row>
    <row r="132" spans="1:15">
      <c r="A132" s="432" t="str">
        <f t="shared" si="23"/>
        <v>Mar</v>
      </c>
      <c r="B132" s="63">
        <f t="shared" si="23"/>
        <v>31</v>
      </c>
      <c r="C132" s="431" t="str">
        <f t="shared" si="23"/>
        <v>03/14/17</v>
      </c>
      <c r="E132" s="309">
        <f t="shared" si="24"/>
        <v>1451731</v>
      </c>
      <c r="F132" s="309">
        <f t="shared" si="24"/>
        <v>46830</v>
      </c>
      <c r="G132" s="430"/>
      <c r="H132" s="309">
        <f t="shared" si="25"/>
        <v>89590</v>
      </c>
      <c r="I132" s="961"/>
      <c r="J132" s="309">
        <f t="shared" si="26"/>
        <v>89668</v>
      </c>
      <c r="K132" s="1208"/>
      <c r="L132" s="38">
        <f t="shared" si="27"/>
        <v>93692</v>
      </c>
      <c r="M132" s="58"/>
    </row>
    <row r="133" spans="1:15">
      <c r="A133" s="432" t="str">
        <f t="shared" si="23"/>
        <v>Apr</v>
      </c>
      <c r="B133" s="63">
        <f t="shared" si="23"/>
        <v>30</v>
      </c>
      <c r="C133" s="431" t="str">
        <f t="shared" si="23"/>
        <v>04/06/17</v>
      </c>
      <c r="E133" s="309">
        <f t="shared" si="24"/>
        <v>1056626</v>
      </c>
      <c r="F133" s="309">
        <f t="shared" si="24"/>
        <v>35221</v>
      </c>
      <c r="G133" s="430"/>
      <c r="H133" s="309">
        <f t="shared" si="25"/>
        <v>96422</v>
      </c>
      <c r="I133" s="961"/>
      <c r="J133" s="309">
        <f t="shared" si="26"/>
        <v>97274</v>
      </c>
      <c r="K133" s="1208"/>
      <c r="L133" s="38">
        <f t="shared" si="27"/>
        <v>105193</v>
      </c>
      <c r="M133" s="58"/>
    </row>
    <row r="134" spans="1:15">
      <c r="A134" s="432" t="str">
        <f t="shared" si="23"/>
        <v>May</v>
      </c>
      <c r="B134" s="63">
        <f t="shared" si="23"/>
        <v>31</v>
      </c>
      <c r="C134" s="431" t="str">
        <f t="shared" si="23"/>
        <v>05/05/17</v>
      </c>
      <c r="E134" s="309">
        <f t="shared" si="24"/>
        <v>620087</v>
      </c>
      <c r="F134" s="309">
        <f t="shared" si="24"/>
        <v>20002</v>
      </c>
      <c r="G134" s="430"/>
      <c r="H134" s="309">
        <f t="shared" si="25"/>
        <v>42991</v>
      </c>
      <c r="I134" s="961"/>
      <c r="J134" s="309">
        <f t="shared" si="26"/>
        <v>44181</v>
      </c>
      <c r="K134" s="1208"/>
      <c r="L134" s="38">
        <f t="shared" si="27"/>
        <v>51134</v>
      </c>
      <c r="N134" s="60"/>
      <c r="O134" s="60"/>
    </row>
    <row r="135" spans="1:15">
      <c r="A135" s="432" t="str">
        <f t="shared" si="23"/>
        <v>Jun</v>
      </c>
      <c r="B135" s="63">
        <f t="shared" si="23"/>
        <v>30</v>
      </c>
      <c r="C135" s="431" t="str">
        <f t="shared" si="23"/>
        <v>06/07/17</v>
      </c>
      <c r="E135" s="309">
        <f t="shared" si="24"/>
        <v>488769</v>
      </c>
      <c r="F135" s="309">
        <f t="shared" si="24"/>
        <v>16293</v>
      </c>
      <c r="G135" s="430"/>
      <c r="H135" s="309">
        <f t="shared" si="25"/>
        <v>20354</v>
      </c>
      <c r="I135" s="961"/>
      <c r="J135" s="309">
        <f t="shared" si="26"/>
        <v>20804</v>
      </c>
      <c r="K135" s="1208"/>
      <c r="L135" s="38">
        <f t="shared" si="27"/>
        <v>26398</v>
      </c>
      <c r="M135" s="77"/>
    </row>
    <row r="136" spans="1:15">
      <c r="A136" s="432" t="str">
        <f t="shared" si="23"/>
        <v>Jul</v>
      </c>
      <c r="B136" s="63">
        <f t="shared" si="23"/>
        <v>31</v>
      </c>
      <c r="C136" s="431" t="str">
        <f t="shared" si="23"/>
        <v>07/25/17</v>
      </c>
      <c r="E136" s="309">
        <f t="shared" si="24"/>
        <v>438148</v>
      </c>
      <c r="F136" s="309">
        <f t="shared" si="24"/>
        <v>14134</v>
      </c>
      <c r="G136" s="430"/>
      <c r="H136" s="309">
        <f t="shared" si="25"/>
        <v>17461</v>
      </c>
      <c r="I136" s="961"/>
      <c r="J136" s="309">
        <f t="shared" si="26"/>
        <v>18448</v>
      </c>
      <c r="K136" s="1208"/>
      <c r="L136" s="38">
        <f t="shared" si="27"/>
        <v>23779</v>
      </c>
    </row>
    <row r="137" spans="1:15">
      <c r="A137" s="432" t="str">
        <f t="shared" si="23"/>
        <v>Aug</v>
      </c>
      <c r="B137" s="63">
        <f t="shared" si="23"/>
        <v>31</v>
      </c>
      <c r="C137" s="431" t="str">
        <f t="shared" si="23"/>
        <v>08/02/17</v>
      </c>
      <c r="E137" s="309">
        <f t="shared" si="24"/>
        <v>403263</v>
      </c>
      <c r="F137" s="309">
        <f t="shared" si="24"/>
        <v>13009</v>
      </c>
      <c r="G137" s="430"/>
      <c r="H137" s="309">
        <f t="shared" si="25"/>
        <v>14695</v>
      </c>
      <c r="I137" s="961"/>
      <c r="J137" s="309">
        <f t="shared" si="26"/>
        <v>16002</v>
      </c>
      <c r="K137" s="1208"/>
      <c r="L137" s="38">
        <f t="shared" si="27"/>
        <v>20636</v>
      </c>
      <c r="M137" s="77"/>
      <c r="N137" s="60"/>
      <c r="O137" s="60"/>
    </row>
    <row r="138" spans="1:15">
      <c r="A138" s="432" t="str">
        <f t="shared" si="23"/>
        <v>Sept</v>
      </c>
      <c r="B138" s="63">
        <f t="shared" si="23"/>
        <v>30</v>
      </c>
      <c r="C138" s="431" t="str">
        <f t="shared" si="23"/>
        <v>09/06/17</v>
      </c>
      <c r="E138" s="309">
        <f t="shared" si="24"/>
        <v>459447</v>
      </c>
      <c r="F138" s="309">
        <f t="shared" si="24"/>
        <v>15315</v>
      </c>
      <c r="G138" s="430"/>
      <c r="H138" s="309">
        <f t="shared" si="25"/>
        <v>18356</v>
      </c>
      <c r="I138" s="961"/>
      <c r="J138" s="309">
        <f t="shared" si="26"/>
        <v>19826</v>
      </c>
      <c r="K138" s="1208"/>
      <c r="L138" s="38">
        <f t="shared" si="27"/>
        <v>26966</v>
      </c>
    </row>
    <row r="139" spans="1:15">
      <c r="A139" s="432" t="str">
        <f t="shared" si="23"/>
        <v xml:space="preserve">Oct </v>
      </c>
      <c r="B139" s="63">
        <f t="shared" si="23"/>
        <v>31</v>
      </c>
      <c r="C139" s="431" t="str">
        <f t="shared" si="23"/>
        <v>10/30/17</v>
      </c>
      <c r="E139" s="309">
        <f t="shared" si="24"/>
        <v>433567</v>
      </c>
      <c r="F139" s="309">
        <f t="shared" si="24"/>
        <v>13986</v>
      </c>
      <c r="G139" s="430"/>
      <c r="H139" s="309">
        <f t="shared" si="25"/>
        <v>31137</v>
      </c>
      <c r="I139" s="961"/>
      <c r="J139" s="309">
        <f t="shared" si="26"/>
        <v>32502</v>
      </c>
      <c r="K139" s="1208"/>
      <c r="L139" s="38">
        <f t="shared" si="27"/>
        <v>36414</v>
      </c>
    </row>
    <row r="140" spans="1:15">
      <c r="A140" s="432" t="str">
        <f t="shared" si="23"/>
        <v>Nov</v>
      </c>
      <c r="B140" s="63">
        <f t="shared" si="23"/>
        <v>30</v>
      </c>
      <c r="C140" s="431" t="str">
        <f t="shared" si="23"/>
        <v>11/10/17</v>
      </c>
      <c r="E140" s="309">
        <f t="shared" si="24"/>
        <v>977346</v>
      </c>
      <c r="F140" s="309">
        <f t="shared" si="24"/>
        <v>32578</v>
      </c>
      <c r="G140" s="430"/>
      <c r="H140" s="309">
        <f t="shared" si="25"/>
        <v>47478</v>
      </c>
      <c r="I140" s="961"/>
      <c r="J140" s="309">
        <f t="shared" si="26"/>
        <v>49937</v>
      </c>
      <c r="K140" s="1208"/>
      <c r="L140" s="38">
        <f t="shared" si="27"/>
        <v>56344</v>
      </c>
      <c r="N140" s="60"/>
      <c r="O140" s="60"/>
    </row>
    <row r="141" spans="1:15">
      <c r="A141" s="432" t="str">
        <f t="shared" si="23"/>
        <v>Dec 2017</v>
      </c>
      <c r="B141" s="63">
        <f t="shared" si="23"/>
        <v>31</v>
      </c>
      <c r="C141" s="431" t="str">
        <f t="shared" si="23"/>
        <v>12/27/17</v>
      </c>
      <c r="E141" s="1213">
        <f t="shared" si="24"/>
        <v>1719149</v>
      </c>
      <c r="F141" s="872">
        <f t="shared" si="24"/>
        <v>55456</v>
      </c>
      <c r="G141" s="961"/>
      <c r="H141" s="1207">
        <f t="shared" si="25"/>
        <v>85007</v>
      </c>
      <c r="I141" s="961"/>
      <c r="J141" s="1207">
        <f t="shared" si="26"/>
        <v>89533</v>
      </c>
      <c r="K141" s="964"/>
      <c r="L141" s="294">
        <f t="shared" si="27"/>
        <v>97434</v>
      </c>
    </row>
    <row r="142" spans="1:15">
      <c r="C142" s="70"/>
      <c r="E142" s="309">
        <f>SUM(E130:E141)</f>
        <v>12030761</v>
      </c>
      <c r="F142" s="872"/>
      <c r="G142" s="961"/>
      <c r="H142" s="872">
        <f>MAX(H130:H141)</f>
        <v>134449</v>
      </c>
      <c r="I142" s="961"/>
      <c r="J142" s="872">
        <f>MAX(J130:J141)</f>
        <v>134554</v>
      </c>
      <c r="K142" s="1208"/>
      <c r="L142" s="286">
        <f>MAX(L130:L141)</f>
        <v>141888</v>
      </c>
    </row>
    <row r="143" spans="1:15">
      <c r="C143" s="70"/>
      <c r="E143" s="1196"/>
      <c r="H143" s="1209"/>
      <c r="I143" s="430"/>
      <c r="J143" s="1209"/>
      <c r="K143" s="1208"/>
      <c r="L143" s="68"/>
      <c r="N143" s="60"/>
      <c r="O143" s="60"/>
    </row>
    <row r="144" spans="1:15">
      <c r="A144" s="203" t="s">
        <v>852</v>
      </c>
      <c r="B144" s="54" t="s">
        <v>855</v>
      </c>
      <c r="E144" s="1196"/>
      <c r="H144" s="1209"/>
      <c r="I144" s="430"/>
      <c r="J144" s="1209"/>
      <c r="K144" s="1208"/>
      <c r="L144" s="68"/>
    </row>
    <row r="145" spans="1:15">
      <c r="A145" s="203" t="s">
        <v>853</v>
      </c>
      <c r="B145" s="54" t="s">
        <v>857</v>
      </c>
      <c r="E145" s="1196"/>
      <c r="H145" s="1209"/>
      <c r="I145" s="430"/>
      <c r="J145" s="1209"/>
      <c r="K145" s="1208"/>
      <c r="L145" s="68"/>
    </row>
    <row r="146" spans="1:15">
      <c r="A146" s="203" t="s">
        <v>854</v>
      </c>
      <c r="B146" s="54" t="s">
        <v>856</v>
      </c>
      <c r="E146" s="418"/>
      <c r="F146" s="418"/>
      <c r="G146" s="418"/>
      <c r="H146" s="418"/>
      <c r="I146" s="418"/>
    </row>
    <row r="147" spans="1:15">
      <c r="M147" s="77"/>
      <c r="N147" s="77"/>
      <c r="O147" s="77"/>
    </row>
    <row r="151" spans="1:15">
      <c r="A151" s="436"/>
    </row>
  </sheetData>
  <pageMargins left="1" right="1" top="1" bottom="1" header="0.5" footer="0.5"/>
  <pageSetup scale="71" orientation="landscape" r:id="rId1"/>
  <headerFooter alignWithMargins="0"/>
  <rowBreaks count="2" manualBreakCount="2">
    <brk id="48" max="11" man="1"/>
    <brk id="97" max="11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theme="1"/>
  </sheetPr>
  <dimension ref="A1:N56"/>
  <sheetViews>
    <sheetView topLeftCell="A12" zoomScale="70" zoomScaleNormal="70" workbookViewId="0">
      <selection activeCell="A18" sqref="A18"/>
    </sheetView>
  </sheetViews>
  <sheetFormatPr defaultColWidth="8.77734375" defaultRowHeight="12.75"/>
  <cols>
    <col min="1" max="1" width="42.109375" style="849" customWidth="1"/>
    <col min="2" max="2" width="31.21875" style="849" customWidth="1"/>
    <col min="3" max="13" width="12.6640625" style="849" customWidth="1"/>
    <col min="14" max="14" width="12.44140625" style="849" customWidth="1"/>
    <col min="15" max="16384" width="8.77734375" style="849"/>
  </cols>
  <sheetData>
    <row r="1" spans="1:14">
      <c r="A1" s="848" t="s">
        <v>1278</v>
      </c>
      <c r="B1" s="849" t="s">
        <v>8</v>
      </c>
      <c r="C1" s="849" t="s">
        <v>955</v>
      </c>
      <c r="D1" s="850" t="s">
        <v>1500</v>
      </c>
    </row>
    <row r="2" spans="1:14">
      <c r="A2" s="848" t="s">
        <v>832</v>
      </c>
      <c r="B2" s="849" t="s">
        <v>7</v>
      </c>
      <c r="C2" s="849" t="s">
        <v>1218</v>
      </c>
      <c r="D2" s="851">
        <v>18</v>
      </c>
      <c r="G2" s="997"/>
    </row>
    <row r="3" spans="1:14">
      <c r="A3" s="848" t="s">
        <v>1556</v>
      </c>
      <c r="B3" s="849" t="s">
        <v>5</v>
      </c>
      <c r="C3" s="849" t="s">
        <v>1219</v>
      </c>
      <c r="D3" s="851">
        <v>15</v>
      </c>
    </row>
    <row r="4" spans="1:14">
      <c r="A4" s="848" t="s">
        <v>1279</v>
      </c>
      <c r="B4" s="849" t="s">
        <v>6</v>
      </c>
    </row>
    <row r="5" spans="1:14">
      <c r="A5" s="848" t="s">
        <v>1554</v>
      </c>
      <c r="B5" s="849" t="s">
        <v>9</v>
      </c>
      <c r="C5" s="852"/>
    </row>
    <row r="6" spans="1:14">
      <c r="A6" s="848" t="s">
        <v>907</v>
      </c>
      <c r="B6" s="849" t="s">
        <v>1216</v>
      </c>
      <c r="C6" s="852"/>
    </row>
    <row r="7" spans="1:14">
      <c r="A7" s="848" t="s">
        <v>1281</v>
      </c>
      <c r="B7" s="849" t="s">
        <v>1253</v>
      </c>
      <c r="C7" s="852"/>
    </row>
    <row r="8" spans="1:14">
      <c r="A8" s="848" t="s">
        <v>916</v>
      </c>
      <c r="B8" s="849" t="s">
        <v>917</v>
      </c>
      <c r="C8" s="852"/>
    </row>
    <row r="9" spans="1:14">
      <c r="A9" s="848" t="s">
        <v>830</v>
      </c>
      <c r="B9" s="849" t="s">
        <v>831</v>
      </c>
      <c r="C9" s="852"/>
    </row>
    <row r="10" spans="1:14">
      <c r="A10" s="848" t="s">
        <v>1280</v>
      </c>
      <c r="B10" s="849" t="s">
        <v>6</v>
      </c>
      <c r="C10" s="852"/>
    </row>
    <row r="11" spans="1:14">
      <c r="A11" s="853"/>
      <c r="B11" s="852"/>
      <c r="C11" s="852"/>
    </row>
    <row r="12" spans="1:14">
      <c r="B12" s="852"/>
    </row>
    <row r="13" spans="1:14" ht="15.6" customHeight="1"/>
    <row r="14" spans="1:14" ht="15" customHeight="1">
      <c r="A14" s="857" t="s">
        <v>1056</v>
      </c>
      <c r="B14" s="858"/>
      <c r="C14" s="847" t="s">
        <v>1539</v>
      </c>
      <c r="D14" s="847" t="s">
        <v>1540</v>
      </c>
      <c r="E14" s="847" t="s">
        <v>1538</v>
      </c>
      <c r="F14" s="847" t="s">
        <v>1541</v>
      </c>
      <c r="G14" s="847" t="s">
        <v>1542</v>
      </c>
      <c r="H14" s="847" t="s">
        <v>1543</v>
      </c>
      <c r="I14" s="847" t="s">
        <v>1545</v>
      </c>
      <c r="J14" s="847" t="s">
        <v>1546</v>
      </c>
      <c r="K14" s="847" t="s">
        <v>1547</v>
      </c>
      <c r="L14" s="847" t="s">
        <v>1548</v>
      </c>
      <c r="M14" s="847" t="s">
        <v>1549</v>
      </c>
      <c r="N14" s="847" t="s">
        <v>1544</v>
      </c>
    </row>
    <row r="15" spans="1:14" ht="15" customHeight="1">
      <c r="A15" s="854"/>
      <c r="C15" s="848"/>
      <c r="D15" s="848"/>
      <c r="E15" s="859" t="s">
        <v>1058</v>
      </c>
      <c r="F15" s="848"/>
      <c r="G15" s="859" t="s">
        <v>1061</v>
      </c>
      <c r="H15" s="859" t="s">
        <v>1061</v>
      </c>
      <c r="I15" s="859" t="s">
        <v>582</v>
      </c>
      <c r="J15" s="848"/>
      <c r="K15" s="848"/>
      <c r="L15" s="848"/>
      <c r="M15" s="848"/>
    </row>
    <row r="16" spans="1:14">
      <c r="C16" s="859"/>
      <c r="D16" s="859" t="s">
        <v>1058</v>
      </c>
      <c r="E16" s="859" t="s">
        <v>1062</v>
      </c>
      <c r="F16" s="859" t="s">
        <v>1061</v>
      </c>
      <c r="G16" s="859" t="s">
        <v>1063</v>
      </c>
      <c r="H16" s="859" t="s">
        <v>599</v>
      </c>
      <c r="I16" s="859" t="s">
        <v>775</v>
      </c>
      <c r="J16" s="859" t="s">
        <v>749</v>
      </c>
      <c r="K16" s="859" t="s">
        <v>1282</v>
      </c>
      <c r="L16" s="859" t="s">
        <v>984</v>
      </c>
      <c r="M16" s="859" t="s">
        <v>370</v>
      </c>
      <c r="N16" s="859" t="s">
        <v>1064</v>
      </c>
    </row>
    <row r="17" spans="1:14">
      <c r="C17" s="860" t="s">
        <v>1057</v>
      </c>
      <c r="D17" s="861" t="s">
        <v>1059</v>
      </c>
      <c r="E17" s="861" t="s">
        <v>1060</v>
      </c>
      <c r="F17" s="861" t="s">
        <v>1059</v>
      </c>
      <c r="G17" s="861" t="s">
        <v>1060</v>
      </c>
      <c r="H17" s="861" t="s">
        <v>1060</v>
      </c>
      <c r="I17" s="861" t="s">
        <v>1060</v>
      </c>
      <c r="J17" s="861" t="s">
        <v>1059</v>
      </c>
      <c r="K17" s="861" t="s">
        <v>1059</v>
      </c>
      <c r="L17" s="861" t="s">
        <v>1059</v>
      </c>
      <c r="M17" s="861" t="s">
        <v>1059</v>
      </c>
      <c r="N17" s="861" t="s">
        <v>1059</v>
      </c>
    </row>
    <row r="18" spans="1:14">
      <c r="A18" s="854" t="s">
        <v>557</v>
      </c>
      <c r="B18" s="854" t="s">
        <v>10</v>
      </c>
      <c r="C18" s="855"/>
      <c r="E18" s="855"/>
      <c r="F18" s="855"/>
      <c r="G18" s="855"/>
      <c r="H18" s="855"/>
      <c r="I18" s="855"/>
      <c r="J18" s="855"/>
      <c r="K18" s="855"/>
      <c r="L18" s="855"/>
      <c r="M18" s="855"/>
    </row>
    <row r="19" spans="1:14" ht="24.6" customHeight="1">
      <c r="A19" s="849" t="s">
        <v>502</v>
      </c>
      <c r="B19" s="849" t="s">
        <v>941</v>
      </c>
      <c r="C19" s="856"/>
      <c r="E19" s="856"/>
      <c r="F19" s="856"/>
      <c r="G19" s="856"/>
      <c r="H19" s="856"/>
      <c r="I19" s="856"/>
      <c r="J19" s="856"/>
      <c r="K19" s="856"/>
      <c r="L19" s="856"/>
      <c r="M19" s="856"/>
      <c r="N19" s="855" t="s">
        <v>1065</v>
      </c>
    </row>
    <row r="20" spans="1:14" ht="24.6" customHeight="1">
      <c r="A20" s="849" t="s">
        <v>12</v>
      </c>
      <c r="B20" s="849" t="s">
        <v>933</v>
      </c>
    </row>
    <row r="21" spans="1:14" ht="24.6" customHeight="1">
      <c r="A21" s="849" t="s">
        <v>11</v>
      </c>
      <c r="B21" s="849" t="s">
        <v>930</v>
      </c>
      <c r="C21" s="856"/>
      <c r="E21" s="856"/>
      <c r="F21" s="856"/>
      <c r="G21" s="856"/>
      <c r="H21" s="856"/>
      <c r="I21" s="856"/>
      <c r="J21" s="856"/>
      <c r="K21" s="856"/>
      <c r="L21" s="856"/>
      <c r="M21" s="856"/>
    </row>
    <row r="22" spans="1:14" ht="24.6" customHeight="1">
      <c r="A22" s="849" t="s">
        <v>13</v>
      </c>
      <c r="B22" s="849" t="s">
        <v>934</v>
      </c>
      <c r="C22" s="856"/>
      <c r="E22" s="856"/>
      <c r="F22" s="856"/>
      <c r="G22" s="856"/>
      <c r="H22" s="856"/>
      <c r="I22" s="856"/>
      <c r="J22" s="856"/>
      <c r="K22" s="856"/>
      <c r="L22" s="856"/>
      <c r="M22" s="856"/>
    </row>
    <row r="23" spans="1:14" ht="24.6" customHeight="1">
      <c r="A23" s="849" t="s">
        <v>551</v>
      </c>
      <c r="B23" s="849" t="s">
        <v>938</v>
      </c>
      <c r="C23" s="856"/>
      <c r="E23" s="856"/>
      <c r="F23" s="856"/>
      <c r="G23" s="856"/>
      <c r="H23" s="856"/>
      <c r="I23" s="856"/>
      <c r="J23" s="856"/>
      <c r="K23" s="856"/>
      <c r="L23" s="856"/>
      <c r="M23" s="856"/>
    </row>
    <row r="24" spans="1:14" ht="24.6" customHeight="1">
      <c r="A24" s="849" t="s">
        <v>552</v>
      </c>
      <c r="B24" s="849" t="s">
        <v>937</v>
      </c>
      <c r="C24" s="856"/>
      <c r="E24" s="856"/>
      <c r="F24" s="856"/>
      <c r="G24" s="856"/>
      <c r="H24" s="856"/>
      <c r="I24" s="856"/>
      <c r="J24" s="856"/>
      <c r="K24" s="856"/>
      <c r="L24" s="856"/>
      <c r="M24" s="856"/>
    </row>
    <row r="25" spans="1:14" ht="24.6" customHeight="1">
      <c r="A25" s="849" t="s">
        <v>553</v>
      </c>
      <c r="B25" s="849" t="s">
        <v>939</v>
      </c>
      <c r="C25" s="856"/>
      <c r="E25" s="856"/>
      <c r="F25" s="856"/>
      <c r="G25" s="856"/>
      <c r="H25" s="856"/>
      <c r="I25" s="856"/>
      <c r="J25" s="856"/>
      <c r="K25" s="856"/>
      <c r="L25" s="856"/>
      <c r="M25" s="856"/>
    </row>
    <row r="26" spans="1:14" ht="24.6" customHeight="1">
      <c r="A26" s="849" t="s">
        <v>496</v>
      </c>
      <c r="B26" s="849" t="s">
        <v>935</v>
      </c>
      <c r="C26" s="856"/>
      <c r="E26" s="856"/>
      <c r="F26" s="856"/>
      <c r="G26" s="856"/>
      <c r="H26" s="856"/>
      <c r="I26" s="856"/>
      <c r="J26" s="856"/>
      <c r="K26" s="856"/>
      <c r="L26" s="856"/>
      <c r="M26" s="856"/>
    </row>
    <row r="27" spans="1:14" ht="24.6" customHeight="1">
      <c r="A27" s="849" t="s">
        <v>554</v>
      </c>
      <c r="B27" s="849" t="s">
        <v>936</v>
      </c>
      <c r="C27" s="856"/>
      <c r="E27" s="856"/>
      <c r="F27" s="856"/>
      <c r="G27" s="856"/>
      <c r="H27" s="856"/>
      <c r="I27" s="856"/>
      <c r="J27" s="856"/>
      <c r="K27" s="856"/>
      <c r="L27" s="856"/>
      <c r="M27" s="856"/>
    </row>
    <row r="28" spans="1:14" ht="24.6" customHeight="1">
      <c r="A28" s="849" t="s">
        <v>497</v>
      </c>
      <c r="B28" s="849" t="s">
        <v>929</v>
      </c>
      <c r="C28" s="856"/>
      <c r="E28" s="856"/>
      <c r="F28" s="856"/>
      <c r="G28" s="856"/>
      <c r="H28" s="856"/>
      <c r="I28" s="856"/>
      <c r="J28" s="856"/>
      <c r="K28" s="856"/>
      <c r="L28" s="856"/>
      <c r="M28" s="856"/>
    </row>
    <row r="29" spans="1:14" ht="24.6" customHeight="1">
      <c r="A29" s="849" t="s">
        <v>499</v>
      </c>
      <c r="B29" s="849" t="s">
        <v>942</v>
      </c>
      <c r="C29" s="856"/>
      <c r="E29" s="856"/>
      <c r="F29" s="856"/>
      <c r="G29" s="856"/>
      <c r="H29" s="856"/>
      <c r="I29" s="856"/>
      <c r="J29" s="856"/>
      <c r="K29" s="856"/>
      <c r="L29" s="856"/>
      <c r="M29" s="856"/>
    </row>
    <row r="30" spans="1:14" ht="24.6" customHeight="1">
      <c r="A30" s="849" t="s">
        <v>498</v>
      </c>
      <c r="B30" s="849" t="s">
        <v>931</v>
      </c>
      <c r="C30" s="856"/>
      <c r="E30" s="856"/>
      <c r="F30" s="856"/>
      <c r="G30" s="856"/>
      <c r="H30" s="856"/>
      <c r="I30" s="856"/>
      <c r="J30" s="856"/>
      <c r="K30" s="856"/>
      <c r="L30" s="856"/>
      <c r="M30" s="856"/>
    </row>
    <row r="31" spans="1:14" ht="24.6" customHeight="1">
      <c r="A31" s="849" t="s">
        <v>500</v>
      </c>
      <c r="B31" s="849" t="s">
        <v>928</v>
      </c>
      <c r="C31" s="856"/>
      <c r="E31" s="856"/>
      <c r="F31" s="856"/>
      <c r="G31" s="856"/>
      <c r="H31" s="856"/>
      <c r="I31" s="856"/>
      <c r="J31" s="856"/>
      <c r="K31" s="856"/>
      <c r="L31" s="856"/>
      <c r="M31" s="856"/>
    </row>
    <row r="32" spans="1:14" ht="24.6" customHeight="1">
      <c r="A32" s="849" t="s">
        <v>501</v>
      </c>
      <c r="B32" s="849" t="s">
        <v>940</v>
      </c>
      <c r="C32" s="856"/>
      <c r="E32" s="856"/>
      <c r="F32" s="856"/>
      <c r="G32" s="856"/>
      <c r="H32" s="856"/>
      <c r="I32" s="856"/>
      <c r="J32" s="856"/>
      <c r="K32" s="856"/>
      <c r="L32" s="856"/>
      <c r="M32" s="856"/>
    </row>
    <row r="33" spans="1:13" ht="24.6" customHeight="1">
      <c r="A33" s="849" t="s">
        <v>555</v>
      </c>
      <c r="B33" s="849" t="s">
        <v>927</v>
      </c>
      <c r="C33" s="856"/>
      <c r="E33" s="856"/>
      <c r="F33" s="856"/>
      <c r="G33" s="856"/>
      <c r="H33" s="856"/>
      <c r="I33" s="856"/>
      <c r="J33" s="856"/>
      <c r="K33" s="856"/>
      <c r="L33" s="856"/>
      <c r="M33" s="856"/>
    </row>
    <row r="34" spans="1:13" ht="24.6" customHeight="1">
      <c r="A34" s="849" t="s">
        <v>556</v>
      </c>
      <c r="B34" s="849" t="s">
        <v>932</v>
      </c>
      <c r="C34" s="856"/>
    </row>
    <row r="35" spans="1:13" ht="19.149999999999999" customHeight="1">
      <c r="A35" s="849" t="s">
        <v>343</v>
      </c>
      <c r="D35" s="849" t="s">
        <v>343</v>
      </c>
      <c r="E35" s="849" t="s">
        <v>343</v>
      </c>
      <c r="F35" s="849" t="s">
        <v>343</v>
      </c>
      <c r="G35" s="849" t="s">
        <v>343</v>
      </c>
      <c r="H35" s="849" t="s">
        <v>343</v>
      </c>
      <c r="I35" s="849" t="s">
        <v>343</v>
      </c>
      <c r="J35" s="849" t="s">
        <v>343</v>
      </c>
      <c r="K35" s="849" t="s">
        <v>343</v>
      </c>
      <c r="L35" s="849" t="s">
        <v>343</v>
      </c>
      <c r="M35" s="849" t="s">
        <v>343</v>
      </c>
    </row>
    <row r="36" spans="1:13" ht="19.149999999999999" customHeight="1">
      <c r="B36" s="856"/>
      <c r="D36" s="852"/>
      <c r="E36" s="852"/>
      <c r="F36" s="852"/>
      <c r="G36" s="852"/>
      <c r="H36" s="852"/>
      <c r="I36" s="852"/>
      <c r="J36" s="852"/>
      <c r="K36" s="852"/>
      <c r="L36" s="852"/>
      <c r="M36" s="852"/>
    </row>
    <row r="37" spans="1:13" ht="19.149999999999999" customHeight="1">
      <c r="B37" s="856"/>
      <c r="D37" s="852"/>
      <c r="E37" s="852"/>
      <c r="F37" s="852"/>
      <c r="G37" s="852"/>
      <c r="H37" s="852"/>
      <c r="I37" s="852"/>
      <c r="J37" s="852"/>
      <c r="K37" s="852"/>
      <c r="L37" s="852"/>
      <c r="M37" s="852"/>
    </row>
    <row r="38" spans="1:13" ht="19.149999999999999" customHeight="1">
      <c r="B38" s="856"/>
      <c r="D38" s="852"/>
    </row>
    <row r="39" spans="1:13" ht="19.149999999999999" customHeight="1">
      <c r="B39" s="856"/>
    </row>
    <row r="40" spans="1:13" ht="19.149999999999999" customHeight="1">
      <c r="B40" s="856"/>
    </row>
    <row r="41" spans="1:13" ht="19.149999999999999" customHeight="1">
      <c r="B41" s="856"/>
    </row>
    <row r="42" spans="1:13" ht="19.149999999999999" customHeight="1">
      <c r="B42" s="856"/>
    </row>
    <row r="43" spans="1:13" ht="19.149999999999999" customHeight="1">
      <c r="B43" s="856"/>
    </row>
    <row r="44" spans="1:13" ht="19.149999999999999" customHeight="1"/>
    <row r="45" spans="1:13" ht="19.149999999999999" customHeight="1"/>
    <row r="46" spans="1:13" ht="19.149999999999999" customHeight="1"/>
    <row r="47" spans="1:13" ht="19.149999999999999" customHeight="1"/>
    <row r="48" spans="1:13" ht="19.149999999999999" customHeight="1"/>
    <row r="49" ht="19.149999999999999" customHeight="1"/>
    <row r="50" ht="19.149999999999999" customHeight="1"/>
    <row r="51" ht="19.149999999999999" customHeight="1"/>
    <row r="52" ht="19.149999999999999" customHeight="1"/>
    <row r="53" ht="19.149999999999999" customHeight="1"/>
    <row r="54" ht="19.149999999999999" customHeight="1"/>
    <row r="55" ht="19.149999999999999" customHeight="1"/>
    <row r="56" ht="19.149999999999999" customHeight="1"/>
  </sheetData>
  <phoneticPr fontId="0" type="noConversion"/>
  <pageMargins left="0.75" right="0.75" top="1" bottom="1" header="0.5" footer="0.5"/>
  <pageSetup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1" r:id="rId4" name="Button 9">
              <controlPr defaultSize="0" print="0" autoFill="0" autoPict="0" macro="[0]!Print_All.print_SCH_E3_2">
                <anchor moveWithCells="1">
                  <from>
                    <xdr:col>2</xdr:col>
                    <xdr:colOff>133350</xdr:colOff>
                    <xdr:row>34</xdr:row>
                    <xdr:rowOff>209550</xdr:rowOff>
                  </from>
                  <to>
                    <xdr:col>2</xdr:col>
                    <xdr:colOff>1047750</xdr:colOff>
                    <xdr:row>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" name="Button 67">
              <controlPr defaultSize="0" print="0" autoFill="0" autoPict="0" macro="[0]!print_SUMMARY">
                <anchor moveWithCells="1">
                  <from>
                    <xdr:col>2</xdr:col>
                    <xdr:colOff>142875</xdr:colOff>
                    <xdr:row>18</xdr:row>
                    <xdr:rowOff>19050</xdr:rowOff>
                  </from>
                  <to>
                    <xdr:col>2</xdr:col>
                    <xdr:colOff>1019175</xdr:colOff>
                    <xdr:row>18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" name="Button 79">
              <controlPr defaultSize="0" print="0" autoFill="0" autoPict="0" macro="[0]!print_GROSSPLANT">
                <anchor moveWithCells="1">
                  <from>
                    <xdr:col>2</xdr:col>
                    <xdr:colOff>142875</xdr:colOff>
                    <xdr:row>19</xdr:row>
                    <xdr:rowOff>19050</xdr:rowOff>
                  </from>
                  <to>
                    <xdr:col>2</xdr:col>
                    <xdr:colOff>1019175</xdr:colOff>
                    <xdr:row>19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7" name="Button 80">
              <controlPr defaultSize="0" print="0" autoFill="0" autoPict="0" macro="[0]!print_DEPRECIATION_RESERVE">
                <anchor moveWithCells="1">
                  <from>
                    <xdr:col>2</xdr:col>
                    <xdr:colOff>142875</xdr:colOff>
                    <xdr:row>20</xdr:row>
                    <xdr:rowOff>19050</xdr:rowOff>
                  </from>
                  <to>
                    <xdr:col>2</xdr:col>
                    <xdr:colOff>1019175</xdr:colOff>
                    <xdr:row>20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3" r:id="rId8" name="Button 81">
              <controlPr defaultSize="0" print="0" autoFill="0" autoPict="0" macro="[0]!print_NET_PLANT">
                <anchor moveWithCells="1">
                  <from>
                    <xdr:col>2</xdr:col>
                    <xdr:colOff>142875</xdr:colOff>
                    <xdr:row>21</xdr:row>
                    <xdr:rowOff>19050</xdr:rowOff>
                  </from>
                  <to>
                    <xdr:col>2</xdr:col>
                    <xdr:colOff>1019175</xdr:colOff>
                    <xdr:row>21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4" r:id="rId9" name="Button 82">
              <controlPr defaultSize="0" print="0" autoFill="0" autoPict="0" macro="[0]!print_SUBTRACTIVE_ADJ">
                <anchor moveWithCells="1">
                  <from>
                    <xdr:col>2</xdr:col>
                    <xdr:colOff>142875</xdr:colOff>
                    <xdr:row>22</xdr:row>
                    <xdr:rowOff>19050</xdr:rowOff>
                  </from>
                  <to>
                    <xdr:col>2</xdr:col>
                    <xdr:colOff>1019175</xdr:colOff>
                    <xdr:row>22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5" r:id="rId10" name="Button 83">
              <controlPr defaultSize="0" print="0" autoFill="0" autoPict="0" macro="[0]!print_ADDITIVE_ADJ">
                <anchor moveWithCells="1">
                  <from>
                    <xdr:col>2</xdr:col>
                    <xdr:colOff>142875</xdr:colOff>
                    <xdr:row>23</xdr:row>
                    <xdr:rowOff>9525</xdr:rowOff>
                  </from>
                  <to>
                    <xdr:col>2</xdr:col>
                    <xdr:colOff>1019175</xdr:colOff>
                    <xdr:row>23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6" r:id="rId11" name="Button 84">
              <controlPr defaultSize="0" print="0" autoFill="0" autoPict="0" macro="[0]!print_RATE_BASE">
                <anchor moveWithCells="1">
                  <from>
                    <xdr:col>2</xdr:col>
                    <xdr:colOff>142875</xdr:colOff>
                    <xdr:row>24</xdr:row>
                    <xdr:rowOff>9525</xdr:rowOff>
                  </from>
                  <to>
                    <xdr:col>2</xdr:col>
                    <xdr:colOff>1019175</xdr:colOff>
                    <xdr:row>24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7" r:id="rId12" name="Button 85">
              <controlPr defaultSize="0" print="0" autoFill="0" autoPict="0" macro="[0]!print_OMEXP_6">
                <anchor moveWithCells="1">
                  <from>
                    <xdr:col>2</xdr:col>
                    <xdr:colOff>142875</xdr:colOff>
                    <xdr:row>25</xdr:row>
                    <xdr:rowOff>9525</xdr:rowOff>
                  </from>
                  <to>
                    <xdr:col>2</xdr:col>
                    <xdr:colOff>1019175</xdr:colOff>
                    <xdr:row>25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8" r:id="rId13" name="Button 86">
              <controlPr defaultSize="0" print="0" autoFill="0" autoPict="0" macro="[0]!print_OMEXP_6_1">
                <anchor moveWithCells="1">
                  <from>
                    <xdr:col>2</xdr:col>
                    <xdr:colOff>142875</xdr:colOff>
                    <xdr:row>26</xdr:row>
                    <xdr:rowOff>9525</xdr:rowOff>
                  </from>
                  <to>
                    <xdr:col>2</xdr:col>
                    <xdr:colOff>1019175</xdr:colOff>
                    <xdr:row>26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9" r:id="rId14" name="Button 87">
              <controlPr defaultSize="0" print="0" autoFill="0" autoPict="0" macro="[0]!print_DEPRECIATION_EXPENSE">
                <anchor moveWithCells="1">
                  <from>
                    <xdr:col>2</xdr:col>
                    <xdr:colOff>142875</xdr:colOff>
                    <xdr:row>27</xdr:row>
                    <xdr:rowOff>0</xdr:rowOff>
                  </from>
                  <to>
                    <xdr:col>2</xdr:col>
                    <xdr:colOff>1019175</xdr:colOff>
                    <xdr:row>27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0" r:id="rId15" name="Button 88">
              <controlPr defaultSize="0" print="0" autoFill="0" autoPict="0" macro="[0]!print_OTHER_TAXES">
                <anchor moveWithCells="1">
                  <from>
                    <xdr:col>2</xdr:col>
                    <xdr:colOff>142875</xdr:colOff>
                    <xdr:row>28</xdr:row>
                    <xdr:rowOff>0</xdr:rowOff>
                  </from>
                  <to>
                    <xdr:col>2</xdr:col>
                    <xdr:colOff>1019175</xdr:colOff>
                    <xdr:row>28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1" r:id="rId16" name="Button 89">
              <controlPr defaultSize="0" print="0" autoFill="0" autoPict="0" macro="[0]!print_FIT_RETURN">
                <anchor moveWithCells="1">
                  <from>
                    <xdr:col>2</xdr:col>
                    <xdr:colOff>142875</xdr:colOff>
                    <xdr:row>29</xdr:row>
                    <xdr:rowOff>0</xdr:rowOff>
                  </from>
                  <to>
                    <xdr:col>2</xdr:col>
                    <xdr:colOff>1019175</xdr:colOff>
                    <xdr:row>29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2" r:id="rId17" name="Button 90">
              <controlPr defaultSize="0" print="0" autoFill="0" autoPict="0" macro="[0]!print_COSCOMPUTE">
                <anchor moveWithCells="1">
                  <from>
                    <xdr:col>2</xdr:col>
                    <xdr:colOff>142875</xdr:colOff>
                    <xdr:row>29</xdr:row>
                    <xdr:rowOff>304800</xdr:rowOff>
                  </from>
                  <to>
                    <xdr:col>2</xdr:col>
                    <xdr:colOff>1019175</xdr:colOff>
                    <xdr:row>30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3" r:id="rId18" name="Button 91">
              <controlPr defaultSize="0" print="0" autoFill="0" autoPict="0" macro="[0]!print_RATE_OF_RETURN">
                <anchor moveWithCells="1">
                  <from>
                    <xdr:col>2</xdr:col>
                    <xdr:colOff>142875</xdr:colOff>
                    <xdr:row>30</xdr:row>
                    <xdr:rowOff>304800</xdr:rowOff>
                  </from>
                  <to>
                    <xdr:col>2</xdr:col>
                    <xdr:colOff>1019175</xdr:colOff>
                    <xdr:row>31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5" r:id="rId19" name="Button 93">
              <controlPr defaultSize="0" print="0" autoFill="0" autoPict="0" macro="[0]!print_ALLOCATORS">
                <anchor moveWithCells="1">
                  <from>
                    <xdr:col>2</xdr:col>
                    <xdr:colOff>142875</xdr:colOff>
                    <xdr:row>31</xdr:row>
                    <xdr:rowOff>304800</xdr:rowOff>
                  </from>
                  <to>
                    <xdr:col>2</xdr:col>
                    <xdr:colOff>1019175</xdr:colOff>
                    <xdr:row>32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6" r:id="rId20" name="Button 94">
              <controlPr defaultSize="0" print="0" autoFill="0" autoPict="0" macro="[0]!print_SUMMARY_E3_2a">
                <anchor moveWithCells="1">
                  <from>
                    <xdr:col>3</xdr:col>
                    <xdr:colOff>114300</xdr:colOff>
                    <xdr:row>18</xdr:row>
                    <xdr:rowOff>19050</xdr:rowOff>
                  </from>
                  <to>
                    <xdr:col>3</xdr:col>
                    <xdr:colOff>1047750</xdr:colOff>
                    <xdr:row>18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7" r:id="rId21" name="Button 95">
              <controlPr defaultSize="0" print="0" autoFill="0" autoPict="0" macro="[0]!print_GROSSPLANT_E3_2a">
                <anchor moveWithCells="1">
                  <from>
                    <xdr:col>3</xdr:col>
                    <xdr:colOff>114300</xdr:colOff>
                    <xdr:row>19</xdr:row>
                    <xdr:rowOff>19050</xdr:rowOff>
                  </from>
                  <to>
                    <xdr:col>3</xdr:col>
                    <xdr:colOff>1047750</xdr:colOff>
                    <xdr:row>19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8" r:id="rId22" name="Button 96">
              <controlPr defaultSize="0" print="0" autoFill="0" autoPict="0" macro="[0]!print_DEPRECIATION_RESERVE_E3_2a">
                <anchor moveWithCells="1">
                  <from>
                    <xdr:col>3</xdr:col>
                    <xdr:colOff>114300</xdr:colOff>
                    <xdr:row>20</xdr:row>
                    <xdr:rowOff>19050</xdr:rowOff>
                  </from>
                  <to>
                    <xdr:col>3</xdr:col>
                    <xdr:colOff>1028700</xdr:colOff>
                    <xdr:row>20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9" r:id="rId23" name="Button 97">
              <controlPr defaultSize="0" print="0" autoFill="0" autoPict="0" macro="[0]!print_NET_PLANT_E3_2a">
                <anchor moveWithCells="1">
                  <from>
                    <xdr:col>3</xdr:col>
                    <xdr:colOff>114300</xdr:colOff>
                    <xdr:row>21</xdr:row>
                    <xdr:rowOff>19050</xdr:rowOff>
                  </from>
                  <to>
                    <xdr:col>3</xdr:col>
                    <xdr:colOff>1009650</xdr:colOff>
                    <xdr:row>21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0" r:id="rId24" name="Button 98">
              <controlPr defaultSize="0" print="0" autoFill="0" autoPict="0" macro="[0]!print_SUBTRACTIVE_ADJ_E3_2a">
                <anchor moveWithCells="1">
                  <from>
                    <xdr:col>3</xdr:col>
                    <xdr:colOff>133350</xdr:colOff>
                    <xdr:row>22</xdr:row>
                    <xdr:rowOff>19050</xdr:rowOff>
                  </from>
                  <to>
                    <xdr:col>3</xdr:col>
                    <xdr:colOff>1028700</xdr:colOff>
                    <xdr:row>22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1" r:id="rId25" name="Button 99">
              <controlPr defaultSize="0" print="0" autoFill="0" autoPict="0" macro="[0]!print_ADDITIVE_ADJ_E3_2a">
                <anchor moveWithCells="1">
                  <from>
                    <xdr:col>3</xdr:col>
                    <xdr:colOff>133350</xdr:colOff>
                    <xdr:row>23</xdr:row>
                    <xdr:rowOff>9525</xdr:rowOff>
                  </from>
                  <to>
                    <xdr:col>3</xdr:col>
                    <xdr:colOff>1028700</xdr:colOff>
                    <xdr:row>23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2" r:id="rId26" name="Button 100">
              <controlPr defaultSize="0" print="0" autoFill="0" autoPict="0" macro="[0]!print_RATE_BASE_E3_2a">
                <anchor moveWithCells="1">
                  <from>
                    <xdr:col>3</xdr:col>
                    <xdr:colOff>133350</xdr:colOff>
                    <xdr:row>24</xdr:row>
                    <xdr:rowOff>9525</xdr:rowOff>
                  </from>
                  <to>
                    <xdr:col>3</xdr:col>
                    <xdr:colOff>1009650</xdr:colOff>
                    <xdr:row>24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3" r:id="rId27" name="Button 101">
              <controlPr defaultSize="0" print="0" autoFill="0" autoPict="0" macro="[0]!print_OMEXP_6_E3_2a">
                <anchor moveWithCells="1">
                  <from>
                    <xdr:col>3</xdr:col>
                    <xdr:colOff>133350</xdr:colOff>
                    <xdr:row>25</xdr:row>
                    <xdr:rowOff>9525</xdr:rowOff>
                  </from>
                  <to>
                    <xdr:col>3</xdr:col>
                    <xdr:colOff>1009650</xdr:colOff>
                    <xdr:row>25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4" r:id="rId28" name="Button 102">
              <controlPr defaultSize="0" print="0" autoFill="0" autoPict="0" macro="[0]!print_OMEXP_6_1_E3_2a">
                <anchor moveWithCells="1">
                  <from>
                    <xdr:col>3</xdr:col>
                    <xdr:colOff>142875</xdr:colOff>
                    <xdr:row>26</xdr:row>
                    <xdr:rowOff>9525</xdr:rowOff>
                  </from>
                  <to>
                    <xdr:col>3</xdr:col>
                    <xdr:colOff>1009650</xdr:colOff>
                    <xdr:row>26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5" r:id="rId29" name="Button 103">
              <controlPr defaultSize="0" print="0" autoFill="0" autoPict="0" macro="[0]!print_DEPRECIATION_EXPENSE_E3_2a">
                <anchor moveWithCells="1">
                  <from>
                    <xdr:col>3</xdr:col>
                    <xdr:colOff>142875</xdr:colOff>
                    <xdr:row>27</xdr:row>
                    <xdr:rowOff>0</xdr:rowOff>
                  </from>
                  <to>
                    <xdr:col>3</xdr:col>
                    <xdr:colOff>1009650</xdr:colOff>
                    <xdr:row>27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6" r:id="rId30" name="Button 104">
              <controlPr defaultSize="0" print="0" autoFill="0" autoPict="0" macro="[0]!print_OTHER_TAXES_E3_2a">
                <anchor moveWithCells="1">
                  <from>
                    <xdr:col>3</xdr:col>
                    <xdr:colOff>142875</xdr:colOff>
                    <xdr:row>28</xdr:row>
                    <xdr:rowOff>0</xdr:rowOff>
                  </from>
                  <to>
                    <xdr:col>3</xdr:col>
                    <xdr:colOff>1009650</xdr:colOff>
                    <xdr:row>28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7" r:id="rId31" name="Button 105">
              <controlPr defaultSize="0" print="0" autoFill="0" autoPict="0" macro="[0]!print_FIT_RETURN_E3_2a">
                <anchor moveWithCells="1">
                  <from>
                    <xdr:col>3</xdr:col>
                    <xdr:colOff>133350</xdr:colOff>
                    <xdr:row>29</xdr:row>
                    <xdr:rowOff>0</xdr:rowOff>
                  </from>
                  <to>
                    <xdr:col>3</xdr:col>
                    <xdr:colOff>1047750</xdr:colOff>
                    <xdr:row>29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8" r:id="rId32" name="Button 106">
              <controlPr defaultSize="0" print="0" autoFill="0" autoPict="0" macro="[0]!print_COSCOMPUTE_E3_2a">
                <anchor moveWithCells="1">
                  <from>
                    <xdr:col>3</xdr:col>
                    <xdr:colOff>152400</xdr:colOff>
                    <xdr:row>30</xdr:row>
                    <xdr:rowOff>19050</xdr:rowOff>
                  </from>
                  <to>
                    <xdr:col>3</xdr:col>
                    <xdr:colOff>1009650</xdr:colOff>
                    <xdr:row>30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9" r:id="rId33" name="Button 107">
              <controlPr defaultSize="0" print="0" autoFill="0" autoPict="0" macro="[0]!print_RATE_OF_RETURN_E3_2a">
                <anchor moveWithCells="1">
                  <from>
                    <xdr:col>3</xdr:col>
                    <xdr:colOff>114300</xdr:colOff>
                    <xdr:row>31</xdr:row>
                    <xdr:rowOff>9525</xdr:rowOff>
                  </from>
                  <to>
                    <xdr:col>3</xdr:col>
                    <xdr:colOff>1009650</xdr:colOff>
                    <xdr:row>31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0" r:id="rId34" name="Button 108">
              <controlPr defaultSize="0" print="0" autoFill="0" autoPict="0" macro="[0]!print_ALLOCATORS_E3_2a">
                <anchor moveWithCells="1">
                  <from>
                    <xdr:col>3</xdr:col>
                    <xdr:colOff>133350</xdr:colOff>
                    <xdr:row>31</xdr:row>
                    <xdr:rowOff>304800</xdr:rowOff>
                  </from>
                  <to>
                    <xdr:col>3</xdr:col>
                    <xdr:colOff>990600</xdr:colOff>
                    <xdr:row>32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0" r:id="rId35" name="Button 128">
              <controlPr defaultSize="0" print="0" autoFill="0" autoPict="0" macro="[0]!Print_All.print_SCH_E3_2a">
                <anchor moveWithCells="1">
                  <from>
                    <xdr:col>3</xdr:col>
                    <xdr:colOff>152400</xdr:colOff>
                    <xdr:row>34</xdr:row>
                    <xdr:rowOff>209550</xdr:rowOff>
                  </from>
                  <to>
                    <xdr:col>3</xdr:col>
                    <xdr:colOff>1047750</xdr:colOff>
                    <xdr:row>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1" r:id="rId36" name="Button 129">
              <controlPr defaultSize="0" print="0" autoFill="0" autoPict="0" macro="[0]!print_SUMMARY_E3_2b">
                <anchor moveWithCells="1">
                  <from>
                    <xdr:col>4</xdr:col>
                    <xdr:colOff>142875</xdr:colOff>
                    <xdr:row>18</xdr:row>
                    <xdr:rowOff>19050</xdr:rowOff>
                  </from>
                  <to>
                    <xdr:col>4</xdr:col>
                    <xdr:colOff>1019175</xdr:colOff>
                    <xdr:row>18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2" r:id="rId37" name="Button 130">
              <controlPr defaultSize="0" print="0" autoFill="0" autoPict="0" macro="[0]!print_GROSSPLANT_E3_2b">
                <anchor moveWithCells="1">
                  <from>
                    <xdr:col>4</xdr:col>
                    <xdr:colOff>142875</xdr:colOff>
                    <xdr:row>19</xdr:row>
                    <xdr:rowOff>19050</xdr:rowOff>
                  </from>
                  <to>
                    <xdr:col>4</xdr:col>
                    <xdr:colOff>1019175</xdr:colOff>
                    <xdr:row>19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3" r:id="rId38" name="Button 131">
              <controlPr defaultSize="0" print="0" autoFill="0" autoPict="0" macro="[0]!print_DEPRECIATION_RESERVE_E3_2b">
                <anchor moveWithCells="1">
                  <from>
                    <xdr:col>4</xdr:col>
                    <xdr:colOff>142875</xdr:colOff>
                    <xdr:row>20</xdr:row>
                    <xdr:rowOff>19050</xdr:rowOff>
                  </from>
                  <to>
                    <xdr:col>4</xdr:col>
                    <xdr:colOff>1019175</xdr:colOff>
                    <xdr:row>20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4" r:id="rId39" name="Button 132">
              <controlPr defaultSize="0" print="0" autoFill="0" autoPict="0" macro="[0]!print_NET_PLANT_E3_2b">
                <anchor moveWithCells="1">
                  <from>
                    <xdr:col>4</xdr:col>
                    <xdr:colOff>142875</xdr:colOff>
                    <xdr:row>21</xdr:row>
                    <xdr:rowOff>19050</xdr:rowOff>
                  </from>
                  <to>
                    <xdr:col>4</xdr:col>
                    <xdr:colOff>1019175</xdr:colOff>
                    <xdr:row>21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5" r:id="rId40" name="Button 133">
              <controlPr defaultSize="0" print="0" autoFill="0" autoPict="0" macro="[0]!print_SUBTRACTIVE_ADJ_E3_2b">
                <anchor moveWithCells="1">
                  <from>
                    <xdr:col>4</xdr:col>
                    <xdr:colOff>142875</xdr:colOff>
                    <xdr:row>22</xdr:row>
                    <xdr:rowOff>19050</xdr:rowOff>
                  </from>
                  <to>
                    <xdr:col>4</xdr:col>
                    <xdr:colOff>1019175</xdr:colOff>
                    <xdr:row>22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6" r:id="rId41" name="Button 134">
              <controlPr defaultSize="0" print="0" autoFill="0" autoPict="0" macro="[0]!print_ADDITIVE_ADJ_E3_2b">
                <anchor moveWithCells="1">
                  <from>
                    <xdr:col>4</xdr:col>
                    <xdr:colOff>142875</xdr:colOff>
                    <xdr:row>23</xdr:row>
                    <xdr:rowOff>9525</xdr:rowOff>
                  </from>
                  <to>
                    <xdr:col>4</xdr:col>
                    <xdr:colOff>1019175</xdr:colOff>
                    <xdr:row>23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7" r:id="rId42" name="Button 135">
              <controlPr defaultSize="0" print="0" autoFill="0" autoPict="0" macro="[0]!print_RATE_BASE_E3_2b">
                <anchor moveWithCells="1">
                  <from>
                    <xdr:col>4</xdr:col>
                    <xdr:colOff>142875</xdr:colOff>
                    <xdr:row>24</xdr:row>
                    <xdr:rowOff>9525</xdr:rowOff>
                  </from>
                  <to>
                    <xdr:col>4</xdr:col>
                    <xdr:colOff>1019175</xdr:colOff>
                    <xdr:row>24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8" r:id="rId43" name="Button 136">
              <controlPr defaultSize="0" print="0" autoFill="0" autoPict="0" macro="[0]!print_OMEXP_6_E3_2b">
                <anchor moveWithCells="1">
                  <from>
                    <xdr:col>4</xdr:col>
                    <xdr:colOff>142875</xdr:colOff>
                    <xdr:row>25</xdr:row>
                    <xdr:rowOff>9525</xdr:rowOff>
                  </from>
                  <to>
                    <xdr:col>4</xdr:col>
                    <xdr:colOff>1019175</xdr:colOff>
                    <xdr:row>25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9" r:id="rId44" name="Button 137">
              <controlPr defaultSize="0" print="0" autoFill="0" autoPict="0" macro="[0]!print_OMEXP_6_1_E3_2b">
                <anchor moveWithCells="1">
                  <from>
                    <xdr:col>4</xdr:col>
                    <xdr:colOff>142875</xdr:colOff>
                    <xdr:row>26</xdr:row>
                    <xdr:rowOff>9525</xdr:rowOff>
                  </from>
                  <to>
                    <xdr:col>4</xdr:col>
                    <xdr:colOff>1019175</xdr:colOff>
                    <xdr:row>26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0" r:id="rId45" name="Button 138">
              <controlPr defaultSize="0" print="0" autoFill="0" autoPict="0" macro="[0]!print_DEPRECIATION_EXPENSE_E3_2b">
                <anchor moveWithCells="1">
                  <from>
                    <xdr:col>4</xdr:col>
                    <xdr:colOff>142875</xdr:colOff>
                    <xdr:row>27</xdr:row>
                    <xdr:rowOff>0</xdr:rowOff>
                  </from>
                  <to>
                    <xdr:col>4</xdr:col>
                    <xdr:colOff>1019175</xdr:colOff>
                    <xdr:row>27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1" r:id="rId46" name="Button 139">
              <controlPr defaultSize="0" print="0" autoFill="0" autoPict="0" macro="[0]!print_OTHER_TAXES_E3_2b">
                <anchor moveWithCells="1">
                  <from>
                    <xdr:col>4</xdr:col>
                    <xdr:colOff>142875</xdr:colOff>
                    <xdr:row>28</xdr:row>
                    <xdr:rowOff>0</xdr:rowOff>
                  </from>
                  <to>
                    <xdr:col>4</xdr:col>
                    <xdr:colOff>1019175</xdr:colOff>
                    <xdr:row>28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2" r:id="rId47" name="Button 140">
              <controlPr defaultSize="0" print="0" autoFill="0" autoPict="0" macro="[0]!print_FIT_RETURN_E3_2b">
                <anchor moveWithCells="1">
                  <from>
                    <xdr:col>4</xdr:col>
                    <xdr:colOff>142875</xdr:colOff>
                    <xdr:row>29</xdr:row>
                    <xdr:rowOff>0</xdr:rowOff>
                  </from>
                  <to>
                    <xdr:col>4</xdr:col>
                    <xdr:colOff>1019175</xdr:colOff>
                    <xdr:row>29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3" r:id="rId48" name="Button 141">
              <controlPr defaultSize="0" print="0" autoFill="0" autoPict="0" macro="[0]!print_COSCOMPUTE_E3_2b">
                <anchor moveWithCells="1">
                  <from>
                    <xdr:col>4</xdr:col>
                    <xdr:colOff>142875</xdr:colOff>
                    <xdr:row>29</xdr:row>
                    <xdr:rowOff>304800</xdr:rowOff>
                  </from>
                  <to>
                    <xdr:col>4</xdr:col>
                    <xdr:colOff>1019175</xdr:colOff>
                    <xdr:row>30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4" r:id="rId49" name="Button 142">
              <controlPr defaultSize="0" print="0" autoFill="0" autoPict="0" macro="[0]!print_RATE_OF_RETURN_E3_2b">
                <anchor moveWithCells="1">
                  <from>
                    <xdr:col>4</xdr:col>
                    <xdr:colOff>142875</xdr:colOff>
                    <xdr:row>30</xdr:row>
                    <xdr:rowOff>304800</xdr:rowOff>
                  </from>
                  <to>
                    <xdr:col>4</xdr:col>
                    <xdr:colOff>1019175</xdr:colOff>
                    <xdr:row>31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5" r:id="rId50" name="Button 143">
              <controlPr defaultSize="0" print="0" autoFill="0" autoPict="0" macro="[0]!print_ALLOCATORS_E3_2b">
                <anchor moveWithCells="1">
                  <from>
                    <xdr:col>4</xdr:col>
                    <xdr:colOff>142875</xdr:colOff>
                    <xdr:row>31</xdr:row>
                    <xdr:rowOff>304800</xdr:rowOff>
                  </from>
                  <to>
                    <xdr:col>4</xdr:col>
                    <xdr:colOff>1019175</xdr:colOff>
                    <xdr:row>32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7" r:id="rId51" name="Button 145">
              <controlPr defaultSize="0" print="0" autoFill="0" autoPict="0" macro="[0]!print_SUMMARY_E3_2c">
                <anchor moveWithCells="1">
                  <from>
                    <xdr:col>5</xdr:col>
                    <xdr:colOff>133350</xdr:colOff>
                    <xdr:row>18</xdr:row>
                    <xdr:rowOff>19050</xdr:rowOff>
                  </from>
                  <to>
                    <xdr:col>5</xdr:col>
                    <xdr:colOff>1009650</xdr:colOff>
                    <xdr:row>18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8" r:id="rId52" name="Button 146">
              <controlPr defaultSize="0" print="0" autoFill="0" autoPict="0" macro="[0]!print_GROSSPLANT_E3_2c">
                <anchor moveWithCells="1">
                  <from>
                    <xdr:col>5</xdr:col>
                    <xdr:colOff>133350</xdr:colOff>
                    <xdr:row>19</xdr:row>
                    <xdr:rowOff>19050</xdr:rowOff>
                  </from>
                  <to>
                    <xdr:col>5</xdr:col>
                    <xdr:colOff>1009650</xdr:colOff>
                    <xdr:row>19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9" r:id="rId53" name="Button 147">
              <controlPr defaultSize="0" print="0" autoFill="0" autoPict="0" macro="[0]!print_DEPRECIATION_RESERVE_E3_2c">
                <anchor moveWithCells="1">
                  <from>
                    <xdr:col>5</xdr:col>
                    <xdr:colOff>133350</xdr:colOff>
                    <xdr:row>20</xdr:row>
                    <xdr:rowOff>19050</xdr:rowOff>
                  </from>
                  <to>
                    <xdr:col>5</xdr:col>
                    <xdr:colOff>1009650</xdr:colOff>
                    <xdr:row>20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0" r:id="rId54" name="Button 148">
              <controlPr defaultSize="0" print="0" autoFill="0" autoPict="0" macro="[0]!print_NET_PLANT_E3_2c">
                <anchor moveWithCells="1">
                  <from>
                    <xdr:col>5</xdr:col>
                    <xdr:colOff>133350</xdr:colOff>
                    <xdr:row>21</xdr:row>
                    <xdr:rowOff>19050</xdr:rowOff>
                  </from>
                  <to>
                    <xdr:col>5</xdr:col>
                    <xdr:colOff>1009650</xdr:colOff>
                    <xdr:row>21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1" r:id="rId55" name="Button 149">
              <controlPr defaultSize="0" print="0" autoFill="0" autoPict="0" macro="[0]!print_SUBTRACTIVE_ADJ_E3_2c">
                <anchor moveWithCells="1">
                  <from>
                    <xdr:col>5</xdr:col>
                    <xdr:colOff>133350</xdr:colOff>
                    <xdr:row>22</xdr:row>
                    <xdr:rowOff>19050</xdr:rowOff>
                  </from>
                  <to>
                    <xdr:col>5</xdr:col>
                    <xdr:colOff>1009650</xdr:colOff>
                    <xdr:row>22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2" r:id="rId56" name="Button 150">
              <controlPr defaultSize="0" print="0" autoFill="0" autoPict="0" macro="[0]!print_ADDITIVE_ADJ_E3_2c">
                <anchor moveWithCells="1">
                  <from>
                    <xdr:col>5</xdr:col>
                    <xdr:colOff>133350</xdr:colOff>
                    <xdr:row>23</xdr:row>
                    <xdr:rowOff>9525</xdr:rowOff>
                  </from>
                  <to>
                    <xdr:col>5</xdr:col>
                    <xdr:colOff>1009650</xdr:colOff>
                    <xdr:row>23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3" r:id="rId57" name="Button 151">
              <controlPr defaultSize="0" print="0" autoFill="0" autoPict="0" macro="[0]!print_RATE_BASE_E3_2c">
                <anchor moveWithCells="1">
                  <from>
                    <xdr:col>5</xdr:col>
                    <xdr:colOff>133350</xdr:colOff>
                    <xdr:row>24</xdr:row>
                    <xdr:rowOff>9525</xdr:rowOff>
                  </from>
                  <to>
                    <xdr:col>5</xdr:col>
                    <xdr:colOff>1009650</xdr:colOff>
                    <xdr:row>24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4" r:id="rId58" name="Button 152">
              <controlPr defaultSize="0" print="0" autoFill="0" autoPict="0" macro="[0]!print_OMEXP_6_E3_2c">
                <anchor moveWithCells="1">
                  <from>
                    <xdr:col>5</xdr:col>
                    <xdr:colOff>133350</xdr:colOff>
                    <xdr:row>25</xdr:row>
                    <xdr:rowOff>9525</xdr:rowOff>
                  </from>
                  <to>
                    <xdr:col>5</xdr:col>
                    <xdr:colOff>1009650</xdr:colOff>
                    <xdr:row>25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5" r:id="rId59" name="Button 153">
              <controlPr defaultSize="0" print="0" autoFill="0" autoPict="0" macro="[0]!print_OMEXP_6_1_E3_2c">
                <anchor moveWithCells="1">
                  <from>
                    <xdr:col>5</xdr:col>
                    <xdr:colOff>133350</xdr:colOff>
                    <xdr:row>26</xdr:row>
                    <xdr:rowOff>9525</xdr:rowOff>
                  </from>
                  <to>
                    <xdr:col>5</xdr:col>
                    <xdr:colOff>1009650</xdr:colOff>
                    <xdr:row>26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6" r:id="rId60" name="Button 154">
              <controlPr defaultSize="0" print="0" autoFill="0" autoPict="0" macro="[0]!print_DEPRECIATION_EXPENSE_E3_2c">
                <anchor moveWithCells="1">
                  <from>
                    <xdr:col>5</xdr:col>
                    <xdr:colOff>133350</xdr:colOff>
                    <xdr:row>27</xdr:row>
                    <xdr:rowOff>0</xdr:rowOff>
                  </from>
                  <to>
                    <xdr:col>5</xdr:col>
                    <xdr:colOff>1009650</xdr:colOff>
                    <xdr:row>27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7" r:id="rId61" name="Button 155">
              <controlPr defaultSize="0" print="0" autoFill="0" autoPict="0" macro="[0]!print_OTHER_TAXES_E3_2c">
                <anchor moveWithCells="1">
                  <from>
                    <xdr:col>5</xdr:col>
                    <xdr:colOff>133350</xdr:colOff>
                    <xdr:row>28</xdr:row>
                    <xdr:rowOff>0</xdr:rowOff>
                  </from>
                  <to>
                    <xdr:col>5</xdr:col>
                    <xdr:colOff>1009650</xdr:colOff>
                    <xdr:row>28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8" r:id="rId62" name="Button 156">
              <controlPr defaultSize="0" print="0" autoFill="0" autoPict="0" macro="[0]!print_FIT_RETURN_E3_2c">
                <anchor moveWithCells="1">
                  <from>
                    <xdr:col>5</xdr:col>
                    <xdr:colOff>133350</xdr:colOff>
                    <xdr:row>29</xdr:row>
                    <xdr:rowOff>0</xdr:rowOff>
                  </from>
                  <to>
                    <xdr:col>5</xdr:col>
                    <xdr:colOff>1009650</xdr:colOff>
                    <xdr:row>29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9" r:id="rId63" name="Button 157">
              <controlPr defaultSize="0" print="0" autoFill="0" autoPict="0" macro="[0]!print_COSCOMPUTE_E3_2c">
                <anchor moveWithCells="1">
                  <from>
                    <xdr:col>5</xdr:col>
                    <xdr:colOff>133350</xdr:colOff>
                    <xdr:row>29</xdr:row>
                    <xdr:rowOff>304800</xdr:rowOff>
                  </from>
                  <to>
                    <xdr:col>5</xdr:col>
                    <xdr:colOff>1009650</xdr:colOff>
                    <xdr:row>30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0" r:id="rId64" name="Button 158">
              <controlPr defaultSize="0" print="0" autoFill="0" autoPict="0" macro="[0]!print_RATE_OF_RETURN_E3_2c">
                <anchor moveWithCells="1">
                  <from>
                    <xdr:col>5</xdr:col>
                    <xdr:colOff>133350</xdr:colOff>
                    <xdr:row>30</xdr:row>
                    <xdr:rowOff>304800</xdr:rowOff>
                  </from>
                  <to>
                    <xdr:col>5</xdr:col>
                    <xdr:colOff>1009650</xdr:colOff>
                    <xdr:row>31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1" r:id="rId65" name="Button 159">
              <controlPr defaultSize="0" print="0" autoFill="0" autoPict="0" macro="[0]!print_ALLOCATORS_E3_2c">
                <anchor moveWithCells="1">
                  <from>
                    <xdr:col>5</xdr:col>
                    <xdr:colOff>133350</xdr:colOff>
                    <xdr:row>31</xdr:row>
                    <xdr:rowOff>304800</xdr:rowOff>
                  </from>
                  <to>
                    <xdr:col>5</xdr:col>
                    <xdr:colOff>1009650</xdr:colOff>
                    <xdr:row>32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3" r:id="rId66" name="Button 161">
              <controlPr defaultSize="0" print="0" autoFill="0" autoPict="0" macro="[0]!print_SUMMARY_E3_2d">
                <anchor moveWithCells="1">
                  <from>
                    <xdr:col>6</xdr:col>
                    <xdr:colOff>133350</xdr:colOff>
                    <xdr:row>18</xdr:row>
                    <xdr:rowOff>19050</xdr:rowOff>
                  </from>
                  <to>
                    <xdr:col>6</xdr:col>
                    <xdr:colOff>1009650</xdr:colOff>
                    <xdr:row>18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4" r:id="rId67" name="Button 162">
              <controlPr defaultSize="0" print="0" autoFill="0" autoPict="0" macro="[0]!print_GROSSPLANT_E3_2d">
                <anchor moveWithCells="1">
                  <from>
                    <xdr:col>6</xdr:col>
                    <xdr:colOff>133350</xdr:colOff>
                    <xdr:row>19</xdr:row>
                    <xdr:rowOff>19050</xdr:rowOff>
                  </from>
                  <to>
                    <xdr:col>6</xdr:col>
                    <xdr:colOff>1009650</xdr:colOff>
                    <xdr:row>19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5" r:id="rId68" name="Button 163">
              <controlPr defaultSize="0" print="0" autoFill="0" autoPict="0" macro="[0]!print_DEPRECIATION_RESERVE_E3_2d">
                <anchor moveWithCells="1">
                  <from>
                    <xdr:col>6</xdr:col>
                    <xdr:colOff>133350</xdr:colOff>
                    <xdr:row>20</xdr:row>
                    <xdr:rowOff>19050</xdr:rowOff>
                  </from>
                  <to>
                    <xdr:col>6</xdr:col>
                    <xdr:colOff>1009650</xdr:colOff>
                    <xdr:row>20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6" r:id="rId69" name="Button 164">
              <controlPr defaultSize="0" print="0" autoFill="0" autoPict="0" macro="[0]!print_NET_PLANT_E3_2d">
                <anchor moveWithCells="1">
                  <from>
                    <xdr:col>6</xdr:col>
                    <xdr:colOff>133350</xdr:colOff>
                    <xdr:row>21</xdr:row>
                    <xdr:rowOff>19050</xdr:rowOff>
                  </from>
                  <to>
                    <xdr:col>6</xdr:col>
                    <xdr:colOff>1009650</xdr:colOff>
                    <xdr:row>21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7" r:id="rId70" name="Button 165">
              <controlPr defaultSize="0" print="0" autoFill="0" autoPict="0" macro="[0]!print_SUBTRACTIVE_ADJ_E3_2d">
                <anchor moveWithCells="1">
                  <from>
                    <xdr:col>6</xdr:col>
                    <xdr:colOff>133350</xdr:colOff>
                    <xdr:row>22</xdr:row>
                    <xdr:rowOff>19050</xdr:rowOff>
                  </from>
                  <to>
                    <xdr:col>6</xdr:col>
                    <xdr:colOff>1009650</xdr:colOff>
                    <xdr:row>22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8" r:id="rId71" name="Button 166">
              <controlPr defaultSize="0" print="0" autoFill="0" autoPict="0" macro="[0]!print_ADDITIVE_ADJ_E3_2d">
                <anchor moveWithCells="1">
                  <from>
                    <xdr:col>6</xdr:col>
                    <xdr:colOff>133350</xdr:colOff>
                    <xdr:row>23</xdr:row>
                    <xdr:rowOff>9525</xdr:rowOff>
                  </from>
                  <to>
                    <xdr:col>6</xdr:col>
                    <xdr:colOff>1009650</xdr:colOff>
                    <xdr:row>23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9" r:id="rId72" name="Button 167">
              <controlPr defaultSize="0" print="0" autoFill="0" autoPict="0" macro="[0]!print_RATE_BASE_E3_2d">
                <anchor moveWithCells="1">
                  <from>
                    <xdr:col>6</xdr:col>
                    <xdr:colOff>133350</xdr:colOff>
                    <xdr:row>24</xdr:row>
                    <xdr:rowOff>9525</xdr:rowOff>
                  </from>
                  <to>
                    <xdr:col>6</xdr:col>
                    <xdr:colOff>1009650</xdr:colOff>
                    <xdr:row>24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0" r:id="rId73" name="Button 168">
              <controlPr defaultSize="0" print="0" autoFill="0" autoPict="0" macro="[0]!print_OMEXP_6_E3_2d">
                <anchor moveWithCells="1">
                  <from>
                    <xdr:col>6</xdr:col>
                    <xdr:colOff>133350</xdr:colOff>
                    <xdr:row>25</xdr:row>
                    <xdr:rowOff>9525</xdr:rowOff>
                  </from>
                  <to>
                    <xdr:col>6</xdr:col>
                    <xdr:colOff>1009650</xdr:colOff>
                    <xdr:row>25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1" r:id="rId74" name="Button 169">
              <controlPr defaultSize="0" print="0" autoFill="0" autoPict="0" macro="[0]!print_OMEXP_6_1_E3_2d">
                <anchor moveWithCells="1">
                  <from>
                    <xdr:col>6</xdr:col>
                    <xdr:colOff>133350</xdr:colOff>
                    <xdr:row>26</xdr:row>
                    <xdr:rowOff>9525</xdr:rowOff>
                  </from>
                  <to>
                    <xdr:col>6</xdr:col>
                    <xdr:colOff>1009650</xdr:colOff>
                    <xdr:row>26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2" r:id="rId75" name="Button 170">
              <controlPr defaultSize="0" print="0" autoFill="0" autoPict="0" macro="[0]!print_DEPRECIATION_EXPENSE_E3_2d">
                <anchor moveWithCells="1">
                  <from>
                    <xdr:col>6</xdr:col>
                    <xdr:colOff>133350</xdr:colOff>
                    <xdr:row>27</xdr:row>
                    <xdr:rowOff>0</xdr:rowOff>
                  </from>
                  <to>
                    <xdr:col>6</xdr:col>
                    <xdr:colOff>1009650</xdr:colOff>
                    <xdr:row>27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3" r:id="rId76" name="Button 171">
              <controlPr defaultSize="0" print="0" autoFill="0" autoPict="0" macro="[0]!print_OTHER_TAXES_E3_2d">
                <anchor moveWithCells="1">
                  <from>
                    <xdr:col>6</xdr:col>
                    <xdr:colOff>133350</xdr:colOff>
                    <xdr:row>28</xdr:row>
                    <xdr:rowOff>0</xdr:rowOff>
                  </from>
                  <to>
                    <xdr:col>6</xdr:col>
                    <xdr:colOff>1009650</xdr:colOff>
                    <xdr:row>28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4" r:id="rId77" name="Button 172">
              <controlPr defaultSize="0" print="0" autoFill="0" autoPict="0" macro="[0]!print_FIT_RETURN_E3_2d">
                <anchor moveWithCells="1">
                  <from>
                    <xdr:col>6</xdr:col>
                    <xdr:colOff>133350</xdr:colOff>
                    <xdr:row>29</xdr:row>
                    <xdr:rowOff>0</xdr:rowOff>
                  </from>
                  <to>
                    <xdr:col>6</xdr:col>
                    <xdr:colOff>1009650</xdr:colOff>
                    <xdr:row>29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5" r:id="rId78" name="Button 173">
              <controlPr defaultSize="0" print="0" autoFill="0" autoPict="0" macro="[0]!print_COSCOMPUTE_E3_2d">
                <anchor moveWithCells="1">
                  <from>
                    <xdr:col>6</xdr:col>
                    <xdr:colOff>133350</xdr:colOff>
                    <xdr:row>29</xdr:row>
                    <xdr:rowOff>304800</xdr:rowOff>
                  </from>
                  <to>
                    <xdr:col>6</xdr:col>
                    <xdr:colOff>1009650</xdr:colOff>
                    <xdr:row>30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6" r:id="rId79" name="Button 174">
              <controlPr defaultSize="0" print="0" autoFill="0" autoPict="0" macro="[0]!print_RATE_OF_RETURN_E3_2d">
                <anchor moveWithCells="1">
                  <from>
                    <xdr:col>6</xdr:col>
                    <xdr:colOff>133350</xdr:colOff>
                    <xdr:row>30</xdr:row>
                    <xdr:rowOff>304800</xdr:rowOff>
                  </from>
                  <to>
                    <xdr:col>6</xdr:col>
                    <xdr:colOff>1009650</xdr:colOff>
                    <xdr:row>31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7" r:id="rId80" name="Button 175">
              <controlPr defaultSize="0" print="0" autoFill="0" autoPict="0" macro="[0]!print_ALLOCATORS_E3_2d">
                <anchor moveWithCells="1">
                  <from>
                    <xdr:col>6</xdr:col>
                    <xdr:colOff>133350</xdr:colOff>
                    <xdr:row>31</xdr:row>
                    <xdr:rowOff>304800</xdr:rowOff>
                  </from>
                  <to>
                    <xdr:col>6</xdr:col>
                    <xdr:colOff>1009650</xdr:colOff>
                    <xdr:row>32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9" r:id="rId81" name="Button 177">
              <controlPr defaultSize="0" print="0" autoFill="0" autoPict="0" macro="[0]!print_SUMMARY_E3_2e">
                <anchor moveWithCells="1">
                  <from>
                    <xdr:col>7</xdr:col>
                    <xdr:colOff>133350</xdr:colOff>
                    <xdr:row>18</xdr:row>
                    <xdr:rowOff>19050</xdr:rowOff>
                  </from>
                  <to>
                    <xdr:col>7</xdr:col>
                    <xdr:colOff>1009650</xdr:colOff>
                    <xdr:row>18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0" r:id="rId82" name="Button 178">
              <controlPr defaultSize="0" print="0" autoFill="0" autoPict="0" macro="[0]!print_GROSSPLANT_E3_2e">
                <anchor moveWithCells="1">
                  <from>
                    <xdr:col>7</xdr:col>
                    <xdr:colOff>133350</xdr:colOff>
                    <xdr:row>19</xdr:row>
                    <xdr:rowOff>19050</xdr:rowOff>
                  </from>
                  <to>
                    <xdr:col>7</xdr:col>
                    <xdr:colOff>1009650</xdr:colOff>
                    <xdr:row>19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1" r:id="rId83" name="Button 179">
              <controlPr defaultSize="0" print="0" autoFill="0" autoPict="0" macro="[0]!print_DEPRECIATION_RESERVE_E3_2e">
                <anchor moveWithCells="1">
                  <from>
                    <xdr:col>7</xdr:col>
                    <xdr:colOff>133350</xdr:colOff>
                    <xdr:row>20</xdr:row>
                    <xdr:rowOff>19050</xdr:rowOff>
                  </from>
                  <to>
                    <xdr:col>7</xdr:col>
                    <xdr:colOff>1009650</xdr:colOff>
                    <xdr:row>20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2" r:id="rId84" name="Button 180">
              <controlPr defaultSize="0" print="0" autoFill="0" autoPict="0" macro="[0]!print_NET_PLANT_E3_2e">
                <anchor moveWithCells="1">
                  <from>
                    <xdr:col>7</xdr:col>
                    <xdr:colOff>133350</xdr:colOff>
                    <xdr:row>21</xdr:row>
                    <xdr:rowOff>19050</xdr:rowOff>
                  </from>
                  <to>
                    <xdr:col>7</xdr:col>
                    <xdr:colOff>1009650</xdr:colOff>
                    <xdr:row>21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3" r:id="rId85" name="Button 181">
              <controlPr defaultSize="0" print="0" autoFill="0" autoPict="0" macro="[0]!print_SUBTRACTIVE_ADJ_E3_2e">
                <anchor moveWithCells="1">
                  <from>
                    <xdr:col>7</xdr:col>
                    <xdr:colOff>133350</xdr:colOff>
                    <xdr:row>22</xdr:row>
                    <xdr:rowOff>19050</xdr:rowOff>
                  </from>
                  <to>
                    <xdr:col>7</xdr:col>
                    <xdr:colOff>1009650</xdr:colOff>
                    <xdr:row>22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4" r:id="rId86" name="Button 182">
              <controlPr defaultSize="0" print="0" autoFill="0" autoPict="0" macro="[0]!print_ADDITIVE_ADJ_E3_2e">
                <anchor moveWithCells="1">
                  <from>
                    <xdr:col>7</xdr:col>
                    <xdr:colOff>133350</xdr:colOff>
                    <xdr:row>23</xdr:row>
                    <xdr:rowOff>9525</xdr:rowOff>
                  </from>
                  <to>
                    <xdr:col>7</xdr:col>
                    <xdr:colOff>1009650</xdr:colOff>
                    <xdr:row>23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5" r:id="rId87" name="Button 183">
              <controlPr defaultSize="0" print="0" autoFill="0" autoPict="0" macro="[0]!print_RATE_BASE_E3_2e">
                <anchor moveWithCells="1">
                  <from>
                    <xdr:col>7</xdr:col>
                    <xdr:colOff>133350</xdr:colOff>
                    <xdr:row>24</xdr:row>
                    <xdr:rowOff>9525</xdr:rowOff>
                  </from>
                  <to>
                    <xdr:col>7</xdr:col>
                    <xdr:colOff>1009650</xdr:colOff>
                    <xdr:row>24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6" r:id="rId88" name="Button 184">
              <controlPr defaultSize="0" print="0" autoFill="0" autoPict="0" macro="[0]!print_OMEXP_6_E3_2e">
                <anchor moveWithCells="1">
                  <from>
                    <xdr:col>7</xdr:col>
                    <xdr:colOff>133350</xdr:colOff>
                    <xdr:row>25</xdr:row>
                    <xdr:rowOff>9525</xdr:rowOff>
                  </from>
                  <to>
                    <xdr:col>7</xdr:col>
                    <xdr:colOff>1009650</xdr:colOff>
                    <xdr:row>25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7" r:id="rId89" name="Button 185">
              <controlPr defaultSize="0" print="0" autoFill="0" autoPict="0" macro="[0]!print_OMEXP_6_1_E3_2e">
                <anchor moveWithCells="1">
                  <from>
                    <xdr:col>7</xdr:col>
                    <xdr:colOff>133350</xdr:colOff>
                    <xdr:row>26</xdr:row>
                    <xdr:rowOff>9525</xdr:rowOff>
                  </from>
                  <to>
                    <xdr:col>7</xdr:col>
                    <xdr:colOff>1009650</xdr:colOff>
                    <xdr:row>26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8" r:id="rId90" name="Button 186">
              <controlPr defaultSize="0" print="0" autoFill="0" autoPict="0" macro="[0]!print_DEPRECIATION_EXPENSE_E3_2e">
                <anchor moveWithCells="1">
                  <from>
                    <xdr:col>7</xdr:col>
                    <xdr:colOff>133350</xdr:colOff>
                    <xdr:row>27</xdr:row>
                    <xdr:rowOff>0</xdr:rowOff>
                  </from>
                  <to>
                    <xdr:col>7</xdr:col>
                    <xdr:colOff>1009650</xdr:colOff>
                    <xdr:row>27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9" r:id="rId91" name="Button 187">
              <controlPr defaultSize="0" print="0" autoFill="0" autoPict="0" macro="[0]!print_OTHER_TAXES_E3_2e">
                <anchor moveWithCells="1">
                  <from>
                    <xdr:col>7</xdr:col>
                    <xdr:colOff>133350</xdr:colOff>
                    <xdr:row>28</xdr:row>
                    <xdr:rowOff>0</xdr:rowOff>
                  </from>
                  <to>
                    <xdr:col>7</xdr:col>
                    <xdr:colOff>1009650</xdr:colOff>
                    <xdr:row>28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0" r:id="rId92" name="Button 188">
              <controlPr defaultSize="0" print="0" autoFill="0" autoPict="0" macro="[0]!print_FIT_RETURN_E3_2e">
                <anchor moveWithCells="1">
                  <from>
                    <xdr:col>7</xdr:col>
                    <xdr:colOff>133350</xdr:colOff>
                    <xdr:row>29</xdr:row>
                    <xdr:rowOff>0</xdr:rowOff>
                  </from>
                  <to>
                    <xdr:col>7</xdr:col>
                    <xdr:colOff>1009650</xdr:colOff>
                    <xdr:row>29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1" r:id="rId93" name="Button 189">
              <controlPr defaultSize="0" print="0" autoFill="0" autoPict="0" macro="[0]!print_COSCOMPUTE_E3_2e">
                <anchor moveWithCells="1">
                  <from>
                    <xdr:col>7</xdr:col>
                    <xdr:colOff>133350</xdr:colOff>
                    <xdr:row>29</xdr:row>
                    <xdr:rowOff>304800</xdr:rowOff>
                  </from>
                  <to>
                    <xdr:col>7</xdr:col>
                    <xdr:colOff>1009650</xdr:colOff>
                    <xdr:row>30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2" r:id="rId94" name="Button 190">
              <controlPr defaultSize="0" print="0" autoFill="0" autoPict="0" macro="[0]!print_RATE_OF_RETURN_E3_2e">
                <anchor moveWithCells="1">
                  <from>
                    <xdr:col>7</xdr:col>
                    <xdr:colOff>133350</xdr:colOff>
                    <xdr:row>30</xdr:row>
                    <xdr:rowOff>304800</xdr:rowOff>
                  </from>
                  <to>
                    <xdr:col>7</xdr:col>
                    <xdr:colOff>1009650</xdr:colOff>
                    <xdr:row>31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3" r:id="rId95" name="Button 191">
              <controlPr defaultSize="0" print="0" autoFill="0" autoPict="0" macro="[0]!print_ALLOCATORS_E3_2e">
                <anchor moveWithCells="1">
                  <from>
                    <xdr:col>7</xdr:col>
                    <xdr:colOff>133350</xdr:colOff>
                    <xdr:row>31</xdr:row>
                    <xdr:rowOff>304800</xdr:rowOff>
                  </from>
                  <to>
                    <xdr:col>7</xdr:col>
                    <xdr:colOff>1009650</xdr:colOff>
                    <xdr:row>32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2" r:id="rId96" name="Button 200">
              <controlPr defaultSize="0" print="0" autoFill="0" autoPict="0" macro="[0]!print_FIT_REVENUE_E3_2a">
                <anchor moveWithCells="1">
                  <from>
                    <xdr:col>3</xdr:col>
                    <xdr:colOff>133350</xdr:colOff>
                    <xdr:row>32</xdr:row>
                    <xdr:rowOff>304800</xdr:rowOff>
                  </from>
                  <to>
                    <xdr:col>3</xdr:col>
                    <xdr:colOff>1047750</xdr:colOff>
                    <xdr:row>33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3" r:id="rId97" name="Button 201">
              <controlPr defaultSize="0" print="0" autoFill="0" autoPict="0" macro="[0]!print_FIT_REVENUE">
                <anchor moveWithCells="1">
                  <from>
                    <xdr:col>2</xdr:col>
                    <xdr:colOff>133350</xdr:colOff>
                    <xdr:row>32</xdr:row>
                    <xdr:rowOff>304800</xdr:rowOff>
                  </from>
                  <to>
                    <xdr:col>2</xdr:col>
                    <xdr:colOff>1047750</xdr:colOff>
                    <xdr:row>33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4" r:id="rId98" name="Button 202">
              <controlPr defaultSize="0" print="0" autoFill="0" autoPict="0" macro="[0]!print_FIT_REVENUE_E3_2b">
                <anchor moveWithCells="1">
                  <from>
                    <xdr:col>4</xdr:col>
                    <xdr:colOff>133350</xdr:colOff>
                    <xdr:row>32</xdr:row>
                    <xdr:rowOff>304800</xdr:rowOff>
                  </from>
                  <to>
                    <xdr:col>4</xdr:col>
                    <xdr:colOff>1047750</xdr:colOff>
                    <xdr:row>33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5" r:id="rId99" name="Button 203">
              <controlPr defaultSize="0" print="0" autoFill="0" autoPict="0" macro="[0]!print_FIT_REVENUE_E3_2c">
                <anchor moveWithCells="1">
                  <from>
                    <xdr:col>5</xdr:col>
                    <xdr:colOff>133350</xdr:colOff>
                    <xdr:row>32</xdr:row>
                    <xdr:rowOff>304800</xdr:rowOff>
                  </from>
                  <to>
                    <xdr:col>5</xdr:col>
                    <xdr:colOff>1047750</xdr:colOff>
                    <xdr:row>33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6" r:id="rId100" name="Button 204">
              <controlPr defaultSize="0" print="0" autoFill="0" autoPict="0" macro="[0]!print_FIT_REVENUE_E3_2d">
                <anchor moveWithCells="1">
                  <from>
                    <xdr:col>6</xdr:col>
                    <xdr:colOff>133350</xdr:colOff>
                    <xdr:row>32</xdr:row>
                    <xdr:rowOff>304800</xdr:rowOff>
                  </from>
                  <to>
                    <xdr:col>6</xdr:col>
                    <xdr:colOff>1047750</xdr:colOff>
                    <xdr:row>33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" r:id="rId101" name="Button 205">
              <controlPr defaultSize="0" print="0" autoFill="0" autoPict="0" macro="[0]!print_FIT_RETURN_E3_2e">
                <anchor moveWithCells="1">
                  <from>
                    <xdr:col>7</xdr:col>
                    <xdr:colOff>133350</xdr:colOff>
                    <xdr:row>32</xdr:row>
                    <xdr:rowOff>304800</xdr:rowOff>
                  </from>
                  <to>
                    <xdr:col>7</xdr:col>
                    <xdr:colOff>1047750</xdr:colOff>
                    <xdr:row>33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8" r:id="rId102" name="Button 206">
              <controlPr defaultSize="0" print="0" autoFill="0" autoPict="0" macro="[0]!Print_All.print_SCH_E3_2b">
                <anchor moveWithCells="1">
                  <from>
                    <xdr:col>4</xdr:col>
                    <xdr:colOff>171450</xdr:colOff>
                    <xdr:row>34</xdr:row>
                    <xdr:rowOff>209550</xdr:rowOff>
                  </from>
                  <to>
                    <xdr:col>4</xdr:col>
                    <xdr:colOff>1047750</xdr:colOff>
                    <xdr:row>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9" r:id="rId103" name="Button 207">
              <controlPr defaultSize="0" print="0" autoFill="0" autoPict="0" macro="[0]!Print_All.print_SCH_E3_2c">
                <anchor moveWithCells="1">
                  <from>
                    <xdr:col>5</xdr:col>
                    <xdr:colOff>161925</xdr:colOff>
                    <xdr:row>34</xdr:row>
                    <xdr:rowOff>209550</xdr:rowOff>
                  </from>
                  <to>
                    <xdr:col>5</xdr:col>
                    <xdr:colOff>1047750</xdr:colOff>
                    <xdr:row>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0" r:id="rId104" name="Button 208">
              <controlPr defaultSize="0" print="0" autoFill="0" autoPict="0" macro="[0]!Print_All.print_SCH_E3_2d">
                <anchor moveWithCells="1">
                  <from>
                    <xdr:col>6</xdr:col>
                    <xdr:colOff>161925</xdr:colOff>
                    <xdr:row>34</xdr:row>
                    <xdr:rowOff>209550</xdr:rowOff>
                  </from>
                  <to>
                    <xdr:col>6</xdr:col>
                    <xdr:colOff>1047750</xdr:colOff>
                    <xdr:row>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1" r:id="rId105" name="Button 209">
              <controlPr defaultSize="0" print="0" autoFill="0" autoPict="0" macro="[0]!Print_All.print_SCH_E3_2e">
                <anchor moveWithCells="1">
                  <from>
                    <xdr:col>7</xdr:col>
                    <xdr:colOff>161925</xdr:colOff>
                    <xdr:row>34</xdr:row>
                    <xdr:rowOff>209550</xdr:rowOff>
                  </from>
                  <to>
                    <xdr:col>7</xdr:col>
                    <xdr:colOff>1047750</xdr:colOff>
                    <xdr:row>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2" r:id="rId106" name="Button 210">
              <controlPr defaultSize="0" print="0" autoFill="0" autoPict="0" macro="[0]!Print_All.print_SCH_E3_2f">
                <anchor moveWithCells="1">
                  <from>
                    <xdr:col>8</xdr:col>
                    <xdr:colOff>161925</xdr:colOff>
                    <xdr:row>34</xdr:row>
                    <xdr:rowOff>209550</xdr:rowOff>
                  </from>
                  <to>
                    <xdr:col>9</xdr:col>
                    <xdr:colOff>0</xdr:colOff>
                    <xdr:row>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3" r:id="rId107" name="Button 211">
              <controlPr defaultSize="0" print="0" autoFill="0" autoPict="0" macro="[0]!Print_All.print_SCH_E3_2g">
                <anchor moveWithCells="1">
                  <from>
                    <xdr:col>9</xdr:col>
                    <xdr:colOff>161925</xdr:colOff>
                    <xdr:row>34</xdr:row>
                    <xdr:rowOff>209550</xdr:rowOff>
                  </from>
                  <to>
                    <xdr:col>9</xdr:col>
                    <xdr:colOff>1047750</xdr:colOff>
                    <xdr:row>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4" r:id="rId108" name="Button 212">
              <controlPr defaultSize="0" print="0" autoFill="0" autoPict="0" macro="[0]!PRINT_COSS_E3_2h">
                <anchor moveWithCells="1">
                  <from>
                    <xdr:col>10</xdr:col>
                    <xdr:colOff>152400</xdr:colOff>
                    <xdr:row>34</xdr:row>
                    <xdr:rowOff>209550</xdr:rowOff>
                  </from>
                  <to>
                    <xdr:col>10</xdr:col>
                    <xdr:colOff>1047750</xdr:colOff>
                    <xdr:row>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5" r:id="rId109" name="Button 213">
              <controlPr defaultSize="0" print="0" autoFill="0" autoPict="0" macro="[0]!PRINT_COSS_E3_2i">
                <anchor moveWithCells="1">
                  <from>
                    <xdr:col>11</xdr:col>
                    <xdr:colOff>161925</xdr:colOff>
                    <xdr:row>34</xdr:row>
                    <xdr:rowOff>209550</xdr:rowOff>
                  </from>
                  <to>
                    <xdr:col>11</xdr:col>
                    <xdr:colOff>1047750</xdr:colOff>
                    <xdr:row>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6" r:id="rId110" name="Button 214">
              <controlPr defaultSize="0" print="0" autoFill="0" autoPict="0" macro="[0]!PRINT_COSS_E3_2j">
                <anchor moveWithCells="1">
                  <from>
                    <xdr:col>12</xdr:col>
                    <xdr:colOff>152400</xdr:colOff>
                    <xdr:row>34</xdr:row>
                    <xdr:rowOff>209550</xdr:rowOff>
                  </from>
                  <to>
                    <xdr:col>12</xdr:col>
                    <xdr:colOff>1047750</xdr:colOff>
                    <xdr:row>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7" r:id="rId111" name="Button 215">
              <controlPr defaultSize="0" print="0" autoFill="0" autoPict="0" macro="[0]!print_SUMMARY_E3_2f">
                <anchor moveWithCells="1">
                  <from>
                    <xdr:col>8</xdr:col>
                    <xdr:colOff>133350</xdr:colOff>
                    <xdr:row>18</xdr:row>
                    <xdr:rowOff>19050</xdr:rowOff>
                  </from>
                  <to>
                    <xdr:col>8</xdr:col>
                    <xdr:colOff>1009650</xdr:colOff>
                    <xdr:row>18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8" r:id="rId112" name="Button 216">
              <controlPr defaultSize="0" print="0" autoFill="0" autoPict="0" macro="[0]!print_GROSSPLANT_E3_2f">
                <anchor moveWithCells="1">
                  <from>
                    <xdr:col>8</xdr:col>
                    <xdr:colOff>133350</xdr:colOff>
                    <xdr:row>19</xdr:row>
                    <xdr:rowOff>19050</xdr:rowOff>
                  </from>
                  <to>
                    <xdr:col>8</xdr:col>
                    <xdr:colOff>1009650</xdr:colOff>
                    <xdr:row>19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9" r:id="rId113" name="Button 217">
              <controlPr defaultSize="0" print="0" autoFill="0" autoPict="0" macro="[0]!print_DEPRECIATION_RESERVE_E3_2f">
                <anchor moveWithCells="1">
                  <from>
                    <xdr:col>8</xdr:col>
                    <xdr:colOff>133350</xdr:colOff>
                    <xdr:row>20</xdr:row>
                    <xdr:rowOff>19050</xdr:rowOff>
                  </from>
                  <to>
                    <xdr:col>8</xdr:col>
                    <xdr:colOff>1009650</xdr:colOff>
                    <xdr:row>20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0" r:id="rId114" name="Button 218">
              <controlPr defaultSize="0" print="0" autoFill="0" autoPict="0" macro="[0]!print_NET_PLANT_E3_2f">
                <anchor moveWithCells="1">
                  <from>
                    <xdr:col>8</xdr:col>
                    <xdr:colOff>133350</xdr:colOff>
                    <xdr:row>21</xdr:row>
                    <xdr:rowOff>19050</xdr:rowOff>
                  </from>
                  <to>
                    <xdr:col>8</xdr:col>
                    <xdr:colOff>1009650</xdr:colOff>
                    <xdr:row>21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1" r:id="rId115" name="Button 219">
              <controlPr defaultSize="0" print="0" autoFill="0" autoPict="0" macro="[0]!print_SUBTRACTIVE_ADJ_E3_2f">
                <anchor moveWithCells="1">
                  <from>
                    <xdr:col>8</xdr:col>
                    <xdr:colOff>133350</xdr:colOff>
                    <xdr:row>22</xdr:row>
                    <xdr:rowOff>19050</xdr:rowOff>
                  </from>
                  <to>
                    <xdr:col>8</xdr:col>
                    <xdr:colOff>1009650</xdr:colOff>
                    <xdr:row>22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2" r:id="rId116" name="Button 220">
              <controlPr defaultSize="0" print="0" autoFill="0" autoPict="0" macro="[0]!print_ADDITIVE_ADJ_E3_2f">
                <anchor moveWithCells="1">
                  <from>
                    <xdr:col>8</xdr:col>
                    <xdr:colOff>133350</xdr:colOff>
                    <xdr:row>23</xdr:row>
                    <xdr:rowOff>9525</xdr:rowOff>
                  </from>
                  <to>
                    <xdr:col>8</xdr:col>
                    <xdr:colOff>1009650</xdr:colOff>
                    <xdr:row>23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3" r:id="rId117" name="Button 221">
              <controlPr defaultSize="0" print="0" autoFill="0" autoPict="0" macro="[0]!print_RATE_BASE_E3_2f">
                <anchor moveWithCells="1">
                  <from>
                    <xdr:col>8</xdr:col>
                    <xdr:colOff>133350</xdr:colOff>
                    <xdr:row>24</xdr:row>
                    <xdr:rowOff>9525</xdr:rowOff>
                  </from>
                  <to>
                    <xdr:col>8</xdr:col>
                    <xdr:colOff>1009650</xdr:colOff>
                    <xdr:row>24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4" r:id="rId118" name="Button 222">
              <controlPr defaultSize="0" print="0" autoFill="0" autoPict="0" macro="[0]!print_OMEXP_6_E3_2f">
                <anchor moveWithCells="1">
                  <from>
                    <xdr:col>8</xdr:col>
                    <xdr:colOff>133350</xdr:colOff>
                    <xdr:row>25</xdr:row>
                    <xdr:rowOff>9525</xdr:rowOff>
                  </from>
                  <to>
                    <xdr:col>8</xdr:col>
                    <xdr:colOff>1009650</xdr:colOff>
                    <xdr:row>25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5" r:id="rId119" name="Button 223">
              <controlPr defaultSize="0" print="0" autoFill="0" autoPict="0" macro="[0]!print_OMEXP_6_1_E3_2f">
                <anchor moveWithCells="1">
                  <from>
                    <xdr:col>8</xdr:col>
                    <xdr:colOff>133350</xdr:colOff>
                    <xdr:row>26</xdr:row>
                    <xdr:rowOff>9525</xdr:rowOff>
                  </from>
                  <to>
                    <xdr:col>8</xdr:col>
                    <xdr:colOff>1009650</xdr:colOff>
                    <xdr:row>26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6" r:id="rId120" name="Button 224">
              <controlPr defaultSize="0" print="0" autoFill="0" autoPict="0" macro="[0]!print_DEPRECIATION_EXPENSE_E3_2f">
                <anchor moveWithCells="1">
                  <from>
                    <xdr:col>8</xdr:col>
                    <xdr:colOff>133350</xdr:colOff>
                    <xdr:row>27</xdr:row>
                    <xdr:rowOff>0</xdr:rowOff>
                  </from>
                  <to>
                    <xdr:col>8</xdr:col>
                    <xdr:colOff>1009650</xdr:colOff>
                    <xdr:row>27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7" r:id="rId121" name="Button 225">
              <controlPr defaultSize="0" print="0" autoFill="0" autoPict="0" macro="[0]!print_OTHER_TAXES_E3_2f">
                <anchor moveWithCells="1">
                  <from>
                    <xdr:col>8</xdr:col>
                    <xdr:colOff>133350</xdr:colOff>
                    <xdr:row>28</xdr:row>
                    <xdr:rowOff>0</xdr:rowOff>
                  </from>
                  <to>
                    <xdr:col>8</xdr:col>
                    <xdr:colOff>1009650</xdr:colOff>
                    <xdr:row>28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8" r:id="rId122" name="Button 226">
              <controlPr defaultSize="0" print="0" autoFill="0" autoPict="0" macro="[0]!print_FIT_RETURN_E3_2f">
                <anchor moveWithCells="1">
                  <from>
                    <xdr:col>8</xdr:col>
                    <xdr:colOff>133350</xdr:colOff>
                    <xdr:row>29</xdr:row>
                    <xdr:rowOff>0</xdr:rowOff>
                  </from>
                  <to>
                    <xdr:col>8</xdr:col>
                    <xdr:colOff>1009650</xdr:colOff>
                    <xdr:row>29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9" r:id="rId123" name="Button 227">
              <controlPr defaultSize="0" print="0" autoFill="0" autoPict="0" macro="[0]!print_COSCOMPUTE_E3_2f">
                <anchor moveWithCells="1">
                  <from>
                    <xdr:col>8</xdr:col>
                    <xdr:colOff>133350</xdr:colOff>
                    <xdr:row>29</xdr:row>
                    <xdr:rowOff>304800</xdr:rowOff>
                  </from>
                  <to>
                    <xdr:col>8</xdr:col>
                    <xdr:colOff>1009650</xdr:colOff>
                    <xdr:row>30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0" r:id="rId124" name="Button 228">
              <controlPr defaultSize="0" print="0" autoFill="0" autoPict="0" macro="[0]!print_RATE_OF_RETURN_E3_2f">
                <anchor moveWithCells="1">
                  <from>
                    <xdr:col>8</xdr:col>
                    <xdr:colOff>133350</xdr:colOff>
                    <xdr:row>30</xdr:row>
                    <xdr:rowOff>304800</xdr:rowOff>
                  </from>
                  <to>
                    <xdr:col>8</xdr:col>
                    <xdr:colOff>1009650</xdr:colOff>
                    <xdr:row>31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1" r:id="rId125" name="Button 229">
              <controlPr defaultSize="0" print="0" autoFill="0" autoPict="0" macro="[0]!print_COSCOMPUTE_E3_2f">
                <anchor moveWithCells="1">
                  <from>
                    <xdr:col>8</xdr:col>
                    <xdr:colOff>133350</xdr:colOff>
                    <xdr:row>31</xdr:row>
                    <xdr:rowOff>304800</xdr:rowOff>
                  </from>
                  <to>
                    <xdr:col>8</xdr:col>
                    <xdr:colOff>1009650</xdr:colOff>
                    <xdr:row>32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2" r:id="rId126" name="Button 230">
              <controlPr defaultSize="0" print="0" autoFill="0" autoPict="0" macro="[0]!print_FIT_REVENUE_E3_2f">
                <anchor moveWithCells="1">
                  <from>
                    <xdr:col>8</xdr:col>
                    <xdr:colOff>133350</xdr:colOff>
                    <xdr:row>32</xdr:row>
                    <xdr:rowOff>304800</xdr:rowOff>
                  </from>
                  <to>
                    <xdr:col>8</xdr:col>
                    <xdr:colOff>1038225</xdr:colOff>
                    <xdr:row>33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3" r:id="rId127" name="Button 231">
              <controlPr defaultSize="0" print="0" autoFill="0" autoPict="0" macro="[0]!print_SUMMARY_E3_2g">
                <anchor moveWithCells="1">
                  <from>
                    <xdr:col>9</xdr:col>
                    <xdr:colOff>133350</xdr:colOff>
                    <xdr:row>18</xdr:row>
                    <xdr:rowOff>19050</xdr:rowOff>
                  </from>
                  <to>
                    <xdr:col>9</xdr:col>
                    <xdr:colOff>1009650</xdr:colOff>
                    <xdr:row>18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4" r:id="rId128" name="Button 232">
              <controlPr defaultSize="0" print="0" autoFill="0" autoPict="0" macro="[0]!print_GROSSPLANT_E3_2g">
                <anchor moveWithCells="1">
                  <from>
                    <xdr:col>9</xdr:col>
                    <xdr:colOff>133350</xdr:colOff>
                    <xdr:row>19</xdr:row>
                    <xdr:rowOff>19050</xdr:rowOff>
                  </from>
                  <to>
                    <xdr:col>9</xdr:col>
                    <xdr:colOff>1009650</xdr:colOff>
                    <xdr:row>19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5" r:id="rId129" name="Button 233">
              <controlPr defaultSize="0" print="0" autoFill="0" autoPict="0" macro="[0]!print_DEPRECIATION_RESERVE_E3_2g">
                <anchor moveWithCells="1">
                  <from>
                    <xdr:col>9</xdr:col>
                    <xdr:colOff>133350</xdr:colOff>
                    <xdr:row>20</xdr:row>
                    <xdr:rowOff>19050</xdr:rowOff>
                  </from>
                  <to>
                    <xdr:col>9</xdr:col>
                    <xdr:colOff>1009650</xdr:colOff>
                    <xdr:row>20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6" r:id="rId130" name="Button 234">
              <controlPr defaultSize="0" print="0" autoFill="0" autoPict="0" macro="[0]!print_NET_PLANT_E3_2g">
                <anchor moveWithCells="1">
                  <from>
                    <xdr:col>9</xdr:col>
                    <xdr:colOff>133350</xdr:colOff>
                    <xdr:row>21</xdr:row>
                    <xdr:rowOff>19050</xdr:rowOff>
                  </from>
                  <to>
                    <xdr:col>9</xdr:col>
                    <xdr:colOff>1009650</xdr:colOff>
                    <xdr:row>21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7" r:id="rId131" name="Button 235">
              <controlPr defaultSize="0" print="0" autoFill="0" autoPict="0" macro="[0]!print_SUBTRACTIVE_ADJ_E3_2g">
                <anchor moveWithCells="1">
                  <from>
                    <xdr:col>9</xdr:col>
                    <xdr:colOff>133350</xdr:colOff>
                    <xdr:row>22</xdr:row>
                    <xdr:rowOff>19050</xdr:rowOff>
                  </from>
                  <to>
                    <xdr:col>9</xdr:col>
                    <xdr:colOff>1009650</xdr:colOff>
                    <xdr:row>22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8" r:id="rId132" name="Button 236">
              <controlPr defaultSize="0" print="0" autoFill="0" autoPict="0" macro="[0]!print_ADDITIVE_ADJ_E3_2g">
                <anchor moveWithCells="1">
                  <from>
                    <xdr:col>9</xdr:col>
                    <xdr:colOff>133350</xdr:colOff>
                    <xdr:row>23</xdr:row>
                    <xdr:rowOff>9525</xdr:rowOff>
                  </from>
                  <to>
                    <xdr:col>9</xdr:col>
                    <xdr:colOff>1009650</xdr:colOff>
                    <xdr:row>23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9" r:id="rId133" name="Button 237">
              <controlPr defaultSize="0" print="0" autoFill="0" autoPict="0" macro="[0]!print_RATE_BASE_E3_2g">
                <anchor moveWithCells="1">
                  <from>
                    <xdr:col>9</xdr:col>
                    <xdr:colOff>133350</xdr:colOff>
                    <xdr:row>24</xdr:row>
                    <xdr:rowOff>9525</xdr:rowOff>
                  </from>
                  <to>
                    <xdr:col>9</xdr:col>
                    <xdr:colOff>1009650</xdr:colOff>
                    <xdr:row>24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0" r:id="rId134" name="Button 238">
              <controlPr defaultSize="0" print="0" autoFill="0" autoPict="0" macro="[0]!print_OMEXP_6_E3_2g">
                <anchor moveWithCells="1">
                  <from>
                    <xdr:col>9</xdr:col>
                    <xdr:colOff>133350</xdr:colOff>
                    <xdr:row>25</xdr:row>
                    <xdr:rowOff>9525</xdr:rowOff>
                  </from>
                  <to>
                    <xdr:col>9</xdr:col>
                    <xdr:colOff>1009650</xdr:colOff>
                    <xdr:row>25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1" r:id="rId135" name="Button 239">
              <controlPr defaultSize="0" print="0" autoFill="0" autoPict="0" macro="[0]!print_OMEXP_6_1_E3_2g">
                <anchor moveWithCells="1">
                  <from>
                    <xdr:col>9</xdr:col>
                    <xdr:colOff>133350</xdr:colOff>
                    <xdr:row>26</xdr:row>
                    <xdr:rowOff>9525</xdr:rowOff>
                  </from>
                  <to>
                    <xdr:col>9</xdr:col>
                    <xdr:colOff>1009650</xdr:colOff>
                    <xdr:row>26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2" r:id="rId136" name="Button 240">
              <controlPr defaultSize="0" print="0" autoFill="0" autoPict="0" macro="[0]!print_DEPRECIATION_EXPENSE_E3_2g">
                <anchor moveWithCells="1">
                  <from>
                    <xdr:col>9</xdr:col>
                    <xdr:colOff>133350</xdr:colOff>
                    <xdr:row>27</xdr:row>
                    <xdr:rowOff>0</xdr:rowOff>
                  </from>
                  <to>
                    <xdr:col>9</xdr:col>
                    <xdr:colOff>1009650</xdr:colOff>
                    <xdr:row>27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3" r:id="rId137" name="Button 241">
              <controlPr defaultSize="0" print="0" autoFill="0" autoPict="0" macro="[0]!print_OTHER_TAXES_E3_2g">
                <anchor moveWithCells="1">
                  <from>
                    <xdr:col>9</xdr:col>
                    <xdr:colOff>133350</xdr:colOff>
                    <xdr:row>28</xdr:row>
                    <xdr:rowOff>0</xdr:rowOff>
                  </from>
                  <to>
                    <xdr:col>9</xdr:col>
                    <xdr:colOff>1009650</xdr:colOff>
                    <xdr:row>28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4" r:id="rId138" name="Button 242">
              <controlPr defaultSize="0" print="0" autoFill="0" autoPict="0" macro="[0]!print_FIT_RETURN_E3_2g">
                <anchor moveWithCells="1">
                  <from>
                    <xdr:col>9</xdr:col>
                    <xdr:colOff>133350</xdr:colOff>
                    <xdr:row>29</xdr:row>
                    <xdr:rowOff>0</xdr:rowOff>
                  </from>
                  <to>
                    <xdr:col>9</xdr:col>
                    <xdr:colOff>1009650</xdr:colOff>
                    <xdr:row>29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5" r:id="rId139" name="Button 243">
              <controlPr defaultSize="0" print="0" autoFill="0" autoPict="0" macro="[0]!print_COSCOMPUTE_E3_2g">
                <anchor moveWithCells="1">
                  <from>
                    <xdr:col>9</xdr:col>
                    <xdr:colOff>133350</xdr:colOff>
                    <xdr:row>29</xdr:row>
                    <xdr:rowOff>304800</xdr:rowOff>
                  </from>
                  <to>
                    <xdr:col>9</xdr:col>
                    <xdr:colOff>1009650</xdr:colOff>
                    <xdr:row>30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6" r:id="rId140" name="Button 244">
              <controlPr defaultSize="0" print="0" autoFill="0" autoPict="0" macro="[0]!print_RATE_OF_RETURN_E3_2g">
                <anchor moveWithCells="1">
                  <from>
                    <xdr:col>9</xdr:col>
                    <xdr:colOff>133350</xdr:colOff>
                    <xdr:row>30</xdr:row>
                    <xdr:rowOff>304800</xdr:rowOff>
                  </from>
                  <to>
                    <xdr:col>9</xdr:col>
                    <xdr:colOff>1009650</xdr:colOff>
                    <xdr:row>31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7" r:id="rId141" name="Button 245">
              <controlPr defaultSize="0" print="0" autoFill="0" autoPict="0" macro="[0]!print_ALLOCATORS_E3_2g">
                <anchor moveWithCells="1">
                  <from>
                    <xdr:col>9</xdr:col>
                    <xdr:colOff>133350</xdr:colOff>
                    <xdr:row>31</xdr:row>
                    <xdr:rowOff>304800</xdr:rowOff>
                  </from>
                  <to>
                    <xdr:col>9</xdr:col>
                    <xdr:colOff>1009650</xdr:colOff>
                    <xdr:row>32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8" r:id="rId142" name="Button 246">
              <controlPr defaultSize="0" print="0" autoFill="0" autoPict="0" macro="[0]!print_FIT_REVENUE_E3_2g">
                <anchor moveWithCells="1">
                  <from>
                    <xdr:col>9</xdr:col>
                    <xdr:colOff>133350</xdr:colOff>
                    <xdr:row>32</xdr:row>
                    <xdr:rowOff>304800</xdr:rowOff>
                  </from>
                  <to>
                    <xdr:col>9</xdr:col>
                    <xdr:colOff>1038225</xdr:colOff>
                    <xdr:row>33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9" r:id="rId143" name="Button 247">
              <controlPr defaultSize="0" print="0" autoFill="0" autoPict="0" macro="[0]!print_SUMMARY_E3_2h">
                <anchor moveWithCells="1">
                  <from>
                    <xdr:col>10</xdr:col>
                    <xdr:colOff>133350</xdr:colOff>
                    <xdr:row>18</xdr:row>
                    <xdr:rowOff>19050</xdr:rowOff>
                  </from>
                  <to>
                    <xdr:col>10</xdr:col>
                    <xdr:colOff>1009650</xdr:colOff>
                    <xdr:row>18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0" r:id="rId144" name="Button 248">
              <controlPr defaultSize="0" print="0" autoFill="0" autoPict="0" macro="[0]!print_GROSSPLANT_E3_2h">
                <anchor moveWithCells="1">
                  <from>
                    <xdr:col>10</xdr:col>
                    <xdr:colOff>133350</xdr:colOff>
                    <xdr:row>19</xdr:row>
                    <xdr:rowOff>19050</xdr:rowOff>
                  </from>
                  <to>
                    <xdr:col>10</xdr:col>
                    <xdr:colOff>1009650</xdr:colOff>
                    <xdr:row>19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1" r:id="rId145" name="Button 249">
              <controlPr defaultSize="0" print="0" autoFill="0" autoPict="0" macro="[0]!print_DEPRECIATION_RESERVE_E3_2h">
                <anchor moveWithCells="1">
                  <from>
                    <xdr:col>10</xdr:col>
                    <xdr:colOff>133350</xdr:colOff>
                    <xdr:row>20</xdr:row>
                    <xdr:rowOff>19050</xdr:rowOff>
                  </from>
                  <to>
                    <xdr:col>10</xdr:col>
                    <xdr:colOff>1009650</xdr:colOff>
                    <xdr:row>20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2" r:id="rId146" name="Button 250">
              <controlPr defaultSize="0" print="0" autoFill="0" autoPict="0" macro="[0]!print_NET_PLANT_E3_2h">
                <anchor moveWithCells="1">
                  <from>
                    <xdr:col>10</xdr:col>
                    <xdr:colOff>133350</xdr:colOff>
                    <xdr:row>21</xdr:row>
                    <xdr:rowOff>19050</xdr:rowOff>
                  </from>
                  <to>
                    <xdr:col>10</xdr:col>
                    <xdr:colOff>1009650</xdr:colOff>
                    <xdr:row>21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3" r:id="rId147" name="Button 251">
              <controlPr defaultSize="0" print="0" autoFill="0" autoPict="0" macro="[0]!print_SUBTRACTIVE_ADJ_E3_2h">
                <anchor moveWithCells="1">
                  <from>
                    <xdr:col>10</xdr:col>
                    <xdr:colOff>133350</xdr:colOff>
                    <xdr:row>22</xdr:row>
                    <xdr:rowOff>19050</xdr:rowOff>
                  </from>
                  <to>
                    <xdr:col>10</xdr:col>
                    <xdr:colOff>1009650</xdr:colOff>
                    <xdr:row>22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4" r:id="rId148" name="Button 252">
              <controlPr defaultSize="0" print="0" autoFill="0" autoPict="0" macro="[0]!print_ADDITIVE_ADJ_E3_2h">
                <anchor moveWithCells="1">
                  <from>
                    <xdr:col>10</xdr:col>
                    <xdr:colOff>133350</xdr:colOff>
                    <xdr:row>23</xdr:row>
                    <xdr:rowOff>9525</xdr:rowOff>
                  </from>
                  <to>
                    <xdr:col>10</xdr:col>
                    <xdr:colOff>1009650</xdr:colOff>
                    <xdr:row>23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5" r:id="rId149" name="Button 253">
              <controlPr defaultSize="0" print="0" autoFill="0" autoPict="0" macro="[0]!print_RATE_BASE_E3_2h">
                <anchor moveWithCells="1">
                  <from>
                    <xdr:col>10</xdr:col>
                    <xdr:colOff>133350</xdr:colOff>
                    <xdr:row>24</xdr:row>
                    <xdr:rowOff>9525</xdr:rowOff>
                  </from>
                  <to>
                    <xdr:col>10</xdr:col>
                    <xdr:colOff>1009650</xdr:colOff>
                    <xdr:row>24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6" r:id="rId150" name="Button 254">
              <controlPr defaultSize="0" print="0" autoFill="0" autoPict="0" macro="[0]!print_OMEXP_6_E3_2h">
                <anchor moveWithCells="1">
                  <from>
                    <xdr:col>10</xdr:col>
                    <xdr:colOff>133350</xdr:colOff>
                    <xdr:row>25</xdr:row>
                    <xdr:rowOff>9525</xdr:rowOff>
                  </from>
                  <to>
                    <xdr:col>10</xdr:col>
                    <xdr:colOff>1009650</xdr:colOff>
                    <xdr:row>25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7" r:id="rId151" name="Button 255">
              <controlPr defaultSize="0" print="0" autoFill="0" autoPict="0" macro="[0]!print_OMEXP_6_1_E3_2h">
                <anchor moveWithCells="1">
                  <from>
                    <xdr:col>10</xdr:col>
                    <xdr:colOff>133350</xdr:colOff>
                    <xdr:row>26</xdr:row>
                    <xdr:rowOff>9525</xdr:rowOff>
                  </from>
                  <to>
                    <xdr:col>10</xdr:col>
                    <xdr:colOff>1009650</xdr:colOff>
                    <xdr:row>26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8" r:id="rId152" name="Button 256">
              <controlPr defaultSize="0" print="0" autoFill="0" autoPict="0" macro="[0]!print_DEPRECIATION_EXPENSE_E3_2h">
                <anchor moveWithCells="1">
                  <from>
                    <xdr:col>10</xdr:col>
                    <xdr:colOff>133350</xdr:colOff>
                    <xdr:row>27</xdr:row>
                    <xdr:rowOff>0</xdr:rowOff>
                  </from>
                  <to>
                    <xdr:col>10</xdr:col>
                    <xdr:colOff>1009650</xdr:colOff>
                    <xdr:row>27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9" r:id="rId153" name="Button 257">
              <controlPr defaultSize="0" print="0" autoFill="0" autoPict="0" macro="[0]!print_OTHER_TAXES_E3_2h">
                <anchor moveWithCells="1">
                  <from>
                    <xdr:col>10</xdr:col>
                    <xdr:colOff>133350</xdr:colOff>
                    <xdr:row>28</xdr:row>
                    <xdr:rowOff>0</xdr:rowOff>
                  </from>
                  <to>
                    <xdr:col>10</xdr:col>
                    <xdr:colOff>1009650</xdr:colOff>
                    <xdr:row>28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0" r:id="rId154" name="Button 258">
              <controlPr defaultSize="0" print="0" autoFill="0" autoPict="0" macro="[0]!print_FIT_RETURN_E3_2h">
                <anchor moveWithCells="1">
                  <from>
                    <xdr:col>10</xdr:col>
                    <xdr:colOff>133350</xdr:colOff>
                    <xdr:row>29</xdr:row>
                    <xdr:rowOff>0</xdr:rowOff>
                  </from>
                  <to>
                    <xdr:col>10</xdr:col>
                    <xdr:colOff>1009650</xdr:colOff>
                    <xdr:row>29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1" r:id="rId155" name="Button 259">
              <controlPr defaultSize="0" print="0" autoFill="0" autoPict="0" macro="[0]!print_COSCOMPUTE_E3_2h">
                <anchor moveWithCells="1">
                  <from>
                    <xdr:col>10</xdr:col>
                    <xdr:colOff>133350</xdr:colOff>
                    <xdr:row>29</xdr:row>
                    <xdr:rowOff>304800</xdr:rowOff>
                  </from>
                  <to>
                    <xdr:col>10</xdr:col>
                    <xdr:colOff>1009650</xdr:colOff>
                    <xdr:row>30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2" r:id="rId156" name="Button 260">
              <controlPr defaultSize="0" print="0" autoFill="0" autoPict="0" macro="[0]!print_RATE_OF_RETURN_E3_2h">
                <anchor moveWithCells="1">
                  <from>
                    <xdr:col>10</xdr:col>
                    <xdr:colOff>133350</xdr:colOff>
                    <xdr:row>30</xdr:row>
                    <xdr:rowOff>304800</xdr:rowOff>
                  </from>
                  <to>
                    <xdr:col>10</xdr:col>
                    <xdr:colOff>1009650</xdr:colOff>
                    <xdr:row>31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3" r:id="rId157" name="Button 261">
              <controlPr defaultSize="0" print="0" autoFill="0" autoPict="0" macro="[0]!print_ALLOCATORS_E3_2h">
                <anchor moveWithCells="1">
                  <from>
                    <xdr:col>10</xdr:col>
                    <xdr:colOff>133350</xdr:colOff>
                    <xdr:row>31</xdr:row>
                    <xdr:rowOff>304800</xdr:rowOff>
                  </from>
                  <to>
                    <xdr:col>10</xdr:col>
                    <xdr:colOff>1009650</xdr:colOff>
                    <xdr:row>32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4" r:id="rId158" name="Button 262">
              <controlPr defaultSize="0" print="0" autoFill="0" autoPict="0" macro="[0]!print_FIT_REVENUE_E3_2h">
                <anchor moveWithCells="1">
                  <from>
                    <xdr:col>10</xdr:col>
                    <xdr:colOff>123825</xdr:colOff>
                    <xdr:row>32</xdr:row>
                    <xdr:rowOff>304800</xdr:rowOff>
                  </from>
                  <to>
                    <xdr:col>10</xdr:col>
                    <xdr:colOff>1028700</xdr:colOff>
                    <xdr:row>33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5" r:id="rId159" name="Button 263">
              <controlPr defaultSize="0" print="0" autoFill="0" autoPict="0" macro="[0]!print_SUMMARY_E3_2i">
                <anchor moveWithCells="1">
                  <from>
                    <xdr:col>11</xdr:col>
                    <xdr:colOff>142875</xdr:colOff>
                    <xdr:row>18</xdr:row>
                    <xdr:rowOff>19050</xdr:rowOff>
                  </from>
                  <to>
                    <xdr:col>11</xdr:col>
                    <xdr:colOff>1019175</xdr:colOff>
                    <xdr:row>18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6" r:id="rId160" name="Button 264">
              <controlPr defaultSize="0" print="0" autoFill="0" autoPict="0" macro="[0]!print_GROSSPLANT_E3_2i">
                <anchor moveWithCells="1">
                  <from>
                    <xdr:col>11</xdr:col>
                    <xdr:colOff>142875</xdr:colOff>
                    <xdr:row>19</xdr:row>
                    <xdr:rowOff>19050</xdr:rowOff>
                  </from>
                  <to>
                    <xdr:col>11</xdr:col>
                    <xdr:colOff>1019175</xdr:colOff>
                    <xdr:row>19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7" r:id="rId161" name="Button 265">
              <controlPr defaultSize="0" print="0" autoFill="0" autoPict="0" macro="[0]!print_DEPRECIATION_RESERVE_E3_2i">
                <anchor moveWithCells="1">
                  <from>
                    <xdr:col>11</xdr:col>
                    <xdr:colOff>142875</xdr:colOff>
                    <xdr:row>20</xdr:row>
                    <xdr:rowOff>19050</xdr:rowOff>
                  </from>
                  <to>
                    <xdr:col>11</xdr:col>
                    <xdr:colOff>1019175</xdr:colOff>
                    <xdr:row>20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8" r:id="rId162" name="Button 266">
              <controlPr defaultSize="0" print="0" autoFill="0" autoPict="0" macro="[0]!print_NET_PLANT_E3_2i">
                <anchor moveWithCells="1">
                  <from>
                    <xdr:col>11</xdr:col>
                    <xdr:colOff>142875</xdr:colOff>
                    <xdr:row>21</xdr:row>
                    <xdr:rowOff>19050</xdr:rowOff>
                  </from>
                  <to>
                    <xdr:col>11</xdr:col>
                    <xdr:colOff>1019175</xdr:colOff>
                    <xdr:row>21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9" r:id="rId163" name="Button 267">
              <controlPr defaultSize="0" print="0" autoFill="0" autoPict="0" macro="[0]!print_SUBTRACTIVE_ADJ_E3_2i">
                <anchor moveWithCells="1">
                  <from>
                    <xdr:col>11</xdr:col>
                    <xdr:colOff>142875</xdr:colOff>
                    <xdr:row>22</xdr:row>
                    <xdr:rowOff>19050</xdr:rowOff>
                  </from>
                  <to>
                    <xdr:col>11</xdr:col>
                    <xdr:colOff>1019175</xdr:colOff>
                    <xdr:row>22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0" r:id="rId164" name="Button 268">
              <controlPr defaultSize="0" print="0" autoFill="0" autoPict="0" macro="[0]!print_ADDITIVE_ADJ_E3_2i">
                <anchor moveWithCells="1">
                  <from>
                    <xdr:col>11</xdr:col>
                    <xdr:colOff>142875</xdr:colOff>
                    <xdr:row>23</xdr:row>
                    <xdr:rowOff>9525</xdr:rowOff>
                  </from>
                  <to>
                    <xdr:col>11</xdr:col>
                    <xdr:colOff>1019175</xdr:colOff>
                    <xdr:row>23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1" r:id="rId165" name="Button 269">
              <controlPr defaultSize="0" print="0" autoFill="0" autoPict="0" macro="[0]!print_RATE_BASE_E3_2i">
                <anchor moveWithCells="1">
                  <from>
                    <xdr:col>11</xdr:col>
                    <xdr:colOff>142875</xdr:colOff>
                    <xdr:row>24</xdr:row>
                    <xdr:rowOff>9525</xdr:rowOff>
                  </from>
                  <to>
                    <xdr:col>11</xdr:col>
                    <xdr:colOff>1019175</xdr:colOff>
                    <xdr:row>24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2" r:id="rId166" name="Button 270">
              <controlPr defaultSize="0" print="0" autoFill="0" autoPict="0" macro="[0]!print_OMEXP_6_E3_2i">
                <anchor moveWithCells="1">
                  <from>
                    <xdr:col>11</xdr:col>
                    <xdr:colOff>142875</xdr:colOff>
                    <xdr:row>25</xdr:row>
                    <xdr:rowOff>9525</xdr:rowOff>
                  </from>
                  <to>
                    <xdr:col>11</xdr:col>
                    <xdr:colOff>1019175</xdr:colOff>
                    <xdr:row>25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3" r:id="rId167" name="Button 271">
              <controlPr defaultSize="0" print="0" autoFill="0" autoPict="0" macro="[0]!print_OMEXP_6_1_E3_2i">
                <anchor moveWithCells="1">
                  <from>
                    <xdr:col>11</xdr:col>
                    <xdr:colOff>142875</xdr:colOff>
                    <xdr:row>26</xdr:row>
                    <xdr:rowOff>9525</xdr:rowOff>
                  </from>
                  <to>
                    <xdr:col>11</xdr:col>
                    <xdr:colOff>1019175</xdr:colOff>
                    <xdr:row>26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4" r:id="rId168" name="Button 272">
              <controlPr defaultSize="0" print="0" autoFill="0" autoPict="0" macro="[0]!print_DEPRECIATION_EXPENSE_E3_2i">
                <anchor moveWithCells="1">
                  <from>
                    <xdr:col>11</xdr:col>
                    <xdr:colOff>142875</xdr:colOff>
                    <xdr:row>27</xdr:row>
                    <xdr:rowOff>0</xdr:rowOff>
                  </from>
                  <to>
                    <xdr:col>11</xdr:col>
                    <xdr:colOff>1019175</xdr:colOff>
                    <xdr:row>27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5" r:id="rId169" name="Button 273">
              <controlPr defaultSize="0" print="0" autoFill="0" autoPict="0" macro="[0]!print_OTHER_TAXES_E3_2i">
                <anchor moveWithCells="1">
                  <from>
                    <xdr:col>11</xdr:col>
                    <xdr:colOff>142875</xdr:colOff>
                    <xdr:row>28</xdr:row>
                    <xdr:rowOff>0</xdr:rowOff>
                  </from>
                  <to>
                    <xdr:col>11</xdr:col>
                    <xdr:colOff>1019175</xdr:colOff>
                    <xdr:row>28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6" r:id="rId170" name="Button 274">
              <controlPr defaultSize="0" print="0" autoFill="0" autoPict="0" macro="[0]!print_FIT_RETURN_E3_2i">
                <anchor moveWithCells="1">
                  <from>
                    <xdr:col>11</xdr:col>
                    <xdr:colOff>142875</xdr:colOff>
                    <xdr:row>29</xdr:row>
                    <xdr:rowOff>0</xdr:rowOff>
                  </from>
                  <to>
                    <xdr:col>11</xdr:col>
                    <xdr:colOff>1019175</xdr:colOff>
                    <xdr:row>29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7" r:id="rId171" name="Button 275">
              <controlPr defaultSize="0" print="0" autoFill="0" autoPict="0" macro="[0]!print_COSCOMPUTE_E3_2i">
                <anchor moveWithCells="1">
                  <from>
                    <xdr:col>11</xdr:col>
                    <xdr:colOff>142875</xdr:colOff>
                    <xdr:row>29</xdr:row>
                    <xdr:rowOff>304800</xdr:rowOff>
                  </from>
                  <to>
                    <xdr:col>11</xdr:col>
                    <xdr:colOff>1019175</xdr:colOff>
                    <xdr:row>30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8" r:id="rId172" name="Button 276">
              <controlPr defaultSize="0" print="0" autoFill="0" autoPict="0" macro="[0]!print_RATE_OF_RETURN_E3_2i">
                <anchor moveWithCells="1">
                  <from>
                    <xdr:col>11</xdr:col>
                    <xdr:colOff>142875</xdr:colOff>
                    <xdr:row>30</xdr:row>
                    <xdr:rowOff>304800</xdr:rowOff>
                  </from>
                  <to>
                    <xdr:col>11</xdr:col>
                    <xdr:colOff>1019175</xdr:colOff>
                    <xdr:row>31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9" r:id="rId173" name="Button 277">
              <controlPr defaultSize="0" print="0" autoFill="0" autoPict="0" macro="[0]!print_ALLOCATORS_E3_2i">
                <anchor moveWithCells="1">
                  <from>
                    <xdr:col>11</xdr:col>
                    <xdr:colOff>142875</xdr:colOff>
                    <xdr:row>31</xdr:row>
                    <xdr:rowOff>304800</xdr:rowOff>
                  </from>
                  <to>
                    <xdr:col>11</xdr:col>
                    <xdr:colOff>1019175</xdr:colOff>
                    <xdr:row>32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0" r:id="rId174" name="Button 278">
              <controlPr defaultSize="0" print="0" autoFill="0" autoPict="0" macro="[0]!print_FIT_REVENUE_E3_2i">
                <anchor moveWithCells="1">
                  <from>
                    <xdr:col>11</xdr:col>
                    <xdr:colOff>133350</xdr:colOff>
                    <xdr:row>32</xdr:row>
                    <xdr:rowOff>304800</xdr:rowOff>
                  </from>
                  <to>
                    <xdr:col>11</xdr:col>
                    <xdr:colOff>1028700</xdr:colOff>
                    <xdr:row>33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1" r:id="rId175" name="Button 279">
              <controlPr defaultSize="0" print="0" autoFill="0" autoPict="0" macro="[0]!print_SUMMARY_E3_2j">
                <anchor moveWithCells="1">
                  <from>
                    <xdr:col>12</xdr:col>
                    <xdr:colOff>133350</xdr:colOff>
                    <xdr:row>18</xdr:row>
                    <xdr:rowOff>19050</xdr:rowOff>
                  </from>
                  <to>
                    <xdr:col>12</xdr:col>
                    <xdr:colOff>1009650</xdr:colOff>
                    <xdr:row>18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2" r:id="rId176" name="Button 280">
              <controlPr defaultSize="0" print="0" autoFill="0" autoPict="0" macro="[0]!print_GROSSPLANT_E3_2j">
                <anchor moveWithCells="1">
                  <from>
                    <xdr:col>12</xdr:col>
                    <xdr:colOff>133350</xdr:colOff>
                    <xdr:row>19</xdr:row>
                    <xdr:rowOff>19050</xdr:rowOff>
                  </from>
                  <to>
                    <xdr:col>12</xdr:col>
                    <xdr:colOff>1009650</xdr:colOff>
                    <xdr:row>19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3" r:id="rId177" name="Button 281">
              <controlPr defaultSize="0" print="0" autoFill="0" autoPict="0" macro="[0]!print_DEPRECIATION_RESERVE_E3_2j">
                <anchor moveWithCells="1">
                  <from>
                    <xdr:col>12</xdr:col>
                    <xdr:colOff>133350</xdr:colOff>
                    <xdr:row>20</xdr:row>
                    <xdr:rowOff>19050</xdr:rowOff>
                  </from>
                  <to>
                    <xdr:col>12</xdr:col>
                    <xdr:colOff>1009650</xdr:colOff>
                    <xdr:row>20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4" r:id="rId178" name="Button 282">
              <controlPr defaultSize="0" print="0" autoFill="0" autoPict="0" macro="[0]!print_NET_PLANT_E3_2j">
                <anchor moveWithCells="1">
                  <from>
                    <xdr:col>12</xdr:col>
                    <xdr:colOff>133350</xdr:colOff>
                    <xdr:row>21</xdr:row>
                    <xdr:rowOff>19050</xdr:rowOff>
                  </from>
                  <to>
                    <xdr:col>12</xdr:col>
                    <xdr:colOff>1009650</xdr:colOff>
                    <xdr:row>21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5" r:id="rId179" name="Button 283">
              <controlPr defaultSize="0" print="0" autoFill="0" autoPict="0" macro="[0]!print_SUBTRACTIVE_ADJ_E3_2j">
                <anchor moveWithCells="1">
                  <from>
                    <xdr:col>12</xdr:col>
                    <xdr:colOff>133350</xdr:colOff>
                    <xdr:row>22</xdr:row>
                    <xdr:rowOff>19050</xdr:rowOff>
                  </from>
                  <to>
                    <xdr:col>12</xdr:col>
                    <xdr:colOff>1009650</xdr:colOff>
                    <xdr:row>22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6" r:id="rId180" name="Button 284">
              <controlPr defaultSize="0" print="0" autoFill="0" autoPict="0" macro="[0]!print_ADDITIVE_ADJ_E3_2j">
                <anchor moveWithCells="1">
                  <from>
                    <xdr:col>12</xdr:col>
                    <xdr:colOff>133350</xdr:colOff>
                    <xdr:row>23</xdr:row>
                    <xdr:rowOff>9525</xdr:rowOff>
                  </from>
                  <to>
                    <xdr:col>12</xdr:col>
                    <xdr:colOff>1009650</xdr:colOff>
                    <xdr:row>23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7" r:id="rId181" name="Button 285">
              <controlPr defaultSize="0" print="0" autoFill="0" autoPict="0" macro="[0]!print_RATE_BASE_E3_2j">
                <anchor moveWithCells="1">
                  <from>
                    <xdr:col>12</xdr:col>
                    <xdr:colOff>133350</xdr:colOff>
                    <xdr:row>24</xdr:row>
                    <xdr:rowOff>9525</xdr:rowOff>
                  </from>
                  <to>
                    <xdr:col>12</xdr:col>
                    <xdr:colOff>1009650</xdr:colOff>
                    <xdr:row>24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8" r:id="rId182" name="Button 286">
              <controlPr defaultSize="0" print="0" autoFill="0" autoPict="0" macro="[0]!print_OMEXP_6_E3_2j">
                <anchor moveWithCells="1">
                  <from>
                    <xdr:col>12</xdr:col>
                    <xdr:colOff>133350</xdr:colOff>
                    <xdr:row>25</xdr:row>
                    <xdr:rowOff>9525</xdr:rowOff>
                  </from>
                  <to>
                    <xdr:col>12</xdr:col>
                    <xdr:colOff>1009650</xdr:colOff>
                    <xdr:row>25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9" r:id="rId183" name="Button 287">
              <controlPr defaultSize="0" print="0" autoFill="0" autoPict="0" macro="[0]!print_OMEXP_6_1_E3_2j">
                <anchor moveWithCells="1">
                  <from>
                    <xdr:col>12</xdr:col>
                    <xdr:colOff>133350</xdr:colOff>
                    <xdr:row>26</xdr:row>
                    <xdr:rowOff>9525</xdr:rowOff>
                  </from>
                  <to>
                    <xdr:col>12</xdr:col>
                    <xdr:colOff>1009650</xdr:colOff>
                    <xdr:row>26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0" r:id="rId184" name="Button 288">
              <controlPr defaultSize="0" print="0" autoFill="0" autoPict="0" macro="[0]!print_DEPRECIATION_EXPENSE_E3_2j">
                <anchor moveWithCells="1">
                  <from>
                    <xdr:col>12</xdr:col>
                    <xdr:colOff>133350</xdr:colOff>
                    <xdr:row>27</xdr:row>
                    <xdr:rowOff>0</xdr:rowOff>
                  </from>
                  <to>
                    <xdr:col>12</xdr:col>
                    <xdr:colOff>1009650</xdr:colOff>
                    <xdr:row>27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1" r:id="rId185" name="Button 289">
              <controlPr defaultSize="0" print="0" autoFill="0" autoPict="0" macro="[0]!print_OTHER_TAXES_E3_2j">
                <anchor moveWithCells="1">
                  <from>
                    <xdr:col>12</xdr:col>
                    <xdr:colOff>133350</xdr:colOff>
                    <xdr:row>28</xdr:row>
                    <xdr:rowOff>0</xdr:rowOff>
                  </from>
                  <to>
                    <xdr:col>12</xdr:col>
                    <xdr:colOff>1009650</xdr:colOff>
                    <xdr:row>28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2" r:id="rId186" name="Button 290">
              <controlPr defaultSize="0" print="0" autoFill="0" autoPict="0" macro="[0]!print_FIT_RETURN_E3_2j">
                <anchor moveWithCells="1">
                  <from>
                    <xdr:col>12</xdr:col>
                    <xdr:colOff>133350</xdr:colOff>
                    <xdr:row>29</xdr:row>
                    <xdr:rowOff>0</xdr:rowOff>
                  </from>
                  <to>
                    <xdr:col>12</xdr:col>
                    <xdr:colOff>1009650</xdr:colOff>
                    <xdr:row>29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3" r:id="rId187" name="Button 291">
              <controlPr defaultSize="0" print="0" autoFill="0" autoPict="0" macro="[0]!print_COSCOMPUTE_E3_2j">
                <anchor moveWithCells="1">
                  <from>
                    <xdr:col>12</xdr:col>
                    <xdr:colOff>133350</xdr:colOff>
                    <xdr:row>29</xdr:row>
                    <xdr:rowOff>304800</xdr:rowOff>
                  </from>
                  <to>
                    <xdr:col>12</xdr:col>
                    <xdr:colOff>1009650</xdr:colOff>
                    <xdr:row>30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4" r:id="rId188" name="Button 292">
              <controlPr defaultSize="0" print="0" autoFill="0" autoPict="0" macro="[0]!print_RATE_OF_RETURN_E3_2j">
                <anchor moveWithCells="1">
                  <from>
                    <xdr:col>12</xdr:col>
                    <xdr:colOff>133350</xdr:colOff>
                    <xdr:row>30</xdr:row>
                    <xdr:rowOff>304800</xdr:rowOff>
                  </from>
                  <to>
                    <xdr:col>12</xdr:col>
                    <xdr:colOff>1009650</xdr:colOff>
                    <xdr:row>31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5" r:id="rId189" name="Button 293">
              <controlPr defaultSize="0" print="0" autoFill="0" autoPict="0" macro="[0]!print_ALLOCATORS_E3_2j">
                <anchor moveWithCells="1">
                  <from>
                    <xdr:col>12</xdr:col>
                    <xdr:colOff>133350</xdr:colOff>
                    <xdr:row>31</xdr:row>
                    <xdr:rowOff>304800</xdr:rowOff>
                  </from>
                  <to>
                    <xdr:col>12</xdr:col>
                    <xdr:colOff>1009650</xdr:colOff>
                    <xdr:row>32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6" r:id="rId190" name="Button 294">
              <controlPr defaultSize="0" print="0" autoFill="0" autoPict="0" macro="[0]!print_FIT_REVENUE_E3_2j">
                <anchor moveWithCells="1">
                  <from>
                    <xdr:col>12</xdr:col>
                    <xdr:colOff>123825</xdr:colOff>
                    <xdr:row>32</xdr:row>
                    <xdr:rowOff>304800</xdr:rowOff>
                  </from>
                  <to>
                    <xdr:col>12</xdr:col>
                    <xdr:colOff>1019175</xdr:colOff>
                    <xdr:row>33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7" r:id="rId191" name="Button 295">
              <controlPr defaultSize="0" print="0" autoFill="0" autoPict="0" macro="[0]!Print_Sch_E3_1.Print_SCH_E3_1">
                <anchor moveWithCells="1">
                  <from>
                    <xdr:col>6</xdr:col>
                    <xdr:colOff>133350</xdr:colOff>
                    <xdr:row>2</xdr:row>
                    <xdr:rowOff>57150</xdr:rowOff>
                  </from>
                  <to>
                    <xdr:col>6</xdr:col>
                    <xdr:colOff>1047750</xdr:colOff>
                    <xdr:row>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8" r:id="rId192" name="Button 296">
              <controlPr defaultSize="0" print="0" autoFill="0" autoPict="0" macro="[0]!Print_All.PRINT_ALL">
                <anchor moveWithCells="1">
                  <from>
                    <xdr:col>2</xdr:col>
                    <xdr:colOff>142875</xdr:colOff>
                    <xdr:row>4</xdr:row>
                    <xdr:rowOff>57150</xdr:rowOff>
                  </from>
                  <to>
                    <xdr:col>3</xdr:col>
                    <xdr:colOff>266700</xdr:colOff>
                    <xdr:row>9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tabColor rgb="FF92D050"/>
    <pageSetUpPr fitToPage="1"/>
  </sheetPr>
  <dimension ref="A1:U150"/>
  <sheetViews>
    <sheetView topLeftCell="A109" zoomScale="80" zoomScaleNormal="80" workbookViewId="0">
      <selection activeCell="A112" sqref="A112:S147"/>
    </sheetView>
  </sheetViews>
  <sheetFormatPr defaultColWidth="7.109375" defaultRowHeight="12.75"/>
  <cols>
    <col min="1" max="1" width="9.109375" style="78" customWidth="1"/>
    <col min="2" max="2" width="11.5546875" style="91" customWidth="1"/>
    <col min="3" max="3" width="9.88671875" style="94" customWidth="1"/>
    <col min="4" max="4" width="8.88671875" style="95" customWidth="1"/>
    <col min="5" max="5" width="8.33203125" style="95" customWidth="1"/>
    <col min="6" max="6" width="2.77734375" style="97" customWidth="1"/>
    <col min="7" max="7" width="12.33203125" style="95" customWidth="1"/>
    <col min="8" max="8" width="9.33203125" style="98" customWidth="1"/>
    <col min="9" max="9" width="7.88671875" style="96" customWidth="1"/>
    <col min="10" max="10" width="9.21875" style="96" customWidth="1"/>
    <col min="11" max="11" width="8.109375" style="96" customWidth="1"/>
    <col min="12" max="12" width="1.77734375" style="96" customWidth="1"/>
    <col min="13" max="13" width="7.88671875" style="96" customWidth="1"/>
    <col min="14" max="14" width="7.109375" style="96" customWidth="1"/>
    <col min="15" max="15" width="8.44140625" style="96" customWidth="1"/>
    <col min="16" max="16" width="9.77734375" style="92" customWidth="1"/>
    <col min="17" max="17" width="9.6640625" style="92" customWidth="1"/>
    <col min="18" max="20" width="7.109375" style="92"/>
    <col min="21" max="21" width="11.5546875" style="92" bestFit="1" customWidth="1"/>
    <col min="22" max="16384" width="7.109375" style="92"/>
  </cols>
  <sheetData>
    <row r="1" spans="1:19" s="78" customFormat="1">
      <c r="A1" s="196" t="str">
        <f>co_name</f>
        <v>DUKE ENERGY KENTUCKY, INC.</v>
      </c>
      <c r="B1" s="79"/>
      <c r="C1" s="80"/>
      <c r="D1" s="81"/>
      <c r="E1" s="81"/>
      <c r="F1" s="82"/>
      <c r="G1" s="81"/>
      <c r="H1" s="82"/>
      <c r="I1" s="83"/>
      <c r="J1" s="83"/>
      <c r="L1" s="83"/>
      <c r="O1" s="83"/>
      <c r="Q1" s="199" t="s">
        <v>1551</v>
      </c>
    </row>
    <row r="2" spans="1:19" s="78" customFormat="1">
      <c r="A2" s="196" t="str">
        <f>coss_type</f>
        <v xml:space="preserve">GAS COST OF SERVICE STUDY </v>
      </c>
      <c r="B2" s="79"/>
      <c r="C2" s="80"/>
      <c r="D2" s="81"/>
      <c r="E2" s="81"/>
      <c r="F2" s="82"/>
      <c r="G2" s="81"/>
      <c r="H2" s="82"/>
      <c r="I2" s="83"/>
      <c r="J2" s="83"/>
      <c r="L2" s="83"/>
      <c r="O2" s="83"/>
      <c r="Q2" s="199" t="str">
        <f>'Alloc Factors Summary'!G2</f>
        <v>Witness Responsible:</v>
      </c>
    </row>
    <row r="3" spans="1:19" s="78" customFormat="1">
      <c r="A3" s="196" t="str">
        <f>case_name</f>
        <v>CASE NO: 2018-00261</v>
      </c>
      <c r="B3" s="79"/>
      <c r="C3" s="80"/>
      <c r="D3" s="81"/>
      <c r="E3" s="81"/>
      <c r="F3" s="82"/>
      <c r="G3" s="84"/>
      <c r="H3" s="82"/>
      <c r="I3" s="83"/>
      <c r="J3" s="83"/>
      <c r="L3" s="83"/>
      <c r="O3" s="83"/>
      <c r="Q3" s="199" t="str">
        <f>'Alloc Factors Summary'!G3</f>
        <v>James E. Ziolkowski</v>
      </c>
    </row>
    <row r="4" spans="1:19" s="78" customFormat="1">
      <c r="A4" s="10" t="str">
        <f>alloc_factors</f>
        <v>ALLOCATION FACTORS FOR COST OF SERVICE STUDY</v>
      </c>
      <c r="B4" s="79"/>
      <c r="C4" s="80"/>
      <c r="D4" s="81"/>
      <c r="E4" s="204"/>
      <c r="F4" s="204"/>
      <c r="G4" s="204"/>
      <c r="H4" s="204"/>
      <c r="I4" s="204"/>
      <c r="J4" s="83"/>
      <c r="L4" s="83"/>
      <c r="M4" s="200"/>
      <c r="O4" s="83"/>
      <c r="Q4" s="199" t="s">
        <v>1066</v>
      </c>
    </row>
    <row r="5" spans="1:19" s="78" customFormat="1">
      <c r="A5" s="10" t="str">
        <f>time_period</f>
        <v>TWELVE MONTHS ENDING DECEMBER 31, 2017</v>
      </c>
      <c r="B5" s="79"/>
      <c r="C5" s="80"/>
      <c r="D5" s="81"/>
      <c r="E5" s="195"/>
      <c r="F5" s="195"/>
      <c r="G5" s="195"/>
      <c r="H5" s="195"/>
      <c r="I5" s="195"/>
      <c r="J5" s="83"/>
      <c r="L5" s="83"/>
      <c r="M5" s="86"/>
      <c r="O5" s="83"/>
      <c r="Q5" s="360">
        <f ca="1">'Alloc Factors Summary'!G5</f>
        <v>43347</v>
      </c>
    </row>
    <row r="6" spans="1:19" s="78" customFormat="1">
      <c r="A6" s="198" t="s">
        <v>834</v>
      </c>
      <c r="B6" s="79"/>
      <c r="C6" s="80"/>
      <c r="D6" s="81"/>
      <c r="E6" s="195"/>
      <c r="F6" s="195"/>
      <c r="G6" s="195"/>
      <c r="H6" s="195"/>
      <c r="I6" s="195"/>
      <c r="J6" s="83"/>
      <c r="K6" s="83"/>
      <c r="L6" s="83"/>
      <c r="M6" s="86"/>
      <c r="O6" s="83"/>
    </row>
    <row r="7" spans="1:19" s="78" customFormat="1" ht="15.75">
      <c r="B7" s="79"/>
      <c r="C7" s="80"/>
      <c r="D7" s="81"/>
      <c r="E7" s="81"/>
      <c r="F7" s="82"/>
      <c r="G7" s="87"/>
      <c r="H7" s="82"/>
      <c r="I7" s="83"/>
      <c r="J7" s="83"/>
      <c r="K7" s="83"/>
      <c r="L7" s="83"/>
      <c r="M7" s="83"/>
      <c r="N7" s="83"/>
      <c r="O7" s="83"/>
    </row>
    <row r="8" spans="1:19" s="78" customFormat="1" ht="15" customHeight="1">
      <c r="A8" s="953" t="s">
        <v>1298</v>
      </c>
      <c r="B8" s="953"/>
      <c r="C8" s="953"/>
      <c r="D8" s="953"/>
      <c r="E8" s="953"/>
      <c r="F8" s="953"/>
      <c r="G8" s="953"/>
      <c r="H8" s="953"/>
      <c r="I8" s="953"/>
      <c r="J8" s="953"/>
      <c r="K8" s="953"/>
      <c r="L8" s="953"/>
      <c r="M8" s="953"/>
      <c r="N8" s="953"/>
      <c r="O8" s="953"/>
      <c r="P8" s="953"/>
      <c r="Q8" s="953"/>
      <c r="R8" s="953"/>
      <c r="S8" s="953"/>
    </row>
    <row r="9" spans="1:19" s="78" customFormat="1">
      <c r="A9" s="953" t="s">
        <v>1073</v>
      </c>
      <c r="B9" s="953"/>
      <c r="C9" s="953"/>
      <c r="D9" s="953"/>
      <c r="E9" s="953"/>
      <c r="F9" s="953"/>
      <c r="G9" s="953"/>
      <c r="H9" s="953"/>
      <c r="I9" s="953"/>
      <c r="J9" s="953"/>
      <c r="K9" s="953"/>
      <c r="L9" s="953"/>
      <c r="M9" s="953"/>
      <c r="N9" s="953"/>
      <c r="O9" s="953"/>
      <c r="P9" s="953"/>
      <c r="Q9" s="953"/>
      <c r="R9" s="953"/>
      <c r="S9" s="953"/>
    </row>
    <row r="10" spans="1:19" s="89" customFormat="1">
      <c r="A10" s="953"/>
      <c r="B10" s="953"/>
      <c r="C10" s="953"/>
      <c r="D10" s="953"/>
      <c r="E10" s="953"/>
      <c r="F10" s="953"/>
      <c r="G10" s="953"/>
      <c r="H10" s="953"/>
      <c r="I10" s="953"/>
      <c r="J10" s="953"/>
      <c r="K10" s="953"/>
      <c r="L10" s="953"/>
      <c r="M10" s="953"/>
      <c r="N10" s="953"/>
      <c r="O10" s="953"/>
      <c r="P10" s="953"/>
      <c r="Q10" s="953"/>
      <c r="R10" s="953"/>
      <c r="S10" s="953"/>
    </row>
    <row r="11" spans="1:19" s="90" customFormat="1" ht="18">
      <c r="A11" s="957" t="s">
        <v>1074</v>
      </c>
      <c r="B11" s="953"/>
      <c r="C11" s="953"/>
      <c r="D11" s="953"/>
      <c r="E11" s="953"/>
      <c r="F11" s="953"/>
      <c r="G11" s="953"/>
      <c r="H11" s="953"/>
      <c r="I11" s="953"/>
      <c r="J11" s="953"/>
      <c r="K11" s="953"/>
      <c r="L11" s="953"/>
      <c r="M11" s="953"/>
      <c r="N11" s="953"/>
      <c r="O11" s="953"/>
      <c r="P11" s="953"/>
      <c r="Q11" s="953"/>
      <c r="R11" s="953"/>
      <c r="S11" s="953"/>
    </row>
    <row r="12" spans="1:19">
      <c r="A12" s="954"/>
      <c r="B12" s="954"/>
      <c r="C12" s="954"/>
      <c r="D12" s="954"/>
      <c r="E12" s="954"/>
      <c r="F12" s="954"/>
      <c r="G12" s="954"/>
      <c r="H12" s="954"/>
      <c r="I12" s="954"/>
      <c r="J12" s="954"/>
      <c r="K12" s="954"/>
      <c r="L12" s="954"/>
      <c r="M12" s="954"/>
      <c r="N12" s="954"/>
      <c r="O12" s="954"/>
      <c r="P12" s="954"/>
      <c r="Q12" s="954"/>
      <c r="R12" s="954"/>
      <c r="S12" s="954"/>
    </row>
    <row r="13" spans="1:19" s="93" customFormat="1" ht="13.5" thickBot="1">
      <c r="A13" s="873" t="s">
        <v>1075</v>
      </c>
      <c r="B13" s="873" t="s">
        <v>1076</v>
      </c>
      <c r="C13" s="873" t="s">
        <v>1077</v>
      </c>
      <c r="D13" s="873" t="s">
        <v>1078</v>
      </c>
      <c r="E13" s="873" t="s">
        <v>1079</v>
      </c>
      <c r="F13" s="873"/>
      <c r="G13" s="873" t="s">
        <v>1080</v>
      </c>
      <c r="H13" s="873" t="s">
        <v>1081</v>
      </c>
      <c r="I13" s="873" t="s">
        <v>1082</v>
      </c>
      <c r="J13" s="873" t="s">
        <v>1083</v>
      </c>
      <c r="K13" s="873" t="s">
        <v>1084</v>
      </c>
      <c r="L13" s="873"/>
      <c r="M13" s="873" t="s">
        <v>1085</v>
      </c>
      <c r="N13" s="873" t="s">
        <v>1086</v>
      </c>
      <c r="O13" s="873" t="s">
        <v>1087</v>
      </c>
      <c r="P13" s="873" t="s">
        <v>1088</v>
      </c>
      <c r="Q13" s="873" t="s">
        <v>1089</v>
      </c>
      <c r="R13" s="873" t="s">
        <v>1090</v>
      </c>
      <c r="S13" s="873" t="s">
        <v>1091</v>
      </c>
    </row>
    <row r="14" spans="1:19" ht="25.5">
      <c r="A14" s="955" t="s">
        <v>1299</v>
      </c>
      <c r="B14" s="956"/>
      <c r="C14" s="874" t="s">
        <v>1092</v>
      </c>
      <c r="D14" s="874" t="s">
        <v>1093</v>
      </c>
      <c r="E14" s="875" t="s">
        <v>624</v>
      </c>
      <c r="F14" s="876"/>
      <c r="G14" s="877" t="s">
        <v>1094</v>
      </c>
      <c r="H14" s="878" t="s">
        <v>1095</v>
      </c>
      <c r="I14" s="879" t="s">
        <v>479</v>
      </c>
      <c r="J14" s="878" t="s">
        <v>1095</v>
      </c>
      <c r="K14" s="880" t="s">
        <v>1096</v>
      </c>
      <c r="L14" s="876"/>
      <c r="M14" s="877" t="s">
        <v>1097</v>
      </c>
      <c r="N14" s="878" t="s">
        <v>1097</v>
      </c>
      <c r="O14" s="879" t="s">
        <v>1097</v>
      </c>
      <c r="P14" s="878" t="s">
        <v>1098</v>
      </c>
      <c r="Q14" s="879" t="s">
        <v>1098</v>
      </c>
      <c r="R14" s="878" t="s">
        <v>1099</v>
      </c>
      <c r="S14" s="880" t="s">
        <v>1099</v>
      </c>
    </row>
    <row r="15" spans="1:19" ht="25.5">
      <c r="A15" s="881"/>
      <c r="B15" s="882"/>
      <c r="C15" s="883" t="s">
        <v>961</v>
      </c>
      <c r="D15" s="883" t="s">
        <v>1100</v>
      </c>
      <c r="E15" s="884" t="s">
        <v>1101</v>
      </c>
      <c r="F15" s="876"/>
      <c r="G15" s="885" t="s">
        <v>1063</v>
      </c>
      <c r="H15" s="886" t="s">
        <v>1063</v>
      </c>
      <c r="I15" s="887" t="s">
        <v>1102</v>
      </c>
      <c r="J15" s="886" t="s">
        <v>1063</v>
      </c>
      <c r="K15" s="888" t="s">
        <v>1102</v>
      </c>
      <c r="L15" s="876"/>
      <c r="M15" s="885" t="s">
        <v>644</v>
      </c>
      <c r="N15" s="886" t="s">
        <v>1103</v>
      </c>
      <c r="O15" s="887" t="s">
        <v>1103</v>
      </c>
      <c r="P15" s="886" t="s">
        <v>645</v>
      </c>
      <c r="Q15" s="887" t="s">
        <v>645</v>
      </c>
      <c r="R15" s="886" t="s">
        <v>645</v>
      </c>
      <c r="S15" s="888" t="s">
        <v>645</v>
      </c>
    </row>
    <row r="16" spans="1:19" ht="38.25">
      <c r="A16" s="889"/>
      <c r="B16" s="882"/>
      <c r="C16" s="890" t="s">
        <v>1104</v>
      </c>
      <c r="D16" s="890"/>
      <c r="E16" s="891" t="s">
        <v>1105</v>
      </c>
      <c r="F16" s="892"/>
      <c r="G16" s="893"/>
      <c r="H16" s="894" t="s">
        <v>1106</v>
      </c>
      <c r="I16" s="895"/>
      <c r="J16" s="894" t="s">
        <v>1107</v>
      </c>
      <c r="K16" s="896"/>
      <c r="L16" s="892"/>
      <c r="M16" s="885"/>
      <c r="N16" s="894" t="s">
        <v>1106</v>
      </c>
      <c r="O16" s="897" t="s">
        <v>1107</v>
      </c>
      <c r="P16" s="894" t="s">
        <v>1106</v>
      </c>
      <c r="Q16" s="897" t="s">
        <v>1107</v>
      </c>
      <c r="R16" s="894" t="s">
        <v>1106</v>
      </c>
      <c r="S16" s="898" t="s">
        <v>1107</v>
      </c>
    </row>
    <row r="17" spans="1:21" ht="26.25" thickBot="1">
      <c r="A17" s="899" t="s">
        <v>1108</v>
      </c>
      <c r="B17" s="900" t="s">
        <v>982</v>
      </c>
      <c r="C17" s="901"/>
      <c r="D17" s="901"/>
      <c r="E17" s="902" t="s">
        <v>1109</v>
      </c>
      <c r="F17" s="876"/>
      <c r="G17" s="903" t="s">
        <v>1110</v>
      </c>
      <c r="H17" s="904" t="s">
        <v>1110</v>
      </c>
      <c r="I17" s="905"/>
      <c r="J17" s="904" t="s">
        <v>1110</v>
      </c>
      <c r="K17" s="906"/>
      <c r="L17" s="876"/>
      <c r="M17" s="903"/>
      <c r="N17" s="904"/>
      <c r="O17" s="905"/>
      <c r="P17" s="904"/>
      <c r="Q17" s="905"/>
      <c r="R17" s="904"/>
      <c r="S17" s="906"/>
    </row>
    <row r="18" spans="1:21" ht="15" customHeight="1">
      <c r="A18" s="907" t="s">
        <v>1300</v>
      </c>
      <c r="B18" s="908" t="s">
        <v>1301</v>
      </c>
      <c r="C18" s="909">
        <v>70</v>
      </c>
      <c r="D18" s="910">
        <v>91542</v>
      </c>
      <c r="E18" s="911">
        <v>11.24447</v>
      </c>
      <c r="F18" s="912"/>
      <c r="G18" s="913">
        <v>0.7577448</v>
      </c>
      <c r="H18" s="914">
        <v>0.74123039999999996</v>
      </c>
      <c r="I18" s="915" t="s">
        <v>1302</v>
      </c>
      <c r="J18" s="916">
        <v>0.74123039999999996</v>
      </c>
      <c r="K18" s="917" t="s">
        <v>1302</v>
      </c>
      <c r="L18" s="912"/>
      <c r="M18" s="918">
        <v>47.857300000000002</v>
      </c>
      <c r="N18" s="919">
        <v>48.9236</v>
      </c>
      <c r="O18" s="920">
        <v>48.9236</v>
      </c>
      <c r="P18" s="919">
        <v>97.820499999999996</v>
      </c>
      <c r="Q18" s="920">
        <v>97.820499999999996</v>
      </c>
      <c r="R18" s="919">
        <v>102.2281</v>
      </c>
      <c r="S18" s="921">
        <v>102.2281</v>
      </c>
      <c r="U18" s="436">
        <f>ROUND(E18*D18,0)</f>
        <v>1029341</v>
      </c>
    </row>
    <row r="19" spans="1:21" ht="15" customHeight="1">
      <c r="A19" s="907" t="s">
        <v>1303</v>
      </c>
      <c r="B19" s="908" t="s">
        <v>1301</v>
      </c>
      <c r="C19" s="909">
        <v>69</v>
      </c>
      <c r="D19" s="910">
        <v>91550</v>
      </c>
      <c r="E19" s="911">
        <v>8.7587576000000009</v>
      </c>
      <c r="F19" s="912"/>
      <c r="G19" s="913">
        <v>0.67805760000000004</v>
      </c>
      <c r="H19" s="914">
        <v>0.65073840000000005</v>
      </c>
      <c r="I19" s="915" t="s">
        <v>1304</v>
      </c>
      <c r="J19" s="916">
        <v>0.65073840000000005</v>
      </c>
      <c r="K19" s="917" t="s">
        <v>1304</v>
      </c>
      <c r="L19" s="912"/>
      <c r="M19" s="918">
        <v>46.122399999999999</v>
      </c>
      <c r="N19" s="919">
        <v>48.058599999999998</v>
      </c>
      <c r="O19" s="920">
        <v>48.058599999999998</v>
      </c>
      <c r="P19" s="919">
        <v>95.971100000000007</v>
      </c>
      <c r="Q19" s="920">
        <v>95.971100000000007</v>
      </c>
      <c r="R19" s="919">
        <v>104.19799999999999</v>
      </c>
      <c r="S19" s="921">
        <v>104.19799999999999</v>
      </c>
      <c r="U19" s="436">
        <f t="shared" ref="U19:U29" si="0">ROUND(E19*D19,0)</f>
        <v>801864</v>
      </c>
    </row>
    <row r="20" spans="1:21" ht="15" customHeight="1">
      <c r="A20" s="907" t="s">
        <v>1305</v>
      </c>
      <c r="B20" s="908" t="s">
        <v>1301</v>
      </c>
      <c r="C20" s="909">
        <v>66</v>
      </c>
      <c r="D20" s="910">
        <v>91540</v>
      </c>
      <c r="E20" s="911">
        <v>6.3968320000000007</v>
      </c>
      <c r="F20" s="912"/>
      <c r="G20" s="913">
        <v>0.44354159999999998</v>
      </c>
      <c r="H20" s="914">
        <v>0.42860639999999994</v>
      </c>
      <c r="I20" s="915" t="s">
        <v>1307</v>
      </c>
      <c r="J20" s="916">
        <v>0.42860639999999994</v>
      </c>
      <c r="K20" s="917" t="s">
        <v>1307</v>
      </c>
      <c r="L20" s="912"/>
      <c r="M20" s="918">
        <v>46.511800000000001</v>
      </c>
      <c r="N20" s="919">
        <v>48.132599999999996</v>
      </c>
      <c r="O20" s="920">
        <v>48.132599999999996</v>
      </c>
      <c r="P20" s="919">
        <v>96.6327</v>
      </c>
      <c r="Q20" s="920">
        <v>96.6327</v>
      </c>
      <c r="R20" s="919">
        <v>103.4846</v>
      </c>
      <c r="S20" s="921">
        <v>103.4846</v>
      </c>
      <c r="U20" s="436">
        <f t="shared" si="0"/>
        <v>585566</v>
      </c>
    </row>
    <row r="21" spans="1:21" ht="15" customHeight="1">
      <c r="A21" s="907" t="s">
        <v>1308</v>
      </c>
      <c r="B21" s="908" t="s">
        <v>1301</v>
      </c>
      <c r="C21" s="909">
        <v>68</v>
      </c>
      <c r="D21" s="910">
        <v>91289</v>
      </c>
      <c r="E21" s="911">
        <v>3.6433791000000002</v>
      </c>
      <c r="F21" s="912"/>
      <c r="G21" s="913">
        <v>0.47545680000000001</v>
      </c>
      <c r="H21" s="914">
        <v>0.45624720000000002</v>
      </c>
      <c r="I21" s="915" t="s">
        <v>1309</v>
      </c>
      <c r="J21" s="916">
        <v>0.45624720000000002</v>
      </c>
      <c r="K21" s="917" t="s">
        <v>1309</v>
      </c>
      <c r="L21" s="912"/>
      <c r="M21" s="918">
        <v>25.536799999999999</v>
      </c>
      <c r="N21" s="919">
        <v>26.611899999999999</v>
      </c>
      <c r="O21" s="920">
        <v>26.611899999999999</v>
      </c>
      <c r="P21" s="919">
        <v>95.959900000000005</v>
      </c>
      <c r="Q21" s="920">
        <v>95.959900000000005</v>
      </c>
      <c r="R21" s="919">
        <v>104.2101</v>
      </c>
      <c r="S21" s="921">
        <v>104.2101</v>
      </c>
      <c r="U21" s="436">
        <f t="shared" si="0"/>
        <v>332600</v>
      </c>
    </row>
    <row r="22" spans="1:21" ht="15" customHeight="1">
      <c r="A22" s="907" t="s">
        <v>1310</v>
      </c>
      <c r="B22" s="908" t="s">
        <v>1301</v>
      </c>
      <c r="C22" s="909">
        <v>68</v>
      </c>
      <c r="D22" s="910">
        <v>91396</v>
      </c>
      <c r="E22" s="911">
        <v>1.9200128999999999</v>
      </c>
      <c r="F22" s="912"/>
      <c r="G22" s="913">
        <v>0.22846559999999999</v>
      </c>
      <c r="H22" s="914">
        <v>0.213588</v>
      </c>
      <c r="I22" s="915" t="s">
        <v>1311</v>
      </c>
      <c r="J22" s="916">
        <v>0.213588</v>
      </c>
      <c r="K22" s="917" t="s">
        <v>1311</v>
      </c>
      <c r="L22" s="912"/>
      <c r="M22" s="918">
        <v>27.102900000000002</v>
      </c>
      <c r="N22" s="919">
        <v>28.9908</v>
      </c>
      <c r="O22" s="920">
        <v>28.9908</v>
      </c>
      <c r="P22" s="919">
        <v>93.488</v>
      </c>
      <c r="Q22" s="920">
        <v>93.488</v>
      </c>
      <c r="R22" s="919">
        <v>106.96550000000001</v>
      </c>
      <c r="S22" s="921">
        <v>106.96550000000001</v>
      </c>
      <c r="U22" s="436">
        <f t="shared" si="0"/>
        <v>175481</v>
      </c>
    </row>
    <row r="23" spans="1:21" ht="15" customHeight="1">
      <c r="A23" s="907" t="s">
        <v>1312</v>
      </c>
      <c r="B23" s="908" t="s">
        <v>1301</v>
      </c>
      <c r="C23" s="909">
        <v>66</v>
      </c>
      <c r="D23" s="910">
        <v>91158</v>
      </c>
      <c r="E23" s="911">
        <v>1.2692083999999999</v>
      </c>
      <c r="F23" s="912"/>
      <c r="G23" s="913">
        <v>8.0414399999999997E-2</v>
      </c>
      <c r="H23" s="914">
        <v>5.0123999999999988E-2</v>
      </c>
      <c r="I23" s="915" t="s">
        <v>1395</v>
      </c>
      <c r="J23" s="916">
        <v>4.5645600000000001E-2</v>
      </c>
      <c r="K23" s="917" t="s">
        <v>1313</v>
      </c>
      <c r="L23" s="912"/>
      <c r="M23" s="918">
        <v>52.5976</v>
      </c>
      <c r="N23" s="919">
        <v>84.384100000000004</v>
      </c>
      <c r="O23" s="920">
        <v>92.663499999999999</v>
      </c>
      <c r="P23" s="919">
        <v>62.331099999999999</v>
      </c>
      <c r="Q23" s="920">
        <v>56.761899999999997</v>
      </c>
      <c r="R23" s="919">
        <v>160.43360000000001</v>
      </c>
      <c r="S23" s="921">
        <v>176.1746</v>
      </c>
      <c r="U23" s="436">
        <f t="shared" si="0"/>
        <v>115698</v>
      </c>
    </row>
    <row r="24" spans="1:21" ht="15" customHeight="1">
      <c r="A24" s="907" t="s">
        <v>1314</v>
      </c>
      <c r="B24" s="908" t="s">
        <v>1301</v>
      </c>
      <c r="C24" s="909">
        <v>67</v>
      </c>
      <c r="D24" s="910">
        <v>90916</v>
      </c>
      <c r="E24" s="911">
        <v>1.0795899999999998</v>
      </c>
      <c r="F24" s="912"/>
      <c r="G24" s="913">
        <v>6.5733600000000003E-2</v>
      </c>
      <c r="H24" s="914">
        <v>3.9655200000000002E-2</v>
      </c>
      <c r="I24" s="915" t="s">
        <v>1396</v>
      </c>
      <c r="J24" s="916">
        <v>3.3088800000000002E-2</v>
      </c>
      <c r="K24" s="917" t="s">
        <v>1315</v>
      </c>
      <c r="L24" s="912"/>
      <c r="M24" s="918">
        <v>52.966000000000001</v>
      </c>
      <c r="N24" s="919">
        <v>87.798299999999998</v>
      </c>
      <c r="O24" s="920">
        <v>105.22369999999999</v>
      </c>
      <c r="P24" s="919">
        <v>60.326900000000002</v>
      </c>
      <c r="Q24" s="920">
        <v>50.336500000000001</v>
      </c>
      <c r="R24" s="919">
        <v>165.7636</v>
      </c>
      <c r="S24" s="921">
        <v>198.66290000000001</v>
      </c>
      <c r="U24" s="436">
        <f t="shared" si="0"/>
        <v>98152</v>
      </c>
    </row>
    <row r="25" spans="1:21" ht="15" customHeight="1">
      <c r="A25" s="907" t="s">
        <v>1316</v>
      </c>
      <c r="B25" s="908" t="s">
        <v>1301</v>
      </c>
      <c r="C25" s="909">
        <v>68</v>
      </c>
      <c r="D25" s="910">
        <v>90790</v>
      </c>
      <c r="E25" s="911">
        <v>1.1075680999999999</v>
      </c>
      <c r="F25" s="912"/>
      <c r="G25" s="913">
        <v>6.4295999999999992E-2</v>
      </c>
      <c r="H25" s="914">
        <v>4.0430400000000005E-2</v>
      </c>
      <c r="I25" s="915" t="s">
        <v>1397</v>
      </c>
      <c r="J25" s="916">
        <v>3.4619999999999998E-2</v>
      </c>
      <c r="K25" s="917" t="s">
        <v>1317</v>
      </c>
      <c r="L25" s="912"/>
      <c r="M25" s="918">
        <v>55.554699999999997</v>
      </c>
      <c r="N25" s="919">
        <v>88.347899999999996</v>
      </c>
      <c r="O25" s="920">
        <v>103.1759</v>
      </c>
      <c r="P25" s="919">
        <v>62.881700000000002</v>
      </c>
      <c r="Q25" s="920">
        <v>53.8446</v>
      </c>
      <c r="R25" s="919">
        <v>159.02869999999999</v>
      </c>
      <c r="S25" s="921">
        <v>185.71950000000001</v>
      </c>
      <c r="U25" s="436">
        <f t="shared" si="0"/>
        <v>100556</v>
      </c>
    </row>
    <row r="26" spans="1:21" ht="15" customHeight="1">
      <c r="A26" s="907" t="s">
        <v>1318</v>
      </c>
      <c r="B26" s="908" t="s">
        <v>1301</v>
      </c>
      <c r="C26" s="909">
        <v>70</v>
      </c>
      <c r="D26" s="910">
        <v>90919</v>
      </c>
      <c r="E26" s="911">
        <v>1.2150211</v>
      </c>
      <c r="F26" s="912"/>
      <c r="G26" s="913">
        <v>8.5888800000000001E-2</v>
      </c>
      <c r="H26" s="914">
        <v>5.3472000000000006E-2</v>
      </c>
      <c r="I26" s="915" t="s">
        <v>1398</v>
      </c>
      <c r="J26" s="916">
        <v>3.9849599999999999E-2</v>
      </c>
      <c r="K26" s="917" t="s">
        <v>1320</v>
      </c>
      <c r="L26" s="912"/>
      <c r="M26" s="918">
        <v>47.143900000000002</v>
      </c>
      <c r="N26" s="919">
        <v>75.724599999999995</v>
      </c>
      <c r="O26" s="920">
        <v>101.6065</v>
      </c>
      <c r="P26" s="919">
        <v>62.257100000000001</v>
      </c>
      <c r="Q26" s="920">
        <v>46.398499999999999</v>
      </c>
      <c r="R26" s="919">
        <v>160.62430000000001</v>
      </c>
      <c r="S26" s="921">
        <v>215.5241</v>
      </c>
      <c r="U26" s="436">
        <f t="shared" si="0"/>
        <v>110469</v>
      </c>
    </row>
    <row r="27" spans="1:21" ht="15" customHeight="1">
      <c r="A27" s="907" t="s">
        <v>1321</v>
      </c>
      <c r="B27" s="908" t="s">
        <v>1301</v>
      </c>
      <c r="C27" s="909">
        <v>67</v>
      </c>
      <c r="D27" s="910">
        <v>91384</v>
      </c>
      <c r="E27" s="911">
        <v>2.9810683</v>
      </c>
      <c r="F27" s="912"/>
      <c r="G27" s="913">
        <v>0.35514239999999997</v>
      </c>
      <c r="H27" s="914">
        <v>0.34879199999999999</v>
      </c>
      <c r="I27" s="915" t="s">
        <v>1399</v>
      </c>
      <c r="J27" s="916">
        <v>0.3125328</v>
      </c>
      <c r="K27" s="917" t="s">
        <v>1322</v>
      </c>
      <c r="L27" s="912"/>
      <c r="M27" s="918">
        <v>27.070799999999998</v>
      </c>
      <c r="N27" s="919">
        <v>27.563800000000001</v>
      </c>
      <c r="O27" s="920">
        <v>30.761700000000001</v>
      </c>
      <c r="P27" s="919">
        <v>98.211200000000005</v>
      </c>
      <c r="Q27" s="920">
        <v>88.001499999999993</v>
      </c>
      <c r="R27" s="919">
        <v>101.82129999999999</v>
      </c>
      <c r="S27" s="921">
        <v>113.6344</v>
      </c>
      <c r="U27" s="436">
        <f t="shared" si="0"/>
        <v>272422</v>
      </c>
    </row>
    <row r="28" spans="1:21" ht="15" customHeight="1">
      <c r="A28" s="907" t="s">
        <v>1323</v>
      </c>
      <c r="B28" s="908" t="s">
        <v>1301</v>
      </c>
      <c r="C28" s="909">
        <v>67</v>
      </c>
      <c r="D28" s="910">
        <v>91981</v>
      </c>
      <c r="E28" s="911">
        <v>7.1655087999999996</v>
      </c>
      <c r="F28" s="912"/>
      <c r="G28" s="913">
        <v>0.42562560000000005</v>
      </c>
      <c r="H28" s="914">
        <v>0.39867359999999996</v>
      </c>
      <c r="I28" s="915" t="s">
        <v>1400</v>
      </c>
      <c r="J28" s="916">
        <v>0.39387839999999996</v>
      </c>
      <c r="K28" s="917" t="s">
        <v>1324</v>
      </c>
      <c r="L28" s="912"/>
      <c r="M28" s="918">
        <v>56.1038</v>
      </c>
      <c r="N28" s="919">
        <v>59.896599999999999</v>
      </c>
      <c r="O28" s="920">
        <v>60.625700000000002</v>
      </c>
      <c r="P28" s="919">
        <v>93.667699999999996</v>
      </c>
      <c r="Q28" s="920">
        <v>92.541300000000007</v>
      </c>
      <c r="R28" s="919">
        <v>106.7604</v>
      </c>
      <c r="S28" s="921">
        <v>108.0599</v>
      </c>
      <c r="U28" s="436">
        <f t="shared" si="0"/>
        <v>659091</v>
      </c>
    </row>
    <row r="29" spans="1:21" ht="15" customHeight="1" thickBot="1">
      <c r="A29" s="922" t="s">
        <v>1325</v>
      </c>
      <c r="B29" s="923" t="s">
        <v>1301</v>
      </c>
      <c r="C29" s="924">
        <v>66</v>
      </c>
      <c r="D29" s="1030">
        <v>92468</v>
      </c>
      <c r="E29" s="925">
        <v>13.105637699999999</v>
      </c>
      <c r="F29" s="912"/>
      <c r="G29" s="926">
        <v>0.75582240000000001</v>
      </c>
      <c r="H29" s="927">
        <v>0.72619199999999995</v>
      </c>
      <c r="I29" s="928" t="s">
        <v>1326</v>
      </c>
      <c r="J29" s="1031">
        <v>0.68493119999999996</v>
      </c>
      <c r="K29" s="929" t="s">
        <v>1327</v>
      </c>
      <c r="L29" s="912"/>
      <c r="M29" s="930">
        <v>55.920400000000001</v>
      </c>
      <c r="N29" s="931">
        <v>58.202199999999998</v>
      </c>
      <c r="O29" s="932">
        <v>61.708399999999997</v>
      </c>
      <c r="P29" s="931">
        <v>96.079599999999999</v>
      </c>
      <c r="Q29" s="932">
        <v>90.620400000000004</v>
      </c>
      <c r="R29" s="931">
        <v>104.08029999999999</v>
      </c>
      <c r="S29" s="933">
        <v>110.35039999999999</v>
      </c>
      <c r="U29" s="436">
        <f t="shared" si="0"/>
        <v>1211852</v>
      </c>
    </row>
    <row r="30" spans="1:21">
      <c r="A30" s="934"/>
      <c r="B30" s="935"/>
      <c r="C30" s="935"/>
      <c r="D30" s="936"/>
      <c r="E30" s="937"/>
      <c r="F30" s="937"/>
      <c r="G30" s="938"/>
      <c r="H30" s="938"/>
      <c r="I30" s="939"/>
      <c r="J30" s="938"/>
      <c r="K30" s="939"/>
      <c r="L30" s="940"/>
      <c r="M30" s="941"/>
      <c r="N30" s="941"/>
      <c r="O30" s="941"/>
      <c r="P30" s="941"/>
      <c r="Q30" s="941"/>
      <c r="R30" s="941"/>
      <c r="S30" s="941"/>
      <c r="U30" s="436">
        <f>SUM(U18:U29)</f>
        <v>5493092</v>
      </c>
    </row>
    <row r="31" spans="1:21">
      <c r="A31" s="942"/>
      <c r="B31" s="943"/>
      <c r="C31" s="943"/>
      <c r="D31" s="944"/>
      <c r="E31" s="912"/>
      <c r="F31" s="942"/>
      <c r="G31" s="945"/>
      <c r="H31" s="946"/>
      <c r="I31" s="946"/>
      <c r="J31" s="946"/>
      <c r="K31" s="947"/>
      <c r="L31" s="940"/>
      <c r="M31" s="941"/>
      <c r="N31" s="941"/>
      <c r="O31" s="941"/>
      <c r="P31" s="941"/>
      <c r="Q31" s="941"/>
      <c r="R31" s="941"/>
      <c r="S31" s="941"/>
    </row>
    <row r="32" spans="1:21">
      <c r="A32" s="942" t="s">
        <v>1328</v>
      </c>
      <c r="B32" s="943"/>
      <c r="C32" s="943"/>
      <c r="D32" s="944"/>
      <c r="E32" s="912"/>
      <c r="F32" s="942"/>
      <c r="G32" s="945"/>
      <c r="H32" s="946"/>
      <c r="I32" s="946"/>
      <c r="J32" s="946"/>
      <c r="K32" s="947"/>
      <c r="L32" s="940"/>
      <c r="M32" s="941"/>
      <c r="N32" s="941"/>
      <c r="O32" s="941"/>
      <c r="P32" s="941"/>
      <c r="Q32" s="941"/>
      <c r="R32" s="941"/>
      <c r="S32" s="941"/>
    </row>
    <row r="33" spans="1:19">
      <c r="A33" s="942" t="s">
        <v>1111</v>
      </c>
      <c r="B33" s="943"/>
      <c r="C33" s="943"/>
      <c r="D33" s="944"/>
      <c r="E33" s="912"/>
      <c r="F33" s="942"/>
      <c r="G33" s="945"/>
      <c r="H33" s="946"/>
      <c r="I33" s="946"/>
      <c r="J33" s="946"/>
      <c r="K33" s="947"/>
      <c r="L33" s="940"/>
      <c r="M33" s="941"/>
      <c r="N33" s="941"/>
      <c r="O33" s="941"/>
      <c r="P33" s="941"/>
      <c r="Q33" s="941"/>
      <c r="R33" s="941"/>
      <c r="S33" s="941"/>
    </row>
    <row r="34" spans="1:19">
      <c r="A34" s="942" t="s">
        <v>1329</v>
      </c>
      <c r="B34" s="943"/>
      <c r="C34" s="943"/>
      <c r="D34" s="944"/>
      <c r="E34" s="912"/>
      <c r="F34" s="942"/>
      <c r="G34" s="945"/>
      <c r="H34" s="946"/>
      <c r="I34" s="946"/>
      <c r="J34" s="946"/>
      <c r="K34" s="947"/>
      <c r="L34" s="940"/>
      <c r="M34" s="941"/>
      <c r="N34" s="941"/>
      <c r="O34" s="941"/>
      <c r="P34" s="941"/>
      <c r="Q34" s="941"/>
      <c r="R34" s="941"/>
      <c r="S34" s="941"/>
    </row>
    <row r="35" spans="1:19">
      <c r="A35" s="948" t="s">
        <v>1330</v>
      </c>
      <c r="B35" s="943"/>
      <c r="C35" s="943"/>
      <c r="D35" s="949"/>
      <c r="E35" s="949"/>
      <c r="F35" s="950"/>
      <c r="G35" s="951"/>
      <c r="H35" s="951"/>
      <c r="I35" s="951"/>
      <c r="J35" s="951"/>
      <c r="K35" s="951"/>
      <c r="L35" s="952"/>
      <c r="M35" s="952"/>
      <c r="N35" s="952"/>
      <c r="O35" s="952"/>
      <c r="P35" s="952"/>
      <c r="Q35" s="952"/>
      <c r="R35" s="952"/>
      <c r="S35" s="952"/>
    </row>
    <row r="36" spans="1:19">
      <c r="A36" s="78" t="s">
        <v>1331</v>
      </c>
    </row>
    <row r="38" spans="1:19" s="78" customFormat="1">
      <c r="A38" s="196" t="str">
        <f>co_name</f>
        <v>DUKE ENERGY KENTUCKY, INC.</v>
      </c>
      <c r="B38" s="79"/>
      <c r="C38" s="80"/>
      <c r="D38" s="81"/>
      <c r="E38" s="81"/>
      <c r="F38" s="82"/>
      <c r="G38" s="81"/>
      <c r="H38" s="82"/>
      <c r="I38" s="83"/>
      <c r="J38" s="83"/>
      <c r="L38" s="83"/>
      <c r="O38" s="83"/>
      <c r="Q38" s="199" t="str">
        <f>Q1</f>
        <v>WP FR-16(7)(v)</v>
      </c>
    </row>
    <row r="39" spans="1:19" s="78" customFormat="1">
      <c r="A39" s="196" t="str">
        <f>coss_type</f>
        <v xml:space="preserve">GAS COST OF SERVICE STUDY </v>
      </c>
      <c r="B39" s="79"/>
      <c r="C39" s="80"/>
      <c r="D39" s="81"/>
      <c r="E39" s="81"/>
      <c r="F39" s="82"/>
      <c r="G39" s="81"/>
      <c r="H39" s="82"/>
      <c r="I39" s="83"/>
      <c r="J39" s="83"/>
      <c r="L39" s="83"/>
      <c r="O39" s="83"/>
      <c r="Q39" s="199" t="str">
        <f>'Alloc Factors Summary'!G2</f>
        <v>Witness Responsible:</v>
      </c>
    </row>
    <row r="40" spans="1:19" s="78" customFormat="1">
      <c r="A40" s="196" t="str">
        <f>case_name</f>
        <v>CASE NO: 2018-00261</v>
      </c>
      <c r="B40" s="79"/>
      <c r="C40" s="80"/>
      <c r="D40" s="81"/>
      <c r="E40" s="81"/>
      <c r="F40" s="82"/>
      <c r="G40" s="84"/>
      <c r="H40" s="82"/>
      <c r="I40" s="83"/>
      <c r="J40" s="83"/>
      <c r="L40" s="83"/>
      <c r="O40" s="83"/>
      <c r="Q40" s="199" t="str">
        <f>'Alloc Factors Summary'!G3</f>
        <v>James E. Ziolkowski</v>
      </c>
    </row>
    <row r="41" spans="1:19" s="78" customFormat="1">
      <c r="A41" s="10" t="str">
        <f>alloc_factors</f>
        <v>ALLOCATION FACTORS FOR COST OF SERVICE STUDY</v>
      </c>
      <c r="B41" s="79"/>
      <c r="C41" s="80"/>
      <c r="D41" s="81"/>
      <c r="E41" s="204"/>
      <c r="F41" s="204"/>
      <c r="G41" s="204"/>
      <c r="H41" s="204"/>
      <c r="I41" s="204"/>
      <c r="J41" s="83"/>
      <c r="L41" s="83"/>
      <c r="O41" s="83"/>
      <c r="Q41" s="199" t="s">
        <v>1067</v>
      </c>
    </row>
    <row r="42" spans="1:19" s="78" customFormat="1" ht="15.75">
      <c r="A42" s="10" t="str">
        <f>time_period</f>
        <v>TWELVE MONTHS ENDING DECEMBER 31, 2017</v>
      </c>
      <c r="B42" s="79"/>
      <c r="C42" s="80"/>
      <c r="D42" s="81"/>
      <c r="E42" s="81"/>
      <c r="F42" s="82"/>
      <c r="G42" s="87"/>
      <c r="H42" s="82"/>
      <c r="I42" s="83"/>
      <c r="J42" s="83"/>
      <c r="L42" s="83"/>
      <c r="M42" s="83"/>
      <c r="N42" s="83"/>
      <c r="O42" s="83"/>
      <c r="Q42" s="1288">
        <f ca="1">TODAY()</f>
        <v>43347</v>
      </c>
    </row>
    <row r="43" spans="1:19" s="78" customFormat="1">
      <c r="A43" s="198" t="s">
        <v>834</v>
      </c>
      <c r="B43" s="79"/>
      <c r="C43" s="80"/>
      <c r="D43" s="81"/>
      <c r="E43" s="81"/>
      <c r="H43" s="82"/>
      <c r="I43" s="83"/>
      <c r="J43" s="83"/>
      <c r="K43" s="83"/>
      <c r="L43" s="83"/>
      <c r="M43" s="83"/>
      <c r="N43" s="83"/>
      <c r="O43" s="83"/>
    </row>
    <row r="44" spans="1:19" s="78" customFormat="1" ht="15.75">
      <c r="A44" s="198"/>
      <c r="B44" s="79"/>
      <c r="C44" s="80"/>
      <c r="D44" s="81"/>
      <c r="E44" s="81"/>
      <c r="F44" s="82"/>
      <c r="G44" s="87"/>
      <c r="H44" s="82"/>
      <c r="I44" s="83"/>
      <c r="J44" s="83"/>
      <c r="K44" s="83"/>
      <c r="L44" s="83"/>
      <c r="M44" s="83"/>
      <c r="N44" s="83"/>
      <c r="O44" s="83"/>
    </row>
    <row r="45" spans="1:19" s="78" customFormat="1">
      <c r="A45" s="953" t="s">
        <v>1298</v>
      </c>
      <c r="B45" s="953"/>
      <c r="C45" s="953"/>
      <c r="D45" s="953"/>
      <c r="E45" s="953"/>
      <c r="F45" s="953"/>
      <c r="G45" s="953"/>
      <c r="H45" s="953"/>
      <c r="I45" s="953"/>
      <c r="J45" s="953"/>
      <c r="K45" s="953"/>
      <c r="L45" s="953"/>
      <c r="M45" s="953"/>
      <c r="N45" s="953"/>
      <c r="O45" s="953"/>
      <c r="P45" s="953"/>
      <c r="Q45" s="953"/>
      <c r="R45" s="953"/>
      <c r="S45" s="953"/>
    </row>
    <row r="46" spans="1:19" s="88" customFormat="1">
      <c r="A46" s="953" t="s">
        <v>1073</v>
      </c>
      <c r="B46" s="953"/>
      <c r="C46" s="953"/>
      <c r="D46" s="953"/>
      <c r="E46" s="953"/>
      <c r="F46" s="953"/>
      <c r="G46" s="953"/>
      <c r="H46" s="953"/>
      <c r="I46" s="953"/>
      <c r="J46" s="953"/>
      <c r="K46" s="953"/>
      <c r="L46" s="953"/>
      <c r="M46" s="953"/>
      <c r="N46" s="953"/>
      <c r="O46" s="953"/>
      <c r="P46" s="953"/>
      <c r="Q46" s="953"/>
      <c r="R46" s="953"/>
      <c r="S46" s="953"/>
    </row>
    <row r="47" spans="1:19" s="78" customFormat="1" ht="12" customHeight="1">
      <c r="A47" s="953"/>
      <c r="B47" s="953"/>
      <c r="C47" s="953"/>
      <c r="D47" s="953"/>
      <c r="E47" s="953"/>
      <c r="F47" s="953"/>
      <c r="G47" s="953"/>
      <c r="H47" s="953"/>
      <c r="I47" s="953"/>
      <c r="J47" s="953"/>
      <c r="K47" s="953"/>
      <c r="L47" s="953"/>
      <c r="M47" s="953"/>
      <c r="N47" s="953"/>
      <c r="O47" s="953"/>
      <c r="P47" s="953"/>
      <c r="Q47" s="953"/>
      <c r="R47" s="953"/>
      <c r="S47" s="953"/>
    </row>
    <row r="48" spans="1:19" s="78" customFormat="1" ht="17.45" customHeight="1">
      <c r="A48" s="957" t="s">
        <v>1289</v>
      </c>
      <c r="B48" s="953"/>
      <c r="C48" s="953"/>
      <c r="D48" s="953"/>
      <c r="E48" s="953"/>
      <c r="F48" s="953"/>
      <c r="G48" s="953"/>
      <c r="H48" s="953"/>
      <c r="I48" s="953"/>
      <c r="J48" s="953"/>
      <c r="K48" s="953"/>
      <c r="L48" s="953"/>
      <c r="M48" s="953"/>
      <c r="N48" s="953"/>
      <c r="O48" s="953"/>
      <c r="P48" s="953"/>
      <c r="Q48" s="953"/>
      <c r="R48" s="953"/>
      <c r="S48" s="953"/>
    </row>
    <row r="49" spans="1:19" s="89" customFormat="1">
      <c r="A49" s="954"/>
      <c r="B49" s="954"/>
      <c r="C49" s="954"/>
      <c r="D49" s="954"/>
      <c r="E49" s="954"/>
      <c r="F49" s="954"/>
      <c r="G49" s="954"/>
      <c r="H49" s="954"/>
      <c r="I49" s="954"/>
      <c r="J49" s="954"/>
      <c r="K49" s="954"/>
      <c r="L49" s="954"/>
      <c r="M49" s="954"/>
      <c r="N49" s="954"/>
      <c r="O49" s="954"/>
      <c r="P49" s="954"/>
      <c r="Q49" s="954"/>
      <c r="R49" s="954"/>
      <c r="S49" s="954"/>
    </row>
    <row r="50" spans="1:19" s="90" customFormat="1" ht="13.5" thickBot="1">
      <c r="A50" s="873" t="s">
        <v>1075</v>
      </c>
      <c r="B50" s="873" t="s">
        <v>1076</v>
      </c>
      <c r="C50" s="873" t="s">
        <v>1077</v>
      </c>
      <c r="D50" s="873" t="s">
        <v>1078</v>
      </c>
      <c r="E50" s="873" t="s">
        <v>1079</v>
      </c>
      <c r="F50" s="873"/>
      <c r="G50" s="873" t="s">
        <v>1080</v>
      </c>
      <c r="H50" s="873" t="s">
        <v>1081</v>
      </c>
      <c r="I50" s="873" t="s">
        <v>1082</v>
      </c>
      <c r="J50" s="873" t="s">
        <v>1083</v>
      </c>
      <c r="K50" s="873" t="s">
        <v>1084</v>
      </c>
      <c r="L50" s="873"/>
      <c r="M50" s="873" t="s">
        <v>1085</v>
      </c>
      <c r="N50" s="873" t="s">
        <v>1086</v>
      </c>
      <c r="O50" s="873" t="s">
        <v>1087</v>
      </c>
      <c r="P50" s="873" t="s">
        <v>1088</v>
      </c>
      <c r="Q50" s="873" t="s">
        <v>1089</v>
      </c>
      <c r="R50" s="873" t="s">
        <v>1090</v>
      </c>
      <c r="S50" s="873" t="s">
        <v>1091</v>
      </c>
    </row>
    <row r="51" spans="1:19" ht="25.5">
      <c r="A51" s="955" t="s">
        <v>1332</v>
      </c>
      <c r="B51" s="956"/>
      <c r="C51" s="874" t="s">
        <v>1092</v>
      </c>
      <c r="D51" s="874" t="s">
        <v>1093</v>
      </c>
      <c r="E51" s="875" t="s">
        <v>624</v>
      </c>
      <c r="F51" s="876"/>
      <c r="G51" s="877" t="s">
        <v>1094</v>
      </c>
      <c r="H51" s="878" t="s">
        <v>1095</v>
      </c>
      <c r="I51" s="879" t="s">
        <v>479</v>
      </c>
      <c r="J51" s="878" t="s">
        <v>1095</v>
      </c>
      <c r="K51" s="880" t="s">
        <v>1096</v>
      </c>
      <c r="L51" s="876"/>
      <c r="M51" s="877" t="s">
        <v>1097</v>
      </c>
      <c r="N51" s="878" t="s">
        <v>1097</v>
      </c>
      <c r="O51" s="879" t="s">
        <v>1097</v>
      </c>
      <c r="P51" s="878" t="s">
        <v>1098</v>
      </c>
      <c r="Q51" s="879" t="s">
        <v>1098</v>
      </c>
      <c r="R51" s="878" t="s">
        <v>1099</v>
      </c>
      <c r="S51" s="880" t="s">
        <v>1099</v>
      </c>
    </row>
    <row r="52" spans="1:19" s="93" customFormat="1" ht="25.5">
      <c r="A52" s="881"/>
      <c r="B52" s="882"/>
      <c r="C52" s="883" t="s">
        <v>961</v>
      </c>
      <c r="D52" s="883" t="s">
        <v>1100</v>
      </c>
      <c r="E52" s="884" t="s">
        <v>1101</v>
      </c>
      <c r="F52" s="876"/>
      <c r="G52" s="885" t="s">
        <v>1063</v>
      </c>
      <c r="H52" s="886" t="s">
        <v>1063</v>
      </c>
      <c r="I52" s="887" t="s">
        <v>1102</v>
      </c>
      <c r="J52" s="886" t="s">
        <v>1063</v>
      </c>
      <c r="K52" s="888" t="s">
        <v>1102</v>
      </c>
      <c r="L52" s="876"/>
      <c r="M52" s="885" t="s">
        <v>644</v>
      </c>
      <c r="N52" s="886" t="s">
        <v>1103</v>
      </c>
      <c r="O52" s="887" t="s">
        <v>1103</v>
      </c>
      <c r="P52" s="886" t="s">
        <v>645</v>
      </c>
      <c r="Q52" s="887" t="s">
        <v>645</v>
      </c>
      <c r="R52" s="886" t="s">
        <v>645</v>
      </c>
      <c r="S52" s="888" t="s">
        <v>645</v>
      </c>
    </row>
    <row r="53" spans="1:19" ht="38.25">
      <c r="A53" s="889"/>
      <c r="B53" s="882"/>
      <c r="C53" s="890" t="s">
        <v>1104</v>
      </c>
      <c r="D53" s="890"/>
      <c r="E53" s="891" t="s">
        <v>1105</v>
      </c>
      <c r="F53" s="892"/>
      <c r="G53" s="893"/>
      <c r="H53" s="894" t="s">
        <v>1106</v>
      </c>
      <c r="I53" s="895"/>
      <c r="J53" s="894" t="s">
        <v>1107</v>
      </c>
      <c r="K53" s="896"/>
      <c r="L53" s="892"/>
      <c r="M53" s="885"/>
      <c r="N53" s="894" t="s">
        <v>1106</v>
      </c>
      <c r="O53" s="897" t="s">
        <v>1107</v>
      </c>
      <c r="P53" s="894" t="s">
        <v>1106</v>
      </c>
      <c r="Q53" s="897" t="s">
        <v>1107</v>
      </c>
      <c r="R53" s="894" t="s">
        <v>1106</v>
      </c>
      <c r="S53" s="898" t="s">
        <v>1107</v>
      </c>
    </row>
    <row r="54" spans="1:19" ht="26.25" thickBot="1">
      <c r="A54" s="899" t="s">
        <v>1108</v>
      </c>
      <c r="B54" s="900" t="s">
        <v>982</v>
      </c>
      <c r="C54" s="901"/>
      <c r="D54" s="901"/>
      <c r="E54" s="902" t="s">
        <v>1109</v>
      </c>
      <c r="F54" s="876"/>
      <c r="G54" s="903" t="s">
        <v>1110</v>
      </c>
      <c r="H54" s="904" t="s">
        <v>1110</v>
      </c>
      <c r="I54" s="905"/>
      <c r="J54" s="904" t="s">
        <v>1110</v>
      </c>
      <c r="K54" s="906"/>
      <c r="L54" s="876"/>
      <c r="M54" s="903"/>
      <c r="N54" s="904"/>
      <c r="O54" s="905"/>
      <c r="P54" s="904"/>
      <c r="Q54" s="905"/>
      <c r="R54" s="904"/>
      <c r="S54" s="906"/>
    </row>
    <row r="55" spans="1:19" ht="15" customHeight="1">
      <c r="A55" s="907" t="s">
        <v>1300</v>
      </c>
      <c r="B55" s="908" t="s">
        <v>1333</v>
      </c>
      <c r="C55" s="909">
        <v>107</v>
      </c>
      <c r="D55" s="910">
        <v>7141</v>
      </c>
      <c r="E55" s="911">
        <v>77.9027447</v>
      </c>
      <c r="F55" s="912"/>
      <c r="G55" s="913">
        <v>5.0374655999999991</v>
      </c>
      <c r="H55" s="914">
        <v>4.6375152000000002</v>
      </c>
      <c r="I55" s="915" t="s">
        <v>1302</v>
      </c>
      <c r="J55" s="916">
        <v>4.6375152000000002</v>
      </c>
      <c r="K55" s="917" t="s">
        <v>1302</v>
      </c>
      <c r="L55" s="912"/>
      <c r="M55" s="918">
        <v>49.873800000000003</v>
      </c>
      <c r="N55" s="919">
        <v>54.1751</v>
      </c>
      <c r="O55" s="920">
        <v>54.1751</v>
      </c>
      <c r="P55" s="919">
        <v>92.060500000000005</v>
      </c>
      <c r="Q55" s="920">
        <v>92.060500000000005</v>
      </c>
      <c r="R55" s="919">
        <v>108.62430000000001</v>
      </c>
      <c r="S55" s="921">
        <v>108.62430000000001</v>
      </c>
    </row>
    <row r="56" spans="1:19" ht="15" customHeight="1">
      <c r="A56" s="907" t="s">
        <v>1303</v>
      </c>
      <c r="B56" s="908" t="s">
        <v>1333</v>
      </c>
      <c r="C56" s="909">
        <v>111</v>
      </c>
      <c r="D56" s="910">
        <v>7136</v>
      </c>
      <c r="E56" s="911">
        <v>60.013943399999995</v>
      </c>
      <c r="F56" s="912"/>
      <c r="G56" s="913">
        <v>4.5608327999999991</v>
      </c>
      <c r="H56" s="914">
        <v>4.3476192000000005</v>
      </c>
      <c r="I56" s="915" t="s">
        <v>1304</v>
      </c>
      <c r="J56" s="916">
        <v>4.3476192000000005</v>
      </c>
      <c r="K56" s="917" t="s">
        <v>1304</v>
      </c>
      <c r="L56" s="912"/>
      <c r="M56" s="918">
        <v>46.983400000000003</v>
      </c>
      <c r="N56" s="919">
        <v>49.287500000000001</v>
      </c>
      <c r="O56" s="920">
        <v>49.287500000000001</v>
      </c>
      <c r="P56" s="919">
        <v>95.325100000000006</v>
      </c>
      <c r="Q56" s="920">
        <v>95.325100000000006</v>
      </c>
      <c r="R56" s="919">
        <v>104.9041</v>
      </c>
      <c r="S56" s="921">
        <v>104.9041</v>
      </c>
    </row>
    <row r="57" spans="1:19" ht="15" customHeight="1">
      <c r="A57" s="907" t="s">
        <v>1305</v>
      </c>
      <c r="B57" s="908" t="s">
        <v>1333</v>
      </c>
      <c r="C57" s="909">
        <v>105</v>
      </c>
      <c r="D57" s="910">
        <v>7077</v>
      </c>
      <c r="E57" s="911">
        <v>45.626607300000003</v>
      </c>
      <c r="F57" s="912"/>
      <c r="G57" s="913">
        <v>3.1096991999999997</v>
      </c>
      <c r="H57" s="914">
        <v>2.9682240000000002</v>
      </c>
      <c r="I57" s="915" t="s">
        <v>1307</v>
      </c>
      <c r="J57" s="916">
        <v>2.9682240000000002</v>
      </c>
      <c r="K57" s="917" t="s">
        <v>1307</v>
      </c>
      <c r="L57" s="912"/>
      <c r="M57" s="918">
        <v>47.318600000000004</v>
      </c>
      <c r="N57" s="919">
        <v>49.573999999999998</v>
      </c>
      <c r="O57" s="920">
        <v>49.573999999999998</v>
      </c>
      <c r="P57" s="919">
        <v>95.450599999999994</v>
      </c>
      <c r="Q57" s="920">
        <v>95.450599999999994</v>
      </c>
      <c r="R57" s="919">
        <v>104.7663</v>
      </c>
      <c r="S57" s="921">
        <v>104.7663</v>
      </c>
    </row>
    <row r="58" spans="1:19" ht="15" customHeight="1">
      <c r="A58" s="907" t="s">
        <v>1308</v>
      </c>
      <c r="B58" s="908" t="s">
        <v>1333</v>
      </c>
      <c r="C58" s="909">
        <v>108</v>
      </c>
      <c r="D58" s="910">
        <v>6970</v>
      </c>
      <c r="E58" s="911">
        <v>27.8871593</v>
      </c>
      <c r="F58" s="912"/>
      <c r="G58" s="913">
        <v>2.7956879999999997</v>
      </c>
      <c r="H58" s="914">
        <v>2.5545840000000002</v>
      </c>
      <c r="I58" s="915" t="s">
        <v>1309</v>
      </c>
      <c r="J58" s="916">
        <v>2.5545840000000002</v>
      </c>
      <c r="K58" s="917" t="s">
        <v>1309</v>
      </c>
      <c r="L58" s="912"/>
      <c r="M58" s="918">
        <v>33.242100000000001</v>
      </c>
      <c r="N58" s="919">
        <v>36.3795</v>
      </c>
      <c r="O58" s="920">
        <v>36.3795</v>
      </c>
      <c r="P58" s="919">
        <v>91.375900000000001</v>
      </c>
      <c r="Q58" s="920">
        <v>91.375900000000001</v>
      </c>
      <c r="R58" s="919">
        <v>109.43810000000001</v>
      </c>
      <c r="S58" s="921">
        <v>109.43810000000001</v>
      </c>
    </row>
    <row r="59" spans="1:19" ht="15" customHeight="1">
      <c r="A59" s="907" t="s">
        <v>1310</v>
      </c>
      <c r="B59" s="908" t="s">
        <v>1333</v>
      </c>
      <c r="C59" s="909">
        <v>107</v>
      </c>
      <c r="D59" s="910">
        <v>6885</v>
      </c>
      <c r="E59" s="911">
        <v>16.078504000000002</v>
      </c>
      <c r="F59" s="912"/>
      <c r="G59" s="913">
        <v>1.2845447999999999</v>
      </c>
      <c r="H59" s="914">
        <v>0.98896320000000004</v>
      </c>
      <c r="I59" s="915" t="s">
        <v>1311</v>
      </c>
      <c r="J59" s="916">
        <v>0.98896320000000004</v>
      </c>
      <c r="K59" s="917" t="s">
        <v>1311</v>
      </c>
      <c r="L59" s="912"/>
      <c r="M59" s="918">
        <v>40.367199999999997</v>
      </c>
      <c r="N59" s="919">
        <v>52.432200000000002</v>
      </c>
      <c r="O59" s="920">
        <v>52.432200000000002</v>
      </c>
      <c r="P59" s="919">
        <v>76.989400000000003</v>
      </c>
      <c r="Q59" s="920">
        <v>76.989400000000003</v>
      </c>
      <c r="R59" s="919">
        <v>129.88800000000001</v>
      </c>
      <c r="S59" s="921">
        <v>129.88800000000001</v>
      </c>
    </row>
    <row r="60" spans="1:19" ht="15" customHeight="1">
      <c r="A60" s="907" t="s">
        <v>1312</v>
      </c>
      <c r="B60" s="908" t="s">
        <v>1333</v>
      </c>
      <c r="C60" s="909">
        <v>109</v>
      </c>
      <c r="D60" s="910">
        <v>6806</v>
      </c>
      <c r="E60" s="911">
        <v>12.172054099999999</v>
      </c>
      <c r="F60" s="912"/>
      <c r="G60" s="913">
        <v>0.63565919999999998</v>
      </c>
      <c r="H60" s="914">
        <v>0.54096239999999995</v>
      </c>
      <c r="I60" s="915" t="s">
        <v>1313</v>
      </c>
      <c r="J60" s="916">
        <v>0.54096239999999995</v>
      </c>
      <c r="K60" s="917" t="s">
        <v>1313</v>
      </c>
      <c r="L60" s="912"/>
      <c r="M60" s="918">
        <v>63.813400000000001</v>
      </c>
      <c r="N60" s="919">
        <v>74.984099999999998</v>
      </c>
      <c r="O60" s="920">
        <v>74.984099999999998</v>
      </c>
      <c r="P60" s="919">
        <v>85.102599999999995</v>
      </c>
      <c r="Q60" s="920">
        <v>85.102599999999995</v>
      </c>
      <c r="R60" s="919">
        <v>117.5052</v>
      </c>
      <c r="S60" s="921">
        <v>117.5052</v>
      </c>
    </row>
    <row r="61" spans="1:19" ht="15" customHeight="1">
      <c r="A61" s="907" t="s">
        <v>1314</v>
      </c>
      <c r="B61" s="908" t="s">
        <v>1333</v>
      </c>
      <c r="C61" s="909">
        <v>106</v>
      </c>
      <c r="D61" s="910">
        <v>6761</v>
      </c>
      <c r="E61" s="911">
        <v>10.985774600000001</v>
      </c>
      <c r="F61" s="912"/>
      <c r="G61" s="913">
        <v>0.58635360000000003</v>
      </c>
      <c r="H61" s="914">
        <v>0.4366656000000001</v>
      </c>
      <c r="I61" s="915" t="s">
        <v>1401</v>
      </c>
      <c r="J61" s="916">
        <v>0.40750559999999997</v>
      </c>
      <c r="K61" s="917" t="s">
        <v>1315</v>
      </c>
      <c r="L61" s="912"/>
      <c r="M61" s="918">
        <v>60.423099999999998</v>
      </c>
      <c r="N61" s="919">
        <v>81.135999999999996</v>
      </c>
      <c r="O61" s="920">
        <v>86.942099999999996</v>
      </c>
      <c r="P61" s="919">
        <v>74.471400000000003</v>
      </c>
      <c r="Q61" s="920">
        <v>69.498099999999994</v>
      </c>
      <c r="R61" s="919">
        <v>134.27969999999999</v>
      </c>
      <c r="S61" s="921">
        <v>143.8888</v>
      </c>
    </row>
    <row r="62" spans="1:19" ht="15" customHeight="1">
      <c r="A62" s="907" t="s">
        <v>1316</v>
      </c>
      <c r="B62" s="908" t="s">
        <v>1333</v>
      </c>
      <c r="C62" s="909">
        <v>106</v>
      </c>
      <c r="D62" s="910">
        <v>6738</v>
      </c>
      <c r="E62" s="911">
        <v>11.7334867</v>
      </c>
      <c r="F62" s="912"/>
      <c r="G62" s="913">
        <v>0.62502959999999996</v>
      </c>
      <c r="H62" s="914">
        <v>0.47667360000000003</v>
      </c>
      <c r="I62" s="915" t="s">
        <v>1402</v>
      </c>
      <c r="J62" s="916">
        <v>0.39839279999999999</v>
      </c>
      <c r="K62" s="917" t="s">
        <v>1317</v>
      </c>
      <c r="L62" s="912"/>
      <c r="M62" s="918">
        <v>60.542299999999997</v>
      </c>
      <c r="N62" s="919">
        <v>79.385099999999994</v>
      </c>
      <c r="O62" s="920">
        <v>94.983400000000003</v>
      </c>
      <c r="P62" s="919">
        <v>76.263999999999996</v>
      </c>
      <c r="Q62" s="920">
        <v>63.739899999999999</v>
      </c>
      <c r="R62" s="919">
        <v>131.1234</v>
      </c>
      <c r="S62" s="921">
        <v>156.8877</v>
      </c>
    </row>
    <row r="63" spans="1:19" ht="15" customHeight="1">
      <c r="A63" s="907" t="s">
        <v>1318</v>
      </c>
      <c r="B63" s="908" t="s">
        <v>1333</v>
      </c>
      <c r="C63" s="909">
        <v>104</v>
      </c>
      <c r="D63" s="910">
        <v>6748</v>
      </c>
      <c r="E63" s="911">
        <v>12.454060499999999</v>
      </c>
      <c r="F63" s="912"/>
      <c r="G63" s="913">
        <v>0.74679119999999999</v>
      </c>
      <c r="H63" s="914">
        <v>0.52583519999999995</v>
      </c>
      <c r="I63" s="915" t="s">
        <v>1403</v>
      </c>
      <c r="J63" s="916">
        <v>0.50200559999999994</v>
      </c>
      <c r="K63" s="917" t="s">
        <v>1320</v>
      </c>
      <c r="L63" s="912"/>
      <c r="M63" s="918">
        <v>55.575699999999998</v>
      </c>
      <c r="N63" s="919">
        <v>78.928700000000006</v>
      </c>
      <c r="O63" s="920">
        <v>82.674999999999997</v>
      </c>
      <c r="P63" s="919">
        <v>70.412599999999998</v>
      </c>
      <c r="Q63" s="920">
        <v>67.221900000000005</v>
      </c>
      <c r="R63" s="919">
        <v>142.02010000000001</v>
      </c>
      <c r="S63" s="921">
        <v>148.7611</v>
      </c>
    </row>
    <row r="64" spans="1:19" ht="15" customHeight="1">
      <c r="A64" s="907" t="s">
        <v>1321</v>
      </c>
      <c r="B64" s="908" t="s">
        <v>1333</v>
      </c>
      <c r="C64" s="909">
        <v>106</v>
      </c>
      <c r="D64" s="910">
        <v>6877</v>
      </c>
      <c r="E64" s="911">
        <v>24.141434</v>
      </c>
      <c r="F64" s="912"/>
      <c r="G64" s="913">
        <v>2.7087552000000001</v>
      </c>
      <c r="H64" s="914">
        <v>2.2748976000000001</v>
      </c>
      <c r="I64" s="915" t="s">
        <v>1322</v>
      </c>
      <c r="J64" s="916">
        <v>2.2748976000000001</v>
      </c>
      <c r="K64" s="917" t="s">
        <v>1322</v>
      </c>
      <c r="L64" s="912"/>
      <c r="M64" s="918">
        <v>28.742599999999999</v>
      </c>
      <c r="N64" s="919">
        <v>34.224200000000003</v>
      </c>
      <c r="O64" s="920">
        <v>34.224200000000003</v>
      </c>
      <c r="P64" s="919">
        <v>83.983099999999993</v>
      </c>
      <c r="Q64" s="920">
        <v>83.983099999999993</v>
      </c>
      <c r="R64" s="919">
        <v>119.0715</v>
      </c>
      <c r="S64" s="921">
        <v>119.0715</v>
      </c>
    </row>
    <row r="65" spans="1:19" ht="15" customHeight="1">
      <c r="A65" s="907" t="s">
        <v>1323</v>
      </c>
      <c r="B65" s="908" t="s">
        <v>1333</v>
      </c>
      <c r="C65" s="909">
        <v>106</v>
      </c>
      <c r="D65" s="910">
        <v>7049</v>
      </c>
      <c r="E65" s="911">
        <v>51.848914700000002</v>
      </c>
      <c r="F65" s="912"/>
      <c r="G65" s="913">
        <v>3.0881496000000004</v>
      </c>
      <c r="H65" s="914">
        <v>2.6799216000000001</v>
      </c>
      <c r="I65" s="915" t="s">
        <v>1334</v>
      </c>
      <c r="J65" s="916">
        <v>2.453052</v>
      </c>
      <c r="K65" s="917" t="s">
        <v>1324</v>
      </c>
      <c r="L65" s="912"/>
      <c r="M65" s="918">
        <v>55.951799999999999</v>
      </c>
      <c r="N65" s="919">
        <v>64.474800000000002</v>
      </c>
      <c r="O65" s="920">
        <v>70.437799999999996</v>
      </c>
      <c r="P65" s="919">
        <v>86.780900000000003</v>
      </c>
      <c r="Q65" s="920">
        <v>79.434299999999993</v>
      </c>
      <c r="R65" s="919">
        <v>115.2328</v>
      </c>
      <c r="S65" s="921">
        <v>125.89019999999999</v>
      </c>
    </row>
    <row r="66" spans="1:19" ht="15" customHeight="1" thickBot="1">
      <c r="A66" s="922" t="s">
        <v>1325</v>
      </c>
      <c r="B66" s="923" t="s">
        <v>1333</v>
      </c>
      <c r="C66" s="924">
        <v>104</v>
      </c>
      <c r="D66" s="1030">
        <v>7143</v>
      </c>
      <c r="E66" s="925">
        <v>93.039059199999997</v>
      </c>
      <c r="F66" s="912"/>
      <c r="G66" s="926">
        <v>5.2772328000000002</v>
      </c>
      <c r="H66" s="927">
        <v>4.8818760000000001</v>
      </c>
      <c r="I66" s="928" t="s">
        <v>1326</v>
      </c>
      <c r="J66" s="1031">
        <v>4.7635128</v>
      </c>
      <c r="K66" s="929" t="s">
        <v>1327</v>
      </c>
      <c r="L66" s="912"/>
      <c r="M66" s="930">
        <v>56.857999999999997</v>
      </c>
      <c r="N66" s="931">
        <v>61.462600000000002</v>
      </c>
      <c r="O66" s="932">
        <v>62.989800000000002</v>
      </c>
      <c r="P66" s="931">
        <v>92.508200000000002</v>
      </c>
      <c r="Q66" s="932">
        <v>90.2654</v>
      </c>
      <c r="R66" s="931">
        <v>108.0985</v>
      </c>
      <c r="S66" s="933">
        <v>110.78449999999999</v>
      </c>
    </row>
    <row r="67" spans="1:19">
      <c r="A67" s="934"/>
      <c r="B67" s="935"/>
      <c r="C67" s="935"/>
      <c r="D67" s="936"/>
      <c r="E67" s="937"/>
      <c r="F67" s="937"/>
      <c r="G67" s="938"/>
      <c r="H67" s="938"/>
      <c r="I67" s="939"/>
      <c r="J67" s="938"/>
      <c r="K67" s="939"/>
      <c r="L67" s="940"/>
      <c r="M67" s="941"/>
      <c r="N67" s="941"/>
      <c r="O67" s="941"/>
      <c r="P67" s="941"/>
      <c r="Q67" s="941"/>
      <c r="R67" s="941"/>
      <c r="S67" s="941"/>
    </row>
    <row r="68" spans="1:19">
      <c r="A68" s="942"/>
      <c r="B68" s="943"/>
      <c r="C68" s="943"/>
      <c r="D68" s="944"/>
      <c r="E68" s="912"/>
      <c r="F68" s="942"/>
      <c r="G68" s="945"/>
      <c r="H68" s="946"/>
      <c r="I68" s="946"/>
      <c r="J68" s="946"/>
      <c r="K68" s="947"/>
      <c r="L68" s="940"/>
      <c r="M68" s="941"/>
      <c r="N68" s="941"/>
      <c r="O68" s="941"/>
      <c r="P68" s="941"/>
      <c r="Q68" s="941"/>
      <c r="R68" s="941"/>
      <c r="S68" s="941"/>
    </row>
    <row r="69" spans="1:19">
      <c r="A69" s="942" t="s">
        <v>1328</v>
      </c>
      <c r="B69" s="943"/>
      <c r="C69" s="943"/>
      <c r="D69" s="944"/>
      <c r="E69" s="912"/>
      <c r="F69" s="942"/>
      <c r="G69" s="945"/>
      <c r="H69" s="946"/>
      <c r="I69" s="946"/>
      <c r="J69" s="946"/>
      <c r="K69" s="947"/>
      <c r="L69" s="940"/>
      <c r="M69" s="941"/>
      <c r="N69" s="941"/>
      <c r="O69" s="941"/>
      <c r="P69" s="941"/>
      <c r="Q69" s="941"/>
      <c r="R69" s="941"/>
      <c r="S69" s="941"/>
    </row>
    <row r="70" spans="1:19">
      <c r="A70" s="942" t="s">
        <v>1111</v>
      </c>
      <c r="B70" s="943"/>
      <c r="C70" s="943"/>
      <c r="D70" s="944"/>
      <c r="E70" s="912"/>
      <c r="F70" s="942"/>
      <c r="G70" s="945"/>
      <c r="H70" s="946"/>
      <c r="I70" s="946"/>
      <c r="J70" s="946"/>
      <c r="K70" s="947"/>
      <c r="L70" s="940"/>
      <c r="M70" s="941"/>
      <c r="N70" s="941"/>
      <c r="O70" s="941"/>
      <c r="P70" s="941"/>
      <c r="Q70" s="941"/>
      <c r="R70" s="941"/>
      <c r="S70" s="941"/>
    </row>
    <row r="71" spans="1:19">
      <c r="A71" s="942" t="s">
        <v>1329</v>
      </c>
      <c r="B71" s="943"/>
      <c r="C71" s="943"/>
      <c r="D71" s="944"/>
      <c r="E71" s="912"/>
      <c r="F71" s="942"/>
      <c r="G71" s="945"/>
      <c r="H71" s="946"/>
      <c r="I71" s="946"/>
      <c r="J71" s="946"/>
      <c r="K71" s="947"/>
      <c r="L71" s="940"/>
      <c r="M71" s="941"/>
      <c r="N71" s="941"/>
      <c r="O71" s="941"/>
      <c r="P71" s="941"/>
      <c r="Q71" s="941"/>
      <c r="R71" s="941"/>
      <c r="S71" s="941"/>
    </row>
    <row r="72" spans="1:19">
      <c r="A72" s="948" t="s">
        <v>1330</v>
      </c>
      <c r="B72" s="943"/>
      <c r="C72" s="943"/>
      <c r="D72" s="949"/>
      <c r="E72" s="949"/>
      <c r="F72" s="950"/>
      <c r="G72" s="951"/>
      <c r="H72" s="951"/>
      <c r="I72" s="951"/>
      <c r="J72" s="951"/>
      <c r="K72" s="951"/>
      <c r="L72" s="952"/>
      <c r="M72" s="952"/>
      <c r="N72" s="952"/>
      <c r="O72" s="952"/>
      <c r="P72" s="952"/>
      <c r="Q72" s="952"/>
      <c r="R72" s="952"/>
      <c r="S72" s="952"/>
    </row>
    <row r="73" spans="1:19">
      <c r="A73" s="78" t="s">
        <v>1331</v>
      </c>
    </row>
    <row r="75" spans="1:19">
      <c r="A75" s="196" t="str">
        <f>co_name</f>
        <v>DUKE ENERGY KENTUCKY, INC.</v>
      </c>
      <c r="B75" s="79"/>
      <c r="C75" s="80"/>
      <c r="D75" s="81"/>
      <c r="E75" s="81"/>
      <c r="F75" s="82"/>
      <c r="G75" s="81"/>
      <c r="H75" s="82"/>
      <c r="I75" s="83"/>
      <c r="J75" s="83"/>
      <c r="K75" s="92"/>
      <c r="L75" s="83"/>
      <c r="M75" s="92"/>
      <c r="O75" s="83"/>
      <c r="P75" s="78"/>
      <c r="Q75" s="199" t="str">
        <f>Q38</f>
        <v>WP FR-16(7)(v)</v>
      </c>
    </row>
    <row r="76" spans="1:19">
      <c r="A76" s="196" t="str">
        <f>coss_type</f>
        <v xml:space="preserve">GAS COST OF SERVICE STUDY </v>
      </c>
      <c r="B76" s="79"/>
      <c r="C76" s="80"/>
      <c r="D76" s="81"/>
      <c r="E76" s="81"/>
      <c r="F76" s="82"/>
      <c r="G76" s="81"/>
      <c r="H76" s="82"/>
      <c r="I76" s="83"/>
      <c r="J76" s="83"/>
      <c r="K76" s="92"/>
      <c r="L76" s="83"/>
      <c r="M76" s="92"/>
      <c r="O76" s="83"/>
      <c r="P76" s="78"/>
      <c r="Q76" s="199" t="str">
        <f>'Alloc Factors Summary'!G2</f>
        <v>Witness Responsible:</v>
      </c>
    </row>
    <row r="77" spans="1:19">
      <c r="A77" s="196" t="str">
        <f>case_name</f>
        <v>CASE NO: 2018-00261</v>
      </c>
      <c r="B77" s="79"/>
      <c r="C77" s="80"/>
      <c r="D77" s="81"/>
      <c r="E77" s="81"/>
      <c r="F77" s="82"/>
      <c r="G77" s="84"/>
      <c r="H77" s="82"/>
      <c r="I77" s="83"/>
      <c r="J77" s="83"/>
      <c r="K77" s="92"/>
      <c r="L77" s="83"/>
      <c r="M77" s="92"/>
      <c r="O77" s="83"/>
      <c r="P77" s="78"/>
      <c r="Q77" s="199" t="str">
        <f>'Alloc Factors Summary'!G3</f>
        <v>James E. Ziolkowski</v>
      </c>
    </row>
    <row r="78" spans="1:19">
      <c r="A78" s="10" t="str">
        <f>alloc_factors</f>
        <v>ALLOCATION FACTORS FOR COST OF SERVICE STUDY</v>
      </c>
      <c r="B78" s="79"/>
      <c r="C78" s="80"/>
      <c r="D78" s="81"/>
      <c r="E78" s="81"/>
      <c r="F78" s="82"/>
      <c r="G78" s="85"/>
      <c r="H78" s="85"/>
      <c r="I78" s="85"/>
      <c r="J78" s="85"/>
      <c r="K78" s="92"/>
      <c r="L78" s="83"/>
      <c r="M78" s="92"/>
      <c r="O78" s="83"/>
      <c r="P78" s="78"/>
      <c r="Q78" s="199" t="s">
        <v>1068</v>
      </c>
    </row>
    <row r="79" spans="1:19" ht="15.75">
      <c r="A79" s="10" t="str">
        <f>time_period</f>
        <v>TWELVE MONTHS ENDING DECEMBER 31, 2017</v>
      </c>
      <c r="B79" s="79"/>
      <c r="C79" s="80"/>
      <c r="D79" s="81"/>
      <c r="E79" s="81"/>
      <c r="F79" s="82"/>
      <c r="G79" s="87"/>
      <c r="H79" s="82"/>
      <c r="I79" s="83"/>
      <c r="J79" s="83"/>
      <c r="K79" s="92"/>
      <c r="L79" s="83"/>
      <c r="M79" s="83"/>
      <c r="N79" s="83"/>
      <c r="O79" s="83"/>
      <c r="P79" s="78"/>
      <c r="Q79" s="1288">
        <f ca="1">TODAY()</f>
        <v>43347</v>
      </c>
    </row>
    <row r="80" spans="1:19">
      <c r="A80" s="198" t="s">
        <v>834</v>
      </c>
      <c r="B80" s="79"/>
      <c r="C80" s="80"/>
      <c r="D80" s="81"/>
      <c r="E80" s="81"/>
      <c r="F80" s="82"/>
      <c r="G80" s="92"/>
      <c r="H80" s="82"/>
      <c r="I80" s="83"/>
      <c r="J80" s="83"/>
      <c r="K80" s="83"/>
      <c r="L80" s="83"/>
      <c r="M80" s="83"/>
      <c r="N80" s="83"/>
      <c r="O80" s="83"/>
      <c r="P80" s="78"/>
    </row>
    <row r="81" spans="1:19" ht="15.75">
      <c r="A81" s="198"/>
      <c r="B81" s="79"/>
      <c r="C81" s="80"/>
      <c r="D81" s="81"/>
      <c r="E81" s="81"/>
      <c r="F81" s="82"/>
      <c r="G81" s="87"/>
      <c r="H81" s="82"/>
      <c r="I81" s="83"/>
      <c r="J81" s="83"/>
      <c r="K81" s="83"/>
      <c r="L81" s="83"/>
      <c r="M81" s="83"/>
      <c r="N81" s="83"/>
      <c r="O81" s="83"/>
      <c r="P81" s="78"/>
    </row>
    <row r="82" spans="1:19" s="958" customFormat="1">
      <c r="A82" s="953" t="s">
        <v>1298</v>
      </c>
      <c r="B82" s="953"/>
      <c r="C82" s="953"/>
      <c r="D82" s="953"/>
      <c r="E82" s="953"/>
      <c r="F82" s="953"/>
      <c r="G82" s="953"/>
      <c r="H82" s="953"/>
      <c r="I82" s="953"/>
      <c r="J82" s="953"/>
      <c r="K82" s="953"/>
      <c r="L82" s="953"/>
      <c r="M82" s="953"/>
      <c r="N82" s="953"/>
      <c r="O82" s="953"/>
      <c r="P82" s="953"/>
      <c r="Q82" s="953"/>
      <c r="R82" s="953"/>
      <c r="S82" s="953"/>
    </row>
    <row r="83" spans="1:19" s="958" customFormat="1">
      <c r="A83" s="953" t="s">
        <v>1073</v>
      </c>
      <c r="B83" s="953"/>
      <c r="C83" s="953"/>
      <c r="D83" s="953"/>
      <c r="E83" s="953"/>
      <c r="F83" s="953"/>
      <c r="G83" s="953"/>
      <c r="H83" s="953"/>
      <c r="I83" s="953"/>
      <c r="J83" s="953"/>
      <c r="K83" s="953"/>
      <c r="L83" s="953"/>
      <c r="M83" s="953"/>
      <c r="N83" s="953"/>
      <c r="O83" s="953"/>
      <c r="P83" s="953"/>
      <c r="Q83" s="953"/>
      <c r="R83" s="953"/>
      <c r="S83" s="953"/>
    </row>
    <row r="84" spans="1:19" s="958" customFormat="1" ht="13.15" customHeight="1">
      <c r="A84" s="953"/>
      <c r="B84" s="953"/>
      <c r="C84" s="953"/>
      <c r="D84" s="953"/>
      <c r="E84" s="953"/>
      <c r="F84" s="953"/>
      <c r="G84" s="953"/>
      <c r="H84" s="953"/>
      <c r="I84" s="953"/>
      <c r="J84" s="953"/>
      <c r="K84" s="953"/>
      <c r="L84" s="953"/>
      <c r="M84" s="953"/>
      <c r="N84" s="953"/>
      <c r="O84" s="953"/>
      <c r="P84" s="953"/>
      <c r="Q84" s="953"/>
      <c r="R84" s="953"/>
      <c r="S84" s="953"/>
    </row>
    <row r="85" spans="1:19" s="958" customFormat="1" ht="18" customHeight="1">
      <c r="A85" s="957" t="s">
        <v>1335</v>
      </c>
      <c r="B85" s="953"/>
      <c r="C85" s="953"/>
      <c r="D85" s="953"/>
      <c r="E85" s="953"/>
      <c r="F85" s="953"/>
      <c r="G85" s="953"/>
      <c r="H85" s="953"/>
      <c r="I85" s="953"/>
      <c r="J85" s="953"/>
      <c r="K85" s="953"/>
      <c r="L85" s="953"/>
      <c r="M85" s="953"/>
      <c r="N85" s="953"/>
      <c r="O85" s="953"/>
      <c r="P85" s="953"/>
      <c r="Q85" s="953"/>
      <c r="R85" s="953"/>
      <c r="S85" s="953"/>
    </row>
    <row r="86" spans="1:19" s="958" customFormat="1">
      <c r="A86" s="954"/>
      <c r="B86" s="954"/>
      <c r="C86" s="954"/>
      <c r="D86" s="954"/>
      <c r="E86" s="954"/>
      <c r="F86" s="954"/>
      <c r="G86" s="954"/>
      <c r="H86" s="954"/>
      <c r="I86" s="954"/>
      <c r="J86" s="954"/>
      <c r="K86" s="954"/>
      <c r="L86" s="954"/>
      <c r="M86" s="954"/>
      <c r="N86" s="954"/>
      <c r="O86" s="954"/>
      <c r="P86" s="954"/>
      <c r="Q86" s="954"/>
      <c r="R86" s="954"/>
      <c r="S86" s="954"/>
    </row>
    <row r="87" spans="1:19" s="958" customFormat="1" ht="13.5" thickBot="1">
      <c r="A87" s="873" t="s">
        <v>1075</v>
      </c>
      <c r="B87" s="873" t="s">
        <v>1076</v>
      </c>
      <c r="C87" s="873" t="s">
        <v>1077</v>
      </c>
      <c r="D87" s="873" t="s">
        <v>1078</v>
      </c>
      <c r="E87" s="873" t="s">
        <v>1079</v>
      </c>
      <c r="F87" s="873"/>
      <c r="G87" s="873" t="s">
        <v>1080</v>
      </c>
      <c r="H87" s="873" t="s">
        <v>1081</v>
      </c>
      <c r="I87" s="873" t="s">
        <v>1082</v>
      </c>
      <c r="J87" s="873" t="s">
        <v>1083</v>
      </c>
      <c r="K87" s="873" t="s">
        <v>1084</v>
      </c>
      <c r="L87" s="873"/>
      <c r="M87" s="873" t="s">
        <v>1085</v>
      </c>
      <c r="N87" s="873" t="s">
        <v>1086</v>
      </c>
      <c r="O87" s="873" t="s">
        <v>1087</v>
      </c>
      <c r="P87" s="873" t="s">
        <v>1088</v>
      </c>
      <c r="Q87" s="873" t="s">
        <v>1089</v>
      </c>
      <c r="R87" s="873" t="s">
        <v>1090</v>
      </c>
      <c r="S87" s="873" t="s">
        <v>1091</v>
      </c>
    </row>
    <row r="88" spans="1:19" s="958" customFormat="1" ht="25.5">
      <c r="A88" s="955" t="s">
        <v>1336</v>
      </c>
      <c r="B88" s="956"/>
      <c r="C88" s="874" t="s">
        <v>1092</v>
      </c>
      <c r="D88" s="874" t="s">
        <v>1093</v>
      </c>
      <c r="E88" s="875" t="s">
        <v>624</v>
      </c>
      <c r="F88" s="876"/>
      <c r="G88" s="877" t="s">
        <v>1094</v>
      </c>
      <c r="H88" s="878" t="s">
        <v>1095</v>
      </c>
      <c r="I88" s="879" t="s">
        <v>479</v>
      </c>
      <c r="J88" s="878" t="s">
        <v>1095</v>
      </c>
      <c r="K88" s="880" t="s">
        <v>1096</v>
      </c>
      <c r="L88" s="876"/>
      <c r="M88" s="877" t="s">
        <v>1097</v>
      </c>
      <c r="N88" s="878" t="s">
        <v>1097</v>
      </c>
      <c r="O88" s="879" t="s">
        <v>1097</v>
      </c>
      <c r="P88" s="878" t="s">
        <v>1098</v>
      </c>
      <c r="Q88" s="879" t="s">
        <v>1098</v>
      </c>
      <c r="R88" s="878" t="s">
        <v>1099</v>
      </c>
      <c r="S88" s="880" t="s">
        <v>1099</v>
      </c>
    </row>
    <row r="89" spans="1:19" ht="25.5">
      <c r="A89" s="881"/>
      <c r="B89" s="882"/>
      <c r="C89" s="883" t="s">
        <v>961</v>
      </c>
      <c r="D89" s="883" t="s">
        <v>1100</v>
      </c>
      <c r="E89" s="884" t="s">
        <v>1101</v>
      </c>
      <c r="F89" s="876"/>
      <c r="G89" s="885" t="s">
        <v>1063</v>
      </c>
      <c r="H89" s="886" t="s">
        <v>1063</v>
      </c>
      <c r="I89" s="887" t="s">
        <v>1102</v>
      </c>
      <c r="J89" s="886" t="s">
        <v>1063</v>
      </c>
      <c r="K89" s="888" t="s">
        <v>1102</v>
      </c>
      <c r="L89" s="876"/>
      <c r="M89" s="885" t="s">
        <v>644</v>
      </c>
      <c r="N89" s="886" t="s">
        <v>1103</v>
      </c>
      <c r="O89" s="887" t="s">
        <v>1103</v>
      </c>
      <c r="P89" s="886" t="s">
        <v>645</v>
      </c>
      <c r="Q89" s="887" t="s">
        <v>645</v>
      </c>
      <c r="R89" s="886" t="s">
        <v>645</v>
      </c>
      <c r="S89" s="888" t="s">
        <v>645</v>
      </c>
    </row>
    <row r="90" spans="1:19" ht="38.25">
      <c r="A90" s="889"/>
      <c r="B90" s="882"/>
      <c r="C90" s="890" t="s">
        <v>1104</v>
      </c>
      <c r="D90" s="890"/>
      <c r="E90" s="891" t="s">
        <v>1105</v>
      </c>
      <c r="F90" s="892"/>
      <c r="G90" s="893"/>
      <c r="H90" s="894" t="s">
        <v>1106</v>
      </c>
      <c r="I90" s="895"/>
      <c r="J90" s="894" t="s">
        <v>1107</v>
      </c>
      <c r="K90" s="896"/>
      <c r="L90" s="892"/>
      <c r="M90" s="885"/>
      <c r="N90" s="894" t="s">
        <v>1106</v>
      </c>
      <c r="O90" s="897" t="s">
        <v>1107</v>
      </c>
      <c r="P90" s="894" t="s">
        <v>1106</v>
      </c>
      <c r="Q90" s="897" t="s">
        <v>1107</v>
      </c>
      <c r="R90" s="894" t="s">
        <v>1106</v>
      </c>
      <c r="S90" s="898" t="s">
        <v>1107</v>
      </c>
    </row>
    <row r="91" spans="1:19" ht="26.25" thickBot="1">
      <c r="A91" s="899" t="s">
        <v>1108</v>
      </c>
      <c r="B91" s="900" t="s">
        <v>982</v>
      </c>
      <c r="C91" s="901" t="s">
        <v>1113</v>
      </c>
      <c r="D91" s="901"/>
      <c r="E91" s="902" t="s">
        <v>1109</v>
      </c>
      <c r="F91" s="876"/>
      <c r="G91" s="903" t="s">
        <v>1110</v>
      </c>
      <c r="H91" s="904" t="s">
        <v>1110</v>
      </c>
      <c r="I91" s="905"/>
      <c r="J91" s="904" t="s">
        <v>1110</v>
      </c>
      <c r="K91" s="906"/>
      <c r="L91" s="876"/>
      <c r="M91" s="903"/>
      <c r="N91" s="904"/>
      <c r="O91" s="905"/>
      <c r="P91" s="904"/>
      <c r="Q91" s="905"/>
      <c r="R91" s="904"/>
      <c r="S91" s="906"/>
    </row>
    <row r="92" spans="1:19" ht="15" customHeight="1">
      <c r="A92" s="907" t="s">
        <v>1300</v>
      </c>
      <c r="B92" s="908" t="s">
        <v>1337</v>
      </c>
      <c r="C92" s="909"/>
      <c r="D92" s="910">
        <v>89</v>
      </c>
      <c r="E92" s="911">
        <v>3014.365092</v>
      </c>
      <c r="F92" s="912"/>
      <c r="G92" s="913">
        <v>150.90140880000001</v>
      </c>
      <c r="H92" s="914">
        <v>134.4511704</v>
      </c>
      <c r="I92" s="915" t="s">
        <v>1302</v>
      </c>
      <c r="J92" s="916">
        <v>134.4511704</v>
      </c>
      <c r="K92" s="917" t="s">
        <v>1302</v>
      </c>
      <c r="L92" s="912"/>
      <c r="M92" s="918">
        <v>64.4221</v>
      </c>
      <c r="N92" s="919">
        <v>72.304199999999994</v>
      </c>
      <c r="O92" s="920">
        <v>72.304199999999994</v>
      </c>
      <c r="P92" s="919">
        <v>89.098699999999994</v>
      </c>
      <c r="Q92" s="920">
        <v>89.098699999999994</v>
      </c>
      <c r="R92" s="919">
        <v>112.2351</v>
      </c>
      <c r="S92" s="921">
        <v>112.2351</v>
      </c>
    </row>
    <row r="93" spans="1:19" ht="15" customHeight="1">
      <c r="A93" s="907" t="s">
        <v>1303</v>
      </c>
      <c r="B93" s="908" t="s">
        <v>1337</v>
      </c>
      <c r="C93" s="909"/>
      <c r="D93" s="910">
        <v>89</v>
      </c>
      <c r="E93" s="911">
        <v>2404.3770913999997</v>
      </c>
      <c r="F93" s="912"/>
      <c r="G93" s="913">
        <v>138.5133696</v>
      </c>
      <c r="H93" s="914">
        <v>130.08885360000002</v>
      </c>
      <c r="I93" s="915" t="s">
        <v>1304</v>
      </c>
      <c r="J93" s="916">
        <v>130.08885360000002</v>
      </c>
      <c r="K93" s="917" t="s">
        <v>1304</v>
      </c>
      <c r="L93" s="912"/>
      <c r="M93" s="918">
        <v>61.979300000000002</v>
      </c>
      <c r="N93" s="919">
        <v>65.993099999999998</v>
      </c>
      <c r="O93" s="920">
        <v>65.993099999999998</v>
      </c>
      <c r="P93" s="919">
        <v>93.917900000000003</v>
      </c>
      <c r="Q93" s="920">
        <v>93.917900000000003</v>
      </c>
      <c r="R93" s="919">
        <v>106.476</v>
      </c>
      <c r="S93" s="921">
        <v>106.476</v>
      </c>
    </row>
    <row r="94" spans="1:19" ht="15" customHeight="1">
      <c r="A94" s="907" t="s">
        <v>1305</v>
      </c>
      <c r="B94" s="908" t="s">
        <v>1337</v>
      </c>
      <c r="C94" s="909"/>
      <c r="D94" s="910">
        <v>89</v>
      </c>
      <c r="E94" s="911">
        <v>2620.0347692999999</v>
      </c>
      <c r="F94" s="912"/>
      <c r="G94" s="913">
        <v>135.5823216</v>
      </c>
      <c r="H94" s="914">
        <v>126.51570000000001</v>
      </c>
      <c r="I94" s="915" t="s">
        <v>1307</v>
      </c>
      <c r="J94" s="916">
        <v>126.51570000000001</v>
      </c>
      <c r="K94" s="917" t="s">
        <v>1307</v>
      </c>
      <c r="L94" s="912"/>
      <c r="M94" s="918">
        <v>62.321300000000001</v>
      </c>
      <c r="N94" s="919">
        <v>66.787499999999994</v>
      </c>
      <c r="O94" s="920">
        <v>66.787499999999994</v>
      </c>
      <c r="P94" s="919">
        <v>93.312799999999996</v>
      </c>
      <c r="Q94" s="920">
        <v>93.312799999999996</v>
      </c>
      <c r="R94" s="919">
        <v>107.1664</v>
      </c>
      <c r="S94" s="921">
        <v>107.1664</v>
      </c>
    </row>
    <row r="95" spans="1:19" ht="15" customHeight="1">
      <c r="A95" s="907" t="s">
        <v>1308</v>
      </c>
      <c r="B95" s="908" t="s">
        <v>1337</v>
      </c>
      <c r="C95" s="909"/>
      <c r="D95" s="910">
        <v>89</v>
      </c>
      <c r="E95" s="911">
        <v>1692.0896677000001</v>
      </c>
      <c r="F95" s="912"/>
      <c r="G95" s="913">
        <v>100.6636152</v>
      </c>
      <c r="H95" s="914">
        <v>91.541294399999998</v>
      </c>
      <c r="I95" s="915" t="s">
        <v>1309</v>
      </c>
      <c r="J95" s="916">
        <v>91.541294399999998</v>
      </c>
      <c r="K95" s="917" t="s">
        <v>1309</v>
      </c>
      <c r="L95" s="912"/>
      <c r="M95" s="918">
        <v>56.017499999999998</v>
      </c>
      <c r="N95" s="919">
        <v>61.599800000000002</v>
      </c>
      <c r="O95" s="920">
        <v>61.599800000000002</v>
      </c>
      <c r="P95" s="919">
        <v>90.937799999999996</v>
      </c>
      <c r="Q95" s="920">
        <v>90.937799999999996</v>
      </c>
      <c r="R95" s="919">
        <v>109.9653</v>
      </c>
      <c r="S95" s="921">
        <v>109.9653</v>
      </c>
    </row>
    <row r="96" spans="1:19" ht="15" customHeight="1">
      <c r="A96" s="907" t="s">
        <v>1310</v>
      </c>
      <c r="B96" s="908" t="s">
        <v>1337</v>
      </c>
      <c r="C96" s="909"/>
      <c r="D96" s="910">
        <v>90</v>
      </c>
      <c r="E96" s="911">
        <v>1608.2209342000001</v>
      </c>
      <c r="F96" s="912"/>
      <c r="G96" s="913">
        <v>81.616552799999994</v>
      </c>
      <c r="H96" s="914">
        <v>67.859457600000013</v>
      </c>
      <c r="I96" s="915" t="s">
        <v>1404</v>
      </c>
      <c r="J96" s="916">
        <v>63.830976</v>
      </c>
      <c r="K96" s="917" t="s">
        <v>1311</v>
      </c>
      <c r="L96" s="912"/>
      <c r="M96" s="918">
        <v>63.547699999999999</v>
      </c>
      <c r="N96" s="919">
        <v>76.430700000000002</v>
      </c>
      <c r="O96" s="920">
        <v>81.254300000000001</v>
      </c>
      <c r="P96" s="919">
        <v>83.144199999999998</v>
      </c>
      <c r="Q96" s="920">
        <v>78.208399999999997</v>
      </c>
      <c r="R96" s="919">
        <v>120.27290000000001</v>
      </c>
      <c r="S96" s="921">
        <v>127.86360000000001</v>
      </c>
    </row>
    <row r="97" spans="1:19" ht="15" customHeight="1">
      <c r="A97" s="907" t="s">
        <v>1312</v>
      </c>
      <c r="B97" s="908" t="s">
        <v>1337</v>
      </c>
      <c r="C97" s="909"/>
      <c r="D97" s="910">
        <v>90</v>
      </c>
      <c r="E97" s="911">
        <v>1429.6848229</v>
      </c>
      <c r="F97" s="912"/>
      <c r="G97" s="913">
        <v>65.777752800000002</v>
      </c>
      <c r="H97" s="914">
        <v>60.832195200000001</v>
      </c>
      <c r="I97" s="915" t="s">
        <v>1313</v>
      </c>
      <c r="J97" s="916">
        <v>60.832195200000001</v>
      </c>
      <c r="K97" s="917" t="s">
        <v>1313</v>
      </c>
      <c r="L97" s="912"/>
      <c r="M97" s="918">
        <v>72.432599999999994</v>
      </c>
      <c r="N97" s="919">
        <v>78.321200000000005</v>
      </c>
      <c r="O97" s="920">
        <v>78.321200000000005</v>
      </c>
      <c r="P97" s="919">
        <v>92.481399999999994</v>
      </c>
      <c r="Q97" s="920">
        <v>92.481399999999994</v>
      </c>
      <c r="R97" s="919">
        <v>108.1298</v>
      </c>
      <c r="S97" s="921">
        <v>108.1298</v>
      </c>
    </row>
    <row r="98" spans="1:19" ht="15" customHeight="1">
      <c r="A98" s="907" t="s">
        <v>1314</v>
      </c>
      <c r="B98" s="908" t="s">
        <v>1337</v>
      </c>
      <c r="C98" s="909"/>
      <c r="D98" s="910">
        <v>90</v>
      </c>
      <c r="E98" s="911">
        <v>1258.6524964999999</v>
      </c>
      <c r="F98" s="912"/>
      <c r="G98" s="913">
        <v>61.681766400000001</v>
      </c>
      <c r="H98" s="914">
        <v>53.250559199999991</v>
      </c>
      <c r="I98" s="915" t="s">
        <v>1338</v>
      </c>
      <c r="J98" s="916">
        <v>52.405492799999998</v>
      </c>
      <c r="K98" s="917" t="s">
        <v>1315</v>
      </c>
      <c r="L98" s="912"/>
      <c r="M98" s="918">
        <v>65.808400000000006</v>
      </c>
      <c r="N98" s="919">
        <v>76.227900000000005</v>
      </c>
      <c r="O98" s="920">
        <v>77.457099999999997</v>
      </c>
      <c r="P98" s="919">
        <v>86.331100000000006</v>
      </c>
      <c r="Q98" s="920">
        <v>84.961100000000002</v>
      </c>
      <c r="R98" s="919">
        <v>115.8331</v>
      </c>
      <c r="S98" s="921">
        <v>117.70099999999999</v>
      </c>
    </row>
    <row r="99" spans="1:19" ht="15" customHeight="1">
      <c r="A99" s="907" t="s">
        <v>1316</v>
      </c>
      <c r="B99" s="908" t="s">
        <v>1337</v>
      </c>
      <c r="C99" s="909"/>
      <c r="D99" s="910">
        <v>90</v>
      </c>
      <c r="E99" s="911">
        <v>1486.2715765</v>
      </c>
      <c r="F99" s="912"/>
      <c r="G99" s="913">
        <v>65.249553600000013</v>
      </c>
      <c r="H99" s="914">
        <v>57.3050304</v>
      </c>
      <c r="I99" s="915" t="s">
        <v>1405</v>
      </c>
      <c r="J99" s="916">
        <v>52.911984000000004</v>
      </c>
      <c r="K99" s="917" t="s">
        <v>1317</v>
      </c>
      <c r="L99" s="912"/>
      <c r="M99" s="918">
        <v>73.460300000000004</v>
      </c>
      <c r="N99" s="919">
        <v>83.644599999999997</v>
      </c>
      <c r="O99" s="920">
        <v>90.589200000000005</v>
      </c>
      <c r="P99" s="919">
        <v>87.824399999999997</v>
      </c>
      <c r="Q99" s="920">
        <v>81.091700000000003</v>
      </c>
      <c r="R99" s="919">
        <v>113.86360000000001</v>
      </c>
      <c r="S99" s="921">
        <v>123.3172</v>
      </c>
    </row>
    <row r="100" spans="1:19" ht="15" customHeight="1">
      <c r="A100" s="907" t="s">
        <v>1318</v>
      </c>
      <c r="B100" s="908" t="s">
        <v>1337</v>
      </c>
      <c r="C100" s="909"/>
      <c r="D100" s="910">
        <v>90</v>
      </c>
      <c r="E100" s="911">
        <v>1409.7986457</v>
      </c>
      <c r="F100" s="912"/>
      <c r="G100" s="913">
        <v>71.6057256</v>
      </c>
      <c r="H100" s="914">
        <v>59.248744800000011</v>
      </c>
      <c r="I100" s="915" t="s">
        <v>1319</v>
      </c>
      <c r="J100" s="916">
        <v>58.874894400000002</v>
      </c>
      <c r="K100" s="917" t="s">
        <v>1320</v>
      </c>
      <c r="L100" s="912"/>
      <c r="M100" s="918">
        <v>65.611800000000002</v>
      </c>
      <c r="N100" s="919">
        <v>79.295900000000003</v>
      </c>
      <c r="O100" s="920">
        <v>79.799400000000006</v>
      </c>
      <c r="P100" s="919">
        <v>82.742999999999995</v>
      </c>
      <c r="Q100" s="920">
        <v>82.2209</v>
      </c>
      <c r="R100" s="919">
        <v>120.8561</v>
      </c>
      <c r="S100" s="921">
        <v>121.62350000000001</v>
      </c>
    </row>
    <row r="101" spans="1:19" ht="15" customHeight="1">
      <c r="A101" s="907" t="s">
        <v>1321</v>
      </c>
      <c r="B101" s="908" t="s">
        <v>1337</v>
      </c>
      <c r="C101" s="909"/>
      <c r="D101" s="910">
        <v>90</v>
      </c>
      <c r="E101" s="911">
        <v>1721.6546761</v>
      </c>
      <c r="F101" s="912"/>
      <c r="G101" s="913">
        <v>101.46383520000001</v>
      </c>
      <c r="H101" s="914">
        <v>91.050508800000003</v>
      </c>
      <c r="I101" s="915" t="s">
        <v>1322</v>
      </c>
      <c r="J101" s="916">
        <v>91.050508800000003</v>
      </c>
      <c r="K101" s="917" t="s">
        <v>1322</v>
      </c>
      <c r="L101" s="912"/>
      <c r="M101" s="918">
        <v>54.7226</v>
      </c>
      <c r="N101" s="919">
        <v>60.981200000000001</v>
      </c>
      <c r="O101" s="920">
        <v>60.981200000000001</v>
      </c>
      <c r="P101" s="919">
        <v>89.736900000000006</v>
      </c>
      <c r="Q101" s="920">
        <v>89.736900000000006</v>
      </c>
      <c r="R101" s="919">
        <v>111.43689999999999</v>
      </c>
      <c r="S101" s="921">
        <v>111.43689999999999</v>
      </c>
    </row>
    <row r="102" spans="1:19" ht="15" customHeight="1">
      <c r="A102" s="907" t="s">
        <v>1323</v>
      </c>
      <c r="B102" s="908" t="s">
        <v>1337</v>
      </c>
      <c r="C102" s="909"/>
      <c r="D102" s="910">
        <v>89</v>
      </c>
      <c r="E102" s="911">
        <v>2363.6630699000002</v>
      </c>
      <c r="F102" s="912"/>
      <c r="G102" s="913">
        <v>118.24956720000002</v>
      </c>
      <c r="H102" s="914">
        <v>100.27368240000001</v>
      </c>
      <c r="I102" s="915" t="s">
        <v>1342</v>
      </c>
      <c r="J102" s="916">
        <v>98.856496800000002</v>
      </c>
      <c r="K102" s="917" t="s">
        <v>1324</v>
      </c>
      <c r="L102" s="912"/>
      <c r="M102" s="918">
        <v>66.613</v>
      </c>
      <c r="N102" s="919">
        <v>78.554500000000004</v>
      </c>
      <c r="O102" s="920">
        <v>79.680700000000002</v>
      </c>
      <c r="P102" s="919">
        <v>84.798400000000001</v>
      </c>
      <c r="Q102" s="920">
        <v>83.599900000000005</v>
      </c>
      <c r="R102" s="919">
        <v>117.9268</v>
      </c>
      <c r="S102" s="921">
        <v>119.6174</v>
      </c>
    </row>
    <row r="103" spans="1:19" ht="15" customHeight="1" thickBot="1">
      <c r="A103" s="922" t="s">
        <v>1325</v>
      </c>
      <c r="B103" s="923" t="s">
        <v>1337</v>
      </c>
      <c r="C103" s="924"/>
      <c r="D103" s="1030">
        <v>89</v>
      </c>
      <c r="E103" s="925">
        <v>3070.4821430000002</v>
      </c>
      <c r="F103" s="912"/>
      <c r="G103" s="926">
        <v>154.7714928</v>
      </c>
      <c r="H103" s="927">
        <v>132.66865200000001</v>
      </c>
      <c r="I103" s="928" t="s">
        <v>1327</v>
      </c>
      <c r="J103" s="1031">
        <v>132.66865200000001</v>
      </c>
      <c r="K103" s="929" t="s">
        <v>1327</v>
      </c>
      <c r="L103" s="912"/>
      <c r="M103" s="930">
        <v>63.980499999999999</v>
      </c>
      <c r="N103" s="931">
        <v>74.639799999999994</v>
      </c>
      <c r="O103" s="932">
        <v>74.639799999999994</v>
      </c>
      <c r="P103" s="931">
        <v>85.719099999999997</v>
      </c>
      <c r="Q103" s="932">
        <v>85.719099999999997</v>
      </c>
      <c r="R103" s="931">
        <v>116.6602</v>
      </c>
      <c r="S103" s="933">
        <v>116.6602</v>
      </c>
    </row>
    <row r="104" spans="1:19">
      <c r="A104" s="934"/>
      <c r="B104" s="935"/>
      <c r="C104" s="935"/>
      <c r="D104" s="936"/>
      <c r="E104" s="937"/>
      <c r="F104" s="937"/>
      <c r="G104" s="938"/>
      <c r="H104" s="938"/>
      <c r="I104" s="939"/>
      <c r="J104" s="938"/>
      <c r="K104" s="939"/>
      <c r="L104" s="940"/>
      <c r="M104" s="941"/>
      <c r="N104" s="941"/>
      <c r="O104" s="941"/>
      <c r="P104" s="941"/>
      <c r="Q104" s="941"/>
      <c r="R104" s="941"/>
      <c r="S104" s="941"/>
    </row>
    <row r="105" spans="1:19">
      <c r="A105" s="942"/>
      <c r="B105" s="943"/>
      <c r="C105" s="943"/>
      <c r="D105" s="944"/>
      <c r="E105" s="912"/>
      <c r="F105" s="942"/>
      <c r="G105" s="945"/>
      <c r="H105" s="946"/>
      <c r="I105" s="946"/>
      <c r="J105" s="946"/>
      <c r="K105" s="947"/>
      <c r="L105" s="940"/>
      <c r="M105" s="941"/>
      <c r="N105" s="941"/>
      <c r="O105" s="941"/>
      <c r="P105" s="941"/>
      <c r="Q105" s="941"/>
      <c r="R105" s="941"/>
      <c r="S105" s="941"/>
    </row>
    <row r="106" spans="1:19">
      <c r="A106" s="942" t="s">
        <v>1328</v>
      </c>
      <c r="B106" s="943"/>
      <c r="C106" s="943"/>
      <c r="D106" s="944"/>
      <c r="E106" s="912"/>
      <c r="F106" s="942"/>
      <c r="G106" s="945"/>
      <c r="H106" s="946"/>
      <c r="I106" s="946"/>
      <c r="J106" s="946"/>
      <c r="K106" s="947"/>
      <c r="L106" s="940"/>
      <c r="M106" s="941"/>
      <c r="N106" s="941"/>
      <c r="O106" s="941"/>
      <c r="P106" s="941"/>
      <c r="Q106" s="941"/>
      <c r="R106" s="941"/>
      <c r="S106" s="941"/>
    </row>
    <row r="107" spans="1:19">
      <c r="A107" s="942" t="s">
        <v>1111</v>
      </c>
      <c r="B107" s="943"/>
      <c r="C107" s="943"/>
      <c r="D107" s="944"/>
      <c r="E107" s="912"/>
      <c r="F107" s="942"/>
      <c r="G107" s="945"/>
      <c r="H107" s="946"/>
      <c r="I107" s="946"/>
      <c r="J107" s="946"/>
      <c r="K107" s="947"/>
      <c r="L107" s="940"/>
      <c r="M107" s="941"/>
      <c r="N107" s="941"/>
      <c r="O107" s="941"/>
      <c r="P107" s="941"/>
      <c r="Q107" s="941"/>
      <c r="R107" s="941"/>
      <c r="S107" s="941"/>
    </row>
    <row r="108" spans="1:19">
      <c r="A108" s="942" t="s">
        <v>1329</v>
      </c>
      <c r="B108" s="943"/>
      <c r="C108" s="943"/>
      <c r="D108" s="944"/>
      <c r="E108" s="912"/>
      <c r="F108" s="942"/>
      <c r="G108" s="945"/>
      <c r="H108" s="946"/>
      <c r="I108" s="946"/>
      <c r="J108" s="946"/>
      <c r="K108" s="947"/>
      <c r="L108" s="940"/>
      <c r="M108" s="941"/>
      <c r="N108" s="941"/>
      <c r="O108" s="941"/>
      <c r="P108" s="941"/>
      <c r="Q108" s="941"/>
      <c r="R108" s="941"/>
      <c r="S108" s="941"/>
    </row>
    <row r="109" spans="1:19">
      <c r="A109" s="948" t="s">
        <v>1330</v>
      </c>
      <c r="B109" s="943"/>
      <c r="C109" s="943"/>
      <c r="D109" s="949"/>
      <c r="E109" s="949"/>
      <c r="F109" s="950"/>
      <c r="G109" s="951"/>
      <c r="H109" s="951"/>
      <c r="I109" s="951"/>
      <c r="J109" s="951"/>
      <c r="K109" s="951"/>
      <c r="L109" s="952"/>
      <c r="M109" s="952"/>
      <c r="N109" s="952"/>
      <c r="O109" s="952"/>
      <c r="P109" s="952"/>
      <c r="Q109" s="952"/>
      <c r="R109" s="952"/>
      <c r="S109" s="952"/>
    </row>
    <row r="110" spans="1:19">
      <c r="A110" s="78" t="s">
        <v>1331</v>
      </c>
    </row>
    <row r="112" spans="1:19">
      <c r="A112" s="196" t="str">
        <f>co_name</f>
        <v>DUKE ENERGY KENTUCKY, INC.</v>
      </c>
      <c r="B112" s="79"/>
      <c r="C112" s="80"/>
      <c r="D112" s="81"/>
      <c r="E112" s="81"/>
      <c r="F112" s="82"/>
      <c r="G112" s="81"/>
      <c r="H112" s="82"/>
      <c r="I112" s="83"/>
      <c r="J112" s="83"/>
      <c r="K112" s="92"/>
      <c r="L112" s="83"/>
      <c r="O112" s="83"/>
      <c r="P112" s="78"/>
      <c r="Q112" s="199" t="str">
        <f>Q75</f>
        <v>WP FR-16(7)(v)</v>
      </c>
    </row>
    <row r="113" spans="1:20">
      <c r="A113" s="196" t="str">
        <f>coss_type</f>
        <v xml:space="preserve">GAS COST OF SERVICE STUDY </v>
      </c>
      <c r="B113" s="79"/>
      <c r="C113" s="80"/>
      <c r="D113" s="81"/>
      <c r="E113" s="81"/>
      <c r="F113" s="82"/>
      <c r="G113" s="81"/>
      <c r="H113" s="82"/>
      <c r="I113" s="83"/>
      <c r="J113" s="83"/>
      <c r="K113" s="92"/>
      <c r="L113" s="83"/>
      <c r="O113" s="83"/>
      <c r="P113" s="78"/>
      <c r="Q113" s="199" t="str">
        <f>'Alloc Factors Summary'!G2</f>
        <v>Witness Responsible:</v>
      </c>
    </row>
    <row r="114" spans="1:20">
      <c r="A114" s="196" t="str">
        <f>case_name</f>
        <v>CASE NO: 2018-00261</v>
      </c>
      <c r="B114" s="79"/>
      <c r="C114" s="80"/>
      <c r="D114" s="81"/>
      <c r="E114" s="81"/>
      <c r="F114" s="82"/>
      <c r="G114" s="84"/>
      <c r="H114" s="82"/>
      <c r="I114" s="83"/>
      <c r="J114" s="83"/>
      <c r="K114" s="92"/>
      <c r="L114" s="83"/>
      <c r="O114" s="83"/>
      <c r="P114" s="78"/>
      <c r="Q114" s="199" t="str">
        <f>'Alloc Factors Summary'!G3</f>
        <v>James E. Ziolkowski</v>
      </c>
    </row>
    <row r="115" spans="1:20">
      <c r="A115" s="10" t="str">
        <f>alloc_factors</f>
        <v>ALLOCATION FACTORS FOR COST OF SERVICE STUDY</v>
      </c>
      <c r="B115" s="79"/>
      <c r="C115" s="80"/>
      <c r="D115" s="81"/>
      <c r="E115" s="81"/>
      <c r="F115" s="82"/>
      <c r="G115" s="85"/>
      <c r="H115" s="82"/>
      <c r="I115" s="83"/>
      <c r="J115" s="83"/>
      <c r="K115" s="92"/>
      <c r="L115" s="83"/>
      <c r="O115" s="83"/>
      <c r="P115" s="78"/>
      <c r="Q115" s="199" t="s">
        <v>1069</v>
      </c>
    </row>
    <row r="116" spans="1:20" ht="15.75">
      <c r="A116" s="10" t="str">
        <f>time_period</f>
        <v>TWELVE MONTHS ENDING DECEMBER 31, 2017</v>
      </c>
      <c r="B116" s="79"/>
      <c r="C116" s="80"/>
      <c r="D116" s="81"/>
      <c r="E116" s="81"/>
      <c r="F116" s="82"/>
      <c r="G116" s="87"/>
      <c r="H116" s="82"/>
      <c r="I116" s="83"/>
      <c r="J116" s="83"/>
      <c r="K116" s="92"/>
      <c r="L116" s="83"/>
      <c r="M116" s="83"/>
      <c r="N116" s="83"/>
      <c r="O116" s="83"/>
      <c r="P116" s="78"/>
      <c r="Q116" s="1288">
        <f ca="1">TODAY()</f>
        <v>43347</v>
      </c>
    </row>
    <row r="117" spans="1:20">
      <c r="A117" s="198" t="s">
        <v>834</v>
      </c>
      <c r="B117" s="79"/>
      <c r="C117" s="80"/>
      <c r="D117" s="81"/>
      <c r="E117" s="81"/>
      <c r="F117" s="82"/>
      <c r="G117" s="92"/>
      <c r="H117" s="82"/>
      <c r="I117" s="83"/>
      <c r="J117" s="83"/>
      <c r="K117" s="92"/>
      <c r="L117" s="83"/>
      <c r="M117" s="83"/>
      <c r="N117" s="83"/>
      <c r="O117" s="83"/>
      <c r="P117" s="78"/>
      <c r="Q117" s="83"/>
    </row>
    <row r="118" spans="1:20" ht="15.75">
      <c r="A118" s="198"/>
      <c r="B118" s="79"/>
      <c r="C118" s="80"/>
      <c r="D118" s="81"/>
      <c r="E118" s="81"/>
      <c r="F118" s="82"/>
      <c r="G118" s="87"/>
      <c r="H118" s="82"/>
      <c r="I118" s="83"/>
      <c r="J118" s="83"/>
      <c r="K118" s="83"/>
      <c r="L118" s="83"/>
      <c r="M118" s="83"/>
      <c r="N118" s="83"/>
      <c r="O118" s="83"/>
      <c r="P118" s="78"/>
    </row>
    <row r="119" spans="1:20">
      <c r="A119" s="953" t="s">
        <v>1298</v>
      </c>
      <c r="B119" s="953"/>
      <c r="C119" s="953"/>
      <c r="D119" s="953"/>
      <c r="E119" s="953"/>
      <c r="F119" s="953"/>
      <c r="G119" s="953"/>
      <c r="H119" s="953"/>
      <c r="I119" s="953"/>
      <c r="J119" s="953"/>
      <c r="K119" s="953"/>
      <c r="L119" s="953"/>
      <c r="M119" s="953"/>
      <c r="N119" s="953"/>
      <c r="O119" s="953"/>
      <c r="P119" s="953"/>
      <c r="Q119" s="953"/>
      <c r="R119" s="953"/>
      <c r="S119" s="953"/>
      <c r="T119" s="958"/>
    </row>
    <row r="120" spans="1:20">
      <c r="A120" s="953" t="s">
        <v>1073</v>
      </c>
      <c r="B120" s="953"/>
      <c r="C120" s="953"/>
      <c r="D120" s="953"/>
      <c r="E120" s="953"/>
      <c r="F120" s="953"/>
      <c r="G120" s="953"/>
      <c r="H120" s="953"/>
      <c r="I120" s="953"/>
      <c r="J120" s="953"/>
      <c r="K120" s="953"/>
      <c r="L120" s="953"/>
      <c r="M120" s="953"/>
      <c r="N120" s="953"/>
      <c r="O120" s="953"/>
      <c r="P120" s="953"/>
      <c r="Q120" s="953"/>
      <c r="R120" s="953"/>
      <c r="S120" s="953"/>
      <c r="T120" s="958"/>
    </row>
    <row r="121" spans="1:20" ht="12.6" customHeight="1">
      <c r="A121" s="953"/>
      <c r="B121" s="953"/>
      <c r="C121" s="953"/>
      <c r="D121" s="953"/>
      <c r="E121" s="953"/>
      <c r="F121" s="953"/>
      <c r="G121" s="953"/>
      <c r="H121" s="953"/>
      <c r="I121" s="953"/>
      <c r="J121" s="953"/>
      <c r="K121" s="953"/>
      <c r="L121" s="953"/>
      <c r="M121" s="953"/>
      <c r="N121" s="953"/>
      <c r="O121" s="953"/>
      <c r="P121" s="953"/>
      <c r="Q121" s="953"/>
      <c r="R121" s="953"/>
      <c r="S121" s="953"/>
      <c r="T121" s="958"/>
    </row>
    <row r="122" spans="1:20" ht="21" customHeight="1">
      <c r="A122" s="957" t="s">
        <v>1112</v>
      </c>
      <c r="B122" s="953"/>
      <c r="C122" s="953"/>
      <c r="D122" s="953"/>
      <c r="E122" s="953"/>
      <c r="F122" s="953"/>
      <c r="G122" s="953"/>
      <c r="H122" s="953"/>
      <c r="I122" s="953"/>
      <c r="J122" s="953"/>
      <c r="K122" s="953"/>
      <c r="L122" s="953"/>
      <c r="M122" s="953"/>
      <c r="N122" s="953"/>
      <c r="O122" s="953"/>
      <c r="P122" s="953"/>
      <c r="Q122" s="953"/>
      <c r="R122" s="953"/>
      <c r="S122" s="953"/>
      <c r="T122" s="958"/>
    </row>
    <row r="123" spans="1:20">
      <c r="A123" s="954"/>
      <c r="B123" s="954"/>
      <c r="C123" s="954"/>
      <c r="D123" s="954"/>
      <c r="E123" s="954"/>
      <c r="F123" s="954"/>
      <c r="G123" s="954"/>
      <c r="H123" s="954"/>
      <c r="I123" s="954"/>
      <c r="J123" s="954"/>
      <c r="K123" s="954"/>
      <c r="L123" s="954"/>
      <c r="M123" s="954"/>
      <c r="N123" s="954"/>
      <c r="O123" s="954"/>
      <c r="P123" s="954"/>
      <c r="Q123" s="954"/>
      <c r="R123" s="954"/>
      <c r="S123" s="954"/>
      <c r="T123" s="958"/>
    </row>
    <row r="124" spans="1:20" ht="13.5" thickBot="1">
      <c r="A124" s="873" t="s">
        <v>1075</v>
      </c>
      <c r="B124" s="873" t="s">
        <v>1076</v>
      </c>
      <c r="C124" s="873" t="s">
        <v>1077</v>
      </c>
      <c r="D124" s="873" t="s">
        <v>1078</v>
      </c>
      <c r="E124" s="873" t="s">
        <v>1079</v>
      </c>
      <c r="F124" s="873"/>
      <c r="G124" s="873" t="s">
        <v>1080</v>
      </c>
      <c r="H124" s="873" t="s">
        <v>1081</v>
      </c>
      <c r="I124" s="873" t="s">
        <v>1082</v>
      </c>
      <c r="J124" s="873" t="s">
        <v>1083</v>
      </c>
      <c r="K124" s="873" t="s">
        <v>1084</v>
      </c>
      <c r="L124" s="873"/>
      <c r="M124" s="873" t="s">
        <v>1085</v>
      </c>
      <c r="N124" s="873" t="s">
        <v>1086</v>
      </c>
      <c r="O124" s="873" t="s">
        <v>1087</v>
      </c>
      <c r="P124" s="873" t="s">
        <v>1088</v>
      </c>
      <c r="Q124" s="873" t="s">
        <v>1089</v>
      </c>
      <c r="R124" s="873" t="s">
        <v>1090</v>
      </c>
      <c r="S124" s="873" t="s">
        <v>1091</v>
      </c>
      <c r="T124" s="958"/>
    </row>
    <row r="125" spans="1:20" ht="25.5">
      <c r="A125" s="955" t="s">
        <v>1339</v>
      </c>
      <c r="B125" s="956"/>
      <c r="C125" s="874" t="s">
        <v>1092</v>
      </c>
      <c r="D125" s="874" t="s">
        <v>1093</v>
      </c>
      <c r="E125" s="875" t="s">
        <v>624</v>
      </c>
      <c r="F125" s="876"/>
      <c r="G125" s="877" t="s">
        <v>1094</v>
      </c>
      <c r="H125" s="878" t="s">
        <v>1095</v>
      </c>
      <c r="I125" s="879" t="s">
        <v>479</v>
      </c>
      <c r="J125" s="878" t="s">
        <v>1095</v>
      </c>
      <c r="K125" s="880" t="s">
        <v>1096</v>
      </c>
      <c r="L125" s="876"/>
      <c r="M125" s="877" t="s">
        <v>1097</v>
      </c>
      <c r="N125" s="878" t="s">
        <v>1097</v>
      </c>
      <c r="O125" s="879" t="s">
        <v>1097</v>
      </c>
      <c r="P125" s="878" t="s">
        <v>1098</v>
      </c>
      <c r="Q125" s="879" t="s">
        <v>1098</v>
      </c>
      <c r="R125" s="878" t="s">
        <v>1099</v>
      </c>
      <c r="S125" s="880" t="s">
        <v>1099</v>
      </c>
      <c r="T125" s="958"/>
    </row>
    <row r="126" spans="1:20" ht="25.5">
      <c r="A126" s="881"/>
      <c r="B126" s="882"/>
      <c r="C126" s="883" t="s">
        <v>961</v>
      </c>
      <c r="D126" s="883" t="s">
        <v>1100</v>
      </c>
      <c r="E126" s="884" t="s">
        <v>1101</v>
      </c>
      <c r="F126" s="876"/>
      <c r="G126" s="885" t="s">
        <v>1063</v>
      </c>
      <c r="H126" s="886" t="s">
        <v>1063</v>
      </c>
      <c r="I126" s="887" t="s">
        <v>1102</v>
      </c>
      <c r="J126" s="886" t="s">
        <v>1063</v>
      </c>
      <c r="K126" s="888" t="s">
        <v>1102</v>
      </c>
      <c r="L126" s="876"/>
      <c r="M126" s="885" t="s">
        <v>644</v>
      </c>
      <c r="N126" s="886" t="s">
        <v>1103</v>
      </c>
      <c r="O126" s="887" t="s">
        <v>1103</v>
      </c>
      <c r="P126" s="886" t="s">
        <v>645</v>
      </c>
      <c r="Q126" s="887" t="s">
        <v>645</v>
      </c>
      <c r="R126" s="886" t="s">
        <v>645</v>
      </c>
      <c r="S126" s="888" t="s">
        <v>645</v>
      </c>
      <c r="T126" s="958"/>
    </row>
    <row r="127" spans="1:20" ht="38.25">
      <c r="A127" s="889"/>
      <c r="B127" s="882"/>
      <c r="C127" s="890" t="s">
        <v>1104</v>
      </c>
      <c r="D127" s="890"/>
      <c r="E127" s="891" t="s">
        <v>1105</v>
      </c>
      <c r="F127" s="892"/>
      <c r="G127" s="893"/>
      <c r="H127" s="894" t="s">
        <v>1106</v>
      </c>
      <c r="I127" s="895"/>
      <c r="J127" s="894" t="s">
        <v>1107</v>
      </c>
      <c r="K127" s="896"/>
      <c r="L127" s="892"/>
      <c r="M127" s="885"/>
      <c r="N127" s="894" t="s">
        <v>1106</v>
      </c>
      <c r="O127" s="897" t="s">
        <v>1107</v>
      </c>
      <c r="P127" s="894" t="s">
        <v>1106</v>
      </c>
      <c r="Q127" s="897" t="s">
        <v>1107</v>
      </c>
      <c r="R127" s="894" t="s">
        <v>1106</v>
      </c>
      <c r="S127" s="898" t="s">
        <v>1107</v>
      </c>
    </row>
    <row r="128" spans="1:20" ht="26.25" thickBot="1">
      <c r="A128" s="899" t="s">
        <v>1108</v>
      </c>
      <c r="B128" s="900" t="s">
        <v>982</v>
      </c>
      <c r="C128" s="901" t="s">
        <v>1113</v>
      </c>
      <c r="D128" s="901"/>
      <c r="E128" s="902" t="s">
        <v>1109</v>
      </c>
      <c r="F128" s="876"/>
      <c r="G128" s="903" t="s">
        <v>1110</v>
      </c>
      <c r="H128" s="904" t="s">
        <v>1110</v>
      </c>
      <c r="I128" s="905"/>
      <c r="J128" s="904" t="s">
        <v>1110</v>
      </c>
      <c r="K128" s="906"/>
      <c r="L128" s="876"/>
      <c r="M128" s="903"/>
      <c r="N128" s="904"/>
      <c r="O128" s="905"/>
      <c r="P128" s="904"/>
      <c r="Q128" s="905"/>
      <c r="R128" s="904"/>
      <c r="S128" s="906"/>
    </row>
    <row r="129" spans="1:19" ht="15" customHeight="1">
      <c r="A129" s="907" t="s">
        <v>1300</v>
      </c>
      <c r="B129" s="908" t="s">
        <v>1340</v>
      </c>
      <c r="C129" s="909"/>
      <c r="D129" s="910">
        <v>22</v>
      </c>
      <c r="E129" s="911">
        <v>6414.5454545000002</v>
      </c>
      <c r="F129" s="912"/>
      <c r="G129" s="913">
        <v>311.01495839999995</v>
      </c>
      <c r="H129" s="914">
        <v>274.47842639999999</v>
      </c>
      <c r="I129" s="915" t="s">
        <v>1406</v>
      </c>
      <c r="J129" s="916">
        <v>269.66142239999999</v>
      </c>
      <c r="K129" s="917" t="s">
        <v>1302</v>
      </c>
      <c r="L129" s="912"/>
      <c r="M129" s="918">
        <v>66.514600000000002</v>
      </c>
      <c r="N129" s="919">
        <v>75.368499999999997</v>
      </c>
      <c r="O129" s="920">
        <v>76.714799999999997</v>
      </c>
      <c r="P129" s="919">
        <v>88.252499999999998</v>
      </c>
      <c r="Q129" s="920">
        <v>86.703699999999998</v>
      </c>
      <c r="R129" s="919">
        <v>113.3113</v>
      </c>
      <c r="S129" s="921">
        <v>115.33540000000001</v>
      </c>
    </row>
    <row r="130" spans="1:19" ht="15" customHeight="1">
      <c r="A130" s="907" t="s">
        <v>1303</v>
      </c>
      <c r="B130" s="908" t="s">
        <v>1340</v>
      </c>
      <c r="C130" s="909"/>
      <c r="D130" s="910">
        <v>22</v>
      </c>
      <c r="E130" s="911">
        <v>5691.4545454999998</v>
      </c>
      <c r="F130" s="912"/>
      <c r="G130" s="913">
        <v>280.65873599999998</v>
      </c>
      <c r="H130" s="914">
        <v>269.02521360000003</v>
      </c>
      <c r="I130" s="915" t="s">
        <v>1304</v>
      </c>
      <c r="J130" s="916">
        <v>269.02521360000003</v>
      </c>
      <c r="K130" s="917" t="s">
        <v>1304</v>
      </c>
      <c r="L130" s="912"/>
      <c r="M130" s="918">
        <v>72.406999999999996</v>
      </c>
      <c r="N130" s="919">
        <v>75.5381</v>
      </c>
      <c r="O130" s="920">
        <v>75.5381</v>
      </c>
      <c r="P130" s="919">
        <v>95.854900000000001</v>
      </c>
      <c r="Q130" s="920">
        <v>95.854900000000001</v>
      </c>
      <c r="R130" s="919">
        <v>104.32429999999999</v>
      </c>
      <c r="S130" s="921">
        <v>104.32429999999999</v>
      </c>
    </row>
    <row r="131" spans="1:19" ht="15" customHeight="1">
      <c r="A131" s="907" t="s">
        <v>1305</v>
      </c>
      <c r="B131" s="908" t="s">
        <v>1340</v>
      </c>
      <c r="C131" s="909"/>
      <c r="D131" s="910">
        <v>22</v>
      </c>
      <c r="E131" s="911">
        <v>5945.0681818000003</v>
      </c>
      <c r="F131" s="912"/>
      <c r="G131" s="913">
        <v>274.88741760000005</v>
      </c>
      <c r="H131" s="914">
        <v>256.2556032</v>
      </c>
      <c r="I131" s="915" t="s">
        <v>1306</v>
      </c>
      <c r="J131" s="916">
        <v>252.39291120000001</v>
      </c>
      <c r="K131" s="917" t="s">
        <v>1307</v>
      </c>
      <c r="L131" s="912"/>
      <c r="M131" s="918">
        <v>69.748400000000004</v>
      </c>
      <c r="N131" s="919">
        <v>74.819699999999997</v>
      </c>
      <c r="O131" s="920">
        <v>75.964699999999993</v>
      </c>
      <c r="P131" s="919">
        <v>93.221999999999994</v>
      </c>
      <c r="Q131" s="920">
        <v>91.816800000000001</v>
      </c>
      <c r="R131" s="919">
        <v>107.27079999999999</v>
      </c>
      <c r="S131" s="921">
        <v>108.91249999999999</v>
      </c>
    </row>
    <row r="132" spans="1:19" ht="15" customHeight="1">
      <c r="A132" s="907" t="s">
        <v>1308</v>
      </c>
      <c r="B132" s="908" t="s">
        <v>1340</v>
      </c>
      <c r="C132" s="909"/>
      <c r="D132" s="910">
        <v>22</v>
      </c>
      <c r="E132" s="911">
        <v>5432.1818181999997</v>
      </c>
      <c r="F132" s="912"/>
      <c r="G132" s="913">
        <v>343.6887984</v>
      </c>
      <c r="H132" s="914">
        <v>252.1656936</v>
      </c>
      <c r="I132" s="915" t="s">
        <v>1341</v>
      </c>
      <c r="J132" s="916">
        <v>215.22017040000003</v>
      </c>
      <c r="K132" s="917" t="s">
        <v>1309</v>
      </c>
      <c r="L132" s="912"/>
      <c r="M132" s="918">
        <v>52.672199999999997</v>
      </c>
      <c r="N132" s="919">
        <v>71.789500000000004</v>
      </c>
      <c r="O132" s="920">
        <v>84.113200000000006</v>
      </c>
      <c r="P132" s="919">
        <v>73.370400000000004</v>
      </c>
      <c r="Q132" s="920">
        <v>62.620699999999999</v>
      </c>
      <c r="R132" s="919">
        <v>136.29480000000001</v>
      </c>
      <c r="S132" s="921">
        <v>159.6917</v>
      </c>
    </row>
    <row r="133" spans="1:19" ht="15" customHeight="1">
      <c r="A133" s="907" t="s">
        <v>1310</v>
      </c>
      <c r="B133" s="908" t="s">
        <v>1340</v>
      </c>
      <c r="C133" s="909"/>
      <c r="D133" s="910">
        <v>22</v>
      </c>
      <c r="E133" s="911">
        <v>5981.1363635999996</v>
      </c>
      <c r="F133" s="912"/>
      <c r="G133" s="913">
        <v>333.6003528</v>
      </c>
      <c r="H133" s="914">
        <v>254.52875280000001</v>
      </c>
      <c r="I133" s="915" t="s">
        <v>1407</v>
      </c>
      <c r="J133" s="916">
        <v>212.31179039999998</v>
      </c>
      <c r="K133" s="917" t="s">
        <v>1311</v>
      </c>
      <c r="L133" s="912"/>
      <c r="M133" s="918">
        <v>57.8215</v>
      </c>
      <c r="N133" s="919">
        <v>75.784300000000002</v>
      </c>
      <c r="O133" s="920">
        <v>90.853499999999997</v>
      </c>
      <c r="P133" s="919">
        <v>76.297499999999999</v>
      </c>
      <c r="Q133" s="920">
        <v>63.642600000000002</v>
      </c>
      <c r="R133" s="919">
        <v>131.0659</v>
      </c>
      <c r="S133" s="921">
        <v>157.1276</v>
      </c>
    </row>
    <row r="134" spans="1:19" ht="15" customHeight="1">
      <c r="A134" s="907" t="s">
        <v>1312</v>
      </c>
      <c r="B134" s="908" t="s">
        <v>1340</v>
      </c>
      <c r="C134" s="909"/>
      <c r="D134" s="910">
        <v>22</v>
      </c>
      <c r="E134" s="911">
        <v>6109.1818181999997</v>
      </c>
      <c r="F134" s="912"/>
      <c r="G134" s="913">
        <v>335.64530880000001</v>
      </c>
      <c r="H134" s="914">
        <v>270.5248464</v>
      </c>
      <c r="I134" s="915" t="s">
        <v>1313</v>
      </c>
      <c r="J134" s="916">
        <v>270.5248464</v>
      </c>
      <c r="K134" s="917" t="s">
        <v>1313</v>
      </c>
      <c r="L134" s="912"/>
      <c r="M134" s="918">
        <v>60.656199999999998</v>
      </c>
      <c r="N134" s="919">
        <v>75.257300000000001</v>
      </c>
      <c r="O134" s="920">
        <v>75.257300000000001</v>
      </c>
      <c r="P134" s="919">
        <v>80.598399999999998</v>
      </c>
      <c r="Q134" s="920">
        <v>80.598399999999998</v>
      </c>
      <c r="R134" s="919">
        <v>124.0719</v>
      </c>
      <c r="S134" s="921">
        <v>124.0719</v>
      </c>
    </row>
    <row r="135" spans="1:19" ht="15" customHeight="1">
      <c r="A135" s="907" t="s">
        <v>1314</v>
      </c>
      <c r="B135" s="908" t="s">
        <v>1340</v>
      </c>
      <c r="C135" s="909"/>
      <c r="D135" s="910">
        <v>22</v>
      </c>
      <c r="E135" s="911">
        <v>5822.8181818000003</v>
      </c>
      <c r="F135" s="912"/>
      <c r="G135" s="913">
        <v>318.24046800000002</v>
      </c>
      <c r="H135" s="914">
        <v>276.61426799999998</v>
      </c>
      <c r="I135" s="915" t="s">
        <v>1401</v>
      </c>
      <c r="J135" s="916">
        <v>273.52411440000003</v>
      </c>
      <c r="K135" s="917" t="s">
        <v>1315</v>
      </c>
      <c r="L135" s="912"/>
      <c r="M135" s="918">
        <v>59.007899999999999</v>
      </c>
      <c r="N135" s="919">
        <v>67.887699999999995</v>
      </c>
      <c r="O135" s="920">
        <v>68.654600000000002</v>
      </c>
      <c r="P135" s="919">
        <v>86.919899999999998</v>
      </c>
      <c r="Q135" s="920">
        <v>85.948899999999995</v>
      </c>
      <c r="R135" s="919">
        <v>115.0485</v>
      </c>
      <c r="S135" s="921">
        <v>116.34820000000001</v>
      </c>
    </row>
    <row r="136" spans="1:19" ht="15" customHeight="1">
      <c r="A136" s="907" t="s">
        <v>1316</v>
      </c>
      <c r="B136" s="908" t="s">
        <v>1340</v>
      </c>
      <c r="C136" s="909"/>
      <c r="D136" s="910">
        <v>22</v>
      </c>
      <c r="E136" s="911">
        <v>6205.3636364000004</v>
      </c>
      <c r="F136" s="912"/>
      <c r="G136" s="913">
        <v>318.92211839999999</v>
      </c>
      <c r="H136" s="914">
        <v>263.52655679999998</v>
      </c>
      <c r="I136" s="915" t="s">
        <v>1317</v>
      </c>
      <c r="J136" s="916">
        <v>263.52655679999998</v>
      </c>
      <c r="K136" s="917" t="s">
        <v>1317</v>
      </c>
      <c r="L136" s="912"/>
      <c r="M136" s="918">
        <v>62.7502</v>
      </c>
      <c r="N136" s="919">
        <v>75.940799999999996</v>
      </c>
      <c r="O136" s="920">
        <v>75.940799999999996</v>
      </c>
      <c r="P136" s="919">
        <v>82.630399999999995</v>
      </c>
      <c r="Q136" s="920">
        <v>82.630399999999995</v>
      </c>
      <c r="R136" s="919">
        <v>121.0209</v>
      </c>
      <c r="S136" s="921">
        <v>121.0209</v>
      </c>
    </row>
    <row r="137" spans="1:19" ht="15" customHeight="1">
      <c r="A137" s="907" t="s">
        <v>1318</v>
      </c>
      <c r="B137" s="908" t="s">
        <v>1340</v>
      </c>
      <c r="C137" s="909"/>
      <c r="D137" s="910">
        <v>22</v>
      </c>
      <c r="E137" s="911">
        <v>5400.3181818000003</v>
      </c>
      <c r="F137" s="912"/>
      <c r="G137" s="913">
        <v>301.8808272</v>
      </c>
      <c r="H137" s="914">
        <v>238.30544159999999</v>
      </c>
      <c r="I137" s="915" t="s">
        <v>1408</v>
      </c>
      <c r="J137" s="916">
        <v>236.16959999999997</v>
      </c>
      <c r="K137" s="917" t="s">
        <v>1320</v>
      </c>
      <c r="L137" s="912"/>
      <c r="M137" s="918">
        <v>59.615099999999998</v>
      </c>
      <c r="N137" s="919">
        <v>75.519300000000001</v>
      </c>
      <c r="O137" s="920">
        <v>76.202299999999994</v>
      </c>
      <c r="P137" s="919">
        <v>78.940200000000004</v>
      </c>
      <c r="Q137" s="920">
        <v>78.232699999999994</v>
      </c>
      <c r="R137" s="919">
        <v>126.6781</v>
      </c>
      <c r="S137" s="921">
        <v>127.8237</v>
      </c>
    </row>
    <row r="138" spans="1:19" ht="15" customHeight="1">
      <c r="A138" s="907" t="s">
        <v>1321</v>
      </c>
      <c r="B138" s="908" t="s">
        <v>1340</v>
      </c>
      <c r="C138" s="909"/>
      <c r="D138" s="910">
        <v>22</v>
      </c>
      <c r="E138" s="911">
        <v>6611.5454545000002</v>
      </c>
      <c r="F138" s="912"/>
      <c r="G138" s="913">
        <v>370.40954640000001</v>
      </c>
      <c r="H138" s="914">
        <v>286.83904559999996</v>
      </c>
      <c r="I138" s="915" t="s">
        <v>1322</v>
      </c>
      <c r="J138" s="916">
        <v>286.83904559999996</v>
      </c>
      <c r="K138" s="917" t="s">
        <v>1322</v>
      </c>
      <c r="L138" s="912"/>
      <c r="M138" s="918">
        <v>57.564300000000003</v>
      </c>
      <c r="N138" s="919">
        <v>74.335599999999999</v>
      </c>
      <c r="O138" s="920">
        <v>74.335599999999999</v>
      </c>
      <c r="P138" s="919">
        <v>77.438400000000001</v>
      </c>
      <c r="Q138" s="920">
        <v>77.438400000000001</v>
      </c>
      <c r="R138" s="919">
        <v>129.13499999999999</v>
      </c>
      <c r="S138" s="921">
        <v>129.13499999999999</v>
      </c>
    </row>
    <row r="139" spans="1:19" ht="15" customHeight="1">
      <c r="A139" s="907" t="s">
        <v>1323</v>
      </c>
      <c r="B139" s="908" t="s">
        <v>1340</v>
      </c>
      <c r="C139" s="909"/>
      <c r="D139" s="910">
        <v>22</v>
      </c>
      <c r="E139" s="911">
        <v>6661.4772727</v>
      </c>
      <c r="F139" s="912"/>
      <c r="G139" s="913">
        <v>380.81609519999995</v>
      </c>
      <c r="H139" s="914">
        <v>303.78945120000003</v>
      </c>
      <c r="I139" s="915" t="s">
        <v>1342</v>
      </c>
      <c r="J139" s="916">
        <v>257.70979440000002</v>
      </c>
      <c r="K139" s="917" t="s">
        <v>1324</v>
      </c>
      <c r="L139" s="912"/>
      <c r="M139" s="918">
        <v>58.294600000000003</v>
      </c>
      <c r="N139" s="919">
        <v>73.075299999999999</v>
      </c>
      <c r="O139" s="920">
        <v>86.141499999999994</v>
      </c>
      <c r="P139" s="919">
        <v>79.773300000000006</v>
      </c>
      <c r="Q139" s="920">
        <v>67.673000000000002</v>
      </c>
      <c r="R139" s="919">
        <v>125.3553</v>
      </c>
      <c r="S139" s="921">
        <v>147.76939999999999</v>
      </c>
    </row>
    <row r="140" spans="1:19" ht="15" customHeight="1" thickBot="1">
      <c r="A140" s="922" t="s">
        <v>1325</v>
      </c>
      <c r="B140" s="923" t="s">
        <v>1340</v>
      </c>
      <c r="C140" s="924"/>
      <c r="D140" s="1030">
        <v>22</v>
      </c>
      <c r="E140" s="925">
        <v>6788.9545454999998</v>
      </c>
      <c r="F140" s="912"/>
      <c r="G140" s="926">
        <v>403.44693359999997</v>
      </c>
      <c r="H140" s="927">
        <v>290.7017376</v>
      </c>
      <c r="I140" s="928" t="s">
        <v>1343</v>
      </c>
      <c r="J140" s="1031">
        <v>236.66947679999998</v>
      </c>
      <c r="K140" s="929" t="s">
        <v>1327</v>
      </c>
      <c r="L140" s="912"/>
      <c r="M140" s="930">
        <v>54.268599999999999</v>
      </c>
      <c r="N140" s="931">
        <v>75.316100000000006</v>
      </c>
      <c r="O140" s="932">
        <v>92.510900000000007</v>
      </c>
      <c r="P140" s="931">
        <v>72.054500000000004</v>
      </c>
      <c r="Q140" s="932">
        <v>58.661900000000003</v>
      </c>
      <c r="R140" s="931">
        <v>138.78380000000001</v>
      </c>
      <c r="S140" s="933">
        <v>170.46850000000001</v>
      </c>
    </row>
    <row r="141" spans="1:19">
      <c r="A141" s="934"/>
      <c r="B141" s="935"/>
      <c r="C141" s="935"/>
      <c r="D141" s="936"/>
      <c r="E141" s="937"/>
      <c r="F141" s="937"/>
      <c r="G141" s="938"/>
      <c r="H141" s="938"/>
      <c r="I141" s="939"/>
      <c r="J141" s="938"/>
      <c r="K141" s="939"/>
      <c r="L141" s="940"/>
      <c r="M141" s="941"/>
      <c r="N141" s="941"/>
      <c r="O141" s="941"/>
      <c r="P141" s="941"/>
      <c r="Q141" s="941"/>
      <c r="R141" s="941"/>
      <c r="S141" s="941"/>
    </row>
    <row r="142" spans="1:19">
      <c r="A142" s="942"/>
      <c r="B142" s="943"/>
      <c r="C142" s="943"/>
      <c r="D142" s="944"/>
      <c r="E142" s="912"/>
      <c r="F142" s="942"/>
      <c r="G142" s="945"/>
      <c r="H142" s="946"/>
      <c r="I142" s="946"/>
      <c r="J142" s="946"/>
      <c r="K142" s="947"/>
      <c r="L142" s="940"/>
      <c r="M142" s="941"/>
      <c r="N142" s="941"/>
      <c r="O142" s="941"/>
      <c r="P142" s="941"/>
      <c r="Q142" s="941"/>
      <c r="R142" s="941"/>
      <c r="S142" s="941"/>
    </row>
    <row r="143" spans="1:19">
      <c r="A143" s="942" t="s">
        <v>1328</v>
      </c>
      <c r="B143" s="943"/>
      <c r="C143" s="943"/>
      <c r="D143" s="944"/>
      <c r="E143" s="912"/>
      <c r="F143" s="942"/>
      <c r="G143" s="945"/>
      <c r="H143" s="946"/>
      <c r="I143" s="946"/>
      <c r="J143" s="946"/>
      <c r="K143" s="947"/>
      <c r="L143" s="940"/>
      <c r="M143" s="941"/>
      <c r="N143" s="941"/>
      <c r="O143" s="941"/>
      <c r="P143" s="941"/>
      <c r="Q143" s="941"/>
      <c r="R143" s="941"/>
      <c r="S143" s="941"/>
    </row>
    <row r="144" spans="1:19">
      <c r="A144" s="942" t="s">
        <v>1111</v>
      </c>
      <c r="B144" s="943"/>
      <c r="C144" s="943"/>
      <c r="D144" s="944"/>
      <c r="E144" s="912"/>
      <c r="F144" s="942"/>
      <c r="G144" s="945"/>
      <c r="H144" s="946"/>
      <c r="I144" s="946"/>
      <c r="J144" s="946"/>
      <c r="K144" s="947"/>
      <c r="L144" s="940"/>
      <c r="M144" s="941"/>
      <c r="N144" s="941"/>
      <c r="O144" s="941"/>
      <c r="P144" s="941"/>
      <c r="Q144" s="941"/>
      <c r="R144" s="941"/>
      <c r="S144" s="941"/>
    </row>
    <row r="145" spans="1:19">
      <c r="A145" s="942" t="s">
        <v>1329</v>
      </c>
      <c r="B145" s="943"/>
      <c r="C145" s="943"/>
      <c r="D145" s="944"/>
      <c r="E145" s="912"/>
      <c r="F145" s="942"/>
      <c r="G145" s="945"/>
      <c r="H145" s="946"/>
      <c r="I145" s="946"/>
      <c r="J145" s="946"/>
      <c r="K145" s="947"/>
      <c r="L145" s="940"/>
      <c r="M145" s="941"/>
      <c r="N145" s="941"/>
      <c r="O145" s="941"/>
      <c r="P145" s="941"/>
      <c r="Q145" s="941"/>
      <c r="R145" s="941"/>
      <c r="S145" s="941"/>
    </row>
    <row r="146" spans="1:19">
      <c r="A146" s="948" t="s">
        <v>1330</v>
      </c>
      <c r="B146" s="943"/>
      <c r="C146" s="943"/>
      <c r="D146" s="949"/>
      <c r="E146" s="949"/>
      <c r="F146" s="950"/>
      <c r="G146" s="951"/>
      <c r="H146" s="951"/>
      <c r="I146" s="951"/>
      <c r="J146" s="951"/>
      <c r="K146" s="951"/>
      <c r="L146" s="952"/>
      <c r="M146" s="952"/>
      <c r="N146" s="952"/>
      <c r="O146" s="952"/>
      <c r="P146" s="952"/>
      <c r="Q146" s="952"/>
      <c r="R146" s="952"/>
      <c r="S146" s="952"/>
    </row>
    <row r="147" spans="1:19">
      <c r="A147" s="78" t="s">
        <v>1331</v>
      </c>
    </row>
    <row r="150" spans="1:19">
      <c r="A150" s="51"/>
      <c r="B150" s="51"/>
      <c r="C150" s="51"/>
      <c r="D150" s="51"/>
      <c r="E150" s="51"/>
      <c r="F150" s="51"/>
      <c r="G150" s="51"/>
      <c r="H150" s="51"/>
      <c r="I150" s="51"/>
      <c r="J150" s="51"/>
      <c r="K150" s="51"/>
      <c r="L150" s="51"/>
      <c r="M150" s="51"/>
      <c r="N150" s="51"/>
      <c r="O150" s="51"/>
    </row>
  </sheetData>
  <printOptions horizontalCentered="1"/>
  <pageMargins left="0.47" right="0.25" top="1" bottom="1" header="0.24" footer="0.5"/>
  <pageSetup scale="70" orientation="landscape" r:id="rId1"/>
  <headerFooter alignWithMargins="0"/>
  <rowBreaks count="3" manualBreakCount="3">
    <brk id="37" max="16383" man="1"/>
    <brk id="74" max="16383" man="1"/>
    <brk id="111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tabColor rgb="FF92D050"/>
    <pageSetUpPr fitToPage="1"/>
  </sheetPr>
  <dimension ref="A1:T68"/>
  <sheetViews>
    <sheetView workbookViewId="0"/>
  </sheetViews>
  <sheetFormatPr defaultColWidth="6.109375" defaultRowHeight="12.75"/>
  <cols>
    <col min="1" max="1" width="19.109375" style="101" customWidth="1"/>
    <col min="2" max="2" width="8.6640625" style="101" customWidth="1"/>
    <col min="3" max="4" width="11.77734375" style="45" customWidth="1"/>
    <col min="5" max="5" width="2.109375" style="45" customWidth="1"/>
    <col min="6" max="6" width="13.5546875" style="45" customWidth="1"/>
    <col min="7" max="7" width="8.5546875" style="45" customWidth="1"/>
    <col min="8" max="8" width="9" style="45" customWidth="1"/>
    <col min="9" max="12" width="8.5546875" style="45" customWidth="1"/>
    <col min="13" max="13" width="10.44140625" style="45" customWidth="1"/>
    <col min="14" max="14" width="9.5546875" style="45" customWidth="1"/>
    <col min="15" max="15" width="9.88671875" style="45" customWidth="1"/>
    <col min="16" max="16" width="10.5546875" style="45" customWidth="1"/>
    <col min="17" max="16384" width="6.109375" style="45"/>
  </cols>
  <sheetData>
    <row r="1" spans="1:20">
      <c r="A1" s="196" t="str">
        <f>co_name</f>
        <v>DUKE ENERGY KENTUCKY, INC.</v>
      </c>
      <c r="B1" s="52"/>
      <c r="C1" s="52"/>
      <c r="D1" s="52"/>
      <c r="E1" s="52"/>
      <c r="F1" s="10" t="s">
        <v>1551</v>
      </c>
      <c r="G1" s="52"/>
      <c r="H1" s="52"/>
      <c r="I1" s="99"/>
      <c r="J1" s="99"/>
      <c r="K1" s="99"/>
      <c r="L1" s="99"/>
    </row>
    <row r="2" spans="1:20">
      <c r="A2" s="196" t="str">
        <f>coss_type</f>
        <v xml:space="preserve">GAS COST OF SERVICE STUDY </v>
      </c>
      <c r="B2" s="52"/>
      <c r="C2" s="52"/>
      <c r="D2" s="52"/>
      <c r="E2" s="52"/>
      <c r="F2" s="10" t="str">
        <f>'Alloc Factors Summary'!G2</f>
        <v>Witness Responsible:</v>
      </c>
      <c r="G2" s="52"/>
      <c r="H2" s="52"/>
      <c r="I2" s="99"/>
      <c r="J2" s="99"/>
      <c r="K2" s="99"/>
      <c r="L2" s="99"/>
    </row>
    <row r="3" spans="1:20">
      <c r="A3" s="196" t="str">
        <f>case_name</f>
        <v>CASE NO: 2018-00261</v>
      </c>
      <c r="B3" s="52"/>
      <c r="C3" s="52"/>
      <c r="D3" s="52"/>
      <c r="E3" s="52"/>
      <c r="F3" s="10" t="str">
        <f>'Alloc Factors Summary'!G3</f>
        <v>James E. Ziolkowski</v>
      </c>
      <c r="G3" s="52"/>
      <c r="H3" s="52"/>
      <c r="I3" s="99"/>
      <c r="J3" s="99"/>
      <c r="K3" s="99"/>
      <c r="L3" s="99"/>
    </row>
    <row r="4" spans="1:20">
      <c r="A4" s="10" t="str">
        <f>alloc_factors</f>
        <v>ALLOCATION FACTORS FOR COST OF SERVICE STUDY</v>
      </c>
      <c r="B4" s="52"/>
      <c r="C4" s="52"/>
      <c r="D4" s="52"/>
      <c r="E4" s="52"/>
      <c r="F4" s="10" t="s">
        <v>604</v>
      </c>
      <c r="G4" s="52"/>
      <c r="H4" s="52"/>
      <c r="I4" s="99"/>
      <c r="J4" s="99"/>
      <c r="K4" s="99"/>
      <c r="L4" s="99"/>
    </row>
    <row r="5" spans="1:20">
      <c r="A5" s="10" t="str">
        <f>time_period</f>
        <v>TWELVE MONTHS ENDING DECEMBER 31, 2017</v>
      </c>
      <c r="B5" s="52"/>
      <c r="C5" s="52"/>
      <c r="D5" s="52"/>
      <c r="E5" s="52"/>
      <c r="F5" s="1285">
        <f ca="1">TODAY()</f>
        <v>43347</v>
      </c>
      <c r="G5" s="52"/>
      <c r="H5" s="52"/>
      <c r="I5" s="99"/>
      <c r="J5" s="99"/>
      <c r="K5" s="99"/>
      <c r="L5" s="99"/>
    </row>
    <row r="6" spans="1:20">
      <c r="A6" s="198" t="s">
        <v>1229</v>
      </c>
      <c r="B6" s="45"/>
      <c r="E6" s="99"/>
      <c r="F6" s="99"/>
      <c r="G6" s="99"/>
      <c r="H6" s="99"/>
      <c r="I6" s="99"/>
      <c r="J6" s="99"/>
      <c r="K6" s="99"/>
      <c r="L6" s="99"/>
    </row>
    <row r="7" spans="1:20">
      <c r="A7" s="1214" t="s">
        <v>1230</v>
      </c>
      <c r="B7" s="45"/>
      <c r="E7" s="99"/>
      <c r="F7" s="99"/>
      <c r="G7" s="99"/>
      <c r="H7" s="99"/>
      <c r="I7" s="99"/>
      <c r="J7" s="99"/>
      <c r="K7" s="99"/>
      <c r="L7" s="99"/>
    </row>
    <row r="8" spans="1:20">
      <c r="A8" s="100"/>
      <c r="B8" s="45"/>
      <c r="E8" s="99"/>
      <c r="F8" s="99"/>
      <c r="G8" s="99"/>
      <c r="H8" s="99"/>
      <c r="I8" s="99"/>
      <c r="J8" s="99"/>
      <c r="K8" s="99"/>
      <c r="L8" s="99"/>
    </row>
    <row r="9" spans="1:20">
      <c r="E9" s="99"/>
      <c r="F9" s="32"/>
      <c r="G9" s="99"/>
      <c r="H9" s="99"/>
      <c r="I9" s="99"/>
      <c r="J9" s="99"/>
      <c r="K9" s="99"/>
      <c r="L9" s="99"/>
    </row>
    <row r="10" spans="1:20">
      <c r="E10" s="99"/>
      <c r="F10" s="32"/>
      <c r="G10" s="99"/>
      <c r="H10" s="99"/>
      <c r="I10" s="99"/>
      <c r="J10" s="99"/>
      <c r="K10" s="99"/>
      <c r="L10" s="99"/>
    </row>
    <row r="11" spans="1:20">
      <c r="A11" s="102" t="s">
        <v>479</v>
      </c>
      <c r="B11" s="103"/>
      <c r="D11" s="1193" t="s">
        <v>564</v>
      </c>
      <c r="F11" s="104" t="s">
        <v>565</v>
      </c>
      <c r="G11" s="99"/>
      <c r="H11" s="99"/>
      <c r="I11" s="99"/>
      <c r="J11" s="99"/>
      <c r="K11" s="99"/>
      <c r="L11" s="99"/>
    </row>
    <row r="12" spans="1:20">
      <c r="A12" s="103"/>
      <c r="B12" s="103"/>
      <c r="D12" s="32"/>
      <c r="F12" s="32" t="s">
        <v>596</v>
      </c>
      <c r="G12" s="99"/>
      <c r="H12" s="99"/>
      <c r="I12" s="99"/>
      <c r="J12" s="99"/>
      <c r="K12" s="99"/>
      <c r="L12" s="99"/>
    </row>
    <row r="13" spans="1:20">
      <c r="A13" s="101" t="s">
        <v>984</v>
      </c>
      <c r="D13" s="1036">
        <f>'Alloc Factors Summary'!D32</f>
        <v>2143372</v>
      </c>
      <c r="F13" s="28">
        <f>1-SUM(F14:F15)</f>
        <v>0.58106999999999998</v>
      </c>
      <c r="I13" s="105"/>
    </row>
    <row r="14" spans="1:20">
      <c r="A14" s="101" t="s">
        <v>566</v>
      </c>
      <c r="D14" s="1036">
        <f>'Alloc Factors Summary'!D33</f>
        <v>1545311</v>
      </c>
      <c r="F14" s="28">
        <f>ROUND(D14/D$16,5)</f>
        <v>0.41893000000000002</v>
      </c>
      <c r="G14" s="107"/>
      <c r="H14" s="107"/>
      <c r="I14" s="1009"/>
      <c r="J14" s="107"/>
      <c r="K14" s="107"/>
      <c r="L14" s="107"/>
      <c r="M14" s="107"/>
      <c r="N14" s="107"/>
      <c r="O14" s="107"/>
      <c r="P14" s="47"/>
    </row>
    <row r="15" spans="1:20">
      <c r="A15" s="101" t="s">
        <v>343</v>
      </c>
      <c r="D15" s="108" t="s">
        <v>343</v>
      </c>
      <c r="F15" s="28" t="s">
        <v>343</v>
      </c>
      <c r="G15" s="109"/>
      <c r="H15" s="110"/>
      <c r="I15" s="110"/>
      <c r="J15" s="109"/>
      <c r="K15" s="109"/>
      <c r="L15" s="109"/>
      <c r="M15" s="109"/>
      <c r="N15" s="109"/>
      <c r="O15" s="109"/>
      <c r="P15" s="109"/>
      <c r="Q15" s="111"/>
      <c r="R15" s="111"/>
      <c r="S15" s="111"/>
      <c r="T15" s="111"/>
    </row>
    <row r="16" spans="1:20" ht="13.5" thickBot="1">
      <c r="A16" s="107" t="s">
        <v>646</v>
      </c>
      <c r="D16" s="112">
        <f>SUM(D13:D15)</f>
        <v>3688683</v>
      </c>
      <c r="F16" s="113">
        <f>SUM(F13:F15)</f>
        <v>1</v>
      </c>
      <c r="G16" s="109"/>
      <c r="H16" s="109"/>
      <c r="I16" s="109"/>
      <c r="J16" s="109"/>
      <c r="K16" s="109"/>
      <c r="L16" s="109"/>
      <c r="M16" s="109"/>
      <c r="N16" s="109"/>
      <c r="O16" s="109"/>
      <c r="P16" s="109"/>
      <c r="Q16" s="111"/>
      <c r="R16" s="111"/>
      <c r="S16" s="111"/>
      <c r="T16" s="111"/>
    </row>
    <row r="17" spans="1:20" ht="13.5" thickTop="1">
      <c r="C17" s="114"/>
      <c r="D17" s="114"/>
      <c r="E17" s="115"/>
      <c r="F17" s="115"/>
      <c r="G17" s="116"/>
      <c r="H17" s="109"/>
      <c r="I17" s="109"/>
      <c r="J17" s="109"/>
      <c r="K17" s="109"/>
      <c r="L17" s="109"/>
      <c r="M17" s="109"/>
      <c r="N17" s="109"/>
      <c r="O17" s="109"/>
      <c r="P17" s="109"/>
      <c r="Q17" s="111"/>
      <c r="R17" s="111"/>
      <c r="S17" s="111"/>
      <c r="T17" s="111"/>
    </row>
    <row r="18" spans="1:20">
      <c r="C18" s="114"/>
      <c r="D18" s="114"/>
      <c r="E18" s="109"/>
      <c r="F18" s="109"/>
      <c r="G18" s="109"/>
      <c r="H18" s="109"/>
      <c r="I18" s="109"/>
      <c r="J18" s="109"/>
      <c r="K18" s="109"/>
      <c r="L18" s="109"/>
      <c r="M18" s="109"/>
      <c r="N18" s="109"/>
      <c r="O18" s="109"/>
      <c r="P18" s="109"/>
      <c r="Q18" s="111"/>
      <c r="R18" s="111"/>
      <c r="S18" s="111"/>
      <c r="T18" s="111"/>
    </row>
    <row r="19" spans="1:20">
      <c r="A19" s="101" t="s">
        <v>1566</v>
      </c>
      <c r="C19" s="110"/>
      <c r="D19" s="110"/>
      <c r="E19" s="115"/>
      <c r="F19" s="115"/>
      <c r="G19" s="116"/>
      <c r="H19" s="109"/>
      <c r="I19" s="109"/>
      <c r="J19" s="109"/>
      <c r="K19" s="109"/>
      <c r="L19" s="109"/>
      <c r="M19" s="109"/>
      <c r="N19" s="109"/>
      <c r="O19" s="109"/>
      <c r="P19" s="109"/>
      <c r="Q19" s="111"/>
      <c r="R19" s="111"/>
      <c r="S19" s="111"/>
      <c r="T19" s="111"/>
    </row>
    <row r="20" spans="1:20">
      <c r="C20" s="110"/>
      <c r="D20" s="110"/>
      <c r="E20" s="115"/>
      <c r="F20" s="115"/>
      <c r="G20" s="116"/>
      <c r="H20" s="109"/>
      <c r="I20" s="109"/>
      <c r="J20" s="109"/>
      <c r="K20" s="109"/>
      <c r="L20" s="109"/>
      <c r="M20" s="109"/>
      <c r="N20" s="109"/>
      <c r="O20" s="109"/>
      <c r="P20" s="109"/>
      <c r="Q20" s="111"/>
      <c r="R20" s="111"/>
      <c r="S20" s="111"/>
      <c r="T20" s="111"/>
    </row>
    <row r="21" spans="1:20">
      <c r="C21" s="117"/>
      <c r="D21" s="117"/>
      <c r="E21" s="117"/>
      <c r="F21" s="117"/>
      <c r="G21" s="117"/>
      <c r="H21" s="118"/>
      <c r="I21" s="118"/>
      <c r="J21" s="117"/>
      <c r="K21" s="117"/>
      <c r="L21" s="117"/>
      <c r="M21" s="117"/>
      <c r="N21" s="117"/>
      <c r="O21" s="117"/>
      <c r="P21" s="117"/>
      <c r="Q21" s="111"/>
      <c r="R21" s="111"/>
      <c r="S21" s="111"/>
      <c r="T21" s="111"/>
    </row>
    <row r="22" spans="1:20">
      <c r="C22" s="117"/>
      <c r="D22" s="117"/>
      <c r="E22" s="117"/>
      <c r="F22" s="117"/>
      <c r="G22" s="117"/>
      <c r="H22" s="117"/>
      <c r="I22" s="117"/>
      <c r="J22" s="117"/>
      <c r="K22" s="117"/>
      <c r="L22" s="117"/>
      <c r="M22" s="117"/>
      <c r="N22" s="117"/>
      <c r="O22" s="117"/>
      <c r="P22" s="117"/>
      <c r="Q22" s="111"/>
      <c r="R22" s="111"/>
      <c r="S22" s="111"/>
      <c r="T22" s="111"/>
    </row>
    <row r="23" spans="1:20">
      <c r="C23" s="117"/>
      <c r="D23" s="117"/>
      <c r="E23" s="119"/>
      <c r="F23" s="119"/>
      <c r="G23" s="120"/>
      <c r="H23" s="117"/>
      <c r="I23" s="117"/>
      <c r="J23" s="117"/>
      <c r="K23" s="117"/>
      <c r="L23" s="117"/>
      <c r="M23" s="117"/>
      <c r="N23" s="117"/>
      <c r="O23" s="117"/>
      <c r="P23" s="117"/>
      <c r="Q23" s="111"/>
      <c r="R23" s="111"/>
      <c r="S23" s="111"/>
      <c r="T23" s="111"/>
    </row>
    <row r="24" spans="1:20">
      <c r="C24" s="117"/>
      <c r="D24" s="117"/>
      <c r="E24" s="117"/>
      <c r="F24" s="117"/>
      <c r="G24" s="117"/>
      <c r="H24" s="117"/>
      <c r="I24" s="117"/>
      <c r="J24" s="117"/>
      <c r="K24" s="117"/>
      <c r="L24" s="117"/>
      <c r="M24" s="117"/>
      <c r="N24" s="117"/>
      <c r="O24" s="117"/>
      <c r="P24" s="117"/>
      <c r="Q24" s="111"/>
      <c r="R24" s="111"/>
      <c r="S24" s="111"/>
      <c r="T24" s="111"/>
    </row>
    <row r="25" spans="1:20">
      <c r="P25" s="121"/>
    </row>
    <row r="28" spans="1:20">
      <c r="F28" s="122"/>
      <c r="G28" s="122"/>
      <c r="H28" s="122"/>
      <c r="I28" s="122"/>
      <c r="J28" s="122"/>
      <c r="K28" s="122"/>
      <c r="L28" s="122"/>
      <c r="M28" s="122"/>
      <c r="N28" s="122"/>
      <c r="O28" s="122"/>
    </row>
    <row r="29" spans="1:20">
      <c r="C29" s="111"/>
      <c r="D29" s="111"/>
      <c r="E29" s="111"/>
      <c r="F29" s="111"/>
      <c r="G29" s="111"/>
      <c r="H29" s="111"/>
      <c r="I29" s="111"/>
      <c r="J29" s="111"/>
      <c r="K29" s="111"/>
      <c r="L29" s="111"/>
      <c r="M29" s="111"/>
      <c r="N29" s="111"/>
      <c r="O29" s="111"/>
    </row>
    <row r="31" spans="1:20">
      <c r="E31" s="123"/>
    </row>
    <row r="32" spans="1:20">
      <c r="C32" s="48"/>
      <c r="D32" s="48"/>
      <c r="E32" s="123"/>
      <c r="F32" s="32"/>
      <c r="G32" s="32"/>
    </row>
    <row r="33" spans="1:7">
      <c r="E33" s="124"/>
      <c r="F33" s="21"/>
      <c r="G33" s="21"/>
    </row>
    <row r="34" spans="1:7">
      <c r="A34" s="125"/>
      <c r="B34" s="125"/>
    </row>
    <row r="35" spans="1:7">
      <c r="E35" s="126"/>
      <c r="F35" s="28"/>
      <c r="G35" s="27"/>
    </row>
    <row r="36" spans="1:7">
      <c r="E36" s="127"/>
      <c r="F36" s="28"/>
      <c r="G36" s="27"/>
    </row>
    <row r="37" spans="1:7">
      <c r="E37" s="127"/>
      <c r="F37" s="28"/>
      <c r="G37" s="27"/>
    </row>
    <row r="38" spans="1:7">
      <c r="E38" s="127"/>
      <c r="F38" s="28"/>
      <c r="G38" s="27"/>
    </row>
    <row r="39" spans="1:7">
      <c r="E39" s="127"/>
      <c r="F39" s="28"/>
      <c r="G39" s="27"/>
    </row>
    <row r="40" spans="1:7">
      <c r="E40" s="126"/>
      <c r="F40" s="28"/>
      <c r="G40" s="27"/>
    </row>
    <row r="41" spans="1:7">
      <c r="E41" s="126"/>
      <c r="F41" s="27"/>
      <c r="G41" s="28"/>
    </row>
    <row r="43" spans="1:7">
      <c r="A43" s="125"/>
      <c r="B43" s="125"/>
    </row>
    <row r="44" spans="1:7">
      <c r="E44" s="126"/>
      <c r="F44" s="28"/>
      <c r="G44" s="27"/>
    </row>
    <row r="45" spans="1:7">
      <c r="E45" s="126"/>
      <c r="F45" s="28"/>
      <c r="G45" s="27"/>
    </row>
    <row r="46" spans="1:7">
      <c r="E46" s="126"/>
      <c r="F46" s="28"/>
      <c r="G46" s="27"/>
    </row>
    <row r="47" spans="1:7">
      <c r="E47" s="126"/>
      <c r="F47" s="28"/>
      <c r="G47" s="27"/>
    </row>
    <row r="48" spans="1:7">
      <c r="E48" s="126"/>
      <c r="F48" s="28"/>
      <c r="G48" s="27"/>
    </row>
    <row r="49" spans="1:10">
      <c r="E49" s="126"/>
      <c r="F49" s="27"/>
      <c r="G49" s="28"/>
    </row>
    <row r="50" spans="1:10">
      <c r="F50" s="128"/>
      <c r="G50" s="128"/>
    </row>
    <row r="51" spans="1:10">
      <c r="E51" s="127"/>
      <c r="F51" s="28"/>
    </row>
    <row r="55" spans="1:10">
      <c r="E55" s="47"/>
      <c r="F55" s="47"/>
      <c r="G55" s="47"/>
    </row>
    <row r="56" spans="1:10">
      <c r="C56" s="129"/>
      <c r="D56" s="129"/>
      <c r="E56" s="47"/>
      <c r="F56" s="106"/>
      <c r="G56" s="106"/>
      <c r="I56" s="32"/>
      <c r="J56" s="32"/>
    </row>
    <row r="57" spans="1:10">
      <c r="C57" s="130"/>
      <c r="D57" s="130"/>
      <c r="E57" s="47"/>
      <c r="F57" s="47"/>
      <c r="G57" s="47"/>
      <c r="H57" s="47"/>
      <c r="I57" s="21"/>
      <c r="J57" s="21"/>
    </row>
    <row r="58" spans="1:10">
      <c r="A58" s="131"/>
      <c r="B58" s="131"/>
      <c r="C58" s="129"/>
      <c r="D58" s="129"/>
    </row>
    <row r="59" spans="1:10">
      <c r="E59" s="132"/>
      <c r="F59" s="132"/>
      <c r="G59" s="126"/>
    </row>
    <row r="60" spans="1:10">
      <c r="E60" s="132"/>
      <c r="F60" s="132"/>
      <c r="G60" s="126"/>
    </row>
    <row r="61" spans="1:10">
      <c r="C61" s="133"/>
      <c r="D61" s="133"/>
      <c r="E61" s="132"/>
      <c r="F61" s="132"/>
      <c r="G61" s="126"/>
    </row>
    <row r="62" spans="1:10">
      <c r="C62" s="133"/>
      <c r="D62" s="133"/>
      <c r="E62" s="132"/>
      <c r="F62" s="132"/>
      <c r="G62" s="126"/>
    </row>
    <row r="63" spans="1:10">
      <c r="E63" s="132"/>
      <c r="F63" s="132"/>
      <c r="G63" s="126"/>
    </row>
    <row r="64" spans="1:10">
      <c r="C64" s="130"/>
      <c r="D64" s="130"/>
      <c r="E64" s="132"/>
      <c r="F64" s="132"/>
      <c r="G64" s="126"/>
      <c r="H64" s="127"/>
      <c r="I64" s="27"/>
      <c r="J64" s="27"/>
    </row>
    <row r="65" spans="1:10">
      <c r="A65" s="125"/>
      <c r="B65" s="125"/>
      <c r="E65" s="132"/>
      <c r="F65" s="132"/>
      <c r="G65" s="126"/>
      <c r="J65" s="28"/>
    </row>
    <row r="66" spans="1:10">
      <c r="C66" s="105"/>
      <c r="D66" s="105"/>
      <c r="E66" s="132"/>
      <c r="F66" s="132"/>
      <c r="G66" s="126"/>
      <c r="J66" s="28"/>
    </row>
    <row r="67" spans="1:10">
      <c r="C67" s="50"/>
      <c r="D67" s="50"/>
      <c r="E67" s="132"/>
      <c r="F67" s="132"/>
      <c r="G67" s="126"/>
      <c r="H67" s="127"/>
      <c r="I67" s="27"/>
      <c r="J67" s="27"/>
    </row>
    <row r="68" spans="1:10">
      <c r="C68" s="130"/>
      <c r="D68" s="130"/>
      <c r="E68" s="126"/>
      <c r="F68" s="126"/>
      <c r="G68" s="126"/>
      <c r="H68" s="127"/>
      <c r="I68" s="134"/>
    </row>
  </sheetData>
  <pageMargins left="1" right="1" top="1" bottom="1" header="0.5" footer="0.5"/>
  <pageSetup scale="92" orientation="portrait" blackAndWhite="1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tabColor rgb="FF92D050"/>
    <pageSetUpPr fitToPage="1"/>
  </sheetPr>
  <dimension ref="A1:AC126"/>
  <sheetViews>
    <sheetView zoomScale="60" zoomScaleNormal="60" zoomScaleSheetLayoutView="100" workbookViewId="0"/>
  </sheetViews>
  <sheetFormatPr defaultColWidth="8.88671875" defaultRowHeight="12.75"/>
  <cols>
    <col min="1" max="1" width="10.33203125" style="216" customWidth="1"/>
    <col min="2" max="2" width="8.88671875" style="216"/>
    <col min="3" max="3" width="11.44140625" style="216" customWidth="1"/>
    <col min="4" max="4" width="15.21875" style="216" customWidth="1"/>
    <col min="5" max="5" width="5" style="216" customWidth="1"/>
    <col min="6" max="6" width="17" style="216" customWidth="1"/>
    <col min="7" max="7" width="8.88671875" style="216"/>
    <col min="8" max="8" width="19.6640625" style="216" customWidth="1"/>
    <col min="9" max="9" width="10.33203125" style="216" customWidth="1"/>
    <col min="10" max="10" width="10.5546875" style="216" customWidth="1"/>
    <col min="11" max="11" width="12.21875" style="216" hidden="1" customWidth="1"/>
    <col min="12" max="12" width="14.44140625" style="216" hidden="1" customWidth="1"/>
    <col min="13" max="13" width="13.6640625" style="216" hidden="1" customWidth="1"/>
    <col min="14" max="14" width="15.6640625" style="216" hidden="1" customWidth="1"/>
    <col min="15" max="15" width="13.88671875" style="216" hidden="1" customWidth="1"/>
    <col min="16" max="16" width="16.21875" style="216" hidden="1" customWidth="1"/>
    <col min="17" max="17" width="10.77734375" style="216" hidden="1" customWidth="1"/>
    <col min="18" max="18" width="13.21875" style="216" hidden="1" customWidth="1"/>
    <col min="19" max="19" width="13.5546875" style="216" hidden="1" customWidth="1"/>
    <col min="20" max="20" width="8.88671875" style="216"/>
    <col min="21" max="21" width="25.88671875" style="216" customWidth="1"/>
    <col min="22" max="25" width="8.88671875" style="216"/>
    <col min="26" max="26" width="13.21875" style="216" customWidth="1"/>
    <col min="27" max="16384" width="8.88671875" style="216"/>
  </cols>
  <sheetData>
    <row r="1" spans="1:17">
      <c r="A1" s="196" t="str">
        <f>co_name</f>
        <v>DUKE ENERGY KENTUCKY, INC.</v>
      </c>
      <c r="H1" s="10" t="s">
        <v>1551</v>
      </c>
      <c r="K1" s="218" t="s">
        <v>516</v>
      </c>
      <c r="Q1" s="10" t="s">
        <v>647</v>
      </c>
    </row>
    <row r="2" spans="1:17">
      <c r="A2" s="196" t="str">
        <f>coss_type</f>
        <v xml:space="preserve">GAS COST OF SERVICE STUDY </v>
      </c>
      <c r="D2" s="218"/>
      <c r="H2" s="10" t="str">
        <f>'Alloc Factors Summary'!G2</f>
        <v>Witness Responsible:</v>
      </c>
      <c r="K2" s="10" t="str">
        <f>'Alloc Factors Summary'!$A$2</f>
        <v xml:space="preserve">GAS COST OF SERVICE STUDY </v>
      </c>
      <c r="Q2" s="10" t="s">
        <v>648</v>
      </c>
    </row>
    <row r="3" spans="1:17">
      <c r="A3" s="196" t="str">
        <f>case_name</f>
        <v>CASE NO: 2018-00261</v>
      </c>
      <c r="H3" s="10" t="s">
        <v>436</v>
      </c>
      <c r="K3" s="265" t="s">
        <v>649</v>
      </c>
      <c r="Q3" s="10" t="s">
        <v>650</v>
      </c>
    </row>
    <row r="4" spans="1:17">
      <c r="A4" s="10" t="str">
        <f>alloc_factors</f>
        <v>ALLOCATION FACTORS FOR COST OF SERVICE STUDY</v>
      </c>
      <c r="H4" s="1285">
        <f ca="1">TODAY()</f>
        <v>43347</v>
      </c>
      <c r="K4" s="216" t="s">
        <v>651</v>
      </c>
    </row>
    <row r="5" spans="1:17">
      <c r="A5" s="10" t="str">
        <f>time_period</f>
        <v>TWELVE MONTHS ENDING DECEMBER 31, 2017</v>
      </c>
      <c r="K5" s="216" t="s">
        <v>547</v>
      </c>
    </row>
    <row r="6" spans="1:17">
      <c r="A6" s="198" t="s">
        <v>837</v>
      </c>
    </row>
    <row r="7" spans="1:17">
      <c r="A7" s="258"/>
    </row>
    <row r="8" spans="1:17">
      <c r="F8" s="148" t="s">
        <v>652</v>
      </c>
    </row>
    <row r="9" spans="1:17">
      <c r="A9" s="266" t="s">
        <v>653</v>
      </c>
      <c r="B9" s="267"/>
      <c r="C9" s="268" t="s">
        <v>654</v>
      </c>
      <c r="D9" s="268" t="s">
        <v>655</v>
      </c>
      <c r="E9" s="267"/>
      <c r="F9" s="268" t="s">
        <v>656</v>
      </c>
    </row>
    <row r="10" spans="1:17">
      <c r="A10" s="269" t="s">
        <v>659</v>
      </c>
      <c r="B10" s="271"/>
      <c r="C10" s="179">
        <v>0</v>
      </c>
      <c r="D10" s="179">
        <v>0</v>
      </c>
      <c r="F10" s="213">
        <f>IF(D10=0,0,ROUND(+D10/C10,2))</f>
        <v>0</v>
      </c>
    </row>
    <row r="11" spans="1:17">
      <c r="A11" s="269" t="s">
        <v>709</v>
      </c>
      <c r="B11" s="271"/>
      <c r="C11" s="179">
        <f t="shared" ref="C11:C25" si="0">IF(ISNA(VLOOKUP(A11,Mains,2,FALSE)=TRUE),0,VLOOKUP(A11,Mains,2,FALSE))</f>
        <v>338615</v>
      </c>
      <c r="D11" s="179">
        <f t="shared" ref="D11:D25" si="1">IF(ISNA(VLOOKUP(A11,Mains,3,FALSE)=TRUE),0,VLOOKUP(A11,Mains,3,FALSE))</f>
        <v>1129886.99</v>
      </c>
      <c r="F11" s="213">
        <f t="shared" ref="F11:F25" si="2">IF(D11=0,0,ROUND(+D11/C11,2))</f>
        <v>3.34</v>
      </c>
      <c r="K11" s="216" t="s">
        <v>657</v>
      </c>
    </row>
    <row r="12" spans="1:17" ht="13.5" thickBot="1">
      <c r="A12" s="269" t="s">
        <v>708</v>
      </c>
      <c r="B12" s="271"/>
      <c r="C12" s="179">
        <f t="shared" si="0"/>
        <v>21065</v>
      </c>
      <c r="D12" s="179">
        <f t="shared" si="1"/>
        <v>194597.13999999998</v>
      </c>
      <c r="F12" s="213">
        <f t="shared" si="2"/>
        <v>9.24</v>
      </c>
      <c r="H12" s="45"/>
      <c r="I12" s="45"/>
      <c r="J12" s="45"/>
    </row>
    <row r="13" spans="1:17">
      <c r="A13" s="269" t="s">
        <v>711</v>
      </c>
      <c r="B13" s="271"/>
      <c r="C13" s="179">
        <f t="shared" si="0"/>
        <v>1721095</v>
      </c>
      <c r="D13" s="179">
        <f t="shared" si="1"/>
        <v>19306140.32</v>
      </c>
      <c r="F13" s="213">
        <f t="shared" si="2"/>
        <v>11.22</v>
      </c>
      <c r="H13" s="272"/>
      <c r="I13" s="272"/>
      <c r="J13" s="272"/>
      <c r="K13" s="273" t="s">
        <v>658</v>
      </c>
      <c r="L13" s="273"/>
    </row>
    <row r="14" spans="1:17">
      <c r="A14" s="269">
        <v>2.5</v>
      </c>
      <c r="B14" s="271"/>
      <c r="C14" s="179">
        <f t="shared" si="0"/>
        <v>0</v>
      </c>
      <c r="D14" s="179">
        <f t="shared" si="1"/>
        <v>0</v>
      </c>
      <c r="F14" s="213">
        <f t="shared" si="2"/>
        <v>0</v>
      </c>
      <c r="H14" s="274"/>
      <c r="I14" s="274"/>
      <c r="J14" s="274"/>
      <c r="K14" s="274" t="s">
        <v>661</v>
      </c>
      <c r="L14" s="274">
        <v>0.83411629227158457</v>
      </c>
    </row>
    <row r="15" spans="1:17">
      <c r="A15" s="269" t="s">
        <v>712</v>
      </c>
      <c r="B15" s="271"/>
      <c r="C15" s="179">
        <f t="shared" si="0"/>
        <v>61031</v>
      </c>
      <c r="D15" s="179">
        <f t="shared" si="1"/>
        <v>432010.35999999993</v>
      </c>
      <c r="F15" s="213">
        <f t="shared" si="2"/>
        <v>7.08</v>
      </c>
      <c r="H15" s="274"/>
      <c r="I15" s="274"/>
      <c r="J15" s="274"/>
      <c r="K15" s="274" t="s">
        <v>662</v>
      </c>
      <c r="L15" s="274">
        <v>0.80646900765018203</v>
      </c>
    </row>
    <row r="16" spans="1:17">
      <c r="A16" s="269" t="s">
        <v>713</v>
      </c>
      <c r="B16" s="271"/>
      <c r="C16" s="179">
        <f t="shared" si="0"/>
        <v>1377789</v>
      </c>
      <c r="D16" s="179">
        <f t="shared" si="1"/>
        <v>36200977.350000009</v>
      </c>
      <c r="F16" s="213">
        <f t="shared" si="2"/>
        <v>26.27</v>
      </c>
      <c r="H16" s="274"/>
      <c r="I16" s="274"/>
      <c r="J16" s="274"/>
      <c r="K16" s="274" t="s">
        <v>663</v>
      </c>
      <c r="L16" s="274">
        <v>10.032893465827213</v>
      </c>
    </row>
    <row r="17" spans="1:19" ht="13.5" thickBot="1">
      <c r="A17" s="269" t="s">
        <v>714</v>
      </c>
      <c r="B17" s="271"/>
      <c r="C17" s="179">
        <f t="shared" si="0"/>
        <v>495076</v>
      </c>
      <c r="D17" s="179">
        <f t="shared" si="1"/>
        <v>18212022.940000001</v>
      </c>
      <c r="F17" s="213">
        <f t="shared" si="2"/>
        <v>36.79</v>
      </c>
      <c r="H17" s="274"/>
      <c r="I17" s="274"/>
      <c r="J17" s="274"/>
      <c r="K17" s="275" t="s">
        <v>664</v>
      </c>
      <c r="L17" s="275">
        <v>8</v>
      </c>
    </row>
    <row r="18" spans="1:19">
      <c r="A18" s="269" t="s">
        <v>715</v>
      </c>
      <c r="B18" s="271"/>
      <c r="C18" s="179">
        <f t="shared" si="0"/>
        <v>163414</v>
      </c>
      <c r="D18" s="179">
        <f t="shared" si="1"/>
        <v>12029479.030000001</v>
      </c>
      <c r="F18" s="213">
        <f t="shared" si="2"/>
        <v>73.61</v>
      </c>
      <c r="H18" s="45"/>
      <c r="I18" s="45"/>
      <c r="J18" s="45"/>
    </row>
    <row r="19" spans="1:19" ht="13.5" thickBot="1">
      <c r="A19" s="276" t="s">
        <v>743</v>
      </c>
      <c r="B19" s="271"/>
      <c r="C19" s="179">
        <f t="shared" si="0"/>
        <v>0</v>
      </c>
      <c r="D19" s="179">
        <f t="shared" si="1"/>
        <v>0</v>
      </c>
      <c r="F19" s="213">
        <f t="shared" si="2"/>
        <v>0</v>
      </c>
      <c r="H19" s="45"/>
      <c r="I19" s="45"/>
      <c r="J19" s="45"/>
      <c r="K19" s="216" t="s">
        <v>665</v>
      </c>
    </row>
    <row r="20" spans="1:19">
      <c r="A20" s="276" t="s">
        <v>710</v>
      </c>
      <c r="B20" s="271"/>
      <c r="C20" s="179">
        <f>IF(ISNA(VLOOKUP(A20,Mains,2,FALSE)=TRUE),0,VLOOKUP(A20,Mains,2,FALSE))</f>
        <v>6736</v>
      </c>
      <c r="D20" s="179">
        <f>IF(ISNA(VLOOKUP(A20,Mains,3,FALSE)=TRUE),0,VLOOKUP(A20,Mains,3,FALSE))</f>
        <v>1249028.7800000003</v>
      </c>
      <c r="F20" s="213">
        <f t="shared" si="2"/>
        <v>185.43</v>
      </c>
      <c r="H20" s="45"/>
      <c r="I20" s="45"/>
      <c r="J20" s="45"/>
      <c r="K20" s="277"/>
      <c r="L20" s="277" t="s">
        <v>666</v>
      </c>
      <c r="M20" s="277" t="s">
        <v>667</v>
      </c>
      <c r="N20" s="277" t="s">
        <v>668</v>
      </c>
      <c r="O20" s="277" t="s">
        <v>669</v>
      </c>
      <c r="P20" s="277" t="s">
        <v>670</v>
      </c>
    </row>
    <row r="21" spans="1:19">
      <c r="A21" s="276" t="s">
        <v>744</v>
      </c>
      <c r="B21" s="270"/>
      <c r="C21" s="179">
        <f t="shared" si="0"/>
        <v>0</v>
      </c>
      <c r="D21" s="179">
        <f t="shared" si="1"/>
        <v>0</v>
      </c>
      <c r="F21" s="213">
        <f t="shared" si="2"/>
        <v>0</v>
      </c>
      <c r="H21" s="45"/>
      <c r="I21" s="45"/>
      <c r="J21" s="45"/>
      <c r="K21" s="274" t="s">
        <v>671</v>
      </c>
      <c r="L21" s="274">
        <v>1</v>
      </c>
      <c r="M21" s="274">
        <v>3036.8722422201704</v>
      </c>
      <c r="N21" s="274">
        <v>3036.8722422201704</v>
      </c>
      <c r="O21" s="274">
        <v>30.169917360559566</v>
      </c>
      <c r="P21" s="274">
        <v>1.5251955493839568E-3</v>
      </c>
    </row>
    <row r="22" spans="1:19">
      <c r="A22" s="276" t="s">
        <v>903</v>
      </c>
      <c r="B22" s="270" t="s">
        <v>343</v>
      </c>
      <c r="C22" s="179">
        <f t="shared" si="0"/>
        <v>0</v>
      </c>
      <c r="D22" s="179">
        <f t="shared" si="1"/>
        <v>0</v>
      </c>
      <c r="F22" s="213">
        <f t="shared" si="2"/>
        <v>0</v>
      </c>
      <c r="H22" s="45"/>
      <c r="I22" s="45"/>
      <c r="J22" s="45"/>
      <c r="K22" s="274" t="s">
        <v>672</v>
      </c>
      <c r="L22" s="274">
        <v>6</v>
      </c>
      <c r="M22" s="274">
        <v>603.95370777983032</v>
      </c>
      <c r="N22" s="274">
        <v>100.65895129663839</v>
      </c>
      <c r="O22" s="274"/>
      <c r="P22" s="274"/>
    </row>
    <row r="23" spans="1:19" ht="13.5" thickBot="1">
      <c r="A23" s="276" t="s">
        <v>904</v>
      </c>
      <c r="B23" s="270"/>
      <c r="C23" s="179">
        <f t="shared" si="0"/>
        <v>0</v>
      </c>
      <c r="D23" s="179">
        <f t="shared" si="1"/>
        <v>0</v>
      </c>
      <c r="F23" s="213">
        <f t="shared" si="2"/>
        <v>0</v>
      </c>
      <c r="H23" s="278"/>
      <c r="I23" s="278"/>
      <c r="J23" s="278"/>
      <c r="K23" s="275" t="s">
        <v>582</v>
      </c>
      <c r="L23" s="275">
        <v>7</v>
      </c>
      <c r="M23" s="275">
        <v>3640.8259500000008</v>
      </c>
      <c r="N23" s="275"/>
      <c r="O23" s="275"/>
      <c r="P23" s="275"/>
    </row>
    <row r="24" spans="1:19" ht="13.5" thickBot="1">
      <c r="A24" s="276" t="s">
        <v>905</v>
      </c>
      <c r="B24" s="270"/>
      <c r="C24" s="179">
        <f t="shared" si="0"/>
        <v>0</v>
      </c>
      <c r="D24" s="179">
        <f t="shared" si="1"/>
        <v>0</v>
      </c>
      <c r="F24" s="213">
        <f t="shared" si="2"/>
        <v>0</v>
      </c>
      <c r="H24" s="274"/>
      <c r="I24" s="274"/>
      <c r="J24" s="274"/>
    </row>
    <row r="25" spans="1:19">
      <c r="A25" s="276" t="s">
        <v>906</v>
      </c>
      <c r="B25" s="270"/>
      <c r="C25" s="179">
        <f t="shared" si="0"/>
        <v>0</v>
      </c>
      <c r="D25" s="179">
        <f t="shared" si="1"/>
        <v>0</v>
      </c>
      <c r="F25" s="213">
        <f t="shared" si="2"/>
        <v>0</v>
      </c>
      <c r="H25" s="274"/>
      <c r="I25" s="274"/>
      <c r="J25" s="274"/>
      <c r="K25" s="277"/>
      <c r="L25" s="277" t="s">
        <v>673</v>
      </c>
      <c r="M25" s="277" t="s">
        <v>663</v>
      </c>
      <c r="N25" s="277" t="s">
        <v>674</v>
      </c>
      <c r="O25" s="277" t="s">
        <v>675</v>
      </c>
      <c r="P25" s="277" t="s">
        <v>676</v>
      </c>
      <c r="Q25" s="277" t="s">
        <v>677</v>
      </c>
      <c r="R25" s="277" t="s">
        <v>678</v>
      </c>
      <c r="S25" s="277" t="s">
        <v>679</v>
      </c>
    </row>
    <row r="26" spans="1:19">
      <c r="C26" s="279" t="s">
        <v>343</v>
      </c>
      <c r="D26" s="279" t="s">
        <v>343</v>
      </c>
      <c r="F26" s="211"/>
      <c r="H26" s="274"/>
      <c r="I26" s="274"/>
      <c r="J26" s="274"/>
      <c r="K26" s="274" t="s">
        <v>680</v>
      </c>
      <c r="L26" s="274">
        <v>1.8892899889176213</v>
      </c>
      <c r="M26" s="274">
        <v>5.7158085309626347</v>
      </c>
      <c r="N26" s="274">
        <v>0.3305376621143456</v>
      </c>
      <c r="O26" s="274">
        <v>0.75223082509179595</v>
      </c>
      <c r="P26" s="274">
        <v>-12.096789617435837</v>
      </c>
      <c r="Q26" s="274">
        <v>15.87536959527108</v>
      </c>
      <c r="R26" s="274">
        <v>-12.096789617435837</v>
      </c>
      <c r="S26" s="274">
        <v>15.87536959527108</v>
      </c>
    </row>
    <row r="27" spans="1:19" ht="13.5" thickBot="1">
      <c r="C27" s="149">
        <f>SUM(C10:C26)</f>
        <v>4184821</v>
      </c>
      <c r="D27" s="219">
        <f>SUM(D10:D26)</f>
        <v>88754142.910000011</v>
      </c>
      <c r="F27" s="211"/>
      <c r="J27" s="45"/>
      <c r="K27" s="275" t="s">
        <v>681</v>
      </c>
      <c r="L27" s="275">
        <v>5.3590661248614699</v>
      </c>
      <c r="M27" s="275">
        <v>0.97566798713915237</v>
      </c>
      <c r="N27" s="275">
        <v>5.4927149353083626</v>
      </c>
      <c r="O27" s="275">
        <v>1.5251955493839565E-3</v>
      </c>
      <c r="P27" s="275">
        <v>2.971692568945548</v>
      </c>
      <c r="Q27" s="275">
        <v>7.7464396807773923</v>
      </c>
      <c r="R27" s="275">
        <v>2.971692568945548</v>
      </c>
      <c r="S27" s="275">
        <v>7.7464396807773923</v>
      </c>
    </row>
    <row r="28" spans="1:19">
      <c r="A28" s="280" t="s">
        <v>343</v>
      </c>
      <c r="C28" s="38">
        <v>0</v>
      </c>
      <c r="D28" s="40">
        <v>0</v>
      </c>
      <c r="F28" s="211"/>
    </row>
    <row r="29" spans="1:19" ht="13.5" thickBot="1">
      <c r="C29" s="41">
        <f>C27+C28</f>
        <v>4184821</v>
      </c>
      <c r="D29" s="176">
        <f>D27+D28</f>
        <v>88754142.910000011</v>
      </c>
      <c r="F29" s="211"/>
    </row>
    <row r="30" spans="1:19" ht="13.5" thickTop="1">
      <c r="F30" s="211"/>
      <c r="J30" s="216" t="s">
        <v>343</v>
      </c>
    </row>
    <row r="31" spans="1:19">
      <c r="A31" s="218" t="s">
        <v>682</v>
      </c>
      <c r="F31" s="1215">
        <f>F11</f>
        <v>3.34</v>
      </c>
      <c r="G31" s="218" t="s">
        <v>683</v>
      </c>
    </row>
    <row r="33" spans="1:25">
      <c r="A33" s="218" t="s">
        <v>684</v>
      </c>
      <c r="D33" s="281">
        <f>F31</f>
        <v>3.34</v>
      </c>
      <c r="E33" s="218" t="s">
        <v>685</v>
      </c>
      <c r="F33" s="149">
        <f>C27</f>
        <v>4184821</v>
      </c>
      <c r="G33" s="218" t="s">
        <v>686</v>
      </c>
      <c r="H33" s="146">
        <f>ROUND(D33*F33,2)</f>
        <v>13977302.140000001</v>
      </c>
      <c r="I33" s="146"/>
      <c r="K33" s="278"/>
      <c r="L33" s="278"/>
      <c r="M33" s="278"/>
    </row>
    <row r="34" spans="1:25">
      <c r="C34" s="149"/>
      <c r="D34" s="219"/>
      <c r="K34" s="274"/>
      <c r="L34" s="274"/>
      <c r="M34" s="274"/>
    </row>
    <row r="35" spans="1:25">
      <c r="A35" s="218" t="s">
        <v>687</v>
      </c>
      <c r="C35" s="149"/>
      <c r="D35" s="149">
        <f>D27</f>
        <v>88754142.910000011</v>
      </c>
      <c r="K35" s="274"/>
      <c r="L35" s="274"/>
      <c r="M35" s="274"/>
    </row>
    <row r="36" spans="1:25">
      <c r="C36" s="149"/>
      <c r="D36" s="219"/>
      <c r="K36" s="274"/>
      <c r="L36" s="274"/>
      <c r="M36" s="274"/>
    </row>
    <row r="37" spans="1:25">
      <c r="A37" s="218" t="s">
        <v>688</v>
      </c>
      <c r="C37" s="149"/>
      <c r="D37" s="149">
        <f>H33</f>
        <v>13977302.140000001</v>
      </c>
      <c r="E37" s="218" t="s">
        <v>689</v>
      </c>
      <c r="F37" s="149">
        <f>D35</f>
        <v>88754142.910000011</v>
      </c>
      <c r="G37" s="218" t="s">
        <v>686</v>
      </c>
      <c r="H37" s="282">
        <f>D37/F37</f>
        <v>0.15748337690752648</v>
      </c>
      <c r="I37" s="282"/>
      <c r="K37" s="274"/>
      <c r="L37" s="274"/>
      <c r="M37" s="274"/>
    </row>
    <row r="38" spans="1:25">
      <c r="C38" s="149"/>
      <c r="D38" s="219"/>
      <c r="H38" s="283"/>
      <c r="I38" s="283"/>
      <c r="K38" s="274"/>
      <c r="L38" s="274"/>
      <c r="M38" s="274"/>
    </row>
    <row r="39" spans="1:25">
      <c r="A39" s="218" t="s">
        <v>690</v>
      </c>
      <c r="C39" s="149"/>
      <c r="D39" s="284">
        <v>1</v>
      </c>
      <c r="E39" s="284" t="s">
        <v>691</v>
      </c>
      <c r="F39" s="282">
        <f>H37</f>
        <v>0.15748337690752648</v>
      </c>
      <c r="G39" s="218" t="s">
        <v>686</v>
      </c>
      <c r="H39" s="285">
        <f>D39-F39</f>
        <v>0.84251662309247355</v>
      </c>
      <c r="I39" s="285"/>
      <c r="K39" s="274"/>
      <c r="L39" s="274"/>
      <c r="M39" s="274"/>
    </row>
    <row r="40" spans="1:25">
      <c r="C40" s="149"/>
      <c r="D40" s="219"/>
      <c r="K40" s="274"/>
      <c r="L40" s="274"/>
      <c r="M40" s="274"/>
    </row>
    <row r="41" spans="1:25" ht="15">
      <c r="C41" s="149"/>
      <c r="D41" s="219"/>
      <c r="F41" s="219"/>
      <c r="K41" s="274"/>
      <c r="L41" s="274"/>
      <c r="M41" s="274"/>
      <c r="U41"/>
      <c r="V41"/>
      <c r="W41"/>
      <c r="X41"/>
      <c r="Y41"/>
    </row>
    <row r="42" spans="1:25" ht="15">
      <c r="K42" s="274"/>
      <c r="L42" s="274"/>
      <c r="M42" s="274"/>
      <c r="U42"/>
      <c r="V42"/>
      <c r="W42"/>
      <c r="X42"/>
      <c r="Y42"/>
    </row>
    <row r="43" spans="1:25" ht="15">
      <c r="K43" s="274"/>
      <c r="L43" s="274"/>
      <c r="M43" s="274"/>
      <c r="U43"/>
      <c r="V43"/>
      <c r="W43"/>
      <c r="X43"/>
      <c r="Y43"/>
    </row>
    <row r="44" spans="1:25" ht="15">
      <c r="A44" s="373"/>
      <c r="B44" s="1260" t="s">
        <v>652</v>
      </c>
      <c r="C44" s="373"/>
      <c r="D44" s="373"/>
      <c r="F44" s="216" t="s">
        <v>1249</v>
      </c>
      <c r="K44" s="274"/>
      <c r="L44" s="274"/>
      <c r="M44" s="274"/>
      <c r="U44"/>
      <c r="V44"/>
      <c r="W44"/>
      <c r="X44"/>
      <c r="Y44"/>
    </row>
    <row r="45" spans="1:25" ht="15">
      <c r="A45" s="1261" t="s">
        <v>653</v>
      </c>
      <c r="B45" s="1261" t="s">
        <v>656</v>
      </c>
      <c r="C45" s="1261" t="s">
        <v>692</v>
      </c>
      <c r="D45" s="373"/>
      <c r="F45" s="219"/>
      <c r="K45" s="274" t="s">
        <v>692</v>
      </c>
      <c r="L45" s="274"/>
      <c r="M45" s="274"/>
      <c r="U45"/>
      <c r="V45"/>
      <c r="W45"/>
      <c r="X45"/>
      <c r="Y45"/>
    </row>
    <row r="46" spans="1:25" ht="15">
      <c r="A46" s="1262">
        <v>0</v>
      </c>
      <c r="B46" s="1263">
        <v>0</v>
      </c>
      <c r="C46" s="1264">
        <f t="shared" ref="C46:C55" si="3">ROUND(RegressionConstant+(A46*RegressionXcoefficient),2)</f>
        <v>-23.12</v>
      </c>
      <c r="D46" s="373"/>
      <c r="K46" s="216" t="s">
        <v>343</v>
      </c>
      <c r="U46"/>
      <c r="V46"/>
      <c r="W46"/>
      <c r="X46"/>
      <c r="Y46"/>
    </row>
    <row r="47" spans="1:25" ht="15">
      <c r="A47" s="1265">
        <v>0.75</v>
      </c>
      <c r="B47" s="1266">
        <f>F10</f>
        <v>0</v>
      </c>
      <c r="C47" s="1264">
        <f t="shared" si="3"/>
        <v>-12.05</v>
      </c>
      <c r="D47" s="373"/>
      <c r="K47" s="216">
        <v>3.33</v>
      </c>
      <c r="U47"/>
      <c r="V47"/>
      <c r="W47"/>
      <c r="X47"/>
      <c r="Y47"/>
    </row>
    <row r="48" spans="1:25" ht="15">
      <c r="A48" s="1262">
        <v>1</v>
      </c>
      <c r="B48" s="1266">
        <f>F11</f>
        <v>3.34</v>
      </c>
      <c r="C48" s="1264">
        <f t="shared" si="3"/>
        <v>-8.36</v>
      </c>
      <c r="D48" s="373"/>
      <c r="K48" s="216">
        <v>7.22</v>
      </c>
      <c r="U48"/>
      <c r="V48"/>
      <c r="W48"/>
      <c r="X48"/>
      <c r="Y48"/>
    </row>
    <row r="49" spans="1:25" ht="15">
      <c r="A49" s="1262">
        <v>1.25</v>
      </c>
      <c r="B49" s="1266">
        <f>F12</f>
        <v>9.24</v>
      </c>
      <c r="C49" s="1264">
        <f t="shared" si="3"/>
        <v>-4.67</v>
      </c>
      <c r="D49" s="373"/>
      <c r="K49" s="216">
        <v>8.52</v>
      </c>
      <c r="U49"/>
      <c r="V49"/>
      <c r="W49"/>
      <c r="X49"/>
      <c r="Y49"/>
    </row>
    <row r="50" spans="1:25" ht="15">
      <c r="A50" s="1262">
        <v>2</v>
      </c>
      <c r="B50" s="1266">
        <f>F13</f>
        <v>11.22</v>
      </c>
      <c r="C50" s="1264">
        <f t="shared" si="3"/>
        <v>6.41</v>
      </c>
      <c r="D50" s="373"/>
      <c r="K50" s="216">
        <v>9.82</v>
      </c>
      <c r="U50"/>
      <c r="V50"/>
      <c r="W50"/>
      <c r="X50"/>
      <c r="Y50"/>
    </row>
    <row r="51" spans="1:25" ht="15">
      <c r="A51" s="1262">
        <v>3</v>
      </c>
      <c r="B51" s="1266">
        <f>F15</f>
        <v>7.08</v>
      </c>
      <c r="C51" s="1264">
        <f t="shared" si="3"/>
        <v>21.17</v>
      </c>
      <c r="D51" s="373"/>
      <c r="K51" s="216">
        <v>13.71</v>
      </c>
      <c r="U51"/>
      <c r="V51"/>
      <c r="W51"/>
      <c r="X51"/>
      <c r="Y51"/>
    </row>
    <row r="52" spans="1:25" ht="15">
      <c r="A52" s="1262">
        <v>4</v>
      </c>
      <c r="B52" s="1266">
        <f>F16</f>
        <v>26.27</v>
      </c>
      <c r="C52" s="1264">
        <f t="shared" si="3"/>
        <v>35.94</v>
      </c>
      <c r="D52" s="373"/>
      <c r="K52" s="216">
        <v>18.899999999999999</v>
      </c>
      <c r="U52"/>
      <c r="V52"/>
      <c r="W52"/>
      <c r="X52"/>
      <c r="Y52"/>
    </row>
    <row r="53" spans="1:25" ht="15">
      <c r="A53" s="1262">
        <v>6</v>
      </c>
      <c r="B53" s="1266">
        <f>F17</f>
        <v>36.79</v>
      </c>
      <c r="C53" s="1264">
        <f t="shared" si="3"/>
        <v>65.47</v>
      </c>
      <c r="D53" s="373"/>
      <c r="K53" s="216">
        <v>24.09</v>
      </c>
      <c r="U53"/>
      <c r="V53"/>
      <c r="W53"/>
      <c r="X53"/>
      <c r="Y53"/>
    </row>
    <row r="54" spans="1:25" ht="15">
      <c r="A54" s="1262">
        <v>8</v>
      </c>
      <c r="B54" s="1266">
        <f>F18</f>
        <v>73.61</v>
      </c>
      <c r="C54" s="1264">
        <f t="shared" si="3"/>
        <v>95</v>
      </c>
      <c r="D54" s="373"/>
      <c r="K54" s="216">
        <v>34.47</v>
      </c>
      <c r="U54"/>
      <c r="V54"/>
      <c r="W54"/>
      <c r="X54"/>
      <c r="Y54"/>
    </row>
    <row r="55" spans="1:25" ht="15">
      <c r="A55" s="1262">
        <v>12</v>
      </c>
      <c r="B55" s="1266">
        <f>F20</f>
        <v>185.43</v>
      </c>
      <c r="C55" s="1264">
        <f t="shared" si="3"/>
        <v>154.06</v>
      </c>
      <c r="D55" s="373"/>
      <c r="K55" s="216">
        <v>44.85</v>
      </c>
      <c r="U55"/>
      <c r="V55"/>
      <c r="W55"/>
      <c r="X55"/>
      <c r="Y55"/>
    </row>
    <row r="56" spans="1:25" ht="15">
      <c r="A56" s="373"/>
      <c r="B56" s="373"/>
      <c r="C56" s="373"/>
      <c r="D56" s="373"/>
      <c r="K56" s="216">
        <v>65.62</v>
      </c>
      <c r="U56"/>
      <c r="V56"/>
      <c r="W56"/>
      <c r="X56"/>
      <c r="Y56"/>
    </row>
    <row r="57" spans="1:25" ht="15">
      <c r="A57" s="1267" t="s">
        <v>343</v>
      </c>
      <c r="B57" s="373"/>
      <c r="C57" s="1264" t="s">
        <v>343</v>
      </c>
      <c r="D57" s="1264" t="s">
        <v>343</v>
      </c>
      <c r="U57"/>
      <c r="V57"/>
      <c r="W57"/>
      <c r="X57"/>
      <c r="Y57"/>
    </row>
    <row r="58" spans="1:25" ht="15">
      <c r="A58" s="373"/>
      <c r="B58" s="1268" t="s">
        <v>693</v>
      </c>
      <c r="C58" s="373"/>
      <c r="D58" s="373"/>
      <c r="U58"/>
      <c r="V58"/>
      <c r="W58"/>
      <c r="X58"/>
      <c r="Y58"/>
    </row>
    <row r="59" spans="1:25" ht="15">
      <c r="A59" s="1268" t="s">
        <v>694</v>
      </c>
      <c r="B59" s="373"/>
      <c r="C59" s="373"/>
      <c r="D59" s="1264">
        <f>INTERCEPT($B$47:$B$55,$A$47:$A$55)</f>
        <v>-23.122811862168327</v>
      </c>
      <c r="F59" s="281"/>
      <c r="U59"/>
      <c r="V59"/>
      <c r="W59"/>
      <c r="X59"/>
      <c r="Y59"/>
    </row>
    <row r="60" spans="1:25">
      <c r="A60" s="1268" t="s">
        <v>695</v>
      </c>
      <c r="B60" s="373"/>
      <c r="C60" s="373"/>
      <c r="D60" s="1264">
        <f>STEYX(B47:B55,A47:A55)</f>
        <v>20.889726877938603</v>
      </c>
    </row>
    <row r="61" spans="1:25">
      <c r="A61" s="1268" t="s">
        <v>696</v>
      </c>
      <c r="B61" s="373"/>
      <c r="C61" s="373"/>
      <c r="D61" s="1264">
        <f>RSQ(A47:A55,B47:B55)</f>
        <v>0.89196590161535427</v>
      </c>
    </row>
    <row r="62" spans="1:25">
      <c r="A62" s="1268" t="s">
        <v>697</v>
      </c>
      <c r="B62" s="373"/>
      <c r="C62" s="373"/>
      <c r="D62" s="1264">
        <v>9</v>
      </c>
    </row>
    <row r="63" spans="1:25">
      <c r="A63" s="1268" t="s">
        <v>698</v>
      </c>
      <c r="B63" s="373"/>
      <c r="C63" s="373"/>
      <c r="D63" s="1264">
        <v>7</v>
      </c>
    </row>
    <row r="64" spans="1:25">
      <c r="A64" s="373"/>
      <c r="B64" s="373"/>
      <c r="C64" s="373"/>
      <c r="D64" s="373"/>
    </row>
    <row r="65" spans="1:29">
      <c r="A65" s="1268" t="s">
        <v>699</v>
      </c>
      <c r="B65" s="373"/>
      <c r="C65" s="1264">
        <f>INDEX(LINEST(B47:B55,A47:A55),1)</f>
        <v>14.765402809460921</v>
      </c>
      <c r="D65" s="1264"/>
    </row>
    <row r="66" spans="1:29">
      <c r="A66" s="1268" t="s">
        <v>700</v>
      </c>
      <c r="B66" s="373"/>
      <c r="C66" s="1264">
        <f>PEARSON(A47:A55,B47:B55)</f>
        <v>0.94443946424074965</v>
      </c>
      <c r="D66" s="373"/>
    </row>
    <row r="68" spans="1:29">
      <c r="U68" s="45"/>
      <c r="V68" s="45"/>
      <c r="W68" s="45"/>
      <c r="X68" s="45"/>
      <c r="Y68" s="45"/>
      <c r="Z68" s="45"/>
      <c r="AA68" s="45"/>
      <c r="AB68" s="45"/>
    </row>
    <row r="69" spans="1:29">
      <c r="U69" s="45"/>
      <c r="V69" s="45"/>
      <c r="W69" s="45"/>
      <c r="X69" s="45"/>
      <c r="Y69" s="45"/>
      <c r="Z69" s="45"/>
      <c r="AA69" s="45"/>
      <c r="AB69" s="45"/>
    </row>
    <row r="70" spans="1:29" ht="15">
      <c r="U70" s="3"/>
      <c r="V70" s="3"/>
      <c r="W70" s="3"/>
      <c r="X70" s="3"/>
      <c r="Y70" s="3"/>
      <c r="Z70" s="3"/>
      <c r="AA70" s="3"/>
      <c r="AB70" s="3"/>
      <c r="AC70"/>
    </row>
    <row r="71" spans="1:29" ht="15">
      <c r="U71" s="3"/>
      <c r="V71" s="3"/>
      <c r="W71" s="3"/>
      <c r="X71" s="3"/>
      <c r="Y71" s="3"/>
      <c r="Z71" s="3"/>
      <c r="AA71" s="3"/>
      <c r="AB71" s="3"/>
      <c r="AC71"/>
    </row>
    <row r="72" spans="1:29" ht="15">
      <c r="U72" s="778"/>
      <c r="V72" s="778"/>
      <c r="W72" s="3"/>
      <c r="X72" s="3"/>
      <c r="Y72" s="3"/>
      <c r="Z72" s="3"/>
      <c r="AA72" s="3"/>
      <c r="AB72" s="3"/>
      <c r="AC72"/>
    </row>
    <row r="73" spans="1:29" ht="15">
      <c r="U73" s="437"/>
      <c r="V73" s="437"/>
      <c r="W73" s="3"/>
      <c r="X73" s="3"/>
      <c r="Y73" s="3"/>
      <c r="Z73" s="3"/>
      <c r="AA73" s="3"/>
      <c r="AB73" s="3"/>
      <c r="AC73"/>
    </row>
    <row r="74" spans="1:29" ht="15">
      <c r="U74" s="437"/>
      <c r="V74" s="437"/>
      <c r="W74" s="3"/>
      <c r="X74" s="3"/>
      <c r="Y74" s="3"/>
      <c r="Z74" s="3"/>
      <c r="AA74" s="3"/>
      <c r="AB74" s="3"/>
      <c r="AC74"/>
    </row>
    <row r="75" spans="1:29" ht="15">
      <c r="U75" s="437"/>
      <c r="V75" s="437"/>
      <c r="W75" s="3"/>
      <c r="X75" s="3"/>
      <c r="Y75" s="3"/>
      <c r="Z75" s="3"/>
      <c r="AA75" s="3"/>
      <c r="AB75" s="3"/>
      <c r="AC75"/>
    </row>
    <row r="76" spans="1:29" ht="15">
      <c r="U76" s="437"/>
      <c r="V76" s="437"/>
      <c r="W76" s="3"/>
      <c r="X76" s="3"/>
      <c r="Y76" s="3"/>
      <c r="Z76" s="3"/>
      <c r="AA76" s="3"/>
      <c r="AB76" s="3"/>
      <c r="AC76"/>
    </row>
    <row r="77" spans="1:29" ht="15">
      <c r="U77" s="437"/>
      <c r="V77" s="437"/>
      <c r="W77" s="3"/>
      <c r="X77" s="3"/>
      <c r="Y77" s="3"/>
      <c r="Z77" s="3"/>
      <c r="AA77" s="3"/>
      <c r="AB77" s="3"/>
      <c r="AC77"/>
    </row>
    <row r="78" spans="1:29" ht="15">
      <c r="U78" s="3"/>
      <c r="V78" s="3"/>
      <c r="W78" s="3"/>
      <c r="X78" s="3"/>
      <c r="Y78" s="3"/>
      <c r="Z78" s="3"/>
      <c r="AA78" s="3"/>
      <c r="AB78" s="3"/>
      <c r="AC78"/>
    </row>
    <row r="79" spans="1:29" ht="15">
      <c r="U79" s="3"/>
      <c r="V79" s="3"/>
      <c r="W79" s="3"/>
      <c r="X79" s="3"/>
      <c r="Y79" s="3"/>
      <c r="Z79" s="3"/>
      <c r="AA79" s="3"/>
      <c r="AB79" s="3"/>
      <c r="AC79"/>
    </row>
    <row r="80" spans="1:29" ht="15">
      <c r="U80" s="215" t="s">
        <v>657</v>
      </c>
      <c r="V80"/>
      <c r="W80"/>
      <c r="X80"/>
      <c r="Y80"/>
      <c r="Z80"/>
      <c r="AA80"/>
      <c r="AB80"/>
      <c r="AC80"/>
    </row>
    <row r="81" spans="1:29" ht="15.75" thickBot="1">
      <c r="U81"/>
      <c r="V81"/>
      <c r="W81"/>
      <c r="X81"/>
      <c r="Y81"/>
      <c r="Z81"/>
      <c r="AA81"/>
      <c r="AB81"/>
      <c r="AC81"/>
    </row>
    <row r="82" spans="1:29" ht="15">
      <c r="A82" s="218"/>
      <c r="U82" s="440" t="s">
        <v>658</v>
      </c>
      <c r="V82" s="440"/>
      <c r="W82"/>
      <c r="X82"/>
      <c r="Y82"/>
      <c r="Z82"/>
      <c r="AA82"/>
      <c r="AB82"/>
      <c r="AC82"/>
    </row>
    <row r="83" spans="1:29" ht="15">
      <c r="U83" s="437" t="s">
        <v>660</v>
      </c>
      <c r="V83" s="437">
        <v>0.97579541264554193</v>
      </c>
      <c r="W83"/>
      <c r="X83"/>
      <c r="Y83"/>
      <c r="Z83"/>
      <c r="AA83"/>
      <c r="AB83"/>
      <c r="AC83"/>
    </row>
    <row r="84" spans="1:29" ht="15">
      <c r="U84" s="437" t="s">
        <v>661</v>
      </c>
      <c r="V84" s="437">
        <v>0.95217668734008354</v>
      </c>
      <c r="W84"/>
      <c r="X84"/>
      <c r="Y84"/>
      <c r="Z84"/>
      <c r="AA84"/>
      <c r="AB84"/>
      <c r="AC84"/>
    </row>
    <row r="85" spans="1:29" ht="15">
      <c r="U85" s="437" t="s">
        <v>662</v>
      </c>
      <c r="V85" s="437">
        <v>0.94534478553152401</v>
      </c>
      <c r="W85"/>
      <c r="X85"/>
      <c r="Y85"/>
      <c r="Z85"/>
      <c r="AA85"/>
      <c r="AB85"/>
      <c r="AC85"/>
    </row>
    <row r="86" spans="1:29" ht="15">
      <c r="U86" s="437" t="s">
        <v>663</v>
      </c>
      <c r="V86" s="437">
        <v>10.726614690121185</v>
      </c>
      <c r="W86"/>
      <c r="X86"/>
      <c r="Y86"/>
      <c r="Z86"/>
      <c r="AA86"/>
      <c r="AB86"/>
      <c r="AC86"/>
    </row>
    <row r="87" spans="1:29" ht="15.75" thickBot="1">
      <c r="A87" s="148"/>
      <c r="U87" s="438" t="s">
        <v>664</v>
      </c>
      <c r="V87" s="438">
        <v>9</v>
      </c>
      <c r="W87"/>
      <c r="X87"/>
      <c r="Y87"/>
      <c r="Z87"/>
      <c r="AA87"/>
      <c r="AB87"/>
      <c r="AC87"/>
    </row>
    <row r="88" spans="1:29" ht="15">
      <c r="A88" s="281"/>
      <c r="U88"/>
      <c r="V88"/>
      <c r="W88"/>
      <c r="X88"/>
      <c r="Y88"/>
      <c r="Z88"/>
      <c r="AA88"/>
      <c r="AB88"/>
      <c r="AC88"/>
    </row>
    <row r="89" spans="1:29" ht="15.75" thickBot="1">
      <c r="U89" s="215" t="s">
        <v>665</v>
      </c>
      <c r="V89"/>
      <c r="W89"/>
      <c r="X89"/>
      <c r="Y89"/>
      <c r="Z89"/>
      <c r="AA89"/>
      <c r="AB89"/>
      <c r="AC89"/>
    </row>
    <row r="90" spans="1:29" ht="15">
      <c r="U90" s="439"/>
      <c r="V90" s="439" t="s">
        <v>666</v>
      </c>
      <c r="W90" s="439" t="s">
        <v>667</v>
      </c>
      <c r="X90" s="439" t="s">
        <v>668</v>
      </c>
      <c r="Y90" s="439" t="s">
        <v>669</v>
      </c>
      <c r="Z90" s="439" t="s">
        <v>670</v>
      </c>
      <c r="AA90"/>
      <c r="AB90"/>
      <c r="AC90"/>
    </row>
    <row r="91" spans="1:29" ht="15">
      <c r="U91" s="437" t="s">
        <v>671</v>
      </c>
      <c r="V91" s="437">
        <v>1</v>
      </c>
      <c r="W91" s="437">
        <v>16036.193561027738</v>
      </c>
      <c r="X91" s="437">
        <v>16036.193561027738</v>
      </c>
      <c r="Y91" s="437">
        <v>139.3721271209032</v>
      </c>
      <c r="Z91" s="437">
        <v>7.0943797740154066E-6</v>
      </c>
      <c r="AA91"/>
      <c r="AB91"/>
      <c r="AC91"/>
    </row>
    <row r="92" spans="1:29" ht="15">
      <c r="U92" s="437" t="s">
        <v>672</v>
      </c>
      <c r="V92" s="437">
        <v>7</v>
      </c>
      <c r="W92" s="437">
        <v>805.42183897226516</v>
      </c>
      <c r="X92" s="437">
        <v>115.0602627103236</v>
      </c>
      <c r="Y92" s="437"/>
      <c r="Z92" s="437"/>
      <c r="AA92"/>
      <c r="AB92"/>
      <c r="AC92"/>
    </row>
    <row r="93" spans="1:29" ht="15.75" thickBot="1">
      <c r="U93" s="438" t="s">
        <v>582</v>
      </c>
      <c r="V93" s="438">
        <v>8</v>
      </c>
      <c r="W93" s="438">
        <v>16841.615400000002</v>
      </c>
      <c r="X93" s="438"/>
      <c r="Y93" s="438"/>
      <c r="Z93" s="438"/>
      <c r="AA93"/>
      <c r="AB93"/>
      <c r="AC93"/>
    </row>
    <row r="94" spans="1:29" ht="15.75" thickBot="1">
      <c r="U94"/>
      <c r="V94"/>
      <c r="W94"/>
      <c r="X94"/>
      <c r="Y94"/>
      <c r="Z94"/>
      <c r="AA94"/>
      <c r="AB94"/>
      <c r="AC94"/>
    </row>
    <row r="95" spans="1:29" ht="15">
      <c r="U95" s="439"/>
      <c r="V95" s="439" t="s">
        <v>673</v>
      </c>
      <c r="W95" s="439" t="s">
        <v>663</v>
      </c>
      <c r="X95" s="439" t="s">
        <v>674</v>
      </c>
      <c r="Y95" s="439" t="s">
        <v>675</v>
      </c>
      <c r="Z95" s="439" t="s">
        <v>676</v>
      </c>
      <c r="AA95" s="439" t="s">
        <v>677</v>
      </c>
      <c r="AB95" s="439" t="s">
        <v>678</v>
      </c>
      <c r="AC95" s="439" t="s">
        <v>679</v>
      </c>
    </row>
    <row r="96" spans="1:29" ht="15">
      <c r="U96" s="437" t="s">
        <v>680</v>
      </c>
      <c r="V96" s="437">
        <v>-10.025369191979841</v>
      </c>
      <c r="W96" s="437">
        <v>5.5241327628415098</v>
      </c>
      <c r="X96" s="437">
        <v>-1.8148313269036966</v>
      </c>
      <c r="Y96" s="437">
        <v>0.11241655113371203</v>
      </c>
      <c r="Z96" s="437">
        <v>-23.087867488458539</v>
      </c>
      <c r="AA96" s="437">
        <v>3.037129104498856</v>
      </c>
      <c r="AB96" s="437">
        <v>-23.087867488458539</v>
      </c>
      <c r="AC96" s="437">
        <v>3.037129104498856</v>
      </c>
    </row>
    <row r="97" spans="11:29" ht="15.75" thickBot="1">
      <c r="U97" s="438" t="s">
        <v>681</v>
      </c>
      <c r="V97" s="438">
        <v>11.773903229679435</v>
      </c>
      <c r="W97" s="438">
        <v>0.99731533705021502</v>
      </c>
      <c r="X97" s="438">
        <v>11.805597279295242</v>
      </c>
      <c r="Y97" s="438">
        <v>7.0943797740154066E-6</v>
      </c>
      <c r="Z97" s="438">
        <v>9.4156271978468027</v>
      </c>
      <c r="AA97" s="438">
        <v>14.132179261512068</v>
      </c>
      <c r="AB97" s="438">
        <v>9.4156271978468027</v>
      </c>
      <c r="AC97" s="438">
        <v>14.132179261512068</v>
      </c>
    </row>
    <row r="98" spans="11:29" ht="15">
      <c r="U98"/>
      <c r="V98"/>
      <c r="W98"/>
      <c r="X98"/>
      <c r="Y98"/>
      <c r="Z98"/>
      <c r="AA98"/>
      <c r="AB98"/>
      <c r="AC98"/>
    </row>
    <row r="99" spans="11:29" ht="15">
      <c r="U99"/>
      <c r="V99"/>
      <c r="W99"/>
      <c r="X99"/>
      <c r="Y99"/>
      <c r="Z99"/>
      <c r="AA99"/>
      <c r="AB99"/>
      <c r="AC99"/>
    </row>
    <row r="100" spans="11:29" ht="15">
      <c r="U100"/>
      <c r="V100"/>
      <c r="W100"/>
      <c r="X100"/>
      <c r="Y100"/>
      <c r="Z100"/>
      <c r="AA100"/>
      <c r="AB100"/>
      <c r="AC100"/>
    </row>
    <row r="101" spans="11:29" ht="15">
      <c r="U101" s="215" t="s">
        <v>701</v>
      </c>
      <c r="V101"/>
      <c r="W101"/>
      <c r="X101"/>
      <c r="Y101"/>
      <c r="Z101"/>
      <c r="AA101"/>
      <c r="AB101"/>
      <c r="AC101"/>
    </row>
    <row r="102" spans="11:29" ht="15.75" thickBot="1">
      <c r="U102"/>
      <c r="V102"/>
      <c r="W102"/>
      <c r="X102"/>
      <c r="Y102"/>
      <c r="Z102"/>
      <c r="AA102"/>
      <c r="AB102"/>
      <c r="AC102"/>
    </row>
    <row r="103" spans="11:29" ht="15.75" thickBot="1">
      <c r="U103" s="439" t="s">
        <v>702</v>
      </c>
      <c r="V103" s="439" t="s">
        <v>1045</v>
      </c>
      <c r="W103" s="439" t="s">
        <v>703</v>
      </c>
      <c r="X103"/>
      <c r="Y103"/>
      <c r="Z103"/>
      <c r="AA103"/>
      <c r="AB103"/>
      <c r="AC103"/>
    </row>
    <row r="104" spans="11:29" ht="15">
      <c r="K104" s="277" t="s">
        <v>679</v>
      </c>
      <c r="U104" s="437">
        <v>1</v>
      </c>
      <c r="V104" s="437">
        <v>-1.1949417697202644</v>
      </c>
      <c r="W104" s="437">
        <v>11.274941769720265</v>
      </c>
      <c r="X104"/>
      <c r="Y104"/>
      <c r="Z104"/>
      <c r="AA104"/>
      <c r="AB104"/>
      <c r="AC104"/>
    </row>
    <row r="105" spans="11:29" ht="15">
      <c r="K105" s="274">
        <v>3.3313955643927513</v>
      </c>
      <c r="U105" s="437">
        <v>2</v>
      </c>
      <c r="V105" s="437">
        <v>1.7485340376995939</v>
      </c>
      <c r="W105" s="437">
        <v>2.9714659623004058</v>
      </c>
      <c r="X105"/>
      <c r="Y105"/>
      <c r="Z105"/>
      <c r="AA105"/>
      <c r="AB105"/>
      <c r="AC105"/>
    </row>
    <row r="106" spans="11:29" ht="15.75" thickBot="1">
      <c r="K106" s="275">
        <v>5.1912552593634409</v>
      </c>
      <c r="U106" s="437">
        <v>3</v>
      </c>
      <c r="V106" s="437">
        <v>4.6920098451194523</v>
      </c>
      <c r="W106" s="437">
        <v>10.687990154880548</v>
      </c>
      <c r="X106"/>
      <c r="Y106"/>
      <c r="Z106"/>
      <c r="AA106"/>
      <c r="AB106"/>
      <c r="AC106"/>
    </row>
    <row r="107" spans="11:29" ht="15">
      <c r="U107" s="437">
        <v>4</v>
      </c>
      <c r="V107" s="437">
        <v>13.522437267379029</v>
      </c>
      <c r="W107" s="437">
        <v>-0.78243726737902897</v>
      </c>
      <c r="X107"/>
      <c r="Y107"/>
      <c r="Z107"/>
      <c r="AA107"/>
      <c r="AB107"/>
      <c r="AC107"/>
    </row>
    <row r="108" spans="11:29" ht="15">
      <c r="U108" s="437">
        <v>5</v>
      </c>
      <c r="V108" s="437">
        <v>25.296340497058466</v>
      </c>
      <c r="W108" s="437">
        <v>-10.936340497058467</v>
      </c>
      <c r="X108"/>
      <c r="Y108"/>
      <c r="Z108"/>
      <c r="AA108"/>
      <c r="AB108"/>
      <c r="AC108"/>
    </row>
    <row r="109" spans="11:29" ht="15">
      <c r="U109" s="437">
        <v>6</v>
      </c>
      <c r="V109" s="437">
        <v>37.0702437267379</v>
      </c>
      <c r="W109" s="437">
        <v>-9.6002437267379008</v>
      </c>
      <c r="X109"/>
      <c r="Y109"/>
      <c r="Z109"/>
      <c r="AA109"/>
      <c r="AB109"/>
      <c r="AC109"/>
    </row>
    <row r="110" spans="11:29" ht="15">
      <c r="U110" s="437">
        <v>7</v>
      </c>
      <c r="V110" s="437">
        <v>60.618050186096774</v>
      </c>
      <c r="W110" s="437">
        <v>-13.178050186096776</v>
      </c>
      <c r="X110"/>
      <c r="Y110"/>
      <c r="Z110"/>
      <c r="AA110"/>
      <c r="AB110"/>
      <c r="AC110"/>
    </row>
    <row r="111" spans="11:29" ht="15">
      <c r="U111" s="437">
        <v>8</v>
      </c>
      <c r="V111" s="437">
        <v>84.165856645455648</v>
      </c>
      <c r="W111" s="437">
        <v>-3.0758566454556444</v>
      </c>
      <c r="X111"/>
      <c r="Y111"/>
      <c r="Z111"/>
      <c r="AA111"/>
      <c r="AB111"/>
      <c r="AC111"/>
    </row>
    <row r="112" spans="11:29" ht="15.75" thickBot="1">
      <c r="U112" s="438">
        <v>9</v>
      </c>
      <c r="V112" s="438">
        <v>131.26146956417338</v>
      </c>
      <c r="W112" s="438">
        <v>12.638530435826624</v>
      </c>
      <c r="X112"/>
      <c r="Y112"/>
      <c r="Z112"/>
      <c r="AA112"/>
      <c r="AB112"/>
      <c r="AC112"/>
    </row>
    <row r="113" spans="21:29" ht="15">
      <c r="U113" s="437"/>
      <c r="V113" s="437"/>
      <c r="W113" s="3"/>
      <c r="X113" s="3"/>
      <c r="Y113" s="3"/>
      <c r="Z113" s="3"/>
      <c r="AA113" s="3"/>
      <c r="AB113" s="3"/>
      <c r="AC113"/>
    </row>
    <row r="114" spans="21:29" ht="15">
      <c r="U114" s="3"/>
      <c r="V114" s="3"/>
      <c r="W114" s="3"/>
      <c r="X114" s="3"/>
      <c r="Y114" s="3"/>
      <c r="Z114" s="3"/>
      <c r="AA114" s="3"/>
      <c r="AB114" s="3"/>
      <c r="AC114"/>
    </row>
    <row r="115" spans="21:29" ht="15">
      <c r="U115" s="3"/>
      <c r="V115" s="3"/>
      <c r="W115" s="3"/>
      <c r="X115" s="3"/>
      <c r="Y115" s="3"/>
      <c r="Z115" s="3"/>
      <c r="AA115" s="3"/>
      <c r="AB115" s="3"/>
      <c r="AC115"/>
    </row>
    <row r="116" spans="21:29" ht="15">
      <c r="U116" s="779"/>
      <c r="V116" s="779"/>
      <c r="W116" s="779"/>
      <c r="X116" s="779"/>
      <c r="Y116" s="779"/>
      <c r="Z116" s="779"/>
      <c r="AA116" s="3"/>
      <c r="AB116" s="3"/>
      <c r="AC116"/>
    </row>
    <row r="117" spans="21:29" ht="15">
      <c r="U117" s="437"/>
      <c r="V117" s="437"/>
      <c r="W117" s="437"/>
      <c r="X117" s="437"/>
      <c r="Y117" s="437"/>
      <c r="Z117" s="437"/>
      <c r="AA117" s="3"/>
      <c r="AB117" s="3"/>
      <c r="AC117"/>
    </row>
    <row r="118" spans="21:29" ht="15">
      <c r="U118" s="437"/>
      <c r="V118" s="437"/>
      <c r="W118" s="437"/>
      <c r="X118" s="437"/>
      <c r="Y118" s="437"/>
      <c r="Z118" s="437"/>
      <c r="AA118" s="3"/>
      <c r="AB118" s="3"/>
      <c r="AC118"/>
    </row>
    <row r="119" spans="21:29" ht="15">
      <c r="U119" s="437"/>
      <c r="V119" s="437"/>
      <c r="W119" s="437"/>
      <c r="X119" s="437"/>
      <c r="Y119" s="437"/>
      <c r="Z119" s="437"/>
      <c r="AA119" s="3"/>
      <c r="AB119" s="3"/>
      <c r="AC119"/>
    </row>
    <row r="120" spans="21:29" ht="15.75" thickBot="1">
      <c r="U120" s="3"/>
      <c r="V120" s="3"/>
      <c r="W120" s="3"/>
      <c r="X120" s="3"/>
      <c r="Y120" s="3"/>
      <c r="Z120" s="3"/>
      <c r="AA120" s="3"/>
      <c r="AB120" s="3"/>
      <c r="AC120"/>
    </row>
    <row r="121" spans="21:29" ht="15">
      <c r="U121" s="779"/>
      <c r="V121" s="779"/>
      <c r="W121" s="779"/>
      <c r="X121" s="779"/>
      <c r="Y121" s="779"/>
      <c r="Z121" s="779"/>
      <c r="AA121" s="779"/>
      <c r="AB121" s="779"/>
      <c r="AC121" s="439" t="s">
        <v>679</v>
      </c>
    </row>
    <row r="122" spans="21:29" ht="15">
      <c r="U122" s="437"/>
      <c r="V122" s="437"/>
      <c r="W122" s="437"/>
      <c r="X122" s="437"/>
      <c r="Y122" s="437"/>
      <c r="Z122" s="437"/>
      <c r="AA122" s="437"/>
      <c r="AB122" s="437"/>
      <c r="AC122" s="437">
        <v>3.037129104498856</v>
      </c>
    </row>
    <row r="123" spans="21:29" ht="15.75" thickBot="1">
      <c r="U123" s="437"/>
      <c r="V123" s="437"/>
      <c r="W123" s="437"/>
      <c r="X123" s="437"/>
      <c r="Y123" s="437"/>
      <c r="Z123" s="437"/>
      <c r="AA123" s="437"/>
      <c r="AB123" s="437"/>
      <c r="AC123" s="438">
        <v>14.132179261512068</v>
      </c>
    </row>
    <row r="124" spans="21:29" ht="15">
      <c r="U124" s="3"/>
      <c r="V124" s="3"/>
      <c r="W124" s="3"/>
      <c r="X124" s="3"/>
      <c r="Y124" s="3"/>
      <c r="Z124" s="3"/>
      <c r="AA124" s="3"/>
      <c r="AB124" s="3"/>
      <c r="AC124"/>
    </row>
    <row r="125" spans="21:29" ht="15">
      <c r="U125"/>
      <c r="V125"/>
      <c r="W125"/>
      <c r="X125"/>
      <c r="Y125"/>
      <c r="Z125"/>
      <c r="AA125"/>
      <c r="AB125"/>
      <c r="AC125"/>
    </row>
    <row r="126" spans="21:29" ht="15">
      <c r="U126"/>
      <c r="V126"/>
      <c r="W126"/>
      <c r="X126"/>
      <c r="Y126"/>
      <c r="Z126"/>
      <c r="AA126"/>
      <c r="AB126"/>
      <c r="AC126"/>
    </row>
  </sheetData>
  <pageMargins left="1" right="1" top="1" bottom="1" header="0.5" footer="0.5"/>
  <pageSetup scale="72" orientation="portrait" blackAndWhite="1" horizontalDpi="300" verticalDpi="300" r:id="rId1"/>
  <headerFooter alignWithMargins="0"/>
  <colBreaks count="1" manualBreakCount="1">
    <brk id="10" max="1048575" man="1"/>
  </col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tabColor rgb="FF92D050"/>
    <pageSetUpPr fitToPage="1"/>
  </sheetPr>
  <dimension ref="A1:L33"/>
  <sheetViews>
    <sheetView workbookViewId="0">
      <selection activeCell="D30" sqref="D30"/>
    </sheetView>
  </sheetViews>
  <sheetFormatPr defaultColWidth="7.109375" defaultRowHeight="12.75"/>
  <cols>
    <col min="1" max="1" width="10.21875" style="253" bestFit="1" customWidth="1"/>
    <col min="2" max="2" width="13" style="253" customWidth="1"/>
    <col min="3" max="3" width="13.77734375" style="253" customWidth="1"/>
    <col min="4" max="4" width="12.88671875" style="253" bestFit="1" customWidth="1"/>
    <col min="5" max="5" width="7.109375" style="253" customWidth="1"/>
    <col min="6" max="6" width="8.21875" style="253" customWidth="1"/>
    <col min="7" max="7" width="8.5546875" style="253" customWidth="1"/>
    <col min="8" max="8" width="9.6640625" style="253" customWidth="1"/>
    <col min="9" max="16384" width="7.109375" style="253"/>
  </cols>
  <sheetData>
    <row r="1" spans="1:9">
      <c r="A1" s="196" t="str">
        <f>co_name</f>
        <v>DUKE ENERGY KENTUCKY, INC.</v>
      </c>
      <c r="B1" s="216"/>
      <c r="C1" s="216"/>
      <c r="D1" s="216"/>
      <c r="E1" s="216"/>
      <c r="F1" s="10" t="s">
        <v>1551</v>
      </c>
      <c r="G1" s="216"/>
      <c r="I1" s="216"/>
    </row>
    <row r="2" spans="1:9">
      <c r="A2" s="196" t="str">
        <f>coss_type</f>
        <v xml:space="preserve">GAS COST OF SERVICE STUDY </v>
      </c>
      <c r="B2" s="216"/>
      <c r="C2" s="216"/>
      <c r="D2" s="218"/>
      <c r="E2" s="216"/>
      <c r="F2" s="10" t="str">
        <f>'Alloc Factors Summary'!G2</f>
        <v>Witness Responsible:</v>
      </c>
      <c r="G2" s="216"/>
      <c r="I2" s="216"/>
    </row>
    <row r="3" spans="1:9">
      <c r="A3" s="196" t="str">
        <f>case_name</f>
        <v>CASE NO: 2018-00261</v>
      </c>
      <c r="B3" s="216"/>
      <c r="C3" s="216"/>
      <c r="D3" s="216"/>
      <c r="E3" s="216"/>
      <c r="F3" s="10" t="str">
        <f>'Alloc Factors Summary'!G3</f>
        <v>James E. Ziolkowski</v>
      </c>
      <c r="G3" s="216"/>
      <c r="I3" s="216"/>
    </row>
    <row r="4" spans="1:9">
      <c r="A4" s="10" t="str">
        <f>alloc_factors</f>
        <v>ALLOCATION FACTORS FOR COST OF SERVICE STUDY</v>
      </c>
      <c r="B4" s="216"/>
      <c r="C4" s="216"/>
      <c r="D4" s="216"/>
      <c r="E4" s="216"/>
      <c r="F4" s="10" t="s">
        <v>574</v>
      </c>
      <c r="G4" s="216"/>
      <c r="I4" s="216"/>
    </row>
    <row r="5" spans="1:9">
      <c r="A5" s="10" t="str">
        <f>time_period</f>
        <v>TWELVE MONTHS ENDING DECEMBER 31, 2017</v>
      </c>
      <c r="B5" s="216"/>
      <c r="C5" s="216"/>
      <c r="D5" s="216"/>
      <c r="E5" s="216"/>
      <c r="F5" s="1285">
        <f ca="1">TODAY()</f>
        <v>43347</v>
      </c>
      <c r="G5" s="216"/>
      <c r="H5" s="216"/>
      <c r="I5" s="216"/>
    </row>
    <row r="6" spans="1:9">
      <c r="A6" s="198" t="s">
        <v>836</v>
      </c>
    </row>
    <row r="10" spans="1:9">
      <c r="A10" s="322" t="s">
        <v>704</v>
      </c>
      <c r="B10" s="323" t="s">
        <v>705</v>
      </c>
      <c r="C10" s="324" t="s">
        <v>706</v>
      </c>
      <c r="D10" s="323" t="s">
        <v>707</v>
      </c>
    </row>
    <row r="11" spans="1:9">
      <c r="A11" s="1269" t="s">
        <v>708</v>
      </c>
      <c r="B11" s="1270">
        <f t="shared" ref="B11:B18" si="0">VLOOKUP(A11,Mains,2,FALSE)</f>
        <v>21065</v>
      </c>
      <c r="C11" s="1271">
        <f t="shared" ref="C11:C18" si="1">VLOOKUP(A11,Mains,3,FALSE)</f>
        <v>194597.13999999998</v>
      </c>
      <c r="D11" s="1272">
        <f>ROUND(C11/B11,2)</f>
        <v>9.24</v>
      </c>
    </row>
    <row r="12" spans="1:9">
      <c r="A12" s="1269" t="s">
        <v>709</v>
      </c>
      <c r="B12" s="1270">
        <f t="shared" si="0"/>
        <v>338615</v>
      </c>
      <c r="C12" s="1270">
        <f t="shared" si="1"/>
        <v>1129886.99</v>
      </c>
      <c r="D12" s="1272">
        <f t="shared" ref="D12:D18" si="2">ROUND(C12/B12,2)</f>
        <v>3.34</v>
      </c>
    </row>
    <row r="13" spans="1:9">
      <c r="A13" s="1269" t="s">
        <v>710</v>
      </c>
      <c r="B13" s="1270">
        <f t="shared" si="0"/>
        <v>6736</v>
      </c>
      <c r="C13" s="1270">
        <f t="shared" si="1"/>
        <v>1249028.7800000003</v>
      </c>
      <c r="D13" s="1272">
        <f t="shared" si="2"/>
        <v>185.43</v>
      </c>
    </row>
    <row r="14" spans="1:9">
      <c r="A14" s="1269" t="s">
        <v>711</v>
      </c>
      <c r="B14" s="1270">
        <f t="shared" si="0"/>
        <v>1721095</v>
      </c>
      <c r="C14" s="1270">
        <f t="shared" si="1"/>
        <v>19306140.32</v>
      </c>
      <c r="D14" s="1272">
        <f t="shared" si="2"/>
        <v>11.22</v>
      </c>
    </row>
    <row r="15" spans="1:9">
      <c r="A15" s="1269" t="s">
        <v>712</v>
      </c>
      <c r="B15" s="1270">
        <f t="shared" si="0"/>
        <v>61031</v>
      </c>
      <c r="C15" s="1270">
        <f t="shared" si="1"/>
        <v>432010.35999999993</v>
      </c>
      <c r="D15" s="1272">
        <f t="shared" si="2"/>
        <v>7.08</v>
      </c>
    </row>
    <row r="16" spans="1:9">
      <c r="A16" s="1269" t="s">
        <v>713</v>
      </c>
      <c r="B16" s="1270">
        <f t="shared" si="0"/>
        <v>1377789</v>
      </c>
      <c r="C16" s="1270">
        <f t="shared" si="1"/>
        <v>36200977.350000009</v>
      </c>
      <c r="D16" s="1272">
        <f t="shared" si="2"/>
        <v>26.27</v>
      </c>
    </row>
    <row r="17" spans="1:12">
      <c r="A17" s="1269" t="s">
        <v>714</v>
      </c>
      <c r="B17" s="1270">
        <f t="shared" si="0"/>
        <v>495076</v>
      </c>
      <c r="C17" s="1270">
        <f t="shared" si="1"/>
        <v>18212022.940000001</v>
      </c>
      <c r="D17" s="1272">
        <f t="shared" si="2"/>
        <v>36.79</v>
      </c>
    </row>
    <row r="18" spans="1:12">
      <c r="A18" s="1269" t="s">
        <v>715</v>
      </c>
      <c r="B18" s="1270">
        <f t="shared" si="0"/>
        <v>163414</v>
      </c>
      <c r="C18" s="1270">
        <f t="shared" si="1"/>
        <v>12029479.030000001</v>
      </c>
      <c r="D18" s="1272">
        <f t="shared" si="2"/>
        <v>73.61</v>
      </c>
    </row>
    <row r="19" spans="1:12">
      <c r="A19" s="322" t="s">
        <v>716</v>
      </c>
      <c r="B19" s="325">
        <f>SUM(B11:B18)</f>
        <v>4184821</v>
      </c>
      <c r="C19" s="326">
        <f>SUM(C11:C18)</f>
        <v>88754142.910000011</v>
      </c>
      <c r="D19" s="327"/>
    </row>
    <row r="22" spans="1:12">
      <c r="A22" s="253" t="s">
        <v>717</v>
      </c>
      <c r="D22" s="1216">
        <f>MIN(D11:D18)</f>
        <v>3.34</v>
      </c>
      <c r="I22" s="780" t="s">
        <v>1054</v>
      </c>
      <c r="J22" s="780"/>
      <c r="K22" s="780"/>
      <c r="L22" s="780"/>
    </row>
    <row r="24" spans="1:12">
      <c r="A24" s="253" t="s">
        <v>718</v>
      </c>
      <c r="C24" s="135" t="s">
        <v>719</v>
      </c>
      <c r="D24" s="259">
        <f>B19</f>
        <v>4184821</v>
      </c>
    </row>
    <row r="26" spans="1:12">
      <c r="A26" s="253" t="s">
        <v>720</v>
      </c>
      <c r="D26" s="260">
        <f>ROUND(D22*D24,0)</f>
        <v>13977302</v>
      </c>
    </row>
    <row r="28" spans="1:12">
      <c r="A28" s="253" t="s">
        <v>721</v>
      </c>
      <c r="C28" s="135" t="s">
        <v>722</v>
      </c>
      <c r="D28" s="261">
        <f>C19</f>
        <v>88754142.910000011</v>
      </c>
    </row>
    <row r="30" spans="1:12" ht="13.5" thickBot="1">
      <c r="A30" s="253" t="s">
        <v>723</v>
      </c>
      <c r="D30" s="136">
        <f>ROUND(D26/D28,4)</f>
        <v>0.1575</v>
      </c>
    </row>
    <row r="31" spans="1:12" ht="13.5" thickTop="1"/>
    <row r="33" spans="1:1">
      <c r="A33" s="253" t="s">
        <v>967</v>
      </c>
    </row>
  </sheetData>
  <pageMargins left="0.75" right="0.75" top="1" bottom="1" header="0.5" footer="0.5"/>
  <pageSetup orientation="portrait" blackAndWhite="1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tabColor rgb="FF92D050"/>
    <pageSetUpPr fitToPage="1"/>
  </sheetPr>
  <dimension ref="A1:I876"/>
  <sheetViews>
    <sheetView workbookViewId="0">
      <selection sqref="A1:G29"/>
    </sheetView>
  </sheetViews>
  <sheetFormatPr defaultColWidth="7.109375" defaultRowHeight="12.75"/>
  <cols>
    <col min="1" max="1" width="6.77734375" style="253" customWidth="1"/>
    <col min="2" max="2" width="18" style="253" customWidth="1"/>
    <col min="3" max="3" width="17.44140625" style="253" customWidth="1"/>
    <col min="4" max="4" width="9.6640625" style="253" customWidth="1"/>
    <col min="5" max="5" width="16.88671875" style="253" customWidth="1"/>
    <col min="6" max="6" width="17.88671875" style="253" customWidth="1"/>
    <col min="7" max="7" width="22.33203125" style="253" customWidth="1"/>
    <col min="8" max="8" width="15.109375" style="253" customWidth="1"/>
    <col min="9" max="9" width="11.77734375" style="253" bestFit="1" customWidth="1"/>
    <col min="10" max="16384" width="7.109375" style="253"/>
  </cols>
  <sheetData>
    <row r="1" spans="1:9">
      <c r="A1" s="196" t="str">
        <f>co_name</f>
        <v>DUKE ENERGY KENTUCKY, INC.</v>
      </c>
      <c r="B1" s="216"/>
      <c r="F1" s="216"/>
      <c r="G1" s="10" t="s">
        <v>1551</v>
      </c>
      <c r="I1" s="216"/>
    </row>
    <row r="2" spans="1:9">
      <c r="A2" s="196" t="str">
        <f>coss_type</f>
        <v xml:space="preserve">GAS COST OF SERVICE STUDY </v>
      </c>
      <c r="B2" s="216"/>
      <c r="F2" s="216"/>
      <c r="G2" s="10" t="str">
        <f>'Alloc Factors Summary'!G2</f>
        <v>Witness Responsible:</v>
      </c>
      <c r="I2" s="216"/>
    </row>
    <row r="3" spans="1:9">
      <c r="A3" s="196" t="str">
        <f>case_name</f>
        <v>CASE NO: 2018-00261</v>
      </c>
      <c r="B3" s="216"/>
      <c r="F3" s="216"/>
      <c r="G3" s="10" t="str">
        <f>'Alloc Factors Summary'!G3</f>
        <v>James E. Ziolkowski</v>
      </c>
      <c r="I3" s="216"/>
    </row>
    <row r="4" spans="1:9">
      <c r="A4" s="10" t="str">
        <f>alloc_factors</f>
        <v>ALLOCATION FACTORS FOR COST OF SERVICE STUDY</v>
      </c>
      <c r="B4" s="216"/>
      <c r="F4" s="216"/>
      <c r="G4" s="10" t="s">
        <v>587</v>
      </c>
      <c r="H4" s="137"/>
      <c r="I4" s="216"/>
    </row>
    <row r="5" spans="1:9">
      <c r="A5" s="10" t="str">
        <f>time_period</f>
        <v>TWELVE MONTHS ENDING DECEMBER 31, 2017</v>
      </c>
      <c r="B5" s="216"/>
      <c r="C5" s="216"/>
      <c r="D5" s="216"/>
      <c r="F5" s="216"/>
      <c r="G5" s="1285">
        <f ca="1">TODAY()</f>
        <v>43347</v>
      </c>
      <c r="H5" s="216"/>
      <c r="I5" s="216"/>
    </row>
    <row r="6" spans="1:9">
      <c r="A6" s="198" t="s">
        <v>838</v>
      </c>
    </row>
    <row r="7" spans="1:9">
      <c r="A7" s="254"/>
      <c r="B7" s="254"/>
      <c r="C7" s="254"/>
      <c r="D7" s="254"/>
      <c r="E7" s="254"/>
      <c r="F7" s="254"/>
    </row>
    <row r="8" spans="1:9">
      <c r="A8" s="216"/>
      <c r="B8" s="216"/>
      <c r="C8" s="216"/>
      <c r="D8" s="216"/>
    </row>
    <row r="9" spans="1:9" ht="15">
      <c r="A9" s="216"/>
      <c r="B9" s="216"/>
      <c r="C9" s="216"/>
      <c r="D9" s="216"/>
      <c r="F9" s="215"/>
      <c r="G9" s="215"/>
      <c r="H9" s="215"/>
    </row>
    <row r="10" spans="1:9" ht="15">
      <c r="A10" s="264" t="s">
        <v>704</v>
      </c>
      <c r="B10" s="264" t="s">
        <v>808</v>
      </c>
      <c r="C10" s="264" t="s">
        <v>902</v>
      </c>
      <c r="D10" s="47"/>
      <c r="E10" s="215" t="s">
        <v>1418</v>
      </c>
      <c r="F10" s="215" t="s">
        <v>1419</v>
      </c>
      <c r="G10" s="215" t="s">
        <v>1420</v>
      </c>
      <c r="H10" s="215"/>
    </row>
    <row r="11" spans="1:9" ht="15">
      <c r="A11" s="263" t="s">
        <v>708</v>
      </c>
      <c r="B11" s="1217">
        <v>21065</v>
      </c>
      <c r="C11" s="1218">
        <v>194597.13999999998</v>
      </c>
      <c r="D11" s="1219"/>
      <c r="E11" s="1390" t="s">
        <v>1421</v>
      </c>
      <c r="F11" s="1353">
        <v>21065</v>
      </c>
      <c r="G11" s="1354">
        <v>194597.13999999998</v>
      </c>
      <c r="H11" s="215"/>
    </row>
    <row r="12" spans="1:9" ht="15">
      <c r="A12" s="263" t="s">
        <v>709</v>
      </c>
      <c r="B12" s="1217">
        <v>338615</v>
      </c>
      <c r="C12" s="1218">
        <v>1129886.99</v>
      </c>
      <c r="D12" s="1219"/>
      <c r="E12" s="1390" t="s">
        <v>1422</v>
      </c>
      <c r="F12" s="1353">
        <v>315975</v>
      </c>
      <c r="G12" s="1354">
        <v>955437.14999999991</v>
      </c>
      <c r="H12" s="215"/>
    </row>
    <row r="13" spans="1:9" ht="15">
      <c r="A13" s="263" t="s">
        <v>710</v>
      </c>
      <c r="B13" s="1217">
        <v>6736</v>
      </c>
      <c r="C13" s="1218">
        <v>1249028.7800000003</v>
      </c>
      <c r="D13" s="1219"/>
      <c r="E13" s="1390" t="s">
        <v>1423</v>
      </c>
      <c r="F13" s="1353">
        <v>578</v>
      </c>
      <c r="G13" s="1354">
        <v>102143.86</v>
      </c>
      <c r="H13" s="215"/>
    </row>
    <row r="14" spans="1:9" ht="15">
      <c r="A14" s="263" t="s">
        <v>711</v>
      </c>
      <c r="B14" s="1217">
        <v>1721095</v>
      </c>
      <c r="C14" s="1218">
        <v>19306140.32</v>
      </c>
      <c r="D14" s="1219"/>
      <c r="E14" s="1390" t="s">
        <v>1424</v>
      </c>
      <c r="F14" s="1353">
        <v>1560571</v>
      </c>
      <c r="G14" s="1354">
        <v>12878821.4</v>
      </c>
      <c r="H14" s="215"/>
    </row>
    <row r="15" spans="1:9" ht="15">
      <c r="A15" s="263" t="s">
        <v>712</v>
      </c>
      <c r="B15" s="1217">
        <v>61031</v>
      </c>
      <c r="C15" s="1218">
        <v>432010.35999999993</v>
      </c>
      <c r="D15" s="1219"/>
      <c r="E15" s="1390" t="s">
        <v>1425</v>
      </c>
      <c r="F15" s="1353">
        <v>60919</v>
      </c>
      <c r="G15" s="1354">
        <v>423380.48999999993</v>
      </c>
      <c r="H15" s="215"/>
    </row>
    <row r="16" spans="1:9" ht="15">
      <c r="A16" s="263" t="s">
        <v>659</v>
      </c>
      <c r="B16" s="1217">
        <v>135</v>
      </c>
      <c r="C16" s="1218">
        <v>15.13</v>
      </c>
      <c r="D16" s="1219"/>
      <c r="E16" s="1390" t="s">
        <v>1426</v>
      </c>
      <c r="F16" s="1353">
        <v>135</v>
      </c>
      <c r="G16" s="1354">
        <v>15.13</v>
      </c>
      <c r="H16" s="215"/>
    </row>
    <row r="17" spans="1:9" ht="15">
      <c r="A17" s="263" t="s">
        <v>713</v>
      </c>
      <c r="B17" s="1217">
        <v>1377789</v>
      </c>
      <c r="C17" s="1218">
        <v>36200977.350000009</v>
      </c>
      <c r="D17" s="1219"/>
      <c r="E17" s="1390" t="s">
        <v>1427</v>
      </c>
      <c r="F17" s="1353">
        <v>1163597</v>
      </c>
      <c r="G17" s="1354">
        <v>21858791.260000009</v>
      </c>
      <c r="H17" s="215"/>
    </row>
    <row r="18" spans="1:9" ht="15">
      <c r="A18" s="263" t="s">
        <v>714</v>
      </c>
      <c r="B18" s="1217">
        <v>495076</v>
      </c>
      <c r="C18" s="1218">
        <v>18212022.940000001</v>
      </c>
      <c r="D18" s="1219"/>
      <c r="E18" s="1390" t="s">
        <v>1428</v>
      </c>
      <c r="F18" s="1353">
        <v>417216</v>
      </c>
      <c r="G18" s="1354">
        <v>10451069.110000001</v>
      </c>
      <c r="H18" s="215"/>
    </row>
    <row r="19" spans="1:9" ht="15">
      <c r="A19" s="263" t="s">
        <v>715</v>
      </c>
      <c r="B19" s="1217">
        <v>163414</v>
      </c>
      <c r="C19" s="1218">
        <v>12029479.030000001</v>
      </c>
      <c r="D19" s="1219"/>
      <c r="E19" s="1390" t="s">
        <v>1429</v>
      </c>
      <c r="F19" s="1353">
        <v>111121</v>
      </c>
      <c r="G19" s="1354">
        <v>6113498.330000001</v>
      </c>
      <c r="H19" s="215"/>
    </row>
    <row r="20" spans="1:9" ht="15">
      <c r="A20" s="262" t="s">
        <v>567</v>
      </c>
      <c r="B20" s="773">
        <f>SUM(B11:B19)</f>
        <v>4184956</v>
      </c>
      <c r="C20" s="774">
        <f>SUM(C11:C19)</f>
        <v>88754158.040000007</v>
      </c>
      <c r="D20" s="1220"/>
      <c r="E20" s="1390" t="s">
        <v>1430</v>
      </c>
      <c r="F20" s="1353">
        <v>22640</v>
      </c>
      <c r="G20" s="1354">
        <v>174449.84000000005</v>
      </c>
      <c r="H20" s="215"/>
    </row>
    <row r="21" spans="1:9" ht="15">
      <c r="A21" s="216"/>
      <c r="B21" s="216"/>
      <c r="C21" s="216"/>
      <c r="D21" s="216"/>
      <c r="E21" s="1390" t="s">
        <v>1431</v>
      </c>
      <c r="F21" s="1353">
        <v>6158</v>
      </c>
      <c r="G21" s="1354">
        <v>1146884.9200000002</v>
      </c>
      <c r="H21" s="215"/>
    </row>
    <row r="22" spans="1:9" ht="15">
      <c r="A22" s="216"/>
      <c r="B22" s="216"/>
      <c r="C22" s="216"/>
      <c r="D22" s="216"/>
      <c r="E22" s="1390" t="s">
        <v>1432</v>
      </c>
      <c r="F22" s="1353">
        <v>160524</v>
      </c>
      <c r="G22" s="1354">
        <v>6427318.9199999999</v>
      </c>
      <c r="H22" s="215"/>
    </row>
    <row r="23" spans="1:9" ht="15">
      <c r="A23" s="216"/>
      <c r="B23" s="216"/>
      <c r="C23" s="216"/>
      <c r="D23" s="216"/>
      <c r="E23" s="1390" t="s">
        <v>1433</v>
      </c>
      <c r="F23" s="1353">
        <v>112</v>
      </c>
      <c r="G23" s="1354">
        <v>8629.869999999999</v>
      </c>
      <c r="H23" s="215"/>
    </row>
    <row r="24" spans="1:9" ht="15">
      <c r="A24" s="216"/>
      <c r="B24" s="216"/>
      <c r="C24" s="216"/>
      <c r="D24" s="216"/>
      <c r="E24" s="1390" t="s">
        <v>1434</v>
      </c>
      <c r="F24" s="1353">
        <v>214192</v>
      </c>
      <c r="G24" s="1354">
        <v>14342186.089999998</v>
      </c>
      <c r="H24" s="215"/>
    </row>
    <row r="25" spans="1:9" ht="15">
      <c r="A25" s="255"/>
      <c r="E25" s="1390" t="s">
        <v>1435</v>
      </c>
      <c r="F25" s="1353">
        <v>77860</v>
      </c>
      <c r="G25" s="1354">
        <v>7760953.8300000001</v>
      </c>
      <c r="H25" s="215"/>
    </row>
    <row r="26" spans="1:9" ht="15">
      <c r="A26" s="255"/>
      <c r="E26" s="1390" t="s">
        <v>1436</v>
      </c>
      <c r="F26" s="1353">
        <v>52293</v>
      </c>
      <c r="G26" s="1354">
        <v>5915980.6999999993</v>
      </c>
      <c r="H26" s="771"/>
      <c r="I26" s="772"/>
    </row>
    <row r="27" spans="1:9" ht="15">
      <c r="A27" s="255"/>
      <c r="E27" s="1390" t="s">
        <v>716</v>
      </c>
      <c r="F27" s="1353">
        <v>4184956</v>
      </c>
      <c r="G27" s="1354">
        <v>88754158.040000007</v>
      </c>
      <c r="H27" s="771"/>
      <c r="I27" s="772"/>
    </row>
    <row r="28" spans="1:9">
      <c r="A28" s="255"/>
    </row>
    <row r="29" spans="1:9">
      <c r="A29" s="255"/>
    </row>
    <row r="30" spans="1:9">
      <c r="A30" s="255"/>
    </row>
    <row r="31" spans="1:9">
      <c r="A31" s="255"/>
    </row>
    <row r="32" spans="1:9">
      <c r="A32" s="255"/>
    </row>
    <row r="33" spans="1:1">
      <c r="A33" s="255"/>
    </row>
    <row r="34" spans="1:1">
      <c r="A34" s="255"/>
    </row>
    <row r="35" spans="1:1">
      <c r="A35" s="255"/>
    </row>
    <row r="36" spans="1:1">
      <c r="A36" s="255"/>
    </row>
    <row r="37" spans="1:1">
      <c r="A37" s="255"/>
    </row>
    <row r="38" spans="1:1">
      <c r="A38" s="255"/>
    </row>
    <row r="39" spans="1:1">
      <c r="A39" s="255"/>
    </row>
    <row r="40" spans="1:1">
      <c r="A40" s="255"/>
    </row>
    <row r="41" spans="1:1">
      <c r="A41" s="255"/>
    </row>
    <row r="42" spans="1:1">
      <c r="A42" s="255"/>
    </row>
    <row r="43" spans="1:1">
      <c r="A43" s="255"/>
    </row>
    <row r="44" spans="1:1">
      <c r="A44" s="255"/>
    </row>
    <row r="45" spans="1:1">
      <c r="A45" s="255"/>
    </row>
    <row r="46" spans="1:1">
      <c r="A46" s="255"/>
    </row>
    <row r="47" spans="1:1">
      <c r="A47" s="255"/>
    </row>
    <row r="48" spans="1:1">
      <c r="A48" s="255"/>
    </row>
    <row r="49" spans="1:1">
      <c r="A49" s="255"/>
    </row>
    <row r="50" spans="1:1">
      <c r="A50" s="255"/>
    </row>
    <row r="51" spans="1:1">
      <c r="A51" s="255"/>
    </row>
    <row r="52" spans="1:1">
      <c r="A52" s="255"/>
    </row>
    <row r="53" spans="1:1">
      <c r="A53" s="255"/>
    </row>
    <row r="54" spans="1:1">
      <c r="A54" s="255"/>
    </row>
    <row r="55" spans="1:1">
      <c r="A55" s="255"/>
    </row>
    <row r="56" spans="1:1">
      <c r="A56" s="255"/>
    </row>
    <row r="57" spans="1:1">
      <c r="A57" s="255"/>
    </row>
    <row r="58" spans="1:1">
      <c r="A58" s="255"/>
    </row>
    <row r="59" spans="1:1">
      <c r="A59" s="255"/>
    </row>
    <row r="60" spans="1:1">
      <c r="A60" s="255"/>
    </row>
    <row r="61" spans="1:1">
      <c r="A61" s="255"/>
    </row>
    <row r="62" spans="1:1">
      <c r="A62" s="255"/>
    </row>
    <row r="63" spans="1:1">
      <c r="A63" s="255"/>
    </row>
    <row r="64" spans="1:1">
      <c r="A64" s="255"/>
    </row>
    <row r="65" spans="1:8">
      <c r="A65" s="255"/>
    </row>
    <row r="66" spans="1:8">
      <c r="A66" s="255"/>
    </row>
    <row r="67" spans="1:8">
      <c r="A67" s="255"/>
    </row>
    <row r="68" spans="1:8">
      <c r="A68" s="255"/>
    </row>
    <row r="69" spans="1:8">
      <c r="A69" s="256"/>
      <c r="B69" s="216"/>
      <c r="C69" s="216"/>
      <c r="D69" s="216"/>
      <c r="E69" s="10"/>
      <c r="F69" s="216"/>
      <c r="G69" s="216"/>
    </row>
    <row r="70" spans="1:8">
      <c r="A70" s="139"/>
      <c r="B70" s="216"/>
      <c r="C70" s="218"/>
      <c r="D70" s="218"/>
      <c r="E70" s="15"/>
      <c r="F70" s="216"/>
      <c r="G70" s="216"/>
    </row>
    <row r="71" spans="1:8">
      <c r="A71" s="257"/>
      <c r="B71" s="216"/>
      <c r="C71" s="216"/>
      <c r="D71" s="216"/>
      <c r="E71" s="10"/>
      <c r="F71" s="216"/>
      <c r="G71" s="216"/>
    </row>
    <row r="72" spans="1:8">
      <c r="A72" s="258"/>
      <c r="B72" s="216"/>
      <c r="C72" s="216"/>
      <c r="D72" s="216"/>
      <c r="E72" s="216"/>
      <c r="F72" s="216"/>
      <c r="G72" s="216"/>
      <c r="H72" s="137"/>
    </row>
    <row r="73" spans="1:8">
      <c r="A73" s="258"/>
      <c r="B73" s="216"/>
      <c r="C73" s="216"/>
      <c r="D73" s="216"/>
      <c r="E73" s="216"/>
      <c r="F73" s="216"/>
      <c r="G73" s="216"/>
      <c r="H73" s="216"/>
    </row>
    <row r="74" spans="1:8">
      <c r="A74" s="254"/>
      <c r="B74" s="254"/>
      <c r="C74" s="254"/>
      <c r="D74" s="254"/>
      <c r="E74" s="254"/>
      <c r="F74" s="254"/>
    </row>
    <row r="75" spans="1:8">
      <c r="A75" s="255"/>
    </row>
    <row r="76" spans="1:8">
      <c r="A76" s="255"/>
    </row>
    <row r="77" spans="1:8">
      <c r="A77" s="255"/>
    </row>
    <row r="78" spans="1:8">
      <c r="A78" s="255"/>
    </row>
    <row r="79" spans="1:8">
      <c r="A79" s="255"/>
    </row>
    <row r="80" spans="1:8">
      <c r="A80" s="255"/>
    </row>
    <row r="81" spans="1:1">
      <c r="A81" s="255"/>
    </row>
    <row r="82" spans="1:1">
      <c r="A82" s="255"/>
    </row>
    <row r="83" spans="1:1">
      <c r="A83" s="255"/>
    </row>
    <row r="84" spans="1:1">
      <c r="A84" s="255"/>
    </row>
    <row r="85" spans="1:1">
      <c r="A85" s="255"/>
    </row>
    <row r="86" spans="1:1">
      <c r="A86" s="255"/>
    </row>
    <row r="87" spans="1:1">
      <c r="A87" s="255"/>
    </row>
    <row r="88" spans="1:1">
      <c r="A88" s="255"/>
    </row>
    <row r="89" spans="1:1">
      <c r="A89" s="255"/>
    </row>
    <row r="90" spans="1:1">
      <c r="A90" s="255"/>
    </row>
    <row r="91" spans="1:1">
      <c r="A91" s="255"/>
    </row>
    <row r="92" spans="1:1">
      <c r="A92" s="255"/>
    </row>
    <row r="93" spans="1:1">
      <c r="A93" s="255"/>
    </row>
    <row r="94" spans="1:1">
      <c r="A94" s="255"/>
    </row>
    <row r="95" spans="1:1">
      <c r="A95" s="255"/>
    </row>
    <row r="96" spans="1:1">
      <c r="A96" s="255"/>
    </row>
    <row r="97" spans="1:1">
      <c r="A97" s="255"/>
    </row>
    <row r="98" spans="1:1">
      <c r="A98" s="255"/>
    </row>
    <row r="99" spans="1:1">
      <c r="A99" s="255"/>
    </row>
    <row r="100" spans="1:1">
      <c r="A100" s="255"/>
    </row>
    <row r="101" spans="1:1">
      <c r="A101" s="255"/>
    </row>
    <row r="102" spans="1:1">
      <c r="A102" s="255"/>
    </row>
    <row r="103" spans="1:1">
      <c r="A103" s="255"/>
    </row>
    <row r="104" spans="1:1">
      <c r="A104" s="255"/>
    </row>
    <row r="105" spans="1:1">
      <c r="A105" s="255"/>
    </row>
    <row r="106" spans="1:1">
      <c r="A106" s="255"/>
    </row>
    <row r="107" spans="1:1">
      <c r="A107" s="255"/>
    </row>
    <row r="108" spans="1:1">
      <c r="A108" s="255"/>
    </row>
    <row r="109" spans="1:1">
      <c r="A109" s="255"/>
    </row>
    <row r="110" spans="1:1">
      <c r="A110" s="255"/>
    </row>
    <row r="111" spans="1:1">
      <c r="A111" s="255"/>
    </row>
    <row r="112" spans="1:1">
      <c r="A112" s="255"/>
    </row>
    <row r="113" spans="1:1">
      <c r="A113" s="255"/>
    </row>
    <row r="114" spans="1:1">
      <c r="A114" s="255"/>
    </row>
    <row r="115" spans="1:1">
      <c r="A115" s="255"/>
    </row>
    <row r="116" spans="1:1">
      <c r="A116" s="255"/>
    </row>
    <row r="117" spans="1:1">
      <c r="A117" s="255"/>
    </row>
    <row r="118" spans="1:1">
      <c r="A118" s="255"/>
    </row>
    <row r="119" spans="1:1">
      <c r="A119" s="255"/>
    </row>
    <row r="120" spans="1:1">
      <c r="A120" s="255"/>
    </row>
    <row r="121" spans="1:1">
      <c r="A121" s="255"/>
    </row>
    <row r="122" spans="1:1">
      <c r="A122" s="255"/>
    </row>
    <row r="123" spans="1:1">
      <c r="A123" s="255"/>
    </row>
    <row r="124" spans="1:1">
      <c r="A124" s="255"/>
    </row>
    <row r="125" spans="1:1">
      <c r="A125" s="255"/>
    </row>
    <row r="126" spans="1:1">
      <c r="A126" s="255"/>
    </row>
    <row r="127" spans="1:1">
      <c r="A127" s="255"/>
    </row>
    <row r="128" spans="1:1">
      <c r="A128" s="255"/>
    </row>
    <row r="129" spans="1:1">
      <c r="A129" s="255"/>
    </row>
    <row r="130" spans="1:1">
      <c r="A130" s="255"/>
    </row>
    <row r="131" spans="1:1">
      <c r="A131" s="255"/>
    </row>
    <row r="132" spans="1:1">
      <c r="A132" s="255"/>
    </row>
    <row r="133" spans="1:1">
      <c r="A133" s="255"/>
    </row>
    <row r="134" spans="1:1">
      <c r="A134" s="255"/>
    </row>
    <row r="135" spans="1:1">
      <c r="A135" s="255"/>
    </row>
    <row r="136" spans="1:1">
      <c r="A136" s="255"/>
    </row>
    <row r="137" spans="1:1">
      <c r="A137" s="255"/>
    </row>
    <row r="138" spans="1:1">
      <c r="A138" s="255"/>
    </row>
    <row r="139" spans="1:1">
      <c r="A139" s="255"/>
    </row>
    <row r="140" spans="1:1">
      <c r="A140" s="255"/>
    </row>
    <row r="141" spans="1:1">
      <c r="A141" s="255"/>
    </row>
    <row r="142" spans="1:1">
      <c r="A142" s="255"/>
    </row>
    <row r="143" spans="1:1">
      <c r="A143" s="255"/>
    </row>
    <row r="144" spans="1:1">
      <c r="A144" s="255"/>
    </row>
    <row r="145" spans="1:8">
      <c r="A145" s="255"/>
    </row>
    <row r="146" spans="1:8">
      <c r="A146" s="255"/>
    </row>
    <row r="147" spans="1:8">
      <c r="A147" s="255"/>
    </row>
    <row r="148" spans="1:8">
      <c r="A148" s="255"/>
    </row>
    <row r="149" spans="1:8">
      <c r="A149" s="256"/>
      <c r="B149" s="216"/>
      <c r="C149" s="216"/>
      <c r="D149" s="216"/>
      <c r="E149" s="10"/>
      <c r="F149" s="216"/>
      <c r="G149" s="216"/>
    </row>
    <row r="150" spans="1:8">
      <c r="A150" s="139"/>
      <c r="B150" s="216"/>
      <c r="C150" s="218"/>
      <c r="D150" s="218"/>
      <c r="E150" s="15"/>
      <c r="F150" s="216"/>
      <c r="G150" s="216"/>
    </row>
    <row r="151" spans="1:8">
      <c r="A151" s="257"/>
      <c r="B151" s="216"/>
      <c r="C151" s="216"/>
      <c r="D151" s="216"/>
      <c r="E151" s="10"/>
      <c r="F151" s="216"/>
      <c r="G151" s="216"/>
    </row>
    <row r="152" spans="1:8">
      <c r="A152" s="258"/>
      <c r="B152" s="216"/>
      <c r="C152" s="216"/>
      <c r="D152" s="216"/>
      <c r="E152" s="216"/>
      <c r="F152" s="216"/>
      <c r="G152" s="216"/>
      <c r="H152" s="137"/>
    </row>
    <row r="153" spans="1:8">
      <c r="A153" s="258"/>
      <c r="B153" s="216"/>
      <c r="C153" s="216"/>
      <c r="D153" s="216"/>
      <c r="E153" s="216"/>
      <c r="F153" s="216"/>
      <c r="G153" s="216"/>
      <c r="H153" s="216"/>
    </row>
    <row r="154" spans="1:8">
      <c r="A154" s="254"/>
      <c r="B154" s="254"/>
      <c r="C154" s="254"/>
      <c r="D154" s="254"/>
      <c r="E154" s="254"/>
      <c r="F154" s="254"/>
    </row>
    <row r="155" spans="1:8">
      <c r="A155" s="255"/>
    </row>
    <row r="156" spans="1:8">
      <c r="A156" s="255"/>
    </row>
    <row r="157" spans="1:8">
      <c r="A157" s="255"/>
    </row>
    <row r="158" spans="1:8">
      <c r="A158" s="255"/>
    </row>
    <row r="159" spans="1:8">
      <c r="A159" s="255"/>
    </row>
    <row r="160" spans="1:8">
      <c r="A160" s="255"/>
    </row>
    <row r="161" spans="1:1">
      <c r="A161" s="255"/>
    </row>
    <row r="162" spans="1:1">
      <c r="A162" s="255"/>
    </row>
    <row r="163" spans="1:1">
      <c r="A163" s="255"/>
    </row>
    <row r="164" spans="1:1">
      <c r="A164" s="255"/>
    </row>
    <row r="165" spans="1:1">
      <c r="A165" s="255"/>
    </row>
    <row r="166" spans="1:1">
      <c r="A166" s="255"/>
    </row>
    <row r="167" spans="1:1">
      <c r="A167" s="255"/>
    </row>
    <row r="168" spans="1:1">
      <c r="A168" s="255"/>
    </row>
    <row r="169" spans="1:1">
      <c r="A169" s="255"/>
    </row>
    <row r="170" spans="1:1">
      <c r="A170" s="255"/>
    </row>
    <row r="171" spans="1:1">
      <c r="A171" s="255"/>
    </row>
    <row r="172" spans="1:1">
      <c r="A172" s="255"/>
    </row>
    <row r="173" spans="1:1">
      <c r="A173" s="255"/>
    </row>
    <row r="174" spans="1:1">
      <c r="A174" s="255"/>
    </row>
    <row r="175" spans="1:1">
      <c r="A175" s="255"/>
    </row>
    <row r="176" spans="1:1">
      <c r="A176" s="255"/>
    </row>
    <row r="177" spans="1:1">
      <c r="A177" s="255"/>
    </row>
    <row r="178" spans="1:1">
      <c r="A178" s="255"/>
    </row>
    <row r="179" spans="1:1">
      <c r="A179" s="255"/>
    </row>
    <row r="180" spans="1:1">
      <c r="A180" s="255"/>
    </row>
    <row r="181" spans="1:1">
      <c r="A181" s="255"/>
    </row>
    <row r="182" spans="1:1">
      <c r="A182" s="255"/>
    </row>
    <row r="183" spans="1:1">
      <c r="A183" s="255"/>
    </row>
    <row r="184" spans="1:1">
      <c r="A184" s="255"/>
    </row>
    <row r="185" spans="1:1">
      <c r="A185" s="255"/>
    </row>
    <row r="186" spans="1:1">
      <c r="A186" s="255"/>
    </row>
    <row r="187" spans="1:1">
      <c r="A187" s="255"/>
    </row>
    <row r="188" spans="1:1">
      <c r="A188" s="255"/>
    </row>
    <row r="189" spans="1:1">
      <c r="A189" s="255"/>
    </row>
    <row r="190" spans="1:1">
      <c r="A190" s="255"/>
    </row>
    <row r="191" spans="1:1">
      <c r="A191" s="255"/>
    </row>
    <row r="192" spans="1:1">
      <c r="A192" s="255"/>
    </row>
    <row r="193" spans="1:1">
      <c r="A193" s="255"/>
    </row>
    <row r="194" spans="1:1">
      <c r="A194" s="255"/>
    </row>
    <row r="195" spans="1:1">
      <c r="A195" s="255"/>
    </row>
    <row r="196" spans="1:1">
      <c r="A196" s="255"/>
    </row>
    <row r="197" spans="1:1">
      <c r="A197" s="255"/>
    </row>
    <row r="198" spans="1:1">
      <c r="A198" s="255"/>
    </row>
    <row r="199" spans="1:1">
      <c r="A199" s="255"/>
    </row>
    <row r="200" spans="1:1">
      <c r="A200" s="255"/>
    </row>
    <row r="201" spans="1:1">
      <c r="A201" s="255"/>
    </row>
    <row r="202" spans="1:1">
      <c r="A202" s="255"/>
    </row>
    <row r="203" spans="1:1">
      <c r="A203" s="255"/>
    </row>
    <row r="204" spans="1:1">
      <c r="A204" s="255"/>
    </row>
    <row r="205" spans="1:1">
      <c r="A205" s="255"/>
    </row>
    <row r="206" spans="1:1">
      <c r="A206" s="255"/>
    </row>
    <row r="207" spans="1:1">
      <c r="A207" s="255"/>
    </row>
    <row r="208" spans="1:1">
      <c r="A208" s="255"/>
    </row>
    <row r="209" spans="1:1">
      <c r="A209" s="255"/>
    </row>
    <row r="210" spans="1:1">
      <c r="A210" s="255"/>
    </row>
    <row r="211" spans="1:1">
      <c r="A211" s="255"/>
    </row>
    <row r="212" spans="1:1">
      <c r="A212" s="255"/>
    </row>
    <row r="213" spans="1:1">
      <c r="A213" s="255"/>
    </row>
    <row r="214" spans="1:1">
      <c r="A214" s="255"/>
    </row>
    <row r="215" spans="1:1">
      <c r="A215" s="255"/>
    </row>
    <row r="216" spans="1:1">
      <c r="A216" s="255"/>
    </row>
    <row r="217" spans="1:1">
      <c r="A217" s="255"/>
    </row>
    <row r="218" spans="1:1">
      <c r="A218" s="255"/>
    </row>
    <row r="219" spans="1:1">
      <c r="A219" s="255"/>
    </row>
    <row r="220" spans="1:1">
      <c r="A220" s="255"/>
    </row>
    <row r="221" spans="1:1">
      <c r="A221" s="255"/>
    </row>
    <row r="222" spans="1:1">
      <c r="A222" s="255"/>
    </row>
    <row r="223" spans="1:1">
      <c r="A223" s="255"/>
    </row>
    <row r="224" spans="1:1">
      <c r="A224" s="255"/>
    </row>
    <row r="225" spans="1:8">
      <c r="A225" s="255"/>
    </row>
    <row r="226" spans="1:8">
      <c r="A226" s="255"/>
    </row>
    <row r="227" spans="1:8">
      <c r="A227" s="255"/>
    </row>
    <row r="228" spans="1:8">
      <c r="A228" s="255"/>
    </row>
    <row r="229" spans="1:8">
      <c r="A229" s="256"/>
      <c r="B229" s="216"/>
      <c r="C229" s="216"/>
      <c r="D229" s="216"/>
      <c r="E229" s="10"/>
      <c r="F229" s="216"/>
      <c r="G229" s="216"/>
    </row>
    <row r="230" spans="1:8">
      <c r="A230" s="139"/>
      <c r="B230" s="216"/>
      <c r="C230" s="218"/>
      <c r="D230" s="218"/>
      <c r="E230" s="15"/>
      <c r="F230" s="216"/>
      <c r="G230" s="216"/>
    </row>
    <row r="231" spans="1:8">
      <c r="A231" s="257"/>
      <c r="B231" s="216"/>
      <c r="C231" s="216"/>
      <c r="D231" s="216"/>
      <c r="E231" s="10"/>
      <c r="F231" s="216"/>
      <c r="G231" s="216"/>
    </row>
    <row r="232" spans="1:8">
      <c r="A232" s="258"/>
      <c r="B232" s="216"/>
      <c r="C232" s="216"/>
      <c r="D232" s="216"/>
      <c r="E232" s="216"/>
      <c r="F232" s="216"/>
      <c r="G232" s="216"/>
      <c r="H232" s="137"/>
    </row>
    <row r="233" spans="1:8">
      <c r="A233" s="258"/>
      <c r="B233" s="216"/>
      <c r="C233" s="216"/>
      <c r="D233" s="216"/>
      <c r="E233" s="216"/>
      <c r="F233" s="216"/>
      <c r="G233" s="216"/>
      <c r="H233" s="216"/>
    </row>
    <row r="234" spans="1:8">
      <c r="A234" s="254"/>
      <c r="B234" s="254"/>
      <c r="C234" s="254"/>
      <c r="D234" s="254"/>
      <c r="E234" s="254"/>
      <c r="F234" s="254"/>
    </row>
    <row r="235" spans="1:8">
      <c r="A235" s="255"/>
    </row>
    <row r="236" spans="1:8">
      <c r="A236" s="255"/>
    </row>
    <row r="237" spans="1:8">
      <c r="A237" s="255"/>
    </row>
    <row r="238" spans="1:8">
      <c r="A238" s="255"/>
    </row>
    <row r="239" spans="1:8">
      <c r="A239" s="255"/>
    </row>
    <row r="240" spans="1:8">
      <c r="A240" s="255"/>
    </row>
    <row r="241" spans="1:1">
      <c r="A241" s="255"/>
    </row>
    <row r="242" spans="1:1">
      <c r="A242" s="255"/>
    </row>
    <row r="243" spans="1:1">
      <c r="A243" s="255"/>
    </row>
    <row r="244" spans="1:1">
      <c r="A244" s="255"/>
    </row>
    <row r="245" spans="1:1">
      <c r="A245" s="255"/>
    </row>
    <row r="246" spans="1:1">
      <c r="A246" s="255"/>
    </row>
    <row r="247" spans="1:1">
      <c r="A247" s="255"/>
    </row>
    <row r="248" spans="1:1">
      <c r="A248" s="255"/>
    </row>
    <row r="249" spans="1:1">
      <c r="A249" s="255"/>
    </row>
    <row r="250" spans="1:1">
      <c r="A250" s="255"/>
    </row>
    <row r="251" spans="1:1">
      <c r="A251" s="255"/>
    </row>
    <row r="252" spans="1:1">
      <c r="A252" s="255"/>
    </row>
    <row r="253" spans="1:1">
      <c r="A253" s="255"/>
    </row>
    <row r="254" spans="1:1">
      <c r="A254" s="255"/>
    </row>
    <row r="255" spans="1:1">
      <c r="A255" s="255"/>
    </row>
    <row r="256" spans="1:1">
      <c r="A256" s="255"/>
    </row>
    <row r="257" spans="1:1">
      <c r="A257" s="255"/>
    </row>
    <row r="258" spans="1:1">
      <c r="A258" s="255"/>
    </row>
    <row r="259" spans="1:1">
      <c r="A259" s="255"/>
    </row>
    <row r="260" spans="1:1">
      <c r="A260" s="255"/>
    </row>
    <row r="261" spans="1:1">
      <c r="A261" s="255"/>
    </row>
    <row r="262" spans="1:1">
      <c r="A262" s="255"/>
    </row>
    <row r="263" spans="1:1">
      <c r="A263" s="255"/>
    </row>
    <row r="264" spans="1:1">
      <c r="A264" s="255"/>
    </row>
    <row r="265" spans="1:1">
      <c r="A265" s="255"/>
    </row>
    <row r="266" spans="1:1">
      <c r="A266" s="255"/>
    </row>
    <row r="267" spans="1:1">
      <c r="A267" s="255"/>
    </row>
    <row r="268" spans="1:1">
      <c r="A268" s="255"/>
    </row>
    <row r="269" spans="1:1">
      <c r="A269" s="255"/>
    </row>
    <row r="270" spans="1:1">
      <c r="A270" s="255"/>
    </row>
    <row r="271" spans="1:1">
      <c r="A271" s="255"/>
    </row>
    <row r="272" spans="1:1">
      <c r="A272" s="255"/>
    </row>
    <row r="273" spans="1:1">
      <c r="A273" s="255"/>
    </row>
    <row r="274" spans="1:1">
      <c r="A274" s="255"/>
    </row>
    <row r="275" spans="1:1">
      <c r="A275" s="255"/>
    </row>
    <row r="276" spans="1:1">
      <c r="A276" s="255"/>
    </row>
    <row r="277" spans="1:1">
      <c r="A277" s="255"/>
    </row>
    <row r="278" spans="1:1">
      <c r="A278" s="255"/>
    </row>
    <row r="279" spans="1:1">
      <c r="A279" s="255"/>
    </row>
    <row r="280" spans="1:1">
      <c r="A280" s="255"/>
    </row>
    <row r="281" spans="1:1">
      <c r="A281" s="255"/>
    </row>
    <row r="282" spans="1:1">
      <c r="A282" s="255"/>
    </row>
    <row r="283" spans="1:1">
      <c r="A283" s="255"/>
    </row>
    <row r="284" spans="1:1">
      <c r="A284" s="255"/>
    </row>
    <row r="285" spans="1:1">
      <c r="A285" s="255"/>
    </row>
    <row r="286" spans="1:1">
      <c r="A286" s="255"/>
    </row>
    <row r="287" spans="1:1">
      <c r="A287" s="255"/>
    </row>
    <row r="288" spans="1:1">
      <c r="A288" s="255"/>
    </row>
    <row r="289" spans="1:1">
      <c r="A289" s="255"/>
    </row>
    <row r="290" spans="1:1">
      <c r="A290" s="255"/>
    </row>
    <row r="291" spans="1:1">
      <c r="A291" s="255"/>
    </row>
    <row r="292" spans="1:1">
      <c r="A292" s="255"/>
    </row>
    <row r="293" spans="1:1">
      <c r="A293" s="255"/>
    </row>
    <row r="294" spans="1:1">
      <c r="A294" s="255"/>
    </row>
    <row r="295" spans="1:1">
      <c r="A295" s="255"/>
    </row>
    <row r="296" spans="1:1">
      <c r="A296" s="255"/>
    </row>
    <row r="297" spans="1:1">
      <c r="A297" s="255"/>
    </row>
    <row r="298" spans="1:1">
      <c r="A298" s="255"/>
    </row>
    <row r="299" spans="1:1">
      <c r="A299" s="255"/>
    </row>
    <row r="300" spans="1:1">
      <c r="A300" s="255"/>
    </row>
    <row r="301" spans="1:1">
      <c r="A301" s="255"/>
    </row>
    <row r="302" spans="1:1">
      <c r="A302" s="255"/>
    </row>
    <row r="303" spans="1:1">
      <c r="A303" s="255"/>
    </row>
    <row r="304" spans="1:1">
      <c r="A304" s="255"/>
    </row>
    <row r="305" spans="1:8">
      <c r="A305" s="255"/>
    </row>
    <row r="306" spans="1:8">
      <c r="A306" s="255"/>
    </row>
    <row r="307" spans="1:8">
      <c r="A307" s="255"/>
    </row>
    <row r="308" spans="1:8">
      <c r="A308" s="255"/>
    </row>
    <row r="309" spans="1:8">
      <c r="A309" s="256"/>
      <c r="B309" s="216"/>
      <c r="C309" s="216"/>
      <c r="D309" s="216"/>
      <c r="E309" s="10"/>
      <c r="F309" s="216"/>
      <c r="G309" s="216"/>
    </row>
    <row r="310" spans="1:8">
      <c r="A310" s="139"/>
      <c r="B310" s="216"/>
      <c r="C310" s="218"/>
      <c r="D310" s="218"/>
      <c r="E310" s="15"/>
      <c r="F310" s="216"/>
      <c r="G310" s="216"/>
    </row>
    <row r="311" spans="1:8">
      <c r="A311" s="257"/>
      <c r="B311" s="216"/>
      <c r="C311" s="216"/>
      <c r="D311" s="216"/>
      <c r="E311" s="10"/>
      <c r="F311" s="216"/>
      <c r="G311" s="216"/>
    </row>
    <row r="312" spans="1:8">
      <c r="A312" s="258"/>
      <c r="B312" s="216"/>
      <c r="C312" s="216"/>
      <c r="D312" s="216"/>
      <c r="E312" s="216"/>
      <c r="F312" s="216"/>
      <c r="G312" s="216"/>
      <c r="H312" s="137"/>
    </row>
    <row r="313" spans="1:8">
      <c r="A313" s="258"/>
      <c r="B313" s="216"/>
      <c r="C313" s="216"/>
      <c r="D313" s="216"/>
      <c r="E313" s="216"/>
      <c r="F313" s="216"/>
      <c r="G313" s="216"/>
      <c r="H313" s="216"/>
    </row>
    <row r="314" spans="1:8">
      <c r="A314" s="254"/>
      <c r="B314" s="254"/>
      <c r="C314" s="254"/>
      <c r="D314" s="254"/>
      <c r="E314" s="254"/>
      <c r="F314" s="254"/>
    </row>
    <row r="315" spans="1:8">
      <c r="A315" s="255"/>
    </row>
    <row r="316" spans="1:8">
      <c r="A316" s="255"/>
    </row>
    <row r="317" spans="1:8">
      <c r="A317" s="255"/>
    </row>
    <row r="318" spans="1:8">
      <c r="A318" s="255"/>
    </row>
    <row r="319" spans="1:8">
      <c r="A319" s="255"/>
    </row>
    <row r="320" spans="1:8">
      <c r="A320" s="255"/>
    </row>
    <row r="321" spans="1:1">
      <c r="A321" s="255"/>
    </row>
    <row r="322" spans="1:1">
      <c r="A322" s="255"/>
    </row>
    <row r="323" spans="1:1">
      <c r="A323" s="255"/>
    </row>
    <row r="324" spans="1:1">
      <c r="A324" s="255"/>
    </row>
    <row r="325" spans="1:1">
      <c r="A325" s="255"/>
    </row>
    <row r="326" spans="1:1">
      <c r="A326" s="255"/>
    </row>
    <row r="327" spans="1:1">
      <c r="A327" s="255"/>
    </row>
    <row r="328" spans="1:1">
      <c r="A328" s="255"/>
    </row>
    <row r="329" spans="1:1">
      <c r="A329" s="255"/>
    </row>
    <row r="330" spans="1:1">
      <c r="A330" s="255"/>
    </row>
    <row r="331" spans="1:1">
      <c r="A331" s="255"/>
    </row>
    <row r="332" spans="1:1">
      <c r="A332" s="255"/>
    </row>
    <row r="333" spans="1:1">
      <c r="A333" s="255"/>
    </row>
    <row r="334" spans="1:1">
      <c r="A334" s="255"/>
    </row>
    <row r="335" spans="1:1">
      <c r="A335" s="255"/>
    </row>
    <row r="336" spans="1:1">
      <c r="A336" s="255"/>
    </row>
    <row r="337" spans="1:1">
      <c r="A337" s="255"/>
    </row>
    <row r="338" spans="1:1">
      <c r="A338" s="255"/>
    </row>
    <row r="339" spans="1:1">
      <c r="A339" s="255"/>
    </row>
    <row r="340" spans="1:1">
      <c r="A340" s="255"/>
    </row>
    <row r="341" spans="1:1">
      <c r="A341" s="255"/>
    </row>
    <row r="342" spans="1:1">
      <c r="A342" s="255"/>
    </row>
    <row r="343" spans="1:1">
      <c r="A343" s="255"/>
    </row>
    <row r="344" spans="1:1">
      <c r="A344" s="255"/>
    </row>
    <row r="345" spans="1:1">
      <c r="A345" s="255"/>
    </row>
    <row r="346" spans="1:1">
      <c r="A346" s="255"/>
    </row>
    <row r="347" spans="1:1">
      <c r="A347" s="255"/>
    </row>
    <row r="348" spans="1:1">
      <c r="A348" s="255"/>
    </row>
    <row r="349" spans="1:1">
      <c r="A349" s="255"/>
    </row>
    <row r="350" spans="1:1">
      <c r="A350" s="255"/>
    </row>
    <row r="351" spans="1:1">
      <c r="A351" s="255"/>
    </row>
    <row r="352" spans="1:1">
      <c r="A352" s="255"/>
    </row>
    <row r="353" spans="1:1">
      <c r="A353" s="255"/>
    </row>
    <row r="354" spans="1:1">
      <c r="A354" s="255"/>
    </row>
    <row r="355" spans="1:1">
      <c r="A355" s="255"/>
    </row>
    <row r="356" spans="1:1">
      <c r="A356" s="255"/>
    </row>
    <row r="357" spans="1:1">
      <c r="A357" s="255"/>
    </row>
    <row r="358" spans="1:1">
      <c r="A358" s="255"/>
    </row>
    <row r="359" spans="1:1">
      <c r="A359" s="255"/>
    </row>
    <row r="360" spans="1:1">
      <c r="A360" s="255"/>
    </row>
    <row r="361" spans="1:1">
      <c r="A361" s="255"/>
    </row>
    <row r="362" spans="1:1">
      <c r="A362" s="255"/>
    </row>
    <row r="363" spans="1:1">
      <c r="A363" s="255"/>
    </row>
    <row r="364" spans="1:1">
      <c r="A364" s="255"/>
    </row>
    <row r="365" spans="1:1">
      <c r="A365" s="255"/>
    </row>
    <row r="366" spans="1:1">
      <c r="A366" s="255"/>
    </row>
    <row r="367" spans="1:1">
      <c r="A367" s="255"/>
    </row>
    <row r="368" spans="1:1">
      <c r="A368" s="255"/>
    </row>
    <row r="369" spans="1:1">
      <c r="A369" s="255"/>
    </row>
    <row r="370" spans="1:1">
      <c r="A370" s="255"/>
    </row>
    <row r="371" spans="1:1">
      <c r="A371" s="255"/>
    </row>
    <row r="372" spans="1:1">
      <c r="A372" s="255"/>
    </row>
    <row r="373" spans="1:1">
      <c r="A373" s="255"/>
    </row>
    <row r="374" spans="1:1">
      <c r="A374" s="255"/>
    </row>
    <row r="375" spans="1:1">
      <c r="A375" s="255"/>
    </row>
    <row r="376" spans="1:1">
      <c r="A376" s="255"/>
    </row>
    <row r="377" spans="1:1">
      <c r="A377" s="255"/>
    </row>
    <row r="378" spans="1:1">
      <c r="A378" s="255"/>
    </row>
    <row r="379" spans="1:1">
      <c r="A379" s="255"/>
    </row>
    <row r="380" spans="1:1">
      <c r="A380" s="255"/>
    </row>
    <row r="381" spans="1:1">
      <c r="A381" s="255"/>
    </row>
    <row r="382" spans="1:1">
      <c r="A382" s="255"/>
    </row>
    <row r="383" spans="1:1">
      <c r="A383" s="255"/>
    </row>
    <row r="384" spans="1:1">
      <c r="A384" s="255"/>
    </row>
    <row r="385" spans="1:8">
      <c r="A385" s="255"/>
    </row>
    <row r="386" spans="1:8">
      <c r="A386" s="255"/>
    </row>
    <row r="387" spans="1:8">
      <c r="A387" s="255"/>
    </row>
    <row r="388" spans="1:8">
      <c r="A388" s="255"/>
    </row>
    <row r="389" spans="1:8">
      <c r="A389" s="256"/>
      <c r="B389" s="216"/>
      <c r="C389" s="216"/>
      <c r="D389" s="216"/>
      <c r="E389" s="10"/>
      <c r="F389" s="216"/>
      <c r="G389" s="216"/>
    </row>
    <row r="390" spans="1:8">
      <c r="A390" s="139"/>
      <c r="B390" s="216"/>
      <c r="C390" s="218"/>
      <c r="D390" s="218"/>
      <c r="E390" s="15"/>
      <c r="F390" s="216"/>
      <c r="G390" s="216"/>
    </row>
    <row r="391" spans="1:8">
      <c r="A391" s="257"/>
      <c r="B391" s="216"/>
      <c r="C391" s="216"/>
      <c r="D391" s="216"/>
      <c r="E391" s="10"/>
      <c r="F391" s="216"/>
      <c r="G391" s="216"/>
    </row>
    <row r="392" spans="1:8">
      <c r="A392" s="258"/>
      <c r="B392" s="216"/>
      <c r="C392" s="216"/>
      <c r="D392" s="216"/>
      <c r="E392" s="216"/>
      <c r="F392" s="216"/>
      <c r="G392" s="216"/>
      <c r="H392" s="137"/>
    </row>
    <row r="393" spans="1:8">
      <c r="A393" s="258"/>
      <c r="B393" s="216"/>
      <c r="C393" s="216"/>
      <c r="D393" s="216"/>
      <c r="E393" s="216"/>
      <c r="F393" s="216"/>
      <c r="G393" s="216"/>
      <c r="H393" s="216"/>
    </row>
    <row r="394" spans="1:8">
      <c r="A394" s="254"/>
      <c r="B394" s="254"/>
      <c r="C394" s="254"/>
      <c r="D394" s="254"/>
      <c r="E394" s="254"/>
      <c r="F394" s="254"/>
    </row>
    <row r="395" spans="1:8">
      <c r="A395" s="255"/>
    </row>
    <row r="396" spans="1:8">
      <c r="A396" s="255"/>
    </row>
    <row r="397" spans="1:8">
      <c r="A397" s="255"/>
    </row>
    <row r="398" spans="1:8">
      <c r="A398" s="255"/>
    </row>
    <row r="399" spans="1:8">
      <c r="A399" s="255"/>
    </row>
    <row r="400" spans="1:8">
      <c r="A400" s="255"/>
    </row>
    <row r="401" spans="1:1">
      <c r="A401" s="255"/>
    </row>
    <row r="402" spans="1:1">
      <c r="A402" s="255"/>
    </row>
    <row r="403" spans="1:1">
      <c r="A403" s="255"/>
    </row>
    <row r="404" spans="1:1">
      <c r="A404" s="255"/>
    </row>
    <row r="405" spans="1:1">
      <c r="A405" s="255"/>
    </row>
    <row r="406" spans="1:1">
      <c r="A406" s="255"/>
    </row>
    <row r="407" spans="1:1">
      <c r="A407" s="255"/>
    </row>
    <row r="408" spans="1:1">
      <c r="A408" s="255"/>
    </row>
    <row r="409" spans="1:1">
      <c r="A409" s="255"/>
    </row>
    <row r="410" spans="1:1">
      <c r="A410" s="255"/>
    </row>
    <row r="411" spans="1:1">
      <c r="A411" s="255"/>
    </row>
    <row r="412" spans="1:1">
      <c r="A412" s="255"/>
    </row>
    <row r="413" spans="1:1">
      <c r="A413" s="255"/>
    </row>
    <row r="414" spans="1:1">
      <c r="A414" s="255"/>
    </row>
    <row r="415" spans="1:1">
      <c r="A415" s="255"/>
    </row>
    <row r="416" spans="1:1">
      <c r="A416" s="255"/>
    </row>
    <row r="417" spans="1:1">
      <c r="A417" s="255"/>
    </row>
    <row r="418" spans="1:1">
      <c r="A418" s="255"/>
    </row>
    <row r="419" spans="1:1">
      <c r="A419" s="255"/>
    </row>
    <row r="420" spans="1:1">
      <c r="A420" s="255"/>
    </row>
    <row r="421" spans="1:1">
      <c r="A421" s="255"/>
    </row>
    <row r="422" spans="1:1">
      <c r="A422" s="255"/>
    </row>
    <row r="423" spans="1:1">
      <c r="A423" s="255"/>
    </row>
    <row r="424" spans="1:1">
      <c r="A424" s="255"/>
    </row>
    <row r="425" spans="1:1">
      <c r="A425" s="255"/>
    </row>
    <row r="426" spans="1:1">
      <c r="A426" s="255"/>
    </row>
    <row r="427" spans="1:1">
      <c r="A427" s="255"/>
    </row>
    <row r="428" spans="1:1">
      <c r="A428" s="255"/>
    </row>
    <row r="429" spans="1:1">
      <c r="A429" s="255"/>
    </row>
    <row r="430" spans="1:1">
      <c r="A430" s="255"/>
    </row>
    <row r="431" spans="1:1">
      <c r="A431" s="255"/>
    </row>
    <row r="432" spans="1:1">
      <c r="A432" s="255"/>
    </row>
    <row r="433" spans="1:1">
      <c r="A433" s="255"/>
    </row>
    <row r="434" spans="1:1">
      <c r="A434" s="255"/>
    </row>
    <row r="435" spans="1:1">
      <c r="A435" s="255"/>
    </row>
    <row r="436" spans="1:1">
      <c r="A436" s="255"/>
    </row>
    <row r="437" spans="1:1">
      <c r="A437" s="255"/>
    </row>
    <row r="438" spans="1:1">
      <c r="A438" s="255"/>
    </row>
    <row r="439" spans="1:1">
      <c r="A439" s="255"/>
    </row>
    <row r="440" spans="1:1">
      <c r="A440" s="255"/>
    </row>
    <row r="441" spans="1:1">
      <c r="A441" s="255"/>
    </row>
    <row r="442" spans="1:1">
      <c r="A442" s="255"/>
    </row>
    <row r="443" spans="1:1">
      <c r="A443" s="255"/>
    </row>
    <row r="444" spans="1:1">
      <c r="A444" s="255"/>
    </row>
    <row r="445" spans="1:1">
      <c r="A445" s="255"/>
    </row>
    <row r="446" spans="1:1">
      <c r="A446" s="255"/>
    </row>
    <row r="447" spans="1:1">
      <c r="A447" s="255"/>
    </row>
    <row r="448" spans="1:1">
      <c r="A448" s="255"/>
    </row>
    <row r="449" spans="1:1">
      <c r="A449" s="255"/>
    </row>
    <row r="450" spans="1:1">
      <c r="A450" s="255"/>
    </row>
    <row r="451" spans="1:1">
      <c r="A451" s="255"/>
    </row>
    <row r="452" spans="1:1">
      <c r="A452" s="255"/>
    </row>
    <row r="453" spans="1:1">
      <c r="A453" s="255"/>
    </row>
    <row r="454" spans="1:1">
      <c r="A454" s="255"/>
    </row>
    <row r="455" spans="1:1">
      <c r="A455" s="255"/>
    </row>
    <row r="456" spans="1:1">
      <c r="A456" s="255"/>
    </row>
    <row r="457" spans="1:1">
      <c r="A457" s="255"/>
    </row>
    <row r="458" spans="1:1">
      <c r="A458" s="255"/>
    </row>
    <row r="459" spans="1:1">
      <c r="A459" s="255"/>
    </row>
    <row r="460" spans="1:1">
      <c r="A460" s="255"/>
    </row>
    <row r="461" spans="1:1">
      <c r="A461" s="255"/>
    </row>
    <row r="462" spans="1:1">
      <c r="A462" s="255"/>
    </row>
    <row r="463" spans="1:1">
      <c r="A463" s="255"/>
    </row>
    <row r="464" spans="1:1">
      <c r="A464" s="255"/>
    </row>
    <row r="465" spans="1:8">
      <c r="A465" s="255"/>
    </row>
    <row r="466" spans="1:8">
      <c r="A466" s="255"/>
    </row>
    <row r="467" spans="1:8">
      <c r="A467" s="255"/>
    </row>
    <row r="468" spans="1:8">
      <c r="A468" s="255"/>
    </row>
    <row r="469" spans="1:8">
      <c r="A469" s="256"/>
      <c r="B469" s="216"/>
      <c r="C469" s="216"/>
      <c r="D469" s="216"/>
      <c r="E469" s="10"/>
      <c r="F469" s="216"/>
      <c r="G469" s="216"/>
    </row>
    <row r="470" spans="1:8">
      <c r="A470" s="139"/>
      <c r="B470" s="216"/>
      <c r="C470" s="218"/>
      <c r="D470" s="218"/>
      <c r="E470" s="15"/>
      <c r="F470" s="216"/>
      <c r="G470" s="216"/>
    </row>
    <row r="471" spans="1:8">
      <c r="A471" s="257"/>
      <c r="B471" s="216"/>
      <c r="C471" s="216"/>
      <c r="D471" s="216"/>
      <c r="E471" s="10"/>
      <c r="F471" s="216"/>
      <c r="G471" s="216"/>
    </row>
    <row r="472" spans="1:8">
      <c r="A472" s="258"/>
      <c r="B472" s="216"/>
      <c r="C472" s="216"/>
      <c r="D472" s="216"/>
      <c r="E472" s="216"/>
      <c r="F472" s="216"/>
      <c r="G472" s="216"/>
      <c r="H472" s="137"/>
    </row>
    <row r="473" spans="1:8">
      <c r="A473" s="258"/>
      <c r="B473" s="216"/>
      <c r="C473" s="216"/>
      <c r="D473" s="216"/>
      <c r="E473" s="216"/>
      <c r="F473" s="216"/>
      <c r="G473" s="216"/>
      <c r="H473" s="216"/>
    </row>
    <row r="474" spans="1:8">
      <c r="A474" s="254"/>
      <c r="B474" s="254"/>
      <c r="C474" s="254"/>
      <c r="D474" s="254"/>
      <c r="E474" s="254"/>
      <c r="F474" s="254"/>
    </row>
    <row r="475" spans="1:8">
      <c r="A475" s="255"/>
    </row>
    <row r="476" spans="1:8">
      <c r="A476" s="255"/>
    </row>
    <row r="477" spans="1:8">
      <c r="A477" s="255"/>
    </row>
    <row r="478" spans="1:8">
      <c r="A478" s="255"/>
    </row>
    <row r="479" spans="1:8">
      <c r="A479" s="255"/>
    </row>
    <row r="480" spans="1:8">
      <c r="A480" s="255"/>
    </row>
    <row r="481" spans="1:1">
      <c r="A481" s="255"/>
    </row>
    <row r="482" spans="1:1">
      <c r="A482" s="255"/>
    </row>
    <row r="483" spans="1:1">
      <c r="A483" s="255"/>
    </row>
    <row r="484" spans="1:1">
      <c r="A484" s="255"/>
    </row>
    <row r="485" spans="1:1">
      <c r="A485" s="255"/>
    </row>
    <row r="486" spans="1:1">
      <c r="A486" s="255"/>
    </row>
    <row r="487" spans="1:1">
      <c r="A487" s="255"/>
    </row>
    <row r="488" spans="1:1">
      <c r="A488" s="255"/>
    </row>
    <row r="489" spans="1:1">
      <c r="A489" s="255"/>
    </row>
    <row r="490" spans="1:1">
      <c r="A490" s="255"/>
    </row>
    <row r="491" spans="1:1">
      <c r="A491" s="255"/>
    </row>
    <row r="492" spans="1:1">
      <c r="A492" s="255"/>
    </row>
    <row r="493" spans="1:1">
      <c r="A493" s="255"/>
    </row>
    <row r="494" spans="1:1">
      <c r="A494" s="255"/>
    </row>
    <row r="495" spans="1:1">
      <c r="A495" s="255"/>
    </row>
    <row r="496" spans="1:1">
      <c r="A496" s="255"/>
    </row>
    <row r="497" spans="1:1">
      <c r="A497" s="255"/>
    </row>
    <row r="498" spans="1:1">
      <c r="A498" s="255"/>
    </row>
    <row r="499" spans="1:1">
      <c r="A499" s="255"/>
    </row>
    <row r="500" spans="1:1">
      <c r="A500" s="255"/>
    </row>
    <row r="501" spans="1:1">
      <c r="A501" s="255"/>
    </row>
    <row r="502" spans="1:1">
      <c r="A502" s="255"/>
    </row>
    <row r="503" spans="1:1">
      <c r="A503" s="255"/>
    </row>
    <row r="504" spans="1:1">
      <c r="A504" s="255"/>
    </row>
    <row r="505" spans="1:1">
      <c r="A505" s="255"/>
    </row>
    <row r="506" spans="1:1">
      <c r="A506" s="255"/>
    </row>
    <row r="507" spans="1:1">
      <c r="A507" s="255"/>
    </row>
    <row r="508" spans="1:1">
      <c r="A508" s="255"/>
    </row>
    <row r="509" spans="1:1">
      <c r="A509" s="255"/>
    </row>
    <row r="510" spans="1:1">
      <c r="A510" s="255"/>
    </row>
    <row r="511" spans="1:1">
      <c r="A511" s="255"/>
    </row>
    <row r="512" spans="1:1">
      <c r="A512" s="255"/>
    </row>
    <row r="513" spans="1:1">
      <c r="A513" s="255"/>
    </row>
    <row r="514" spans="1:1">
      <c r="A514" s="255"/>
    </row>
    <row r="515" spans="1:1">
      <c r="A515" s="255"/>
    </row>
    <row r="516" spans="1:1">
      <c r="A516" s="255"/>
    </row>
    <row r="517" spans="1:1">
      <c r="A517" s="255"/>
    </row>
    <row r="518" spans="1:1">
      <c r="A518" s="255"/>
    </row>
    <row r="519" spans="1:1">
      <c r="A519" s="255"/>
    </row>
    <row r="520" spans="1:1">
      <c r="A520" s="255"/>
    </row>
    <row r="521" spans="1:1">
      <c r="A521" s="255"/>
    </row>
    <row r="522" spans="1:1">
      <c r="A522" s="255"/>
    </row>
    <row r="523" spans="1:1">
      <c r="A523" s="255"/>
    </row>
    <row r="524" spans="1:1">
      <c r="A524" s="255"/>
    </row>
    <row r="525" spans="1:1">
      <c r="A525" s="255"/>
    </row>
    <row r="526" spans="1:1">
      <c r="A526" s="255"/>
    </row>
    <row r="527" spans="1:1">
      <c r="A527" s="255"/>
    </row>
    <row r="528" spans="1:1">
      <c r="A528" s="255"/>
    </row>
    <row r="529" spans="1:1">
      <c r="A529" s="255"/>
    </row>
    <row r="530" spans="1:1">
      <c r="A530" s="255"/>
    </row>
    <row r="531" spans="1:1">
      <c r="A531" s="255"/>
    </row>
    <row r="532" spans="1:1">
      <c r="A532" s="255"/>
    </row>
    <row r="533" spans="1:1">
      <c r="A533" s="255"/>
    </row>
    <row r="534" spans="1:1">
      <c r="A534" s="255"/>
    </row>
    <row r="535" spans="1:1">
      <c r="A535" s="255"/>
    </row>
    <row r="536" spans="1:1">
      <c r="A536" s="255"/>
    </row>
    <row r="537" spans="1:1">
      <c r="A537" s="255"/>
    </row>
    <row r="538" spans="1:1">
      <c r="A538" s="255"/>
    </row>
    <row r="539" spans="1:1">
      <c r="A539" s="255"/>
    </row>
    <row r="540" spans="1:1">
      <c r="A540" s="255"/>
    </row>
    <row r="541" spans="1:1">
      <c r="A541" s="255"/>
    </row>
    <row r="542" spans="1:1">
      <c r="A542" s="255"/>
    </row>
    <row r="543" spans="1:1">
      <c r="A543" s="255"/>
    </row>
    <row r="544" spans="1:1">
      <c r="A544" s="255"/>
    </row>
    <row r="545" spans="1:8">
      <c r="A545" s="255"/>
    </row>
    <row r="546" spans="1:8">
      <c r="A546" s="255"/>
    </row>
    <row r="547" spans="1:8">
      <c r="A547" s="255"/>
    </row>
    <row r="548" spans="1:8">
      <c r="A548" s="255"/>
    </row>
    <row r="549" spans="1:8">
      <c r="A549" s="256"/>
      <c r="B549" s="216"/>
      <c r="C549" s="216"/>
      <c r="D549" s="216"/>
      <c r="E549" s="10"/>
      <c r="F549" s="216"/>
      <c r="G549" s="216"/>
    </row>
    <row r="550" spans="1:8">
      <c r="A550" s="139"/>
      <c r="B550" s="216"/>
      <c r="C550" s="218"/>
      <c r="D550" s="218"/>
      <c r="E550" s="15"/>
      <c r="F550" s="216"/>
      <c r="G550" s="216"/>
    </row>
    <row r="551" spans="1:8">
      <c r="A551" s="257"/>
      <c r="B551" s="216"/>
      <c r="C551" s="216"/>
      <c r="D551" s="216"/>
      <c r="E551" s="10"/>
      <c r="F551" s="216"/>
      <c r="G551" s="216"/>
    </row>
    <row r="552" spans="1:8">
      <c r="A552" s="258"/>
      <c r="B552" s="216"/>
      <c r="C552" s="216"/>
      <c r="D552" s="216"/>
      <c r="E552" s="216"/>
      <c r="F552" s="216"/>
      <c r="G552" s="216"/>
      <c r="H552" s="137"/>
    </row>
    <row r="553" spans="1:8">
      <c r="A553" s="258"/>
      <c r="B553" s="216"/>
      <c r="C553" s="216"/>
      <c r="D553" s="216"/>
      <c r="E553" s="216"/>
      <c r="F553" s="216"/>
      <c r="G553" s="216"/>
      <c r="H553" s="216"/>
    </row>
    <row r="554" spans="1:8">
      <c r="A554" s="254"/>
      <c r="B554" s="254"/>
      <c r="C554" s="254"/>
      <c r="D554" s="254"/>
      <c r="E554" s="254"/>
      <c r="F554" s="254"/>
    </row>
    <row r="555" spans="1:8">
      <c r="A555" s="255"/>
    </row>
    <row r="556" spans="1:8">
      <c r="A556" s="255"/>
    </row>
    <row r="557" spans="1:8">
      <c r="A557" s="255"/>
    </row>
    <row r="558" spans="1:8">
      <c r="A558" s="255"/>
    </row>
    <row r="559" spans="1:8">
      <c r="A559" s="255"/>
    </row>
    <row r="560" spans="1:8">
      <c r="A560" s="255"/>
    </row>
    <row r="561" spans="1:1">
      <c r="A561" s="255"/>
    </row>
    <row r="562" spans="1:1">
      <c r="A562" s="255"/>
    </row>
    <row r="563" spans="1:1">
      <c r="A563" s="255"/>
    </row>
    <row r="564" spans="1:1">
      <c r="A564" s="255"/>
    </row>
    <row r="565" spans="1:1">
      <c r="A565" s="255"/>
    </row>
    <row r="566" spans="1:1">
      <c r="A566" s="255"/>
    </row>
    <row r="567" spans="1:1">
      <c r="A567" s="255"/>
    </row>
    <row r="568" spans="1:1">
      <c r="A568" s="255"/>
    </row>
    <row r="569" spans="1:1">
      <c r="A569" s="255"/>
    </row>
    <row r="570" spans="1:1">
      <c r="A570" s="255"/>
    </row>
    <row r="571" spans="1:1">
      <c r="A571" s="255"/>
    </row>
    <row r="572" spans="1:1">
      <c r="A572" s="255"/>
    </row>
    <row r="573" spans="1:1">
      <c r="A573" s="255"/>
    </row>
    <row r="574" spans="1:1">
      <c r="A574" s="255"/>
    </row>
    <row r="575" spans="1:1">
      <c r="A575" s="255"/>
    </row>
    <row r="576" spans="1:1">
      <c r="A576" s="255"/>
    </row>
    <row r="577" spans="1:1">
      <c r="A577" s="255"/>
    </row>
    <row r="578" spans="1:1">
      <c r="A578" s="255"/>
    </row>
    <row r="579" spans="1:1">
      <c r="A579" s="255"/>
    </row>
    <row r="580" spans="1:1">
      <c r="A580" s="255"/>
    </row>
    <row r="581" spans="1:1">
      <c r="A581" s="255"/>
    </row>
    <row r="582" spans="1:1">
      <c r="A582" s="255"/>
    </row>
    <row r="583" spans="1:1">
      <c r="A583" s="255"/>
    </row>
    <row r="584" spans="1:1">
      <c r="A584" s="255"/>
    </row>
    <row r="585" spans="1:1">
      <c r="A585" s="255"/>
    </row>
    <row r="586" spans="1:1">
      <c r="A586" s="255"/>
    </row>
    <row r="587" spans="1:1">
      <c r="A587" s="255"/>
    </row>
    <row r="588" spans="1:1">
      <c r="A588" s="255"/>
    </row>
    <row r="589" spans="1:1">
      <c r="A589" s="255"/>
    </row>
    <row r="590" spans="1:1">
      <c r="A590" s="255"/>
    </row>
    <row r="591" spans="1:1">
      <c r="A591" s="255"/>
    </row>
    <row r="592" spans="1:1">
      <c r="A592" s="255"/>
    </row>
    <row r="593" spans="1:1">
      <c r="A593" s="255"/>
    </row>
    <row r="594" spans="1:1">
      <c r="A594" s="255"/>
    </row>
    <row r="595" spans="1:1">
      <c r="A595" s="255"/>
    </row>
    <row r="596" spans="1:1">
      <c r="A596" s="255"/>
    </row>
    <row r="597" spans="1:1">
      <c r="A597" s="255"/>
    </row>
    <row r="598" spans="1:1">
      <c r="A598" s="255"/>
    </row>
    <row r="599" spans="1:1">
      <c r="A599" s="255"/>
    </row>
    <row r="600" spans="1:1">
      <c r="A600" s="255"/>
    </row>
    <row r="601" spans="1:1">
      <c r="A601" s="255"/>
    </row>
    <row r="602" spans="1:1">
      <c r="A602" s="255"/>
    </row>
    <row r="603" spans="1:1">
      <c r="A603" s="255"/>
    </row>
    <row r="604" spans="1:1">
      <c r="A604" s="255"/>
    </row>
    <row r="605" spans="1:1">
      <c r="A605" s="255"/>
    </row>
    <row r="606" spans="1:1">
      <c r="A606" s="255"/>
    </row>
    <row r="607" spans="1:1">
      <c r="A607" s="255"/>
    </row>
    <row r="608" spans="1:1">
      <c r="A608" s="255"/>
    </row>
    <row r="609" spans="1:1">
      <c r="A609" s="255"/>
    </row>
    <row r="610" spans="1:1">
      <c r="A610" s="255"/>
    </row>
    <row r="611" spans="1:1">
      <c r="A611" s="255"/>
    </row>
    <row r="612" spans="1:1">
      <c r="A612" s="255"/>
    </row>
    <row r="613" spans="1:1">
      <c r="A613" s="255"/>
    </row>
    <row r="614" spans="1:1">
      <c r="A614" s="255"/>
    </row>
    <row r="615" spans="1:1">
      <c r="A615" s="255"/>
    </row>
    <row r="616" spans="1:1">
      <c r="A616" s="255"/>
    </row>
    <row r="617" spans="1:1">
      <c r="A617" s="255"/>
    </row>
    <row r="618" spans="1:1">
      <c r="A618" s="255"/>
    </row>
    <row r="619" spans="1:1">
      <c r="A619" s="255"/>
    </row>
    <row r="620" spans="1:1">
      <c r="A620" s="255"/>
    </row>
    <row r="621" spans="1:1">
      <c r="A621" s="255"/>
    </row>
    <row r="622" spans="1:1">
      <c r="A622" s="255"/>
    </row>
    <row r="623" spans="1:1">
      <c r="A623" s="255"/>
    </row>
    <row r="624" spans="1:1">
      <c r="A624" s="255"/>
    </row>
    <row r="625" spans="1:8">
      <c r="A625" s="255"/>
    </row>
    <row r="626" spans="1:8">
      <c r="A626" s="255"/>
    </row>
    <row r="627" spans="1:8">
      <c r="A627" s="255"/>
    </row>
    <row r="628" spans="1:8">
      <c r="A628" s="255"/>
    </row>
    <row r="629" spans="1:8">
      <c r="A629" s="256"/>
      <c r="B629" s="216"/>
      <c r="C629" s="216"/>
      <c r="D629" s="216"/>
      <c r="E629" s="10"/>
      <c r="F629" s="216"/>
      <c r="G629" s="216"/>
    </row>
    <row r="630" spans="1:8">
      <c r="A630" s="139"/>
      <c r="B630" s="216"/>
      <c r="C630" s="218"/>
      <c r="D630" s="218"/>
      <c r="E630" s="15"/>
      <c r="F630" s="216"/>
      <c r="G630" s="216"/>
    </row>
    <row r="631" spans="1:8">
      <c r="A631" s="257"/>
      <c r="B631" s="216"/>
      <c r="C631" s="216"/>
      <c r="D631" s="216"/>
      <c r="E631" s="10"/>
      <c r="F631" s="216"/>
      <c r="G631" s="216"/>
    </row>
    <row r="632" spans="1:8">
      <c r="A632" s="258"/>
      <c r="B632" s="216"/>
      <c r="C632" s="216"/>
      <c r="D632" s="216"/>
      <c r="E632" s="216"/>
      <c r="F632" s="216"/>
      <c r="G632" s="216"/>
      <c r="H632" s="137"/>
    </row>
    <row r="633" spans="1:8">
      <c r="A633" s="258"/>
      <c r="B633" s="216"/>
      <c r="C633" s="216"/>
      <c r="D633" s="216"/>
      <c r="E633" s="216"/>
      <c r="F633" s="216"/>
      <c r="G633" s="216"/>
      <c r="H633" s="216"/>
    </row>
    <row r="634" spans="1:8">
      <c r="A634" s="254"/>
      <c r="B634" s="254"/>
      <c r="C634" s="254"/>
      <c r="D634" s="254"/>
      <c r="E634" s="254"/>
      <c r="F634" s="254"/>
    </row>
    <row r="635" spans="1:8">
      <c r="A635" s="255"/>
    </row>
    <row r="636" spans="1:8">
      <c r="A636" s="255"/>
    </row>
    <row r="637" spans="1:8">
      <c r="A637" s="255"/>
    </row>
    <row r="638" spans="1:8">
      <c r="A638" s="255"/>
    </row>
    <row r="639" spans="1:8">
      <c r="A639" s="255"/>
    </row>
    <row r="640" spans="1:8">
      <c r="A640" s="255"/>
    </row>
    <row r="641" spans="1:1">
      <c r="A641" s="255"/>
    </row>
    <row r="642" spans="1:1">
      <c r="A642" s="255"/>
    </row>
    <row r="643" spans="1:1">
      <c r="A643" s="255"/>
    </row>
    <row r="644" spans="1:1">
      <c r="A644" s="255"/>
    </row>
    <row r="645" spans="1:1">
      <c r="A645" s="255"/>
    </row>
    <row r="646" spans="1:1">
      <c r="A646" s="255"/>
    </row>
    <row r="647" spans="1:1">
      <c r="A647" s="255"/>
    </row>
    <row r="648" spans="1:1">
      <c r="A648" s="255"/>
    </row>
    <row r="649" spans="1:1">
      <c r="A649" s="255"/>
    </row>
    <row r="650" spans="1:1">
      <c r="A650" s="255"/>
    </row>
    <row r="651" spans="1:1">
      <c r="A651" s="255"/>
    </row>
    <row r="652" spans="1:1">
      <c r="A652" s="255"/>
    </row>
    <row r="653" spans="1:1">
      <c r="A653" s="255"/>
    </row>
    <row r="654" spans="1:1">
      <c r="A654" s="255"/>
    </row>
    <row r="655" spans="1:1">
      <c r="A655" s="255"/>
    </row>
    <row r="656" spans="1:1">
      <c r="A656" s="255"/>
    </row>
    <row r="657" spans="1:1">
      <c r="A657" s="255"/>
    </row>
    <row r="658" spans="1:1">
      <c r="A658" s="255"/>
    </row>
    <row r="659" spans="1:1">
      <c r="A659" s="255"/>
    </row>
    <row r="660" spans="1:1">
      <c r="A660" s="255"/>
    </row>
    <row r="661" spans="1:1">
      <c r="A661" s="255"/>
    </row>
    <row r="662" spans="1:1">
      <c r="A662" s="255"/>
    </row>
    <row r="663" spans="1:1">
      <c r="A663" s="255"/>
    </row>
    <row r="664" spans="1:1">
      <c r="A664" s="255"/>
    </row>
    <row r="665" spans="1:1">
      <c r="A665" s="255"/>
    </row>
    <row r="666" spans="1:1">
      <c r="A666" s="255"/>
    </row>
    <row r="667" spans="1:1">
      <c r="A667" s="255"/>
    </row>
    <row r="668" spans="1:1">
      <c r="A668" s="255"/>
    </row>
    <row r="669" spans="1:1">
      <c r="A669" s="255"/>
    </row>
    <row r="670" spans="1:1">
      <c r="A670" s="255"/>
    </row>
    <row r="671" spans="1:1">
      <c r="A671" s="255"/>
    </row>
    <row r="672" spans="1:1">
      <c r="A672" s="255"/>
    </row>
    <row r="673" spans="1:1">
      <c r="A673" s="255"/>
    </row>
    <row r="674" spans="1:1">
      <c r="A674" s="255"/>
    </row>
    <row r="675" spans="1:1">
      <c r="A675" s="255"/>
    </row>
    <row r="676" spans="1:1">
      <c r="A676" s="255"/>
    </row>
    <row r="677" spans="1:1">
      <c r="A677" s="255"/>
    </row>
    <row r="678" spans="1:1">
      <c r="A678" s="255"/>
    </row>
    <row r="679" spans="1:1">
      <c r="A679" s="255"/>
    </row>
    <row r="680" spans="1:1">
      <c r="A680" s="255"/>
    </row>
    <row r="681" spans="1:1">
      <c r="A681" s="255"/>
    </row>
    <row r="682" spans="1:1">
      <c r="A682" s="255"/>
    </row>
    <row r="683" spans="1:1">
      <c r="A683" s="255"/>
    </row>
    <row r="684" spans="1:1">
      <c r="A684" s="255"/>
    </row>
    <row r="685" spans="1:1">
      <c r="A685" s="255"/>
    </row>
    <row r="686" spans="1:1">
      <c r="A686" s="255"/>
    </row>
    <row r="687" spans="1:1">
      <c r="A687" s="255"/>
    </row>
    <row r="688" spans="1:1">
      <c r="A688" s="255"/>
    </row>
    <row r="689" spans="1:1">
      <c r="A689" s="255"/>
    </row>
    <row r="690" spans="1:1">
      <c r="A690" s="255"/>
    </row>
    <row r="691" spans="1:1">
      <c r="A691" s="255"/>
    </row>
    <row r="692" spans="1:1">
      <c r="A692" s="255"/>
    </row>
    <row r="693" spans="1:1">
      <c r="A693" s="255"/>
    </row>
    <row r="694" spans="1:1">
      <c r="A694" s="255"/>
    </row>
    <row r="695" spans="1:1">
      <c r="A695" s="255"/>
    </row>
    <row r="696" spans="1:1">
      <c r="A696" s="255"/>
    </row>
    <row r="697" spans="1:1">
      <c r="A697" s="255"/>
    </row>
    <row r="698" spans="1:1">
      <c r="A698" s="255"/>
    </row>
    <row r="699" spans="1:1">
      <c r="A699" s="255"/>
    </row>
    <row r="700" spans="1:1">
      <c r="A700" s="255"/>
    </row>
    <row r="701" spans="1:1">
      <c r="A701" s="255"/>
    </row>
    <row r="702" spans="1:1">
      <c r="A702" s="255"/>
    </row>
    <row r="703" spans="1:1">
      <c r="A703" s="255"/>
    </row>
    <row r="704" spans="1:1">
      <c r="A704" s="255"/>
    </row>
    <row r="705" spans="1:8">
      <c r="A705" s="255"/>
    </row>
    <row r="706" spans="1:8">
      <c r="A706" s="255"/>
    </row>
    <row r="707" spans="1:8">
      <c r="A707" s="255"/>
    </row>
    <row r="708" spans="1:8">
      <c r="A708" s="255"/>
    </row>
    <row r="709" spans="1:8">
      <c r="A709" s="256"/>
      <c r="B709" s="216"/>
      <c r="C709" s="216"/>
      <c r="D709" s="216"/>
      <c r="E709" s="10"/>
      <c r="F709" s="216"/>
      <c r="G709" s="216"/>
    </row>
    <row r="710" spans="1:8">
      <c r="A710" s="139"/>
      <c r="B710" s="216"/>
      <c r="C710" s="218"/>
      <c r="D710" s="218"/>
      <c r="E710" s="15"/>
      <c r="F710" s="216"/>
      <c r="G710" s="216"/>
    </row>
    <row r="711" spans="1:8">
      <c r="A711" s="257"/>
      <c r="B711" s="216"/>
      <c r="C711" s="216"/>
      <c r="D711" s="216"/>
      <c r="E711" s="10"/>
      <c r="F711" s="216"/>
      <c r="G711" s="216"/>
    </row>
    <row r="712" spans="1:8">
      <c r="A712" s="258"/>
      <c r="B712" s="216"/>
      <c r="C712" s="216"/>
      <c r="D712" s="216"/>
      <c r="E712" s="216"/>
      <c r="F712" s="216"/>
      <c r="G712" s="216"/>
      <c r="H712" s="137"/>
    </row>
    <row r="713" spans="1:8">
      <c r="A713" s="258"/>
      <c r="B713" s="216"/>
      <c r="C713" s="216"/>
      <c r="D713" s="216"/>
      <c r="E713" s="216"/>
      <c r="F713" s="216"/>
      <c r="G713" s="216"/>
      <c r="H713" s="216"/>
    </row>
    <row r="714" spans="1:8">
      <c r="A714" s="254"/>
      <c r="B714" s="254"/>
      <c r="C714" s="254"/>
      <c r="D714" s="254"/>
      <c r="E714" s="254"/>
      <c r="F714" s="254"/>
    </row>
    <row r="715" spans="1:8">
      <c r="A715" s="255"/>
    </row>
    <row r="716" spans="1:8">
      <c r="A716" s="255"/>
    </row>
    <row r="717" spans="1:8">
      <c r="A717" s="255"/>
    </row>
    <row r="718" spans="1:8">
      <c r="A718" s="255"/>
    </row>
    <row r="719" spans="1:8">
      <c r="A719" s="255"/>
    </row>
    <row r="720" spans="1:8">
      <c r="A720" s="255"/>
    </row>
    <row r="721" spans="1:1">
      <c r="A721" s="255"/>
    </row>
    <row r="722" spans="1:1">
      <c r="A722" s="255"/>
    </row>
    <row r="723" spans="1:1">
      <c r="A723" s="255"/>
    </row>
    <row r="724" spans="1:1">
      <c r="A724" s="255"/>
    </row>
    <row r="725" spans="1:1">
      <c r="A725" s="255"/>
    </row>
    <row r="726" spans="1:1">
      <c r="A726" s="255"/>
    </row>
    <row r="727" spans="1:1">
      <c r="A727" s="255"/>
    </row>
    <row r="728" spans="1:1">
      <c r="A728" s="255"/>
    </row>
    <row r="729" spans="1:1">
      <c r="A729" s="255"/>
    </row>
    <row r="730" spans="1:1">
      <c r="A730" s="255"/>
    </row>
    <row r="731" spans="1:1">
      <c r="A731" s="255"/>
    </row>
    <row r="732" spans="1:1">
      <c r="A732" s="255"/>
    </row>
    <row r="733" spans="1:1">
      <c r="A733" s="255"/>
    </row>
    <row r="734" spans="1:1">
      <c r="A734" s="255"/>
    </row>
    <row r="735" spans="1:1">
      <c r="A735" s="255"/>
    </row>
    <row r="736" spans="1:1">
      <c r="A736" s="255"/>
    </row>
    <row r="737" spans="1:1">
      <c r="A737" s="255"/>
    </row>
    <row r="738" spans="1:1">
      <c r="A738" s="255"/>
    </row>
    <row r="739" spans="1:1">
      <c r="A739" s="255"/>
    </row>
    <row r="740" spans="1:1">
      <c r="A740" s="255"/>
    </row>
    <row r="741" spans="1:1">
      <c r="A741" s="255"/>
    </row>
    <row r="742" spans="1:1">
      <c r="A742" s="255"/>
    </row>
    <row r="743" spans="1:1">
      <c r="A743" s="255"/>
    </row>
    <row r="744" spans="1:1">
      <c r="A744" s="255"/>
    </row>
    <row r="745" spans="1:1">
      <c r="A745" s="255"/>
    </row>
    <row r="746" spans="1:1">
      <c r="A746" s="255"/>
    </row>
    <row r="747" spans="1:1">
      <c r="A747" s="255"/>
    </row>
    <row r="748" spans="1:1">
      <c r="A748" s="255"/>
    </row>
    <row r="749" spans="1:1">
      <c r="A749" s="255"/>
    </row>
    <row r="750" spans="1:1">
      <c r="A750" s="255"/>
    </row>
    <row r="751" spans="1:1">
      <c r="A751" s="255"/>
    </row>
    <row r="752" spans="1:1">
      <c r="A752" s="255"/>
    </row>
    <row r="753" spans="1:1">
      <c r="A753" s="255"/>
    </row>
    <row r="754" spans="1:1">
      <c r="A754" s="255"/>
    </row>
    <row r="755" spans="1:1">
      <c r="A755" s="255"/>
    </row>
    <row r="756" spans="1:1">
      <c r="A756" s="255"/>
    </row>
    <row r="757" spans="1:1">
      <c r="A757" s="255"/>
    </row>
    <row r="758" spans="1:1">
      <c r="A758" s="255"/>
    </row>
    <row r="759" spans="1:1">
      <c r="A759" s="255"/>
    </row>
    <row r="760" spans="1:1">
      <c r="A760" s="255"/>
    </row>
    <row r="761" spans="1:1">
      <c r="A761" s="255"/>
    </row>
    <row r="762" spans="1:1">
      <c r="A762" s="255"/>
    </row>
    <row r="763" spans="1:1">
      <c r="A763" s="255"/>
    </row>
    <row r="764" spans="1:1">
      <c r="A764" s="255"/>
    </row>
    <row r="765" spans="1:1">
      <c r="A765" s="255"/>
    </row>
    <row r="766" spans="1:1">
      <c r="A766" s="255"/>
    </row>
    <row r="767" spans="1:1">
      <c r="A767" s="255"/>
    </row>
    <row r="768" spans="1:1">
      <c r="A768" s="255"/>
    </row>
    <row r="769" spans="1:1">
      <c r="A769" s="255"/>
    </row>
    <row r="770" spans="1:1">
      <c r="A770" s="255"/>
    </row>
    <row r="771" spans="1:1">
      <c r="A771" s="255"/>
    </row>
    <row r="772" spans="1:1">
      <c r="A772" s="255"/>
    </row>
    <row r="773" spans="1:1">
      <c r="A773" s="255"/>
    </row>
    <row r="774" spans="1:1">
      <c r="A774" s="255"/>
    </row>
    <row r="775" spans="1:1">
      <c r="A775" s="255"/>
    </row>
    <row r="776" spans="1:1">
      <c r="A776" s="255"/>
    </row>
    <row r="777" spans="1:1">
      <c r="A777" s="255"/>
    </row>
    <row r="778" spans="1:1">
      <c r="A778" s="255"/>
    </row>
    <row r="779" spans="1:1">
      <c r="A779" s="255"/>
    </row>
    <row r="780" spans="1:1">
      <c r="A780" s="255"/>
    </row>
    <row r="781" spans="1:1">
      <c r="A781" s="255"/>
    </row>
    <row r="782" spans="1:1">
      <c r="A782" s="255"/>
    </row>
    <row r="783" spans="1:1">
      <c r="A783" s="255"/>
    </row>
    <row r="784" spans="1:1">
      <c r="A784" s="255"/>
    </row>
    <row r="785" spans="1:8">
      <c r="A785" s="255"/>
    </row>
    <row r="786" spans="1:8">
      <c r="A786" s="255"/>
    </row>
    <row r="787" spans="1:8">
      <c r="A787" s="255"/>
    </row>
    <row r="788" spans="1:8">
      <c r="A788" s="255"/>
    </row>
    <row r="789" spans="1:8">
      <c r="A789" s="256"/>
      <c r="B789" s="216"/>
      <c r="C789" s="216"/>
      <c r="D789" s="216"/>
      <c r="E789" s="10"/>
      <c r="F789" s="216"/>
      <c r="G789" s="216"/>
    </row>
    <row r="790" spans="1:8">
      <c r="A790" s="139"/>
      <c r="B790" s="216"/>
      <c r="C790" s="218"/>
      <c r="D790" s="218"/>
      <c r="E790" s="15"/>
      <c r="F790" s="216"/>
      <c r="G790" s="216"/>
    </row>
    <row r="791" spans="1:8">
      <c r="A791" s="257"/>
      <c r="B791" s="216"/>
      <c r="C791" s="216"/>
      <c r="D791" s="216"/>
      <c r="E791" s="10"/>
      <c r="F791" s="216"/>
      <c r="G791" s="216"/>
    </row>
    <row r="792" spans="1:8">
      <c r="A792" s="258"/>
      <c r="B792" s="216"/>
      <c r="C792" s="216"/>
      <c r="D792" s="216"/>
      <c r="E792" s="216"/>
      <c r="F792" s="216"/>
      <c r="G792" s="216"/>
      <c r="H792" s="137"/>
    </row>
    <row r="793" spans="1:8">
      <c r="A793" s="258"/>
      <c r="B793" s="216"/>
      <c r="C793" s="216"/>
      <c r="D793" s="216"/>
      <c r="E793" s="216"/>
      <c r="F793" s="216"/>
      <c r="G793" s="216"/>
      <c r="H793" s="216"/>
    </row>
    <row r="794" spans="1:8">
      <c r="A794" s="254"/>
      <c r="B794" s="254"/>
      <c r="C794" s="254"/>
      <c r="D794" s="254"/>
      <c r="E794" s="254"/>
      <c r="F794" s="254"/>
    </row>
    <row r="795" spans="1:8">
      <c r="A795" s="255"/>
    </row>
    <row r="796" spans="1:8">
      <c r="A796" s="255"/>
    </row>
    <row r="797" spans="1:8">
      <c r="A797" s="255"/>
    </row>
    <row r="798" spans="1:8">
      <c r="A798" s="255"/>
    </row>
    <row r="799" spans="1:8">
      <c r="A799" s="255"/>
    </row>
    <row r="800" spans="1:8">
      <c r="A800" s="255"/>
    </row>
    <row r="801" spans="1:1">
      <c r="A801" s="255"/>
    </row>
    <row r="802" spans="1:1">
      <c r="A802" s="255"/>
    </row>
    <row r="803" spans="1:1">
      <c r="A803" s="255"/>
    </row>
    <row r="804" spans="1:1">
      <c r="A804" s="255"/>
    </row>
    <row r="805" spans="1:1">
      <c r="A805" s="255"/>
    </row>
    <row r="806" spans="1:1">
      <c r="A806" s="255"/>
    </row>
    <row r="807" spans="1:1">
      <c r="A807" s="255"/>
    </row>
    <row r="808" spans="1:1">
      <c r="A808" s="255"/>
    </row>
    <row r="809" spans="1:1">
      <c r="A809" s="255"/>
    </row>
    <row r="810" spans="1:1">
      <c r="A810" s="255"/>
    </row>
    <row r="811" spans="1:1">
      <c r="A811" s="255"/>
    </row>
    <row r="812" spans="1:1">
      <c r="A812" s="255"/>
    </row>
    <row r="813" spans="1:1">
      <c r="A813" s="255"/>
    </row>
    <row r="814" spans="1:1">
      <c r="A814" s="255"/>
    </row>
    <row r="815" spans="1:1">
      <c r="A815" s="255"/>
    </row>
    <row r="816" spans="1:1">
      <c r="A816" s="255"/>
    </row>
    <row r="817" spans="1:1">
      <c r="A817" s="255"/>
    </row>
    <row r="818" spans="1:1">
      <c r="A818" s="255"/>
    </row>
    <row r="819" spans="1:1">
      <c r="A819" s="255"/>
    </row>
    <row r="820" spans="1:1">
      <c r="A820" s="255"/>
    </row>
    <row r="821" spans="1:1">
      <c r="A821" s="255"/>
    </row>
    <row r="822" spans="1:1">
      <c r="A822" s="255"/>
    </row>
    <row r="823" spans="1:1">
      <c r="A823" s="255"/>
    </row>
    <row r="824" spans="1:1">
      <c r="A824" s="255"/>
    </row>
    <row r="825" spans="1:1">
      <c r="A825" s="255"/>
    </row>
    <row r="826" spans="1:1">
      <c r="A826" s="255"/>
    </row>
    <row r="827" spans="1:1">
      <c r="A827" s="255"/>
    </row>
    <row r="828" spans="1:1">
      <c r="A828" s="255"/>
    </row>
    <row r="829" spans="1:1">
      <c r="A829" s="255"/>
    </row>
    <row r="830" spans="1:1">
      <c r="A830" s="255"/>
    </row>
    <row r="831" spans="1:1">
      <c r="A831" s="255"/>
    </row>
    <row r="832" spans="1:1">
      <c r="A832" s="255"/>
    </row>
    <row r="833" spans="1:1">
      <c r="A833" s="255"/>
    </row>
    <row r="834" spans="1:1">
      <c r="A834" s="255"/>
    </row>
    <row r="835" spans="1:1">
      <c r="A835" s="255"/>
    </row>
    <row r="836" spans="1:1">
      <c r="A836" s="255"/>
    </row>
    <row r="837" spans="1:1">
      <c r="A837" s="255"/>
    </row>
    <row r="838" spans="1:1">
      <c r="A838" s="255"/>
    </row>
    <row r="839" spans="1:1">
      <c r="A839" s="255"/>
    </row>
    <row r="840" spans="1:1">
      <c r="A840" s="255"/>
    </row>
    <row r="841" spans="1:1">
      <c r="A841" s="255"/>
    </row>
    <row r="842" spans="1:1">
      <c r="A842" s="255"/>
    </row>
    <row r="843" spans="1:1">
      <c r="A843" s="255"/>
    </row>
    <row r="844" spans="1:1">
      <c r="A844" s="255"/>
    </row>
    <row r="845" spans="1:1">
      <c r="A845" s="255"/>
    </row>
    <row r="846" spans="1:1">
      <c r="A846" s="255"/>
    </row>
    <row r="847" spans="1:1">
      <c r="A847" s="255"/>
    </row>
    <row r="848" spans="1:1">
      <c r="A848" s="255"/>
    </row>
    <row r="849" spans="1:1">
      <c r="A849" s="255"/>
    </row>
    <row r="850" spans="1:1">
      <c r="A850" s="255"/>
    </row>
    <row r="851" spans="1:1">
      <c r="A851" s="255"/>
    </row>
    <row r="852" spans="1:1">
      <c r="A852" s="255"/>
    </row>
    <row r="853" spans="1:1">
      <c r="A853" s="255"/>
    </row>
    <row r="854" spans="1:1">
      <c r="A854" s="255"/>
    </row>
    <row r="855" spans="1:1">
      <c r="A855" s="255"/>
    </row>
    <row r="856" spans="1:1">
      <c r="A856" s="255"/>
    </row>
    <row r="857" spans="1:1">
      <c r="A857" s="255"/>
    </row>
    <row r="858" spans="1:1">
      <c r="A858" s="255"/>
    </row>
    <row r="859" spans="1:1">
      <c r="A859" s="255"/>
    </row>
    <row r="860" spans="1:1">
      <c r="A860" s="255"/>
    </row>
    <row r="861" spans="1:1">
      <c r="A861" s="255"/>
    </row>
    <row r="862" spans="1:1">
      <c r="A862" s="255"/>
    </row>
    <row r="863" spans="1:1">
      <c r="A863" s="255"/>
    </row>
    <row r="864" spans="1:1">
      <c r="A864" s="255"/>
    </row>
    <row r="865" spans="1:8">
      <c r="A865" s="255"/>
    </row>
    <row r="866" spans="1:8">
      <c r="A866" s="255"/>
    </row>
    <row r="867" spans="1:8">
      <c r="A867" s="255"/>
    </row>
    <row r="868" spans="1:8">
      <c r="A868" s="255"/>
    </row>
    <row r="869" spans="1:8">
      <c r="A869" s="256"/>
      <c r="B869" s="216"/>
      <c r="C869" s="216"/>
      <c r="D869" s="216"/>
      <c r="E869" s="10"/>
      <c r="F869" s="216"/>
      <c r="G869" s="216"/>
    </row>
    <row r="870" spans="1:8">
      <c r="A870" s="139"/>
      <c r="B870" s="216"/>
      <c r="C870" s="218"/>
      <c r="D870" s="218"/>
      <c r="E870" s="15"/>
      <c r="F870" s="216"/>
      <c r="G870" s="216"/>
    </row>
    <row r="871" spans="1:8">
      <c r="A871" s="257"/>
      <c r="B871" s="216"/>
      <c r="C871" s="216"/>
      <c r="D871" s="216"/>
      <c r="E871" s="10"/>
      <c r="F871" s="216"/>
      <c r="G871" s="216"/>
    </row>
    <row r="872" spans="1:8">
      <c r="A872" s="258"/>
      <c r="B872" s="216"/>
      <c r="C872" s="216"/>
      <c r="D872" s="216"/>
      <c r="E872" s="216"/>
      <c r="F872" s="216"/>
      <c r="G872" s="216"/>
      <c r="H872" s="137"/>
    </row>
    <row r="873" spans="1:8">
      <c r="A873" s="258"/>
      <c r="B873" s="216"/>
      <c r="C873" s="216"/>
      <c r="D873" s="216"/>
      <c r="E873" s="216"/>
      <c r="F873" s="216"/>
      <c r="G873" s="216"/>
      <c r="H873" s="216"/>
    </row>
    <row r="874" spans="1:8">
      <c r="A874" s="254"/>
      <c r="B874" s="254"/>
      <c r="C874" s="254"/>
      <c r="D874" s="254"/>
      <c r="E874" s="254"/>
      <c r="F874" s="254"/>
    </row>
    <row r="875" spans="1:8">
      <c r="A875" s="255"/>
    </row>
    <row r="876" spans="1:8">
      <c r="A876" s="255"/>
    </row>
  </sheetData>
  <pageMargins left="1" right="0.75" top="1" bottom="1" header="0.5" footer="0.5"/>
  <pageSetup scale="90" orientation="landscape" r:id="rId1"/>
  <headerFooter alignWithMargins="0"/>
  <rowBreaks count="11" manualBreakCount="11">
    <brk id="68" max="7" man="1"/>
    <brk id="148" max="7" man="1"/>
    <brk id="228" max="7" man="1"/>
    <brk id="308" max="7" man="1"/>
    <brk id="388" max="7" man="1"/>
    <brk id="468" max="7" man="1"/>
    <brk id="548" max="7" man="1"/>
    <brk id="628" max="7" man="1"/>
    <brk id="708" max="7" man="1"/>
    <brk id="788" max="7" man="1"/>
    <brk id="868" max="7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tabColor rgb="FF92D050"/>
    <pageSetUpPr fitToPage="1"/>
  </sheetPr>
  <dimension ref="A1:M161"/>
  <sheetViews>
    <sheetView topLeftCell="A100" zoomScale="70" zoomScaleNormal="70" workbookViewId="0">
      <selection activeCell="A101" sqref="A101:G158"/>
    </sheetView>
  </sheetViews>
  <sheetFormatPr defaultColWidth="8.88671875" defaultRowHeight="12.75"/>
  <cols>
    <col min="1" max="1" width="9.6640625" style="172" customWidth="1"/>
    <col min="2" max="2" width="10.88671875" style="38" customWidth="1"/>
    <col min="3" max="3" width="14.5546875" style="38" customWidth="1"/>
    <col min="4" max="4" width="17" style="39" customWidth="1"/>
    <col min="5" max="5" width="18.88671875" style="38" customWidth="1"/>
    <col min="6" max="6" width="10.44140625" style="39" customWidth="1"/>
    <col min="7" max="7" width="13.6640625" style="216" customWidth="1"/>
    <col min="8" max="8" width="10.88671875" style="217" customWidth="1"/>
    <col min="9" max="9" width="12.109375" style="216" customWidth="1"/>
    <col min="10" max="10" width="11.6640625" style="216" customWidth="1"/>
    <col min="11" max="11" width="12" style="216" customWidth="1"/>
    <col min="12" max="12" width="11.109375" style="216" customWidth="1"/>
    <col min="13" max="13" width="10.77734375" style="216" customWidth="1"/>
    <col min="14" max="16384" width="8.88671875" style="216"/>
  </cols>
  <sheetData>
    <row r="1" spans="1:13">
      <c r="A1" s="196" t="str">
        <f>co_name</f>
        <v>DUKE ENERGY KENTUCKY, INC.</v>
      </c>
      <c r="B1" s="138"/>
      <c r="C1" s="138"/>
      <c r="D1" s="233"/>
      <c r="E1" s="138"/>
      <c r="F1" s="138"/>
      <c r="G1" s="138"/>
      <c r="H1" s="138"/>
      <c r="I1" s="138"/>
      <c r="J1" s="138"/>
      <c r="K1" s="10" t="s">
        <v>1551</v>
      </c>
      <c r="L1" s="138"/>
      <c r="M1" s="138"/>
    </row>
    <row r="2" spans="1:13">
      <c r="A2" s="196" t="str">
        <f>coss_type</f>
        <v xml:space="preserve">GAS COST OF SERVICE STUDY </v>
      </c>
      <c r="B2" s="139"/>
      <c r="C2" s="139"/>
      <c r="D2" s="233"/>
      <c r="E2" s="139"/>
      <c r="F2" s="139"/>
      <c r="G2" s="139"/>
      <c r="H2" s="139"/>
      <c r="I2" s="139"/>
      <c r="J2" s="139"/>
      <c r="K2" s="10" t="str">
        <f>'Alloc Factors Summary'!G2</f>
        <v>Witness Responsible:</v>
      </c>
      <c r="L2" s="139"/>
      <c r="M2" s="139"/>
    </row>
    <row r="3" spans="1:13">
      <c r="A3" s="196" t="str">
        <f>case_name</f>
        <v>CASE NO: 2018-00261</v>
      </c>
      <c r="B3" s="139"/>
      <c r="C3" s="139"/>
      <c r="D3" s="233"/>
      <c r="E3" s="139"/>
      <c r="F3" s="139"/>
      <c r="G3" s="139"/>
      <c r="H3" s="139"/>
      <c r="I3" s="139"/>
      <c r="J3" s="139"/>
      <c r="K3" s="10" t="str">
        <f>'Alloc Factors Summary'!G3</f>
        <v>James E. Ziolkowski</v>
      </c>
      <c r="L3" s="139"/>
      <c r="M3" s="139"/>
    </row>
    <row r="4" spans="1:13" s="45" customFormat="1">
      <c r="A4" s="10" t="str">
        <f>alloc_factors</f>
        <v>ALLOCATION FACTORS FOR COST OF SERVICE STUDY</v>
      </c>
      <c r="B4" s="139"/>
      <c r="C4" s="139"/>
      <c r="D4" s="233"/>
      <c r="E4" s="139"/>
      <c r="F4" s="139"/>
      <c r="G4" s="139"/>
      <c r="H4" s="139"/>
      <c r="I4" s="139"/>
      <c r="J4" s="139"/>
      <c r="K4" s="10" t="s">
        <v>724</v>
      </c>
      <c r="L4" s="139"/>
      <c r="M4" s="139"/>
    </row>
    <row r="5" spans="1:13" s="45" customFormat="1">
      <c r="A5" s="10" t="str">
        <f>time_period</f>
        <v>TWELVE MONTHS ENDING DECEMBER 31, 2017</v>
      </c>
      <c r="B5" s="25"/>
      <c r="C5" s="25"/>
      <c r="D5" s="142"/>
      <c r="E5" s="140"/>
      <c r="F5" s="142"/>
      <c r="G5" s="140"/>
      <c r="H5" s="142"/>
      <c r="I5" s="140"/>
      <c r="J5" s="140"/>
      <c r="K5" s="16">
        <f ca="1">TODAY()</f>
        <v>43347</v>
      </c>
      <c r="L5" s="25"/>
      <c r="M5" s="140"/>
    </row>
    <row r="6" spans="1:13" s="45" customFormat="1">
      <c r="A6" s="198" t="s">
        <v>839</v>
      </c>
      <c r="B6" s="25"/>
      <c r="C6" s="25"/>
      <c r="D6" s="142"/>
      <c r="E6" s="140"/>
      <c r="F6" s="142"/>
      <c r="G6" s="140"/>
      <c r="H6" s="142"/>
      <c r="I6" s="140"/>
      <c r="J6" s="140"/>
      <c r="K6" s="140"/>
      <c r="L6" s="25"/>
      <c r="M6" s="140"/>
    </row>
    <row r="7" spans="1:13" s="45" customFormat="1">
      <c r="A7" s="25"/>
      <c r="B7" s="25"/>
      <c r="C7" s="25"/>
      <c r="D7" s="142"/>
      <c r="E7" s="140"/>
      <c r="F7" s="142"/>
      <c r="G7" s="140"/>
      <c r="H7" s="142"/>
      <c r="I7" s="140"/>
      <c r="J7" s="140"/>
      <c r="K7" s="140"/>
      <c r="L7" s="25"/>
      <c r="M7" s="140"/>
    </row>
    <row r="8" spans="1:13" s="45" customFormat="1">
      <c r="A8" s="139"/>
      <c r="B8" s="25"/>
      <c r="C8" s="25"/>
      <c r="D8" s="142"/>
      <c r="E8" s="140"/>
      <c r="F8" s="142"/>
      <c r="G8" s="140"/>
      <c r="H8" s="142"/>
      <c r="I8" s="140"/>
      <c r="J8" s="140"/>
      <c r="K8" s="140"/>
      <c r="L8" s="25"/>
      <c r="M8" s="140"/>
    </row>
    <row r="9" spans="1:13" s="45" customFormat="1">
      <c r="A9" s="25"/>
      <c r="B9" s="25"/>
      <c r="C9" s="25"/>
      <c r="D9" s="141" t="s">
        <v>725</v>
      </c>
      <c r="E9" s="140"/>
      <c r="F9" s="142"/>
      <c r="G9" s="140"/>
      <c r="H9" s="142"/>
      <c r="I9" s="140"/>
      <c r="J9" s="140"/>
      <c r="K9" s="140"/>
      <c r="L9" s="1519" t="s">
        <v>726</v>
      </c>
      <c r="M9" s="1519"/>
    </row>
    <row r="10" spans="1:13" s="45" customFormat="1">
      <c r="A10" s="25"/>
      <c r="B10" s="25"/>
      <c r="C10" s="25"/>
      <c r="D10" s="141" t="s">
        <v>727</v>
      </c>
      <c r="E10" s="143" t="s">
        <v>229</v>
      </c>
      <c r="F10" s="1520" t="s">
        <v>728</v>
      </c>
      <c r="G10" s="1520"/>
      <c r="H10" s="1520" t="s">
        <v>1282</v>
      </c>
      <c r="I10" s="1520"/>
      <c r="J10" s="1520" t="s">
        <v>984</v>
      </c>
      <c r="K10" s="1520"/>
      <c r="L10" s="1521" t="s">
        <v>729</v>
      </c>
      <c r="M10" s="1521"/>
    </row>
    <row r="11" spans="1:13" s="45" customFormat="1">
      <c r="A11" s="144" t="s">
        <v>653</v>
      </c>
      <c r="B11" s="206" t="s">
        <v>730</v>
      </c>
      <c r="C11" s="25"/>
      <c r="D11" s="207" t="s">
        <v>162</v>
      </c>
      <c r="E11" s="145" t="s">
        <v>655</v>
      </c>
      <c r="F11" s="207" t="s">
        <v>162</v>
      </c>
      <c r="G11" s="145" t="s">
        <v>655</v>
      </c>
      <c r="H11" s="207" t="s">
        <v>162</v>
      </c>
      <c r="I11" s="145" t="s">
        <v>655</v>
      </c>
      <c r="J11" s="145" t="s">
        <v>162</v>
      </c>
      <c r="K11" s="145" t="s">
        <v>655</v>
      </c>
      <c r="L11" s="208" t="s">
        <v>162</v>
      </c>
      <c r="M11" s="145" t="s">
        <v>655</v>
      </c>
    </row>
    <row r="12" spans="1:13" s="45" customFormat="1">
      <c r="A12" s="216"/>
      <c r="B12" s="216"/>
      <c r="C12" s="216"/>
      <c r="D12" s="217"/>
      <c r="E12" s="146"/>
      <c r="F12" s="217"/>
      <c r="G12" s="146"/>
      <c r="H12" s="217"/>
      <c r="I12" s="146"/>
      <c r="J12" s="146"/>
      <c r="K12" s="146"/>
      <c r="L12" s="216"/>
      <c r="M12" s="146"/>
    </row>
    <row r="13" spans="1:13" s="45" customFormat="1">
      <c r="A13" s="218" t="s">
        <v>731</v>
      </c>
      <c r="B13" s="216"/>
      <c r="C13" s="216"/>
      <c r="D13" s="217"/>
      <c r="E13" s="146"/>
      <c r="F13" s="217"/>
      <c r="G13" s="146"/>
      <c r="H13" s="217"/>
      <c r="I13" s="146"/>
      <c r="J13" s="146"/>
      <c r="K13" s="146"/>
      <c r="L13" s="216"/>
      <c r="M13" s="146"/>
    </row>
    <row r="14" spans="1:13" s="45" customFormat="1">
      <c r="A14" s="147" t="s">
        <v>659</v>
      </c>
      <c r="B14" s="148" t="s">
        <v>732</v>
      </c>
      <c r="C14" s="216"/>
      <c r="D14" s="1221">
        <f t="array" ref="D14">SUM(IF(Services_Type=$A$13,IF(Services_Size=A14,IF(Services_Kind=B14,Services_Quantity))))</f>
        <v>2615</v>
      </c>
      <c r="E14" s="1222">
        <f t="array" ref="E14">SUM(IF(Services_Type=$A$13,IF(Services_Size=A14,IF(Services_Kind=B14,Services_Cost))))</f>
        <v>311326</v>
      </c>
      <c r="F14" s="149">
        <f t="shared" ref="F14:G23" si="0">D14</f>
        <v>2615</v>
      </c>
      <c r="G14" s="219">
        <f t="shared" si="0"/>
        <v>311326</v>
      </c>
      <c r="H14" s="217"/>
      <c r="I14" s="146"/>
      <c r="J14" s="146"/>
      <c r="K14" s="146"/>
      <c r="L14" s="216"/>
      <c r="M14" s="146"/>
    </row>
    <row r="15" spans="1:13" s="45" customFormat="1">
      <c r="A15" s="147" t="s">
        <v>733</v>
      </c>
      <c r="B15" s="148" t="s">
        <v>732</v>
      </c>
      <c r="C15" s="216"/>
      <c r="D15" s="1221">
        <f t="array" ref="D15">SUM(IF(Services_Type=$A$13,IF(Services_Size=A15,IF(Services_Kind=B15,Services_Quantity))))</f>
        <v>0</v>
      </c>
      <c r="E15" s="1223">
        <f t="array" ref="E15">SUM(IF(Services_Type=$A$13,IF(Services_Size=A15,IF(Services_Kind=B15,Services_Cost))))</f>
        <v>0</v>
      </c>
      <c r="F15" s="149">
        <f>D15</f>
        <v>0</v>
      </c>
      <c r="G15" s="219">
        <f>E15</f>
        <v>0</v>
      </c>
      <c r="H15" s="217"/>
      <c r="I15" s="146"/>
      <c r="J15" s="146"/>
      <c r="K15" s="146"/>
      <c r="L15" s="216"/>
      <c r="M15" s="146"/>
    </row>
    <row r="16" spans="1:13" s="45" customFormat="1">
      <c r="A16" s="147" t="s">
        <v>734</v>
      </c>
      <c r="B16" s="148" t="s">
        <v>735</v>
      </c>
      <c r="C16" s="216"/>
      <c r="D16" s="1221">
        <f t="array" ref="D16">SUM(IF(Services_Type=$A$13,IF(Services_Size=A16,IF(Services_Kind=B16,Services_Quantity))))</f>
        <v>1120</v>
      </c>
      <c r="E16" s="1223">
        <f t="array" ref="E16">SUM(IF(Services_Type=$A$13,IF(Services_Size=A16,IF(Services_Kind=B16,Services_Cost))))</f>
        <v>751603.69000000006</v>
      </c>
      <c r="F16" s="149">
        <f t="shared" si="0"/>
        <v>1120</v>
      </c>
      <c r="G16" s="219">
        <f t="shared" si="0"/>
        <v>751603.69000000006</v>
      </c>
      <c r="H16" s="217"/>
      <c r="I16" s="146"/>
      <c r="J16" s="146"/>
      <c r="K16" s="146"/>
      <c r="L16" s="216"/>
      <c r="M16" s="146"/>
    </row>
    <row r="17" spans="1:13" s="45" customFormat="1">
      <c r="A17" s="147" t="s">
        <v>659</v>
      </c>
      <c r="B17" s="148" t="s">
        <v>735</v>
      </c>
      <c r="C17" s="216"/>
      <c r="D17" s="1221">
        <f t="array" ref="D17">SUM(IF(Services_Type=$A$13,IF(Services_Size=A17,IF(Services_Kind=B17,Services_Quantity))))</f>
        <v>1738</v>
      </c>
      <c r="E17" s="1223">
        <f t="array" ref="E17">SUM(IF(Services_Type=$A$13,IF(Services_Size=A17,IF(Services_Kind=B17,Services_Cost))))</f>
        <v>30686.680000000004</v>
      </c>
      <c r="F17" s="149">
        <f t="shared" si="0"/>
        <v>1738</v>
      </c>
      <c r="G17" s="219">
        <f t="shared" si="0"/>
        <v>30686.680000000004</v>
      </c>
      <c r="H17" s="217"/>
      <c r="I17" s="146"/>
      <c r="J17" s="146"/>
      <c r="K17" s="146"/>
      <c r="L17" s="216"/>
      <c r="M17" s="146"/>
    </row>
    <row r="18" spans="1:13" s="45" customFormat="1">
      <c r="A18" s="147" t="s">
        <v>733</v>
      </c>
      <c r="B18" s="148" t="s">
        <v>735</v>
      </c>
      <c r="C18" s="216"/>
      <c r="D18" s="1221">
        <f t="array" ref="D18">SUM(IF(Services_Type=$A$13,IF(Services_Size=A18,IF(Services_Kind=B18,Services_Quantity))))</f>
        <v>1</v>
      </c>
      <c r="E18" s="1223">
        <f t="array" ref="E18">SUM(IF(Services_Type=$A$13,IF(Services_Size=A18,IF(Services_Kind=B18,Services_Cost))))</f>
        <v>397.99</v>
      </c>
      <c r="F18" s="149">
        <f t="shared" si="0"/>
        <v>1</v>
      </c>
      <c r="G18" s="219">
        <f t="shared" si="0"/>
        <v>397.99</v>
      </c>
      <c r="H18" s="217"/>
      <c r="I18" s="146"/>
      <c r="J18" s="146"/>
      <c r="K18" s="146"/>
      <c r="L18" s="216"/>
      <c r="M18" s="146"/>
    </row>
    <row r="19" spans="1:13" s="45" customFormat="1">
      <c r="A19" s="147" t="s">
        <v>736</v>
      </c>
      <c r="B19" s="148" t="s">
        <v>735</v>
      </c>
      <c r="C19" s="216"/>
      <c r="D19" s="1221">
        <f t="array" ref="D19">SUM(IF(Services_Type=$A$13,IF(Services_Size=A19,IF(Services_Kind=B19,Services_Quantity))))</f>
        <v>31</v>
      </c>
      <c r="E19" s="1223">
        <f t="array" ref="E19">SUM(IF(Services_Type=$A$13,IF(Services_Size=A19,IF(Services_Kind=B19,Services_Cost))))</f>
        <v>11367.820000000002</v>
      </c>
      <c r="F19" s="149">
        <f t="shared" si="0"/>
        <v>31</v>
      </c>
      <c r="G19" s="219">
        <f t="shared" si="0"/>
        <v>11367.820000000002</v>
      </c>
      <c r="H19" s="217"/>
      <c r="I19" s="146"/>
      <c r="J19" s="146"/>
      <c r="K19" s="146"/>
      <c r="L19" s="216"/>
      <c r="M19" s="146"/>
    </row>
    <row r="20" spans="1:13" s="45" customFormat="1">
      <c r="A20" s="147" t="s">
        <v>737</v>
      </c>
      <c r="B20" s="148" t="s">
        <v>738</v>
      </c>
      <c r="C20" s="216"/>
      <c r="D20" s="1221">
        <f t="array" ref="D20">SUM(IF(Services_Type=$A$13,IF(Services_Size=A20,IF(Services_Kind=B20,Services_Quantity))))</f>
        <v>0</v>
      </c>
      <c r="E20" s="1223">
        <f t="array" ref="E20">SUM(IF(Services_Type=$A$13,IF(Services_Size=A20,IF(Services_Kind=B20,Services_Cost))))</f>
        <v>0</v>
      </c>
      <c r="F20" s="149">
        <f>D20</f>
        <v>0</v>
      </c>
      <c r="G20" s="219">
        <f>E20</f>
        <v>0</v>
      </c>
      <c r="H20" s="217"/>
      <c r="I20" s="146"/>
      <c r="J20" s="146"/>
      <c r="K20" s="146"/>
      <c r="L20" s="216"/>
      <c r="M20" s="146"/>
    </row>
    <row r="21" spans="1:13" s="45" customFormat="1">
      <c r="A21" s="147" t="s">
        <v>659</v>
      </c>
      <c r="B21" s="148" t="s">
        <v>738</v>
      </c>
      <c r="C21" s="216"/>
      <c r="D21" s="1221">
        <f t="array" ref="D21">SUM(IF(Services_Type=$A$13,IF(Services_Size=A21,IF(Services_Kind=B21,Services_Quantity))))</f>
        <v>245</v>
      </c>
      <c r="E21" s="1223">
        <f t="array" ref="E21">SUM(IF(Services_Type=$A$13,IF(Services_Size=A21,IF(Services_Kind=B21,Services_Cost))))</f>
        <v>11793.52</v>
      </c>
      <c r="F21" s="149">
        <f t="shared" si="0"/>
        <v>245</v>
      </c>
      <c r="G21" s="219">
        <f t="shared" si="0"/>
        <v>11793.52</v>
      </c>
      <c r="H21" s="217"/>
      <c r="I21" s="146"/>
      <c r="J21" s="146"/>
      <c r="K21" s="146"/>
      <c r="L21" s="216"/>
      <c r="M21" s="146"/>
    </row>
    <row r="22" spans="1:13" s="45" customFormat="1">
      <c r="A22" s="147" t="s">
        <v>709</v>
      </c>
      <c r="B22" s="148" t="s">
        <v>732</v>
      </c>
      <c r="C22" s="216"/>
      <c r="D22" s="1221">
        <f t="array" ref="D22">SUM(IF(Services_Type=$A$13,IF(Services_Size=A22,IF(Services_Kind=B22,Services_Quantity))))</f>
        <v>171</v>
      </c>
      <c r="E22" s="1223">
        <f t="array" ref="E22">SUM(IF(Services_Type=$A$13,IF(Services_Size=A22,IF(Services_Kind=B22,Services_Cost))))</f>
        <v>19119</v>
      </c>
      <c r="F22" s="149">
        <f t="shared" si="0"/>
        <v>171</v>
      </c>
      <c r="G22" s="219">
        <f t="shared" si="0"/>
        <v>19119</v>
      </c>
      <c r="H22" s="217"/>
      <c r="I22" s="146"/>
      <c r="J22" s="146"/>
      <c r="K22" s="146"/>
      <c r="L22" s="216"/>
      <c r="M22" s="146"/>
    </row>
    <row r="23" spans="1:13" s="45" customFormat="1">
      <c r="A23" s="147" t="s">
        <v>709</v>
      </c>
      <c r="B23" s="148" t="s">
        <v>735</v>
      </c>
      <c r="C23" s="216"/>
      <c r="D23" s="1221">
        <f t="array" ref="D23">SUM(IF(Services_Type=$A$13,IF(Services_Size=A23,IF(Services_Kind=B23,Services_Quantity))))</f>
        <v>83416</v>
      </c>
      <c r="E23" s="1223">
        <f t="array" ref="E23">SUM(IF(Services_Type=$A$13,IF(Services_Size=A23,IF(Services_Kind=B23,Services_Cost))))</f>
        <v>35177422.229999997</v>
      </c>
      <c r="F23" s="150">
        <f t="shared" si="0"/>
        <v>83416</v>
      </c>
      <c r="G23" s="151">
        <f t="shared" si="0"/>
        <v>35177422.229999997</v>
      </c>
      <c r="H23" s="217"/>
      <c r="I23" s="146"/>
      <c r="J23" s="146"/>
      <c r="K23" s="146"/>
      <c r="L23" s="216"/>
      <c r="M23" s="146"/>
    </row>
    <row r="24" spans="1:13" s="45" customFormat="1">
      <c r="A24" s="216"/>
      <c r="B24" s="216"/>
      <c r="C24" s="216"/>
      <c r="D24" s="1224"/>
      <c r="E24" s="1225"/>
      <c r="F24" s="217"/>
      <c r="G24" s="146"/>
      <c r="H24" s="217"/>
      <c r="I24" s="146"/>
      <c r="J24" s="146"/>
      <c r="K24" s="146"/>
      <c r="L24" s="216"/>
      <c r="M24" s="146"/>
    </row>
    <row r="25" spans="1:13" s="45" customFormat="1">
      <c r="A25" s="218" t="s">
        <v>229</v>
      </c>
      <c r="B25" s="216"/>
      <c r="C25" s="216"/>
      <c r="D25" s="1226">
        <f>SUM(D12:D24)</f>
        <v>89337</v>
      </c>
      <c r="E25" s="1227">
        <f>SUM(E12:E24)</f>
        <v>36313716.93</v>
      </c>
      <c r="F25" s="217"/>
      <c r="G25" s="146"/>
      <c r="H25" s="217"/>
      <c r="I25" s="146"/>
      <c r="J25" s="146"/>
      <c r="K25" s="146"/>
      <c r="L25" s="216"/>
      <c r="M25" s="146"/>
    </row>
    <row r="26" spans="1:13" s="45" customFormat="1">
      <c r="A26" s="216"/>
      <c r="B26" s="216"/>
      <c r="C26" s="216"/>
      <c r="D26" s="1228"/>
      <c r="E26" s="1229"/>
      <c r="F26" s="217"/>
      <c r="G26" s="146"/>
      <c r="H26" s="217"/>
      <c r="I26" s="146"/>
      <c r="J26" s="146"/>
      <c r="K26" s="146"/>
      <c r="L26" s="216"/>
      <c r="M26" s="146"/>
    </row>
    <row r="27" spans="1:13" s="45" customFormat="1">
      <c r="A27" s="218" t="s">
        <v>1414</v>
      </c>
      <c r="B27" s="216"/>
      <c r="C27" s="216"/>
      <c r="D27" s="1228"/>
      <c r="E27" s="1229"/>
      <c r="F27" s="217"/>
      <c r="G27" s="146"/>
      <c r="H27" s="217"/>
      <c r="I27" s="146"/>
      <c r="J27" s="146"/>
      <c r="K27" s="146"/>
      <c r="L27" s="216"/>
      <c r="M27" s="146"/>
    </row>
    <row r="28" spans="1:13" s="45" customFormat="1">
      <c r="A28" s="147" t="s">
        <v>709</v>
      </c>
      <c r="B28" s="148" t="s">
        <v>738</v>
      </c>
      <c r="C28" s="216"/>
      <c r="D28" s="1221">
        <f t="array" ref="D28">SUM(IF(Services_Type=$A$27,IF(Services_Size=A28,IF(Services_Kind=B28,Services_Quantity))))</f>
        <v>1224</v>
      </c>
      <c r="E28" s="1222">
        <f t="array" ref="E28">SUM(IF(Services_Type=$A$27,IF(Services_Size=A28,IF(Services_Kind=B28,Services_Cost))))</f>
        <v>1324916.3399999996</v>
      </c>
      <c r="F28" s="149">
        <f>ROUND(0.75*$D$28,0)</f>
        <v>918</v>
      </c>
      <c r="G28" s="219">
        <f>ROUND(0.75*$E$28,2)</f>
        <v>993687.26</v>
      </c>
      <c r="H28" s="149">
        <f>ROUND(0.125*$D$28,0)</f>
        <v>153</v>
      </c>
      <c r="I28" s="219">
        <f>ROUND(0.125*$E$28,2)</f>
        <v>165614.54</v>
      </c>
      <c r="J28" s="149">
        <f>ROUND(0.125*$D$28,0)</f>
        <v>153</v>
      </c>
      <c r="K28" s="219">
        <f>ROUND(0.125*$E$28,2)</f>
        <v>165614.54</v>
      </c>
      <c r="L28" s="216"/>
      <c r="M28" s="146"/>
    </row>
    <row r="29" spans="1:13" s="45" customFormat="1">
      <c r="A29" s="216"/>
      <c r="B29" s="216"/>
      <c r="C29" s="216"/>
      <c r="D29" s="1228"/>
      <c r="E29" s="1229"/>
      <c r="F29" s="217"/>
      <c r="G29" s="146"/>
      <c r="H29" s="217"/>
      <c r="I29" s="146"/>
      <c r="J29" s="146"/>
      <c r="K29" s="146"/>
      <c r="L29" s="216"/>
      <c r="M29" s="146"/>
    </row>
    <row r="30" spans="1:13" s="45" customFormat="1">
      <c r="A30" s="152" t="s">
        <v>1415</v>
      </c>
      <c r="B30" s="216"/>
      <c r="C30" s="216"/>
      <c r="D30" s="1228"/>
      <c r="E30" s="1229"/>
      <c r="F30" s="217"/>
      <c r="G30" s="146"/>
      <c r="H30" s="217"/>
      <c r="I30" s="146"/>
      <c r="J30" s="146"/>
      <c r="K30" s="146"/>
      <c r="L30" s="216"/>
      <c r="M30" s="146"/>
    </row>
    <row r="31" spans="1:13" s="45" customFormat="1">
      <c r="A31" s="147" t="s">
        <v>708</v>
      </c>
      <c r="B31" s="148" t="s">
        <v>732</v>
      </c>
      <c r="C31" s="216"/>
      <c r="D31" s="1221">
        <f t="array" ref="D31">SUM(IF(Services_Type=$A$30,IF(Services_Size=A31,IF(Services_Kind=B31,Services_Quantity))))</f>
        <v>1</v>
      </c>
      <c r="E31" s="1222">
        <f t="array" ref="E31">SUM(IF(Services_Type=$A$30,IF(Services_Size=A31,IF(Services_Kind=B31,Services_Cost))))</f>
        <v>310</v>
      </c>
      <c r="F31" s="149">
        <f>ROUND(0.8*D31,0)</f>
        <v>1</v>
      </c>
      <c r="G31" s="219">
        <f>ROUND(0.8*E31,2)</f>
        <v>248</v>
      </c>
      <c r="H31" s="149">
        <f>ROUND(0.1*D31,0)</f>
        <v>0</v>
      </c>
      <c r="I31" s="219">
        <f>ROUND(0.1*E31,2)</f>
        <v>31</v>
      </c>
      <c r="J31" s="149">
        <f>ROUND(0.1*D31,0)</f>
        <v>0</v>
      </c>
      <c r="K31" s="219">
        <f>ROUND(0.1*E31,2)</f>
        <v>31</v>
      </c>
      <c r="L31" s="216"/>
      <c r="M31" s="146"/>
    </row>
    <row r="32" spans="1:13" s="45" customFormat="1">
      <c r="A32" s="220" t="s">
        <v>739</v>
      </c>
      <c r="B32" s="221" t="s">
        <v>732</v>
      </c>
      <c r="C32" s="216"/>
      <c r="D32" s="1221">
        <f t="array" ref="D32">SUM(IF(Services_Type=$A$30,IF(Services_Size=A32,IF(Services_Kind=B32,Services_Quantity))))</f>
        <v>0</v>
      </c>
      <c r="E32" s="1223">
        <f t="array" ref="E32">SUM(IF(Services_Type=$A$30,IF(Services_Size=A32,IF(Services_Kind=B32,Services_Cost))))</f>
        <v>0</v>
      </c>
      <c r="F32" s="149">
        <f>0.8*D32</f>
        <v>0</v>
      </c>
      <c r="G32" s="219">
        <f>ROUND(0.8*E32,2)</f>
        <v>0</v>
      </c>
      <c r="H32" s="149">
        <f>ROUND(0.1*D32,0)</f>
        <v>0</v>
      </c>
      <c r="I32" s="219">
        <f>ROUND(0.1*E32,2)</f>
        <v>0</v>
      </c>
      <c r="J32" s="149">
        <f>ROUND(0.1*D32,0)</f>
        <v>0</v>
      </c>
      <c r="K32" s="219">
        <f>ROUND(0.1*E32,2)</f>
        <v>0</v>
      </c>
      <c r="L32" s="216"/>
      <c r="M32" s="146"/>
    </row>
    <row r="33" spans="1:13" s="45" customFormat="1">
      <c r="A33" s="147" t="s">
        <v>708</v>
      </c>
      <c r="B33" s="148" t="s">
        <v>735</v>
      </c>
      <c r="C33" s="216"/>
      <c r="D33" s="1221">
        <f t="array" ref="D33">SUM(IF(Services_Type=$A$30,IF(Services_Size=A33,IF(Services_Kind=B33,Services_Quantity))))</f>
        <v>5399</v>
      </c>
      <c r="E33" s="1223">
        <f t="array" ref="E33">SUM(IF(Services_Type=$A$30,IF(Services_Size=A33,IF(Services_Kind=B33,Services_Cost))))</f>
        <v>2186834.0000000005</v>
      </c>
      <c r="F33" s="149">
        <f>0.8*D33</f>
        <v>4319.2</v>
      </c>
      <c r="G33" s="219">
        <f>ROUND(0.8*E33,2)</f>
        <v>1749467.2</v>
      </c>
      <c r="H33" s="149">
        <f>ROUND(0.1*D33,0)</f>
        <v>540</v>
      </c>
      <c r="I33" s="219">
        <f>ROUND(0.1*E33,2)</f>
        <v>218683.4</v>
      </c>
      <c r="J33" s="149">
        <f>ROUND(0.1*D33,0)</f>
        <v>540</v>
      </c>
      <c r="K33" s="219">
        <f>ROUND(0.1*E33,2)</f>
        <v>218683.4</v>
      </c>
      <c r="L33" s="216"/>
      <c r="M33" s="146"/>
    </row>
    <row r="34" spans="1:13" s="45" customFormat="1">
      <c r="A34" s="147" t="s">
        <v>739</v>
      </c>
      <c r="B34" s="148" t="s">
        <v>738</v>
      </c>
      <c r="C34" s="216"/>
      <c r="D34" s="1221">
        <f t="array" ref="D34">SUM(IF(Services_Type=$A$30,IF(Services_Size=A34,IF(Services_Kind=B34,Services_Quantity))))</f>
        <v>166</v>
      </c>
      <c r="E34" s="1223">
        <f t="array" ref="E34">SUM(IF(Services_Type=$A$30,IF(Services_Size=A34,IF(Services_Kind=B34,Services_Cost))))</f>
        <v>-76.679999999999993</v>
      </c>
      <c r="F34" s="149">
        <f>0.8*D34</f>
        <v>132.80000000000001</v>
      </c>
      <c r="G34" s="219">
        <f>ROUND(0.8*E34,2)</f>
        <v>-61.34</v>
      </c>
      <c r="H34" s="149">
        <f>ROUND(0.1*D34,0)</f>
        <v>17</v>
      </c>
      <c r="I34" s="219">
        <f>ROUND(0.1*E34,2)</f>
        <v>-7.67</v>
      </c>
      <c r="J34" s="149">
        <f>ROUND(0.1*D34,0)</f>
        <v>17</v>
      </c>
      <c r="K34" s="219">
        <f>ROUND(0.1*E34,2)</f>
        <v>-7.67</v>
      </c>
      <c r="L34" s="216"/>
      <c r="M34" s="146"/>
    </row>
    <row r="35" spans="1:13" s="45" customFormat="1">
      <c r="A35" s="147" t="s">
        <v>708</v>
      </c>
      <c r="B35" s="148" t="s">
        <v>738</v>
      </c>
      <c r="C35" s="216"/>
      <c r="D35" s="1221">
        <f t="array" ref="D35">SUM(IF(Services_Type=$A$30,IF(Services_Size=A35,IF(Services_Kind=B35,Services_Quantity))))</f>
        <v>2</v>
      </c>
      <c r="E35" s="1223">
        <f t="array" ref="E35">SUM(IF(Services_Type=$A$30,IF(Services_Size=A35,IF(Services_Kind=B35,Services_Cost))))</f>
        <v>4913.42</v>
      </c>
      <c r="F35" s="149">
        <f>0.8*D35</f>
        <v>1.6</v>
      </c>
      <c r="G35" s="219">
        <f>ROUND(0.8*E35,2)</f>
        <v>3930.74</v>
      </c>
      <c r="H35" s="149">
        <f>ROUND(0.1*D35,0)</f>
        <v>0</v>
      </c>
      <c r="I35" s="219">
        <f>ROUND(0.1*E35,2)</f>
        <v>491.34</v>
      </c>
      <c r="J35" s="149">
        <f>ROUND(0.1*D35,0)</f>
        <v>0</v>
      </c>
      <c r="K35" s="219">
        <f>ROUND(0.1*E35,2)</f>
        <v>491.34</v>
      </c>
      <c r="L35" s="216"/>
      <c r="M35" s="146"/>
    </row>
    <row r="36" spans="1:13" s="45" customFormat="1">
      <c r="A36" s="216"/>
      <c r="B36" s="216"/>
      <c r="C36" s="216"/>
      <c r="D36" s="1224"/>
      <c r="E36" s="1225"/>
      <c r="F36" s="217"/>
      <c r="G36" s="146"/>
      <c r="H36" s="217"/>
      <c r="I36" s="146"/>
      <c r="J36" s="146"/>
      <c r="K36" s="146"/>
      <c r="L36" s="216"/>
      <c r="M36" s="146"/>
    </row>
    <row r="37" spans="1:13" s="45" customFormat="1">
      <c r="A37" s="218" t="s">
        <v>229</v>
      </c>
      <c r="B37" s="216"/>
      <c r="C37" s="216"/>
      <c r="D37" s="1226">
        <f>SUM(D29:D36)</f>
        <v>5568</v>
      </c>
      <c r="E37" s="1227">
        <f>SUM(E29:E36)</f>
        <v>2191980.7400000002</v>
      </c>
      <c r="F37" s="217"/>
      <c r="G37" s="146"/>
      <c r="H37" s="217"/>
      <c r="I37" s="146"/>
      <c r="J37" s="146"/>
      <c r="K37" s="146"/>
      <c r="L37" s="216"/>
      <c r="M37" s="146"/>
    </row>
    <row r="38" spans="1:13" s="45" customFormat="1">
      <c r="A38" s="216"/>
      <c r="B38" s="216"/>
      <c r="C38" s="216"/>
      <c r="D38" s="1230"/>
      <c r="E38" s="1231"/>
      <c r="F38" s="217"/>
      <c r="G38" s="146"/>
      <c r="H38" s="217"/>
      <c r="I38" s="146"/>
      <c r="J38" s="146"/>
      <c r="K38" s="146"/>
      <c r="L38" s="216"/>
      <c r="M38" s="146"/>
    </row>
    <row r="39" spans="1:13" s="45" customFormat="1">
      <c r="A39" s="216"/>
      <c r="B39" s="216"/>
      <c r="C39" s="216"/>
      <c r="D39" s="1228"/>
      <c r="E39" s="1229"/>
      <c r="F39" s="217"/>
      <c r="G39" s="146"/>
      <c r="H39" s="217"/>
      <c r="I39" s="146"/>
      <c r="J39" s="146"/>
      <c r="K39" s="146"/>
      <c r="L39" s="216"/>
      <c r="M39" s="146"/>
    </row>
    <row r="40" spans="1:13" s="45" customFormat="1">
      <c r="A40" s="218" t="s">
        <v>1416</v>
      </c>
      <c r="B40" s="216"/>
      <c r="C40" s="216"/>
      <c r="D40" s="1228"/>
      <c r="E40" s="1229"/>
      <c r="F40" s="217"/>
      <c r="G40" s="146"/>
      <c r="H40" s="217"/>
      <c r="I40" s="146"/>
      <c r="J40" s="146"/>
      <c r="K40" s="146"/>
      <c r="L40" s="216"/>
      <c r="M40" s="146"/>
    </row>
    <row r="41" spans="1:13" s="45" customFormat="1">
      <c r="A41" s="147" t="s">
        <v>711</v>
      </c>
      <c r="B41" s="221" t="s">
        <v>732</v>
      </c>
      <c r="C41" s="216"/>
      <c r="D41" s="1221">
        <f t="array" ref="D41">SUM(IF(Services_Type=$A$40,IF(Services_Size=A41,IF(Services_Kind=B41,Services_Quantity))))</f>
        <v>54</v>
      </c>
      <c r="E41" s="1222">
        <f t="array" ref="E41">SUM(IF(Services_Type=$A$40,IF(Services_Size=A41,IF(Services_Kind=B41,Services_Cost))))</f>
        <v>20036</v>
      </c>
      <c r="F41" s="217"/>
      <c r="G41" s="146"/>
      <c r="H41" s="149">
        <f>ROUND(0.5*D41,0)</f>
        <v>27</v>
      </c>
      <c r="I41" s="219">
        <f>ROUND(0.5*E41,2)</f>
        <v>10018</v>
      </c>
      <c r="J41" s="149">
        <f t="shared" ref="J41:K44" si="1">D41-H41</f>
        <v>27</v>
      </c>
      <c r="K41" s="219">
        <f t="shared" si="1"/>
        <v>10018</v>
      </c>
      <c r="L41" s="216"/>
      <c r="M41" s="146"/>
    </row>
    <row r="42" spans="1:13" s="45" customFormat="1">
      <c r="A42" s="147" t="s">
        <v>711</v>
      </c>
      <c r="B42" s="148" t="s">
        <v>735</v>
      </c>
      <c r="C42" s="216"/>
      <c r="D42" s="1221">
        <f t="array" ref="D42">SUM(IF(Services_Type=$A$40,IF(Services_Size=A42,IF(Services_Kind=B42,Services_Quantity))))</f>
        <v>665</v>
      </c>
      <c r="E42" s="1223">
        <f t="array" ref="E42">SUM(IF(Services_Type=$A$40,IF(Services_Size=A42,IF(Services_Kind=B42,Services_Cost))))</f>
        <v>598679.85999999975</v>
      </c>
      <c r="F42" s="217"/>
      <c r="G42" s="146"/>
      <c r="H42" s="149">
        <f>ROUND(0.5*D42,0)</f>
        <v>333</v>
      </c>
      <c r="I42" s="219">
        <f>ROUND(0.5*E42,2)</f>
        <v>299339.93</v>
      </c>
      <c r="J42" s="149">
        <f t="shared" si="1"/>
        <v>332</v>
      </c>
      <c r="K42" s="219">
        <f t="shared" si="1"/>
        <v>299339.92999999976</v>
      </c>
      <c r="L42" s="216"/>
      <c r="M42" s="146"/>
    </row>
    <row r="43" spans="1:13" s="45" customFormat="1">
      <c r="A43" s="147" t="s">
        <v>711</v>
      </c>
      <c r="B43" s="148" t="s">
        <v>738</v>
      </c>
      <c r="C43" s="216"/>
      <c r="D43" s="1221">
        <f t="array" ref="D43">SUM(IF(Services_Type=$A$40,IF(Services_Size=A43,IF(Services_Kind=B43,Services_Quantity))))</f>
        <v>259</v>
      </c>
      <c r="E43" s="1223">
        <f t="array" ref="E43">SUM(IF(Services_Type=$A$40,IF(Services_Size=A43,IF(Services_Kind=B43,Services_Cost))))</f>
        <v>254828.04000000004</v>
      </c>
      <c r="F43" s="217"/>
      <c r="G43" s="146"/>
      <c r="H43" s="149">
        <f>ROUND(0.5*D43,0)</f>
        <v>130</v>
      </c>
      <c r="I43" s="219">
        <f>ROUND(0.5*E43,2)</f>
        <v>127414.02</v>
      </c>
      <c r="J43" s="149">
        <f t="shared" si="1"/>
        <v>129</v>
      </c>
      <c r="K43" s="219">
        <f t="shared" si="1"/>
        <v>127414.02000000003</v>
      </c>
      <c r="L43" s="216"/>
      <c r="M43" s="146"/>
    </row>
    <row r="44" spans="1:13" s="45" customFormat="1">
      <c r="A44" s="147" t="s">
        <v>740</v>
      </c>
      <c r="B44" s="148" t="s">
        <v>738</v>
      </c>
      <c r="C44" s="216"/>
      <c r="D44" s="1221">
        <f t="array" ref="D44">SUM(IF(Services_Type=$A$40,IF(Services_Size=A44,IF(Services_Kind=B44,Services_Quantity))))</f>
        <v>0</v>
      </c>
      <c r="E44" s="1223">
        <f t="array" ref="E44">SUM(IF(Services_Type=$A$40,IF(Services_Size=A44,IF(Services_Kind=B44,Services_Cost))))</f>
        <v>0</v>
      </c>
      <c r="F44" s="217"/>
      <c r="G44" s="146"/>
      <c r="H44" s="149">
        <f>ROUND(0.5*D44,0)</f>
        <v>0</v>
      </c>
      <c r="I44" s="219">
        <f>IF(H44=1,E44,ROUND(0.5*E44,2))</f>
        <v>0</v>
      </c>
      <c r="J44" s="149">
        <f t="shared" si="1"/>
        <v>0</v>
      </c>
      <c r="K44" s="219">
        <f t="shared" si="1"/>
        <v>0</v>
      </c>
      <c r="L44" s="216"/>
      <c r="M44" s="146"/>
    </row>
    <row r="45" spans="1:13" s="234" customFormat="1">
      <c r="A45" s="220"/>
      <c r="B45" s="221"/>
      <c r="C45" s="211"/>
      <c r="D45" s="222"/>
      <c r="E45" s="223"/>
      <c r="F45" s="212"/>
      <c r="G45" s="214"/>
      <c r="H45" s="210"/>
      <c r="I45" s="213"/>
      <c r="J45" s="210"/>
      <c r="K45" s="213"/>
      <c r="L45" s="211"/>
      <c r="M45" s="214"/>
    </row>
    <row r="46" spans="1:13" s="45" customFormat="1">
      <c r="A46" s="196" t="str">
        <f>co_name</f>
        <v>DUKE ENERGY KENTUCKY, INC.</v>
      </c>
      <c r="B46" s="138"/>
      <c r="C46" s="138"/>
      <c r="D46" s="1232"/>
      <c r="E46" s="1233"/>
      <c r="F46" s="138"/>
      <c r="G46" s="138"/>
      <c r="H46" s="138"/>
      <c r="I46" s="138"/>
      <c r="J46" s="138"/>
      <c r="K46" s="10" t="str">
        <f>K1</f>
        <v>WP FR-16(7)(v)</v>
      </c>
      <c r="L46" s="216"/>
      <c r="M46" s="146"/>
    </row>
    <row r="47" spans="1:13" s="45" customFormat="1">
      <c r="A47" s="196" t="str">
        <f>coss_type</f>
        <v xml:space="preserve">GAS COST OF SERVICE STUDY </v>
      </c>
      <c r="B47" s="139"/>
      <c r="C47" s="139"/>
      <c r="D47" s="1232"/>
      <c r="E47" s="1234"/>
      <c r="F47" s="139"/>
      <c r="G47" s="139"/>
      <c r="H47" s="139"/>
      <c r="I47" s="139"/>
      <c r="J47" s="139"/>
      <c r="K47" s="10" t="str">
        <f>'Alloc Factors Summary'!G2</f>
        <v>Witness Responsible:</v>
      </c>
      <c r="L47" s="216"/>
      <c r="M47" s="146"/>
    </row>
    <row r="48" spans="1:13" s="45" customFormat="1">
      <c r="A48" s="196" t="str">
        <f>case_name</f>
        <v>CASE NO: 2018-00261</v>
      </c>
      <c r="B48" s="139"/>
      <c r="C48" s="139"/>
      <c r="D48" s="1232"/>
      <c r="E48" s="1234"/>
      <c r="F48" s="139"/>
      <c r="G48" s="139"/>
      <c r="H48" s="139"/>
      <c r="I48" s="139"/>
      <c r="J48" s="139"/>
      <c r="K48" s="10" t="str">
        <f>'Alloc Factors Summary'!G3</f>
        <v>James E. Ziolkowski</v>
      </c>
      <c r="L48" s="216"/>
      <c r="M48" s="146"/>
    </row>
    <row r="49" spans="1:13" s="45" customFormat="1">
      <c r="A49" s="10" t="str">
        <f>alloc_factors</f>
        <v>ALLOCATION FACTORS FOR COST OF SERVICE STUDY</v>
      </c>
      <c r="B49" s="139"/>
      <c r="C49" s="139"/>
      <c r="D49" s="1232"/>
      <c r="E49" s="1234"/>
      <c r="F49" s="139"/>
      <c r="G49" s="139"/>
      <c r="H49" s="139"/>
      <c r="I49" s="139"/>
      <c r="J49" s="139"/>
      <c r="K49" s="10" t="s">
        <v>741</v>
      </c>
      <c r="L49" s="216"/>
      <c r="M49" s="146"/>
    </row>
    <row r="50" spans="1:13" s="45" customFormat="1">
      <c r="A50" s="10" t="str">
        <f>time_period</f>
        <v>TWELVE MONTHS ENDING DECEMBER 31, 2017</v>
      </c>
      <c r="B50" s="148"/>
      <c r="C50" s="216"/>
      <c r="D50" s="222"/>
      <c r="E50" s="223"/>
      <c r="F50" s="217"/>
      <c r="G50" s="146"/>
      <c r="H50" s="149"/>
      <c r="I50" s="219"/>
      <c r="J50" s="149"/>
      <c r="K50" s="16">
        <f ca="1">TODAY()</f>
        <v>43347</v>
      </c>
      <c r="L50" s="216"/>
      <c r="M50" s="146"/>
    </row>
    <row r="51" spans="1:13" s="45" customFormat="1">
      <c r="A51" s="198" t="s">
        <v>839</v>
      </c>
      <c r="B51" s="148"/>
      <c r="C51" s="216"/>
      <c r="D51" s="222"/>
      <c r="E51" s="223"/>
      <c r="F51" s="217"/>
      <c r="G51" s="146"/>
      <c r="H51" s="149"/>
      <c r="I51" s="219"/>
      <c r="J51" s="149"/>
      <c r="K51" s="219"/>
      <c r="L51" s="216"/>
      <c r="M51" s="146"/>
    </row>
    <row r="52" spans="1:13" s="45" customFormat="1">
      <c r="A52" s="147"/>
      <c r="B52" s="148"/>
      <c r="C52" s="216"/>
      <c r="D52" s="222"/>
      <c r="E52" s="223"/>
      <c r="F52" s="217"/>
      <c r="G52" s="146"/>
      <c r="H52" s="149"/>
      <c r="I52" s="219"/>
      <c r="J52" s="219"/>
      <c r="K52" s="219"/>
      <c r="L52" s="216"/>
      <c r="M52" s="146"/>
    </row>
    <row r="53" spans="1:13" s="45" customFormat="1">
      <c r="A53" s="139"/>
      <c r="B53" s="25"/>
      <c r="C53" s="25"/>
      <c r="D53" s="1235"/>
      <c r="E53" s="1236"/>
      <c r="F53" s="142"/>
      <c r="G53" s="140"/>
      <c r="H53" s="142"/>
      <c r="I53" s="140"/>
      <c r="J53" s="140"/>
      <c r="K53" s="140"/>
      <c r="L53" s="25"/>
      <c r="M53" s="140"/>
    </row>
    <row r="54" spans="1:13" s="45" customFormat="1">
      <c r="A54" s="25"/>
      <c r="B54" s="25"/>
      <c r="C54" s="25"/>
      <c r="D54" s="1237" t="s">
        <v>725</v>
      </c>
      <c r="E54" s="1236"/>
      <c r="F54" s="142"/>
      <c r="G54" s="140"/>
      <c r="H54" s="142"/>
      <c r="I54" s="140"/>
      <c r="J54" s="140"/>
      <c r="K54" s="140"/>
      <c r="L54" s="1519" t="s">
        <v>726</v>
      </c>
      <c r="M54" s="1519"/>
    </row>
    <row r="55" spans="1:13" s="45" customFormat="1">
      <c r="A55" s="25"/>
      <c r="B55" s="25"/>
      <c r="C55" s="25"/>
      <c r="D55" s="1237" t="s">
        <v>727</v>
      </c>
      <c r="E55" s="1238" t="s">
        <v>229</v>
      </c>
      <c r="F55" s="1520" t="s">
        <v>728</v>
      </c>
      <c r="G55" s="1520"/>
      <c r="H55" s="1520" t="s">
        <v>1282</v>
      </c>
      <c r="I55" s="1520"/>
      <c r="J55" s="1520" t="s">
        <v>984</v>
      </c>
      <c r="K55" s="1520"/>
      <c r="L55" s="1521" t="s">
        <v>729</v>
      </c>
      <c r="M55" s="1521"/>
    </row>
    <row r="56" spans="1:13" s="45" customFormat="1">
      <c r="A56" s="144" t="s">
        <v>653</v>
      </c>
      <c r="B56" s="206" t="s">
        <v>730</v>
      </c>
      <c r="C56" s="25"/>
      <c r="D56" s="1239" t="s">
        <v>162</v>
      </c>
      <c r="E56" s="1240" t="s">
        <v>655</v>
      </c>
      <c r="F56" s="1387" t="s">
        <v>162</v>
      </c>
      <c r="G56" s="145" t="s">
        <v>655</v>
      </c>
      <c r="H56" s="1387" t="s">
        <v>162</v>
      </c>
      <c r="I56" s="145" t="s">
        <v>655</v>
      </c>
      <c r="J56" s="145" t="s">
        <v>162</v>
      </c>
      <c r="K56" s="145" t="s">
        <v>655</v>
      </c>
      <c r="L56" s="1388" t="s">
        <v>162</v>
      </c>
      <c r="M56" s="145" t="s">
        <v>655</v>
      </c>
    </row>
    <row r="57" spans="1:13" s="45" customFormat="1">
      <c r="A57" s="216"/>
      <c r="B57" s="216"/>
      <c r="C57" s="216"/>
      <c r="D57" s="212"/>
      <c r="E57" s="214"/>
      <c r="F57" s="217"/>
      <c r="G57" s="146"/>
      <c r="H57" s="217"/>
      <c r="I57" s="146"/>
      <c r="J57" s="146"/>
      <c r="K57" s="146"/>
      <c r="L57" s="216"/>
      <c r="M57" s="146"/>
    </row>
    <row r="58" spans="1:13" s="45" customFormat="1">
      <c r="A58" s="218" t="s">
        <v>1417</v>
      </c>
      <c r="B58" s="148"/>
      <c r="C58" s="216"/>
      <c r="D58" s="222"/>
      <c r="E58" s="223"/>
      <c r="F58" s="217"/>
      <c r="G58" s="146"/>
      <c r="H58" s="149"/>
      <c r="I58" s="219"/>
      <c r="J58" s="219"/>
      <c r="K58" s="219"/>
      <c r="L58" s="216"/>
      <c r="M58" s="146"/>
    </row>
    <row r="59" spans="1:13" s="45" customFormat="1">
      <c r="A59" s="153" t="s">
        <v>712</v>
      </c>
      <c r="B59" s="154" t="s">
        <v>742</v>
      </c>
      <c r="C59" s="155"/>
      <c r="D59" s="1221">
        <f t="array" ref="D59">SUM(IF(Services_Type=$A$58,IF(Services_Size=A59,IF(Services_Kind=B59,Services_Quantity))))</f>
        <v>0</v>
      </c>
      <c r="E59" s="1222">
        <f t="array" ref="E59">SUM(IF(Services_Type=$A$58,IF(Services_Size=A59,IF(Services_Kind=B59,Services_Cost))))</f>
        <v>0</v>
      </c>
      <c r="F59" s="156"/>
      <c r="G59" s="157"/>
      <c r="H59" s="149">
        <f t="shared" ref="H59:H64" si="2">ROUND(0.1*D59,0)</f>
        <v>0</v>
      </c>
      <c r="I59" s="219">
        <f t="shared" ref="I59:I64" si="3">IF(H59=0,0,ROUND(0.1*E59,2))</f>
        <v>0</v>
      </c>
      <c r="J59" s="149">
        <f t="shared" ref="J59:K64" si="4">D59-H59</f>
        <v>0</v>
      </c>
      <c r="K59" s="219">
        <f t="shared" si="4"/>
        <v>0</v>
      </c>
      <c r="L59" s="155"/>
      <c r="M59" s="157"/>
    </row>
    <row r="60" spans="1:13" s="45" customFormat="1">
      <c r="A60" s="153" t="s">
        <v>712</v>
      </c>
      <c r="B60" s="154" t="s">
        <v>732</v>
      </c>
      <c r="C60" s="155"/>
      <c r="D60" s="1221">
        <f t="array" ref="D60">SUM(IF(Services_Type=$A$58,IF(Services_Size=A60,IF(Services_Kind=B60,Services_Quantity))))</f>
        <v>0</v>
      </c>
      <c r="E60" s="1221">
        <f t="array" ref="E60">SUM(IF(Services_Type=$A$58,IF(Services_Size=A60,IF(Services_Kind=B60,Services_Cost))))</f>
        <v>0</v>
      </c>
      <c r="F60" s="156"/>
      <c r="G60" s="157"/>
      <c r="H60" s="149">
        <f t="shared" si="2"/>
        <v>0</v>
      </c>
      <c r="I60" s="219">
        <f t="shared" si="3"/>
        <v>0</v>
      </c>
      <c r="J60" s="149">
        <f t="shared" si="4"/>
        <v>0</v>
      </c>
      <c r="K60" s="219">
        <f t="shared" si="4"/>
        <v>0</v>
      </c>
      <c r="L60" s="155"/>
      <c r="M60" s="157"/>
    </row>
    <row r="61" spans="1:13" s="45" customFormat="1">
      <c r="A61" s="153" t="s">
        <v>713</v>
      </c>
      <c r="B61" s="154" t="s">
        <v>742</v>
      </c>
      <c r="C61" s="155"/>
      <c r="D61" s="1221">
        <f t="array" ref="D61">SUM(IF(Services_Type=$A$58,IF(Services_Size=A61,IF(Services_Kind=B61,Services_Quantity))))</f>
        <v>0</v>
      </c>
      <c r="E61" s="1221">
        <f t="array" ref="E61">SUM(IF(Services_Type=$A$58,IF(Services_Size=A61,IF(Services_Kind=B61,Services_Cost))))</f>
        <v>0</v>
      </c>
      <c r="F61" s="156"/>
      <c r="G61" s="157"/>
      <c r="H61" s="149">
        <f t="shared" si="2"/>
        <v>0</v>
      </c>
      <c r="I61" s="219">
        <f t="shared" si="3"/>
        <v>0</v>
      </c>
      <c r="J61" s="149">
        <f t="shared" si="4"/>
        <v>0</v>
      </c>
      <c r="K61" s="219">
        <f t="shared" si="4"/>
        <v>0</v>
      </c>
      <c r="L61" s="155"/>
      <c r="M61" s="157"/>
    </row>
    <row r="62" spans="1:13" s="45" customFormat="1">
      <c r="A62" s="153" t="s">
        <v>713</v>
      </c>
      <c r="B62" s="154" t="s">
        <v>732</v>
      </c>
      <c r="C62" s="155"/>
      <c r="D62" s="1221">
        <f t="array" ref="D62">SUM(IF(Services_Type=$A$58,IF(Services_Size=A62,IF(Services_Kind=B62,Services_Quantity))))</f>
        <v>0</v>
      </c>
      <c r="E62" s="1221">
        <f t="array" ref="E62">SUM(IF(Services_Type=$A$58,IF(Services_Size=A62,IF(Services_Kind=B62,Services_Cost))))</f>
        <v>0</v>
      </c>
      <c r="F62" s="156"/>
      <c r="G62" s="157"/>
      <c r="H62" s="149">
        <f t="shared" si="2"/>
        <v>0</v>
      </c>
      <c r="I62" s="219">
        <f t="shared" si="3"/>
        <v>0</v>
      </c>
      <c r="J62" s="149">
        <f t="shared" si="4"/>
        <v>0</v>
      </c>
      <c r="K62" s="219">
        <f t="shared" si="4"/>
        <v>0</v>
      </c>
      <c r="L62" s="155"/>
      <c r="M62" s="157"/>
    </row>
    <row r="63" spans="1:13" s="45" customFormat="1">
      <c r="A63" s="153" t="s">
        <v>714</v>
      </c>
      <c r="B63" s="154" t="s">
        <v>742</v>
      </c>
      <c r="C63" s="155"/>
      <c r="D63" s="1221">
        <f t="array" ref="D63">SUM(IF(Services_Type=$A$58,IF(Services_Size=A63,IF(Services_Kind=B63,Services_Quantity))))</f>
        <v>0</v>
      </c>
      <c r="E63" s="1221">
        <f t="array" ref="E63">SUM(IF(Services_Type=$A$58,IF(Services_Size=A63,IF(Services_Kind=B63,Services_Cost))))</f>
        <v>0</v>
      </c>
      <c r="F63" s="156"/>
      <c r="G63" s="157"/>
      <c r="H63" s="149">
        <f t="shared" si="2"/>
        <v>0</v>
      </c>
      <c r="I63" s="219">
        <f t="shared" si="3"/>
        <v>0</v>
      </c>
      <c r="J63" s="149">
        <f t="shared" si="4"/>
        <v>0</v>
      </c>
      <c r="K63" s="219">
        <f t="shared" si="4"/>
        <v>0</v>
      </c>
      <c r="L63" s="155"/>
      <c r="M63" s="157"/>
    </row>
    <row r="64" spans="1:13" s="45" customFormat="1">
      <c r="A64" s="153" t="s">
        <v>714</v>
      </c>
      <c r="B64" s="154" t="s">
        <v>732</v>
      </c>
      <c r="C64" s="155"/>
      <c r="D64" s="1221">
        <f t="array" ref="D64">SUM(IF(Services_Type=$A$58,IF(Services_Size=A64,IF(Services_Kind=B64,Services_Quantity))))</f>
        <v>0</v>
      </c>
      <c r="E64" s="1221">
        <f t="array" ref="E64">SUM(IF(Services_Type=$A$58,IF(Services_Size=A64,IF(Services_Kind=B64,Services_Cost))))</f>
        <v>0</v>
      </c>
      <c r="F64" s="156"/>
      <c r="G64" s="157"/>
      <c r="H64" s="149">
        <f t="shared" si="2"/>
        <v>0</v>
      </c>
      <c r="I64" s="219">
        <f t="shared" si="3"/>
        <v>0</v>
      </c>
      <c r="J64" s="149">
        <f t="shared" si="4"/>
        <v>0</v>
      </c>
      <c r="K64" s="219">
        <f t="shared" si="4"/>
        <v>0</v>
      </c>
      <c r="L64" s="155"/>
      <c r="M64" s="157"/>
    </row>
    <row r="65" spans="1:13" s="45" customFormat="1">
      <c r="A65" s="153" t="s">
        <v>715</v>
      </c>
      <c r="B65" s="154" t="s">
        <v>742</v>
      </c>
      <c r="C65" s="155"/>
      <c r="D65" s="1221">
        <f t="array" ref="D65">SUM(IF(Services_Type=$A$58,IF(Services_Size=A65,IF(Services_Kind=B65,Services_Quantity))))</f>
        <v>0</v>
      </c>
      <c r="E65" s="1221">
        <f t="array" ref="E65">SUM(IF(Services_Type=$A$58,IF(Services_Size=A65,IF(Services_Kind=B65,Services_Cost))))</f>
        <v>0</v>
      </c>
      <c r="F65" s="156"/>
      <c r="G65" s="157"/>
      <c r="H65" s="149" t="s">
        <v>343</v>
      </c>
      <c r="I65" s="219" t="s">
        <v>343</v>
      </c>
      <c r="J65" s="149" t="s">
        <v>343</v>
      </c>
      <c r="K65" s="219" t="s">
        <v>343</v>
      </c>
      <c r="L65" s="158">
        <f>D65</f>
        <v>0</v>
      </c>
      <c r="M65" s="151">
        <f>E65</f>
        <v>0</v>
      </c>
    </row>
    <row r="66" spans="1:13" s="45" customFormat="1">
      <c r="A66" s="147" t="s">
        <v>712</v>
      </c>
      <c r="B66" s="148" t="s">
        <v>735</v>
      </c>
      <c r="C66" s="216"/>
      <c r="D66" s="1221">
        <f t="array" ref="D66">SUM(IF(Services_Type=$A$58,IF(Services_Size=A66,IF(Services_Kind=B66,Services_Quantity))))</f>
        <v>131</v>
      </c>
      <c r="E66" s="1221">
        <f t="array" ref="E66">SUM(IF(Services_Type=$A$58,IF(Services_Size=A66,IF(Services_Kind=B66,Services_Cost))))</f>
        <v>338772.62000000005</v>
      </c>
      <c r="F66" s="217"/>
      <c r="G66" s="146"/>
      <c r="H66" s="149">
        <f t="shared" ref="H66:H72" si="5">ROUND(0.1*D66,0)</f>
        <v>13</v>
      </c>
      <c r="I66" s="219">
        <f t="shared" ref="I66:I72" si="6">IF(H66=0,0,ROUND(0.1*E66,2))</f>
        <v>33877.26</v>
      </c>
      <c r="J66" s="149">
        <f t="shared" ref="J66:J72" si="7">D66-H66</f>
        <v>118</v>
      </c>
      <c r="K66" s="219">
        <f t="shared" ref="K66:K72" si="8">E66-I66</f>
        <v>304895.36000000004</v>
      </c>
      <c r="L66" s="216"/>
      <c r="M66" s="146"/>
    </row>
    <row r="67" spans="1:13" s="45" customFormat="1">
      <c r="A67" s="153" t="s">
        <v>713</v>
      </c>
      <c r="B67" s="154" t="s">
        <v>735</v>
      </c>
      <c r="C67" s="155"/>
      <c r="D67" s="1221">
        <f t="array" ref="D67">SUM(IF(Services_Type=$A$58,IF(Services_Size=A67,IF(Services_Kind=B67,Services_Quantity))))</f>
        <v>110</v>
      </c>
      <c r="E67" s="1221">
        <f t="array" ref="E67">SUM(IF(Services_Type=$A$58,IF(Services_Size=A67,IF(Services_Kind=B67,Services_Cost))))</f>
        <v>249637.34</v>
      </c>
      <c r="F67" s="156"/>
      <c r="G67" s="157"/>
      <c r="H67" s="149">
        <f t="shared" si="5"/>
        <v>11</v>
      </c>
      <c r="I67" s="219">
        <f t="shared" si="6"/>
        <v>24963.73</v>
      </c>
      <c r="J67" s="149">
        <f t="shared" si="7"/>
        <v>99</v>
      </c>
      <c r="K67" s="219">
        <f t="shared" si="8"/>
        <v>224673.61</v>
      </c>
      <c r="L67" s="155"/>
      <c r="M67" s="157"/>
    </row>
    <row r="68" spans="1:13" s="45" customFormat="1">
      <c r="A68" s="153" t="s">
        <v>714</v>
      </c>
      <c r="B68" s="154" t="s">
        <v>735</v>
      </c>
      <c r="C68" s="155"/>
      <c r="D68" s="1221">
        <f t="array" ref="D68">SUM(IF(Services_Type=$A$58,IF(Services_Size=A68,IF(Services_Kind=B68,Services_Quantity))))</f>
        <v>24</v>
      </c>
      <c r="E68" s="1221">
        <f t="array" ref="E68">SUM(IF(Services_Type=$A$58,IF(Services_Size=A68,IF(Services_Kind=B68,Services_Cost))))</f>
        <v>85755.45</v>
      </c>
      <c r="F68" s="156"/>
      <c r="G68" s="157"/>
      <c r="H68" s="149">
        <f t="shared" si="5"/>
        <v>2</v>
      </c>
      <c r="I68" s="219">
        <f t="shared" si="6"/>
        <v>8575.5499999999993</v>
      </c>
      <c r="J68" s="149">
        <f t="shared" si="7"/>
        <v>22</v>
      </c>
      <c r="K68" s="219">
        <f t="shared" si="8"/>
        <v>77179.899999999994</v>
      </c>
      <c r="L68" s="155"/>
      <c r="M68" s="157"/>
    </row>
    <row r="69" spans="1:13" s="45" customFormat="1">
      <c r="A69" s="153" t="s">
        <v>715</v>
      </c>
      <c r="B69" s="154" t="s">
        <v>735</v>
      </c>
      <c r="C69" s="155"/>
      <c r="D69" s="1221">
        <f t="array" ref="D69">SUM(IF(Services_Type=$A$58,IF(Services_Size=A69,IF(Services_Kind=B69,Services_Quantity))))</f>
        <v>6</v>
      </c>
      <c r="E69" s="1221">
        <f t="array" ref="E69">SUM(IF(Services_Type=$A$58,IF(Services_Size=A69,IF(Services_Kind=B69,Services_Cost))))</f>
        <v>34815.49</v>
      </c>
      <c r="F69" s="156"/>
      <c r="G69" s="157"/>
      <c r="H69" s="149">
        <f t="shared" si="5"/>
        <v>1</v>
      </c>
      <c r="I69" s="219">
        <f t="shared" si="6"/>
        <v>3481.55</v>
      </c>
      <c r="J69" s="149">
        <f t="shared" si="7"/>
        <v>5</v>
      </c>
      <c r="K69" s="219">
        <f t="shared" si="8"/>
        <v>31333.94</v>
      </c>
      <c r="L69" s="155"/>
      <c r="M69" s="157"/>
    </row>
    <row r="70" spans="1:13" s="45" customFormat="1">
      <c r="A70" s="147" t="s">
        <v>712</v>
      </c>
      <c r="B70" s="148" t="s">
        <v>738</v>
      </c>
      <c r="C70" s="216"/>
      <c r="D70" s="1221">
        <f t="array" ref="D70">SUM(IF(Services_Type=$A$58,IF(Services_Size=A70,IF(Services_Kind=B70,Services_Quantity))))</f>
        <v>88</v>
      </c>
      <c r="E70" s="1221">
        <f t="array" ref="E70">SUM(IF(Services_Type=$A$58,IF(Services_Size=A70,IF(Services_Kind=B70,Services_Cost))))</f>
        <v>164808.90999999997</v>
      </c>
      <c r="F70" s="217"/>
      <c r="G70" s="146"/>
      <c r="H70" s="149">
        <f t="shared" si="5"/>
        <v>9</v>
      </c>
      <c r="I70" s="219">
        <f t="shared" si="6"/>
        <v>16480.89</v>
      </c>
      <c r="J70" s="149">
        <f t="shared" si="7"/>
        <v>79</v>
      </c>
      <c r="K70" s="219">
        <f t="shared" si="8"/>
        <v>148328.01999999996</v>
      </c>
      <c r="L70" s="216"/>
      <c r="M70" s="146"/>
    </row>
    <row r="71" spans="1:13" s="45" customFormat="1">
      <c r="A71" s="147" t="s">
        <v>713</v>
      </c>
      <c r="B71" s="148" t="s">
        <v>738</v>
      </c>
      <c r="C71" s="216"/>
      <c r="D71" s="1221">
        <f t="array" ref="D71">SUM(IF(Services_Type=$A$58,IF(Services_Size=A71,IF(Services_Kind=B71,Services_Quantity))))</f>
        <v>52</v>
      </c>
      <c r="E71" s="1221">
        <f t="array" ref="E71">SUM(IF(Services_Type=$A$58,IF(Services_Size=A71,IF(Services_Kind=B71,Services_Cost))))</f>
        <v>95080.429999999978</v>
      </c>
      <c r="F71" s="217"/>
      <c r="G71" s="146"/>
      <c r="H71" s="149">
        <f t="shared" si="5"/>
        <v>5</v>
      </c>
      <c r="I71" s="219">
        <f t="shared" si="6"/>
        <v>9508.0400000000009</v>
      </c>
      <c r="J71" s="149">
        <f t="shared" si="7"/>
        <v>47</v>
      </c>
      <c r="K71" s="219">
        <f t="shared" si="8"/>
        <v>85572.389999999985</v>
      </c>
      <c r="L71" s="216"/>
      <c r="M71" s="146"/>
    </row>
    <row r="72" spans="1:13" s="45" customFormat="1">
      <c r="A72" s="147" t="s">
        <v>714</v>
      </c>
      <c r="B72" s="148" t="s">
        <v>738</v>
      </c>
      <c r="C72" s="216"/>
      <c r="D72" s="1221">
        <f t="array" ref="D72">SUM(IF(Services_Type=$A$58,IF(Services_Size=A72,IF(Services_Kind=B72,Services_Quantity))))</f>
        <v>25</v>
      </c>
      <c r="E72" s="1221">
        <f t="array" ref="E72">SUM(IF(Services_Type=$A$58,IF(Services_Size=A72,IF(Services_Kind=B72,Services_Cost))))</f>
        <v>82290.3</v>
      </c>
      <c r="F72" s="217"/>
      <c r="G72" s="146"/>
      <c r="H72" s="149">
        <f t="shared" si="5"/>
        <v>3</v>
      </c>
      <c r="I72" s="219">
        <f t="shared" si="6"/>
        <v>8229.0300000000007</v>
      </c>
      <c r="J72" s="149">
        <f t="shared" si="7"/>
        <v>22</v>
      </c>
      <c r="K72" s="219">
        <f t="shared" si="8"/>
        <v>74061.27</v>
      </c>
      <c r="L72" s="216"/>
      <c r="M72" s="146"/>
    </row>
    <row r="73" spans="1:13" s="45" customFormat="1">
      <c r="A73" s="147" t="s">
        <v>715</v>
      </c>
      <c r="B73" s="148" t="s">
        <v>738</v>
      </c>
      <c r="C73" s="216"/>
      <c r="D73" s="1221">
        <f t="array" ref="D73">SUM(IF(Services_Type=$A$58,IF(Services_Size=A73,IF(Services_Kind=B73,Services_Quantity))))</f>
        <v>6</v>
      </c>
      <c r="E73" s="1221">
        <f t="array" ref="E73">SUM(IF(Services_Type=$A$58,IF(Services_Size=A73,IF(Services_Kind=B73,Services_Cost))))</f>
        <v>55925.83</v>
      </c>
      <c r="F73" s="43"/>
      <c r="G73" s="159"/>
      <c r="H73" s="43"/>
      <c r="I73" s="159"/>
      <c r="J73" s="159"/>
      <c r="K73" s="159"/>
      <c r="L73" s="158">
        <f t="shared" ref="L73:M76" si="9">D73</f>
        <v>6</v>
      </c>
      <c r="M73" s="151">
        <f t="shared" si="9"/>
        <v>55925.83</v>
      </c>
    </row>
    <row r="74" spans="1:13" s="45" customFormat="1">
      <c r="A74" s="147" t="s">
        <v>743</v>
      </c>
      <c r="B74" s="148" t="s">
        <v>738</v>
      </c>
      <c r="C74" s="216"/>
      <c r="D74" s="1221">
        <f t="array" ref="D74">SUM(IF(Services_Type=$A$58,IF(Services_Size=A74,IF(Services_Kind=B74,Services_Quantity))))</f>
        <v>0</v>
      </c>
      <c r="E74" s="1221">
        <f t="array" ref="E74">SUM(IF(Services_Type=$A$58,IF(Services_Size=A74,IF(Services_Kind=B74,Services_Cost))))</f>
        <v>0</v>
      </c>
      <c r="F74" s="43"/>
      <c r="G74" s="159"/>
      <c r="H74" s="43"/>
      <c r="I74" s="159"/>
      <c r="J74" s="159"/>
      <c r="K74" s="159"/>
      <c r="L74" s="158">
        <f t="shared" si="9"/>
        <v>0</v>
      </c>
      <c r="M74" s="151">
        <f t="shared" si="9"/>
        <v>0</v>
      </c>
    </row>
    <row r="75" spans="1:13" s="45" customFormat="1">
      <c r="A75" s="147" t="s">
        <v>710</v>
      </c>
      <c r="B75" s="148" t="s">
        <v>738</v>
      </c>
      <c r="C75" s="216"/>
      <c r="D75" s="1221">
        <f t="array" ref="D75">SUM(IF(Services_Type=$A$58,IF(Services_Size=A75,IF(Services_Kind=B75,Services_Quantity))))</f>
        <v>0</v>
      </c>
      <c r="E75" s="1221">
        <f t="array" ref="E75">SUM(IF(Services_Type=$A$58,IF(Services_Size=A75,IF(Services_Kind=B75,Services_Cost))))</f>
        <v>0</v>
      </c>
      <c r="F75" s="43"/>
      <c r="G75" s="159"/>
      <c r="H75" s="43"/>
      <c r="I75" s="159"/>
      <c r="J75" s="159"/>
      <c r="K75" s="159"/>
      <c r="L75" s="158">
        <f t="shared" si="9"/>
        <v>0</v>
      </c>
      <c r="M75" s="151">
        <f t="shared" si="9"/>
        <v>0</v>
      </c>
    </row>
    <row r="76" spans="1:13" s="45" customFormat="1">
      <c r="A76" s="147" t="s">
        <v>744</v>
      </c>
      <c r="B76" s="148" t="s">
        <v>738</v>
      </c>
      <c r="C76" s="216"/>
      <c r="D76" s="1221">
        <f t="array" ref="D76">SUM(IF(Services_Type=$A$58,IF(Services_Size=A76,IF(Services_Kind=B76,Services_Quantity))))</f>
        <v>0</v>
      </c>
      <c r="E76" s="1221">
        <f t="array" ref="E76">SUM(IF(Services_Type=$A$58,IF(Services_Size=A76,IF(Services_Kind=B76,Services_Cost))))</f>
        <v>0</v>
      </c>
      <c r="F76" s="43"/>
      <c r="G76" s="159"/>
      <c r="H76" s="43"/>
      <c r="I76" s="159"/>
      <c r="J76" s="159"/>
      <c r="K76" s="159"/>
      <c r="L76" s="158">
        <f t="shared" si="9"/>
        <v>0</v>
      </c>
      <c r="M76" s="151">
        <f t="shared" si="9"/>
        <v>0</v>
      </c>
    </row>
    <row r="77" spans="1:13" s="45" customFormat="1">
      <c r="A77" s="216"/>
      <c r="B77" s="216"/>
      <c r="C77" s="216"/>
      <c r="D77" s="1230"/>
      <c r="E77" s="1231"/>
      <c r="F77" s="160"/>
      <c r="G77" s="161"/>
      <c r="H77" s="160"/>
      <c r="I77" s="161"/>
      <c r="J77" s="161"/>
      <c r="K77" s="161"/>
      <c r="L77" s="147"/>
      <c r="M77" s="161"/>
    </row>
    <row r="78" spans="1:13" s="45" customFormat="1" ht="13.5" thickBot="1">
      <c r="A78" s="218" t="s">
        <v>229</v>
      </c>
      <c r="B78" s="216"/>
      <c r="C78" s="216"/>
      <c r="D78" s="162">
        <f>SUM(D41:D77)</f>
        <v>1420</v>
      </c>
      <c r="E78" s="769">
        <f>SUM(E41:E77)</f>
        <v>1980630.2699999998</v>
      </c>
      <c r="F78" s="162">
        <f t="shared" ref="F78:M78" si="10">SUM(F14:F44)+SUM(F59:F76)</f>
        <v>94709.6</v>
      </c>
      <c r="G78" s="163">
        <f t="shared" si="10"/>
        <v>39060988.789999999</v>
      </c>
      <c r="H78" s="162">
        <f t="shared" si="10"/>
        <v>1244</v>
      </c>
      <c r="I78" s="163">
        <f t="shared" si="10"/>
        <v>926700.6100000001</v>
      </c>
      <c r="J78" s="162">
        <f t="shared" si="10"/>
        <v>1590</v>
      </c>
      <c r="K78" s="163">
        <f t="shared" si="10"/>
        <v>1767629.0499999998</v>
      </c>
      <c r="L78" s="162">
        <f t="shared" si="10"/>
        <v>6</v>
      </c>
      <c r="M78" s="163">
        <f t="shared" si="10"/>
        <v>55925.83</v>
      </c>
    </row>
    <row r="79" spans="1:13" s="45" customFormat="1" ht="13.5" thickTop="1">
      <c r="A79" s="216"/>
      <c r="B79" s="216"/>
      <c r="C79" s="216"/>
      <c r="D79" s="217"/>
      <c r="E79" s="146"/>
      <c r="F79" s="217"/>
      <c r="G79" s="146"/>
      <c r="H79" s="217"/>
      <c r="I79" s="146"/>
      <c r="J79" s="146"/>
      <c r="K79" s="146"/>
      <c r="L79" s="216"/>
      <c r="M79" s="146"/>
    </row>
    <row r="80" spans="1:13" s="45" customFormat="1" ht="13.5" thickBot="1">
      <c r="A80" s="218" t="s">
        <v>745</v>
      </c>
      <c r="B80" s="216"/>
      <c r="C80" s="216"/>
      <c r="D80" s="164">
        <f>D78+D37+D28+D25</f>
        <v>97549</v>
      </c>
      <c r="E80" s="770">
        <f>E78+E37+E28+E25</f>
        <v>41811244.280000001</v>
      </c>
      <c r="F80" s="164"/>
      <c r="G80" s="165">
        <f>G78/F78</f>
        <v>412.42903348762951</v>
      </c>
      <c r="H80" s="164"/>
      <c r="I80" s="165">
        <f>I78/H78</f>
        <v>744.93618167202578</v>
      </c>
      <c r="J80" s="165"/>
      <c r="K80" s="165">
        <f>K78/J78</f>
        <v>1111.7163836477987</v>
      </c>
      <c r="L80" s="166"/>
      <c r="M80" s="165">
        <f>M78/L78</f>
        <v>9320.9716666666664</v>
      </c>
    </row>
    <row r="81" spans="1:13" s="45" customFormat="1" ht="13.5" thickTop="1">
      <c r="A81" s="216"/>
      <c r="B81" s="216"/>
      <c r="C81" s="216"/>
      <c r="D81" s="217"/>
      <c r="E81" s="146"/>
      <c r="F81" s="217"/>
      <c r="G81" s="146"/>
      <c r="H81" s="217"/>
      <c r="I81" s="146"/>
      <c r="J81" s="146"/>
      <c r="K81" s="146"/>
      <c r="L81" s="216"/>
      <c r="M81" s="146"/>
    </row>
    <row r="82" spans="1:13" s="45" customFormat="1">
      <c r="A82" s="218" t="s">
        <v>746</v>
      </c>
      <c r="B82" s="216"/>
      <c r="C82" s="216"/>
      <c r="D82" s="217"/>
      <c r="E82" s="217"/>
      <c r="F82" s="217"/>
      <c r="G82" s="219">
        <f>G80/$G$80</f>
        <v>1</v>
      </c>
      <c r="H82" s="217"/>
      <c r="I82" s="219">
        <f>I80/$G$80</f>
        <v>1.8062166365268015</v>
      </c>
      <c r="J82" s="219"/>
      <c r="K82" s="219">
        <f>K80/G80</f>
        <v>2.6955337606733831</v>
      </c>
      <c r="L82" s="216"/>
      <c r="M82" s="219">
        <f>M80/$G$80</f>
        <v>22.600183085670764</v>
      </c>
    </row>
    <row r="83" spans="1:13" s="45" customFormat="1">
      <c r="A83" s="218"/>
      <c r="B83" s="216"/>
      <c r="C83" s="216"/>
      <c r="D83" s="217"/>
      <c r="E83" s="217"/>
      <c r="F83" s="217"/>
      <c r="G83" s="219"/>
      <c r="H83" s="217"/>
      <c r="I83" s="219"/>
      <c r="J83" s="219"/>
      <c r="K83" s="219"/>
      <c r="L83" s="216"/>
      <c r="M83" s="219"/>
    </row>
    <row r="84" spans="1:13">
      <c r="A84" s="196" t="str">
        <f>co_name</f>
        <v>DUKE ENERGY KENTUCKY, INC.</v>
      </c>
      <c r="B84" s="10"/>
      <c r="C84" s="10"/>
      <c r="D84" s="235"/>
      <c r="E84" s="10"/>
      <c r="F84" s="10" t="str">
        <f>K1</f>
        <v>WP FR-16(7)(v)</v>
      </c>
      <c r="H84" s="236"/>
    </row>
    <row r="85" spans="1:13">
      <c r="A85" s="196" t="str">
        <f>coss_type</f>
        <v xml:space="preserve">GAS COST OF SERVICE STUDY </v>
      </c>
      <c r="B85" s="10"/>
      <c r="C85" s="10"/>
      <c r="D85" s="235"/>
      <c r="E85" s="10"/>
      <c r="F85" s="10" t="str">
        <f>K2</f>
        <v>Witness Responsible:</v>
      </c>
      <c r="H85" s="236"/>
    </row>
    <row r="86" spans="1:13">
      <c r="A86" s="196" t="str">
        <f>case_name</f>
        <v>CASE NO: 2018-00261</v>
      </c>
      <c r="B86" s="10"/>
      <c r="C86" s="10"/>
      <c r="D86" s="235"/>
      <c r="E86" s="10"/>
      <c r="F86" s="10" t="str">
        <f>K3</f>
        <v>James E. Ziolkowski</v>
      </c>
      <c r="H86" s="236"/>
    </row>
    <row r="87" spans="1:13">
      <c r="A87" s="10" t="str">
        <f>alloc_factors</f>
        <v>ALLOCATION FACTORS FOR COST OF SERVICE STUDY</v>
      </c>
      <c r="B87" s="10"/>
      <c r="C87" s="10"/>
      <c r="D87" s="235"/>
      <c r="E87" s="10"/>
      <c r="F87" s="10" t="s">
        <v>747</v>
      </c>
      <c r="H87" s="236"/>
    </row>
    <row r="88" spans="1:13">
      <c r="A88" s="10" t="str">
        <f>time_period</f>
        <v>TWELVE MONTHS ENDING DECEMBER 31, 2017</v>
      </c>
      <c r="F88" s="16">
        <f ca="1">TODAY()</f>
        <v>43347</v>
      </c>
    </row>
    <row r="89" spans="1:13">
      <c r="A89" s="198" t="s">
        <v>839</v>
      </c>
    </row>
    <row r="90" spans="1:13">
      <c r="A90" s="10"/>
      <c r="F90" s="50"/>
      <c r="G90" s="167"/>
    </row>
    <row r="91" spans="1:13">
      <c r="D91" s="1273" t="s">
        <v>763</v>
      </c>
      <c r="E91" s="1274" t="s">
        <v>578</v>
      </c>
      <c r="G91" s="43"/>
    </row>
    <row r="92" spans="1:13">
      <c r="A92" s="1518" t="s">
        <v>479</v>
      </c>
      <c r="B92" s="1518"/>
      <c r="C92" s="205" t="s">
        <v>575</v>
      </c>
      <c r="D92" s="168" t="s">
        <v>812</v>
      </c>
      <c r="E92" s="169" t="s">
        <v>575</v>
      </c>
      <c r="F92" s="205" t="s">
        <v>565</v>
      </c>
      <c r="G92" s="43"/>
    </row>
    <row r="93" spans="1:13">
      <c r="A93" s="32"/>
      <c r="B93" s="32"/>
      <c r="C93" s="32"/>
      <c r="D93" s="170"/>
      <c r="E93" s="171"/>
      <c r="F93" s="32"/>
      <c r="G93" s="43"/>
    </row>
    <row r="94" spans="1:13">
      <c r="A94" s="172" t="s">
        <v>749</v>
      </c>
      <c r="C94" s="1020">
        <f>'Alloc Factors Summary'!D60</f>
        <v>91382</v>
      </c>
      <c r="D94" s="173">
        <v>1</v>
      </c>
      <c r="E94" s="35">
        <f>ROUND(D94*C94,0)</f>
        <v>91382</v>
      </c>
      <c r="F94" s="28">
        <f>1-SUM(F95:F97)</f>
        <v>0.87299000000000004</v>
      </c>
      <c r="G94" s="43"/>
    </row>
    <row r="95" spans="1:13">
      <c r="A95" s="1016" t="s">
        <v>1282</v>
      </c>
      <c r="B95" s="309"/>
      <c r="C95" s="1020">
        <f>'Alloc Factors Summary'!D61</f>
        <v>6943</v>
      </c>
      <c r="D95" s="214">
        <f>I82</f>
        <v>1.8062166365268015</v>
      </c>
      <c r="E95" s="35">
        <f>ROUND(D95*C95,0)</f>
        <v>12541</v>
      </c>
      <c r="F95" s="28">
        <f>ROUND(E95/E$99,5)</f>
        <v>0.11981</v>
      </c>
      <c r="G95" s="43"/>
    </row>
    <row r="96" spans="1:13">
      <c r="A96" s="1016" t="s">
        <v>984</v>
      </c>
      <c r="B96" s="309"/>
      <c r="C96" s="1020">
        <f>'Alloc Factors Summary'!D62</f>
        <v>95</v>
      </c>
      <c r="D96" s="329">
        <f>K82</f>
        <v>2.6955337606733831</v>
      </c>
      <c r="E96" s="35">
        <f>ROUND(D96*C96,0)</f>
        <v>256</v>
      </c>
      <c r="F96" s="28">
        <f>ROUND(E96/E$99,5)</f>
        <v>2.4499999999999999E-3</v>
      </c>
    </row>
    <row r="97" spans="1:9">
      <c r="A97" s="328" t="s">
        <v>615</v>
      </c>
      <c r="B97" s="309"/>
      <c r="C97" s="1021">
        <f>'Alloc Factors Summary'!D63</f>
        <v>22</v>
      </c>
      <c r="D97" s="173">
        <f>M82</f>
        <v>22.600183085670764</v>
      </c>
      <c r="E97" s="1015">
        <f>ROUND(D97*C97,0)</f>
        <v>497</v>
      </c>
      <c r="F97" s="181">
        <f>ROUND(E97/E$99,5)</f>
        <v>4.7499999999999999E-3</v>
      </c>
    </row>
    <row r="98" spans="1:9">
      <c r="A98" s="172" t="s">
        <v>343</v>
      </c>
      <c r="C98" s="35" t="s">
        <v>343</v>
      </c>
      <c r="D98" s="174" t="s">
        <v>343</v>
      </c>
      <c r="E98" s="38" t="s">
        <v>343</v>
      </c>
      <c r="F98" s="28"/>
      <c r="G98" s="43"/>
    </row>
    <row r="99" spans="1:9" ht="13.5" thickBot="1">
      <c r="A99" s="172" t="s">
        <v>582</v>
      </c>
      <c r="C99" s="1013">
        <f>SUM(C94:C97)</f>
        <v>98442</v>
      </c>
      <c r="D99" s="174" t="s">
        <v>343</v>
      </c>
      <c r="E99" s="1013">
        <f>SUM(E94:E97)</f>
        <v>104676</v>
      </c>
      <c r="F99" s="1014">
        <f>ROUND(E99/E$99,5)</f>
        <v>1</v>
      </c>
      <c r="G99" s="43"/>
    </row>
    <row r="100" spans="1:9" ht="13.5" thickTop="1">
      <c r="A100" s="237"/>
      <c r="B100" s="238"/>
      <c r="C100" s="238"/>
      <c r="D100" s="239"/>
      <c r="E100" s="240"/>
      <c r="F100" s="241"/>
      <c r="G100" s="123"/>
      <c r="H100" s="239"/>
    </row>
    <row r="101" spans="1:9">
      <c r="A101" s="196" t="str">
        <f>co_name</f>
        <v>DUKE ENERGY KENTUCKY, INC.</v>
      </c>
      <c r="B101" s="10"/>
      <c r="C101" s="10"/>
      <c r="D101" s="235"/>
      <c r="E101" s="10"/>
      <c r="F101" s="10" t="str">
        <f>K1</f>
        <v>WP FR-16(7)(v)</v>
      </c>
      <c r="H101" s="236"/>
    </row>
    <row r="102" spans="1:9">
      <c r="A102" s="196" t="str">
        <f>coss_type</f>
        <v xml:space="preserve">GAS COST OF SERVICE STUDY </v>
      </c>
      <c r="B102" s="10"/>
      <c r="C102" s="10"/>
      <c r="D102" s="235"/>
      <c r="E102" s="10"/>
      <c r="F102" s="10" t="str">
        <f>K2</f>
        <v>Witness Responsible:</v>
      </c>
      <c r="H102" s="236"/>
    </row>
    <row r="103" spans="1:9">
      <c r="A103" s="196" t="str">
        <f>case_name</f>
        <v>CASE NO: 2018-00261</v>
      </c>
      <c r="B103" s="10"/>
      <c r="C103" s="10"/>
      <c r="D103" s="235"/>
      <c r="E103" s="10"/>
      <c r="F103" s="10" t="str">
        <f>K3</f>
        <v>James E. Ziolkowski</v>
      </c>
      <c r="H103" s="236"/>
    </row>
    <row r="104" spans="1:9">
      <c r="A104" s="10" t="str">
        <f>alloc_factors</f>
        <v>ALLOCATION FACTORS FOR COST OF SERVICE STUDY</v>
      </c>
      <c r="B104" s="10"/>
      <c r="C104" s="10"/>
      <c r="D104" s="235"/>
      <c r="E104" s="10"/>
      <c r="F104" s="10" t="s">
        <v>750</v>
      </c>
      <c r="H104" s="236"/>
    </row>
    <row r="105" spans="1:9">
      <c r="A105" s="10" t="str">
        <f>time_period</f>
        <v>TWELVE MONTHS ENDING DECEMBER 31, 2017</v>
      </c>
      <c r="F105" s="1285">
        <f ca="1">TODAY()</f>
        <v>43347</v>
      </c>
    </row>
    <row r="106" spans="1:9">
      <c r="A106" s="198" t="s">
        <v>839</v>
      </c>
      <c r="B106" s="216"/>
      <c r="C106" s="216"/>
      <c r="D106" s="216"/>
      <c r="E106" s="35"/>
      <c r="F106" s="174"/>
      <c r="G106" s="45"/>
      <c r="H106" s="43"/>
    </row>
    <row r="107" spans="1:9">
      <c r="A107" s="216"/>
      <c r="B107" s="216"/>
      <c r="C107" s="216"/>
      <c r="D107" s="216"/>
      <c r="E107" s="242"/>
      <c r="F107" s="174"/>
      <c r="G107" s="106"/>
      <c r="H107" s="174"/>
    </row>
    <row r="108" spans="1:9">
      <c r="A108" s="243" t="s">
        <v>751</v>
      </c>
      <c r="B108" s="244" t="s">
        <v>704</v>
      </c>
      <c r="C108" s="245" t="s">
        <v>705</v>
      </c>
      <c r="D108" s="245" t="s">
        <v>706</v>
      </c>
      <c r="E108" s="152" t="s">
        <v>1043</v>
      </c>
      <c r="F108" s="174"/>
      <c r="G108" s="106"/>
      <c r="H108" s="174"/>
      <c r="I108" s="372" t="s">
        <v>1250</v>
      </c>
    </row>
    <row r="109" spans="1:9">
      <c r="A109" s="246" t="s">
        <v>742</v>
      </c>
      <c r="B109" s="172"/>
      <c r="C109" s="247"/>
      <c r="D109" s="248"/>
      <c r="E109" s="152"/>
      <c r="F109" s="174"/>
      <c r="G109" s="106"/>
      <c r="H109" s="174"/>
      <c r="I109" s="372" t="s">
        <v>1251</v>
      </c>
    </row>
    <row r="110" spans="1:9">
      <c r="A110" s="246" t="s">
        <v>742</v>
      </c>
      <c r="B110" s="175" t="s">
        <v>712</v>
      </c>
      <c r="C110" s="767"/>
      <c r="D110" s="768"/>
      <c r="E110" s="218" t="s">
        <v>1417</v>
      </c>
      <c r="F110" s="174"/>
      <c r="G110" s="45"/>
      <c r="H110" s="174"/>
    </row>
    <row r="111" spans="1:9">
      <c r="A111" s="246" t="s">
        <v>742</v>
      </c>
      <c r="B111" s="175" t="s">
        <v>713</v>
      </c>
      <c r="C111" s="767"/>
      <c r="D111" s="768"/>
      <c r="E111" s="218" t="s">
        <v>1417</v>
      </c>
      <c r="F111" s="174"/>
      <c r="G111" s="45"/>
      <c r="H111" s="174"/>
    </row>
    <row r="112" spans="1:9">
      <c r="A112" s="246" t="s">
        <v>742</v>
      </c>
      <c r="B112" s="175" t="s">
        <v>714</v>
      </c>
      <c r="C112" s="767"/>
      <c r="D112" s="768"/>
      <c r="E112" s="218" t="s">
        <v>1417</v>
      </c>
      <c r="F112" s="174"/>
      <c r="G112" s="45"/>
      <c r="H112" s="43"/>
    </row>
    <row r="113" spans="1:8">
      <c r="A113" s="246" t="s">
        <v>742</v>
      </c>
      <c r="B113" s="175" t="s">
        <v>715</v>
      </c>
      <c r="C113" s="767"/>
      <c r="D113" s="768"/>
      <c r="E113" s="218" t="s">
        <v>1417</v>
      </c>
      <c r="F113" s="174"/>
      <c r="G113" s="123"/>
      <c r="H113" s="239"/>
    </row>
    <row r="114" spans="1:8">
      <c r="A114" s="246" t="s">
        <v>752</v>
      </c>
      <c r="B114" s="246"/>
      <c r="C114" s="249">
        <f>SUM(C110:C113)</f>
        <v>0</v>
      </c>
      <c r="D114" s="250">
        <f>SUM(D110:D113)</f>
        <v>0</v>
      </c>
      <c r="E114" s="152"/>
      <c r="F114" s="174"/>
      <c r="G114" s="45"/>
      <c r="H114" s="43"/>
    </row>
    <row r="115" spans="1:8">
      <c r="B115" s="172"/>
      <c r="C115" s="247"/>
      <c r="D115" s="248"/>
      <c r="E115" s="35"/>
      <c r="F115" s="174"/>
      <c r="G115" s="45"/>
      <c r="H115" s="43"/>
    </row>
    <row r="116" spans="1:8">
      <c r="A116" s="246" t="s">
        <v>732</v>
      </c>
      <c r="B116" s="172"/>
      <c r="C116" s="247"/>
      <c r="D116" s="248"/>
      <c r="E116" s="240"/>
      <c r="F116" s="174"/>
      <c r="G116" s="123"/>
      <c r="H116" s="239"/>
    </row>
    <row r="117" spans="1:8">
      <c r="A117" s="246" t="s">
        <v>732</v>
      </c>
      <c r="B117" s="175" t="s">
        <v>708</v>
      </c>
      <c r="C117" s="767">
        <v>1</v>
      </c>
      <c r="D117" s="768">
        <v>310</v>
      </c>
      <c r="E117" s="152" t="s">
        <v>1415</v>
      </c>
    </row>
    <row r="118" spans="1:8">
      <c r="A118" s="246" t="s">
        <v>732</v>
      </c>
      <c r="B118" s="175" t="s">
        <v>709</v>
      </c>
      <c r="C118" s="767">
        <v>171</v>
      </c>
      <c r="D118" s="768">
        <v>19119</v>
      </c>
      <c r="E118" s="218" t="s">
        <v>1044</v>
      </c>
    </row>
    <row r="119" spans="1:8">
      <c r="A119" s="246" t="s">
        <v>732</v>
      </c>
      <c r="B119" s="175" t="s">
        <v>711</v>
      </c>
      <c r="C119" s="767">
        <v>54</v>
      </c>
      <c r="D119" s="768">
        <v>20036</v>
      </c>
      <c r="E119" s="218" t="s">
        <v>1416</v>
      </c>
    </row>
    <row r="120" spans="1:8">
      <c r="A120" s="246" t="s">
        <v>732</v>
      </c>
      <c r="B120" s="175" t="s">
        <v>712</v>
      </c>
      <c r="C120" s="767"/>
      <c r="D120" s="768"/>
      <c r="E120" s="218" t="s">
        <v>1417</v>
      </c>
    </row>
    <row r="121" spans="1:8">
      <c r="A121" s="246" t="s">
        <v>732</v>
      </c>
      <c r="B121" s="175" t="s">
        <v>659</v>
      </c>
      <c r="C121" s="767">
        <v>2615</v>
      </c>
      <c r="D121" s="768">
        <v>311326</v>
      </c>
      <c r="E121" s="218" t="s">
        <v>1044</v>
      </c>
    </row>
    <row r="122" spans="1:8">
      <c r="A122" s="246" t="s">
        <v>732</v>
      </c>
      <c r="B122" s="175" t="s">
        <v>733</v>
      </c>
      <c r="C122" s="767"/>
      <c r="D122" s="768"/>
      <c r="E122" s="218" t="s">
        <v>1044</v>
      </c>
    </row>
    <row r="123" spans="1:8">
      <c r="A123" s="246" t="s">
        <v>732</v>
      </c>
      <c r="B123" s="175" t="s">
        <v>713</v>
      </c>
      <c r="C123" s="767"/>
      <c r="D123" s="768"/>
      <c r="E123" s="218" t="s">
        <v>1417</v>
      </c>
    </row>
    <row r="124" spans="1:8">
      <c r="A124" s="246" t="s">
        <v>732</v>
      </c>
      <c r="B124" s="175" t="s">
        <v>714</v>
      </c>
      <c r="C124" s="767"/>
      <c r="D124" s="768"/>
      <c r="E124" s="218" t="s">
        <v>1417</v>
      </c>
    </row>
    <row r="125" spans="1:8">
      <c r="A125" s="246" t="s">
        <v>753</v>
      </c>
      <c r="B125" s="246"/>
      <c r="C125" s="249">
        <f>SUM(C117:C124)</f>
        <v>2841</v>
      </c>
      <c r="D125" s="250">
        <f>SUM(D117:D124)</f>
        <v>350791</v>
      </c>
      <c r="E125" s="218"/>
    </row>
    <row r="126" spans="1:8">
      <c r="B126" s="172"/>
      <c r="C126" s="247"/>
      <c r="D126" s="248"/>
      <c r="E126" s="218"/>
    </row>
    <row r="127" spans="1:8">
      <c r="A127" s="246" t="s">
        <v>735</v>
      </c>
      <c r="B127" s="172"/>
      <c r="C127" s="247"/>
      <c r="D127" s="248"/>
      <c r="E127" s="218"/>
    </row>
    <row r="128" spans="1:8">
      <c r="A128" s="246" t="s">
        <v>735</v>
      </c>
      <c r="B128" s="175" t="s">
        <v>708</v>
      </c>
      <c r="C128" s="767">
        <v>5399</v>
      </c>
      <c r="D128" s="768">
        <v>2186834.0000000005</v>
      </c>
      <c r="E128" s="152" t="s">
        <v>1415</v>
      </c>
    </row>
    <row r="129" spans="1:5">
      <c r="A129" s="246" t="s">
        <v>735</v>
      </c>
      <c r="B129" s="175" t="s">
        <v>709</v>
      </c>
      <c r="C129" s="767">
        <v>83416</v>
      </c>
      <c r="D129" s="768">
        <v>35177422.229999997</v>
      </c>
      <c r="E129" s="218" t="s">
        <v>1044</v>
      </c>
    </row>
    <row r="130" spans="1:5">
      <c r="A130" s="246" t="s">
        <v>735</v>
      </c>
      <c r="B130" s="175" t="s">
        <v>734</v>
      </c>
      <c r="C130" s="767">
        <v>1120</v>
      </c>
      <c r="D130" s="768">
        <v>751603.69000000006</v>
      </c>
      <c r="E130" s="218" t="s">
        <v>1044</v>
      </c>
    </row>
    <row r="131" spans="1:5">
      <c r="A131" s="246" t="s">
        <v>735</v>
      </c>
      <c r="B131" s="175" t="s">
        <v>711</v>
      </c>
      <c r="C131" s="767">
        <v>665</v>
      </c>
      <c r="D131" s="768">
        <v>598679.85999999975</v>
      </c>
      <c r="E131" s="218" t="s">
        <v>1416</v>
      </c>
    </row>
    <row r="132" spans="1:5">
      <c r="A132" s="246" t="s">
        <v>735</v>
      </c>
      <c r="B132" s="175" t="s">
        <v>712</v>
      </c>
      <c r="C132" s="767">
        <v>131</v>
      </c>
      <c r="D132" s="768">
        <v>338772.62000000005</v>
      </c>
      <c r="E132" s="218" t="s">
        <v>1417</v>
      </c>
    </row>
    <row r="133" spans="1:5">
      <c r="A133" s="246" t="s">
        <v>735</v>
      </c>
      <c r="B133" s="175" t="s">
        <v>659</v>
      </c>
      <c r="C133" s="767">
        <v>1738</v>
      </c>
      <c r="D133" s="768">
        <v>30686.680000000004</v>
      </c>
      <c r="E133" s="218" t="s">
        <v>1044</v>
      </c>
    </row>
    <row r="134" spans="1:5">
      <c r="A134" s="246" t="s">
        <v>735</v>
      </c>
      <c r="B134" s="175" t="s">
        <v>733</v>
      </c>
      <c r="C134" s="767">
        <v>1</v>
      </c>
      <c r="D134" s="768">
        <v>397.99</v>
      </c>
      <c r="E134" s="218" t="s">
        <v>1044</v>
      </c>
    </row>
    <row r="135" spans="1:5">
      <c r="A135" s="246" t="s">
        <v>735</v>
      </c>
      <c r="B135" s="175" t="s">
        <v>713</v>
      </c>
      <c r="C135" s="767">
        <v>110</v>
      </c>
      <c r="D135" s="768">
        <v>249637.34</v>
      </c>
      <c r="E135" s="218" t="s">
        <v>1417</v>
      </c>
    </row>
    <row r="136" spans="1:5">
      <c r="A136" s="246" t="s">
        <v>735</v>
      </c>
      <c r="B136" s="175" t="s">
        <v>736</v>
      </c>
      <c r="C136" s="767">
        <v>31</v>
      </c>
      <c r="D136" s="768">
        <v>11367.820000000002</v>
      </c>
      <c r="E136" s="218" t="s">
        <v>1044</v>
      </c>
    </row>
    <row r="137" spans="1:5">
      <c r="A137" s="246" t="s">
        <v>735</v>
      </c>
      <c r="B137" s="175" t="s">
        <v>714</v>
      </c>
      <c r="C137" s="767">
        <v>24</v>
      </c>
      <c r="D137" s="768">
        <v>85755.45</v>
      </c>
      <c r="E137" s="218" t="s">
        <v>1417</v>
      </c>
    </row>
    <row r="138" spans="1:5">
      <c r="A138" s="246" t="s">
        <v>735</v>
      </c>
      <c r="B138" s="175" t="s">
        <v>715</v>
      </c>
      <c r="C138" s="767">
        <v>6</v>
      </c>
      <c r="D138" s="768">
        <v>34815.49</v>
      </c>
      <c r="E138" s="218" t="s">
        <v>1417</v>
      </c>
    </row>
    <row r="139" spans="1:5">
      <c r="A139" s="246" t="s">
        <v>754</v>
      </c>
      <c r="B139" s="246"/>
      <c r="C139" s="249">
        <f>SUM(C128:C138)</f>
        <v>92641</v>
      </c>
      <c r="D139" s="250">
        <f>SUM(D128:D138)</f>
        <v>39465973.170000002</v>
      </c>
      <c r="E139" s="218"/>
    </row>
    <row r="140" spans="1:5">
      <c r="B140" s="172"/>
      <c r="C140" s="247"/>
      <c r="D140" s="248"/>
      <c r="E140" s="218"/>
    </row>
    <row r="141" spans="1:5">
      <c r="A141" s="246" t="s">
        <v>738</v>
      </c>
      <c r="B141" s="172"/>
      <c r="C141" s="247"/>
      <c r="D141" s="248"/>
      <c r="E141" s="218"/>
    </row>
    <row r="142" spans="1:5">
      <c r="A142" s="246" t="s">
        <v>738</v>
      </c>
      <c r="B142" s="175" t="s">
        <v>739</v>
      </c>
      <c r="C142" s="767">
        <v>166</v>
      </c>
      <c r="D142" s="768">
        <v>-76.679999999999993</v>
      </c>
      <c r="E142" s="152" t="s">
        <v>1415</v>
      </c>
    </row>
    <row r="143" spans="1:5">
      <c r="A143" s="246" t="s">
        <v>738</v>
      </c>
      <c r="B143" s="175" t="s">
        <v>708</v>
      </c>
      <c r="C143" s="767">
        <v>2</v>
      </c>
      <c r="D143" s="768">
        <v>4913.42</v>
      </c>
      <c r="E143" s="152" t="s">
        <v>1415</v>
      </c>
    </row>
    <row r="144" spans="1:5">
      <c r="A144" s="246" t="s">
        <v>738</v>
      </c>
      <c r="B144" s="175" t="s">
        <v>709</v>
      </c>
      <c r="C144" s="767">
        <v>1224</v>
      </c>
      <c r="D144" s="768">
        <v>1324916.3399999996</v>
      </c>
      <c r="E144" s="218" t="s">
        <v>1414</v>
      </c>
    </row>
    <row r="145" spans="1:5">
      <c r="A145" s="246" t="s">
        <v>738</v>
      </c>
      <c r="B145" s="175" t="s">
        <v>737</v>
      </c>
      <c r="C145" s="767"/>
      <c r="D145" s="768"/>
      <c r="E145" s="218" t="s">
        <v>1044</v>
      </c>
    </row>
    <row r="146" spans="1:5">
      <c r="A146" s="246" t="s">
        <v>738</v>
      </c>
      <c r="B146" s="175" t="s">
        <v>743</v>
      </c>
      <c r="C146" s="767"/>
      <c r="D146" s="768"/>
      <c r="E146" s="218" t="s">
        <v>1417</v>
      </c>
    </row>
    <row r="147" spans="1:5">
      <c r="A147" s="246" t="s">
        <v>738</v>
      </c>
      <c r="B147" s="175" t="s">
        <v>710</v>
      </c>
      <c r="C147" s="767"/>
      <c r="D147" s="768"/>
      <c r="E147" s="218" t="s">
        <v>1417</v>
      </c>
    </row>
    <row r="148" spans="1:5">
      <c r="A148" s="246" t="s">
        <v>738</v>
      </c>
      <c r="B148" s="175" t="s">
        <v>744</v>
      </c>
      <c r="C148" s="767"/>
      <c r="D148" s="768"/>
      <c r="E148" s="218" t="s">
        <v>1417</v>
      </c>
    </row>
    <row r="149" spans="1:5">
      <c r="A149" s="246" t="s">
        <v>738</v>
      </c>
      <c r="B149" s="175" t="s">
        <v>740</v>
      </c>
      <c r="C149" s="767"/>
      <c r="D149" s="768"/>
      <c r="E149" s="218" t="s">
        <v>1416</v>
      </c>
    </row>
    <row r="150" spans="1:5">
      <c r="A150" s="246" t="s">
        <v>738</v>
      </c>
      <c r="B150" s="175" t="s">
        <v>711</v>
      </c>
      <c r="C150" s="767">
        <v>259</v>
      </c>
      <c r="D150" s="768">
        <v>254828.04000000004</v>
      </c>
      <c r="E150" s="218" t="s">
        <v>1416</v>
      </c>
    </row>
    <row r="151" spans="1:5">
      <c r="A151" s="246" t="s">
        <v>738</v>
      </c>
      <c r="B151" s="175" t="s">
        <v>712</v>
      </c>
      <c r="C151" s="767">
        <v>88</v>
      </c>
      <c r="D151" s="768">
        <v>164808.90999999997</v>
      </c>
      <c r="E151" s="218" t="s">
        <v>1417</v>
      </c>
    </row>
    <row r="152" spans="1:5">
      <c r="A152" s="246" t="s">
        <v>738</v>
      </c>
      <c r="B152" s="175" t="s">
        <v>659</v>
      </c>
      <c r="C152" s="767">
        <v>245</v>
      </c>
      <c r="D152" s="768">
        <v>11793.52</v>
      </c>
      <c r="E152" s="218" t="s">
        <v>1044</v>
      </c>
    </row>
    <row r="153" spans="1:5">
      <c r="A153" s="246" t="s">
        <v>738</v>
      </c>
      <c r="B153" s="175" t="s">
        <v>713</v>
      </c>
      <c r="C153" s="767">
        <v>52</v>
      </c>
      <c r="D153" s="768">
        <v>95080.429999999978</v>
      </c>
      <c r="E153" s="218" t="s">
        <v>1417</v>
      </c>
    </row>
    <row r="154" spans="1:5">
      <c r="A154" s="246" t="s">
        <v>738</v>
      </c>
      <c r="B154" s="175" t="s">
        <v>714</v>
      </c>
      <c r="C154" s="767">
        <v>25</v>
      </c>
      <c r="D154" s="768">
        <v>82290.3</v>
      </c>
      <c r="E154" s="218" t="s">
        <v>1417</v>
      </c>
    </row>
    <row r="155" spans="1:5">
      <c r="A155" s="246" t="s">
        <v>738</v>
      </c>
      <c r="B155" s="175" t="s">
        <v>715</v>
      </c>
      <c r="C155" s="767">
        <v>6</v>
      </c>
      <c r="D155" s="768">
        <v>55925.83</v>
      </c>
      <c r="E155" s="218" t="s">
        <v>1417</v>
      </c>
    </row>
    <row r="156" spans="1:5">
      <c r="A156" s="246" t="s">
        <v>755</v>
      </c>
      <c r="B156" s="246"/>
      <c r="C156" s="249">
        <f>SUM(C142:C155)</f>
        <v>2067</v>
      </c>
      <c r="D156" s="250">
        <f>SUM(D142:D155)</f>
        <v>1994480.1099999996</v>
      </c>
    </row>
    <row r="157" spans="1:5">
      <c r="B157" s="172"/>
      <c r="C157" s="247"/>
      <c r="D157" s="248"/>
    </row>
    <row r="158" spans="1:5">
      <c r="A158" s="243" t="s">
        <v>716</v>
      </c>
      <c r="B158" s="243"/>
      <c r="C158" s="251">
        <f>C156+C139+C125+C114</f>
        <v>97549</v>
      </c>
      <c r="D158" s="252">
        <f>D156+D139+D125+D114</f>
        <v>41811244.280000001</v>
      </c>
    </row>
    <row r="159" spans="1:5">
      <c r="A159" s="216"/>
      <c r="B159" s="216"/>
      <c r="C159" s="216"/>
      <c r="D159" s="216"/>
    </row>
    <row r="160" spans="1:5">
      <c r="A160" s="216"/>
      <c r="B160" s="216"/>
      <c r="C160" s="216"/>
      <c r="D160" s="216"/>
    </row>
    <row r="161" spans="1:4">
      <c r="A161" s="216"/>
      <c r="B161" s="216"/>
      <c r="C161" s="216"/>
      <c r="D161" s="216"/>
    </row>
  </sheetData>
  <mergeCells count="11">
    <mergeCell ref="A92:B92"/>
    <mergeCell ref="L9:M9"/>
    <mergeCell ref="F10:G10"/>
    <mergeCell ref="H10:I10"/>
    <mergeCell ref="J10:K10"/>
    <mergeCell ref="L10:M10"/>
    <mergeCell ref="L54:M54"/>
    <mergeCell ref="F55:G55"/>
    <mergeCell ref="H55:I55"/>
    <mergeCell ref="J55:K55"/>
    <mergeCell ref="L55:M55"/>
  </mergeCells>
  <printOptions horizontalCentered="1"/>
  <pageMargins left="1" right="1" top="1" bottom="0.75" header="0.27" footer="0.5"/>
  <pageSetup scale="72" orientation="portrait" r:id="rId1"/>
  <headerFooter alignWithMargins="0"/>
  <rowBreaks count="3" manualBreakCount="3">
    <brk id="45" max="12" man="1"/>
    <brk id="83" max="12" man="1"/>
    <brk id="100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tabColor rgb="FF92D050"/>
    <pageSetUpPr fitToPage="1"/>
  </sheetPr>
  <dimension ref="A1:N169"/>
  <sheetViews>
    <sheetView zoomScale="70" zoomScaleNormal="70" zoomScaleSheetLayoutView="100" workbookViewId="0">
      <selection activeCell="G30" sqref="G30"/>
    </sheetView>
  </sheetViews>
  <sheetFormatPr defaultColWidth="6.109375" defaultRowHeight="12.75"/>
  <cols>
    <col min="1" max="1" width="41" style="216" customWidth="1"/>
    <col min="2" max="2" width="15.6640625" style="216" customWidth="1"/>
    <col min="3" max="3" width="13.77734375" style="216" customWidth="1"/>
    <col min="4" max="4" width="13.33203125" style="216" customWidth="1"/>
    <col min="5" max="5" width="14.21875" style="216" customWidth="1"/>
    <col min="6" max="6" width="10.5546875" style="216" bestFit="1" customWidth="1"/>
    <col min="7" max="7" width="23.33203125" style="216" customWidth="1"/>
    <col min="8" max="8" width="47" style="216" customWidth="1"/>
    <col min="9" max="9" width="10.6640625" style="216" customWidth="1"/>
    <col min="10" max="10" width="20.33203125" style="216" customWidth="1"/>
    <col min="11" max="11" width="10.33203125" style="216" customWidth="1"/>
    <col min="12" max="12" width="9" style="216" customWidth="1"/>
    <col min="13" max="13" width="6.88671875" style="216" bestFit="1" customWidth="1"/>
    <col min="14" max="16384" width="6.109375" style="216"/>
  </cols>
  <sheetData>
    <row r="1" spans="1:9">
      <c r="A1" s="196" t="str">
        <f>co_name</f>
        <v>DUKE ENERGY KENTUCKY, INC.</v>
      </c>
      <c r="B1" s="11"/>
      <c r="C1" s="11"/>
      <c r="D1" s="10" t="s">
        <v>1551</v>
      </c>
      <c r="E1" s="11"/>
      <c r="F1" s="11"/>
    </row>
    <row r="2" spans="1:9">
      <c r="A2" s="196" t="str">
        <f>coss_type</f>
        <v xml:space="preserve">GAS COST OF SERVICE STUDY </v>
      </c>
      <c r="B2" s="11"/>
      <c r="C2" s="11"/>
      <c r="D2" s="10" t="str">
        <f>'Alloc Factors Summary'!G2</f>
        <v>Witness Responsible:</v>
      </c>
      <c r="E2" s="11"/>
      <c r="F2" s="11"/>
    </row>
    <row r="3" spans="1:9">
      <c r="A3" s="196" t="str">
        <f>case_name</f>
        <v>CASE NO: 2018-00261</v>
      </c>
      <c r="B3" s="11"/>
      <c r="C3" s="11"/>
      <c r="D3" s="10" t="str">
        <f>'Alloc Factors Summary'!G3</f>
        <v>James E. Ziolkowski</v>
      </c>
      <c r="E3" s="11"/>
      <c r="F3" s="11"/>
    </row>
    <row r="4" spans="1:9">
      <c r="A4" s="10" t="str">
        <f>alloc_factors</f>
        <v>ALLOCATION FACTORS FOR COST OF SERVICE STUDY</v>
      </c>
      <c r="B4" s="172"/>
      <c r="C4" s="172"/>
      <c r="D4" s="10" t="s">
        <v>757</v>
      </c>
      <c r="E4" s="172"/>
      <c r="F4" s="172"/>
    </row>
    <row r="5" spans="1:9">
      <c r="A5" s="10" t="str">
        <f>time_period</f>
        <v>TWELVE MONTHS ENDING DECEMBER 31, 2017</v>
      </c>
      <c r="D5" s="16">
        <f ca="1">TODAY()</f>
        <v>43347</v>
      </c>
    </row>
    <row r="6" spans="1:9">
      <c r="A6" s="198" t="s">
        <v>960</v>
      </c>
    </row>
    <row r="7" spans="1:9">
      <c r="A7" s="10"/>
      <c r="B7" s="1350"/>
      <c r="C7" s="1350"/>
      <c r="D7" s="1522"/>
      <c r="E7" s="1522"/>
      <c r="F7" s="34"/>
      <c r="H7" s="372" t="s">
        <v>975</v>
      </c>
    </row>
    <row r="8" spans="1:9">
      <c r="A8" s="1275" t="s">
        <v>758</v>
      </c>
      <c r="B8" s="1349" t="s">
        <v>582</v>
      </c>
      <c r="C8" s="1349" t="s">
        <v>749</v>
      </c>
      <c r="D8" s="1349" t="s">
        <v>1282</v>
      </c>
      <c r="E8" s="1349" t="s">
        <v>1413</v>
      </c>
      <c r="F8" s="34"/>
      <c r="H8" s="372" t="s">
        <v>976</v>
      </c>
    </row>
    <row r="9" spans="1:9">
      <c r="A9" s="172" t="s">
        <v>759</v>
      </c>
      <c r="B9" s="1363">
        <f>SUMIF(RegulatorSize,"&lt;=1",RegulatorCost)</f>
        <v>3083660.7</v>
      </c>
      <c r="C9" s="1363">
        <f>B9</f>
        <v>3083660.7</v>
      </c>
      <c r="D9" s="1364"/>
      <c r="E9" s="1364"/>
      <c r="F9" s="34"/>
    </row>
    <row r="10" spans="1:9">
      <c r="A10" s="172" t="s">
        <v>1393</v>
      </c>
      <c r="B10" s="1363">
        <f>SUMIF(RegulatorSize,"=1.25",RegulatorCost)+SUMIF(RegulatorSize,"=1.5",RegulatorCost)</f>
        <v>524061.26</v>
      </c>
      <c r="C10" s="1366"/>
      <c r="D10" s="1366">
        <f>B10</f>
        <v>524061.26</v>
      </c>
      <c r="E10" s="1366"/>
      <c r="I10" s="216" t="s">
        <v>977</v>
      </c>
    </row>
    <row r="11" spans="1:9">
      <c r="A11" s="172" t="s">
        <v>1410</v>
      </c>
      <c r="B11" s="1363">
        <f>SUMIF(RegulatorSize,"=2",RegulatorCost)</f>
        <v>705114.83000000007</v>
      </c>
      <c r="C11" s="1366"/>
      <c r="D11" s="1366">
        <f>ROUND(B11*0.987,2)</f>
        <v>695948.34</v>
      </c>
      <c r="E11" s="1366">
        <f>B11-D11</f>
        <v>9166.4900000001071</v>
      </c>
    </row>
    <row r="12" spans="1:9">
      <c r="A12" s="172" t="s">
        <v>1412</v>
      </c>
      <c r="B12" s="1363">
        <f>SUMIF(RegulatorSize,"=3",RegulatorCost)</f>
        <v>161744.87</v>
      </c>
      <c r="C12" s="1366"/>
      <c r="D12" s="1366">
        <f>ROUND(B12*0.987,2)</f>
        <v>159642.19</v>
      </c>
      <c r="E12" s="1366">
        <f>B12-D12</f>
        <v>2102.679999999993</v>
      </c>
    </row>
    <row r="13" spans="1:9">
      <c r="A13" s="172" t="s">
        <v>1411</v>
      </c>
      <c r="B13" s="1365">
        <f>SUMIF(RegulatorSize,"&gt;4",RegulatorCost)</f>
        <v>67555.53</v>
      </c>
      <c r="C13" s="1366"/>
      <c r="D13" s="1366">
        <f>B13-E13</f>
        <v>0</v>
      </c>
      <c r="E13" s="1366">
        <f>B13</f>
        <v>67555.53</v>
      </c>
    </row>
    <row r="14" spans="1:9">
      <c r="A14" s="172" t="s">
        <v>760</v>
      </c>
      <c r="B14" s="1366">
        <f>B15-B9-B10-B11-B12</f>
        <v>140388.76999999944</v>
      </c>
      <c r="C14" s="1366">
        <f>ROUND($B14*C16,2)</f>
        <v>96755.94</v>
      </c>
      <c r="D14" s="1366">
        <f>ROUND($B14*D16,2)</f>
        <v>43281.86</v>
      </c>
      <c r="E14" s="1366">
        <f>ROUND($B14*E16,2)</f>
        <v>350.97</v>
      </c>
    </row>
    <row r="15" spans="1:9" ht="13.5" thickBot="1">
      <c r="A15" s="172"/>
      <c r="B15" s="1367">
        <f>SUMIF(RegulatorSize,"=Total",RegulatorCost)</f>
        <v>4614970.43</v>
      </c>
      <c r="C15" s="1368">
        <f>SUM(C9:C14)</f>
        <v>3180416.64</v>
      </c>
      <c r="D15" s="1368">
        <f>SUM(D9:D14)</f>
        <v>1422933.6500000001</v>
      </c>
      <c r="E15" s="1368">
        <f>SUM(E9:E14)</f>
        <v>79175.6700000001</v>
      </c>
    </row>
    <row r="16" spans="1:9" ht="13.5" thickTop="1">
      <c r="B16" s="1369">
        <f>SUM(C16:E16)</f>
        <v>1</v>
      </c>
      <c r="C16" s="1370">
        <f>ROUND(SUM(C9:C12)/($B15-$B14),4)</f>
        <v>0.68920000000000003</v>
      </c>
      <c r="D16" s="1370">
        <f>ROUND(SUM(D9:D12)/($B15-$B14),4)</f>
        <v>0.30830000000000002</v>
      </c>
      <c r="E16" s="1370">
        <f>ROUND(SUM(E9:E12)/($B15-$B14),4)</f>
        <v>2.5000000000000001E-3</v>
      </c>
    </row>
    <row r="17" spans="1:14">
      <c r="A17" s="10" t="s">
        <v>761</v>
      </c>
      <c r="B17" s="1371"/>
      <c r="C17" s="1371"/>
      <c r="D17" s="1371"/>
      <c r="E17" s="1371"/>
    </row>
    <row r="18" spans="1:14">
      <c r="A18" s="172" t="s">
        <v>759</v>
      </c>
      <c r="B18" s="1389">
        <f>SUMIF(RegulatorSize,"&lt;=1",RegulatorUnits)</f>
        <v>98209</v>
      </c>
      <c r="C18" s="1373">
        <f>B18</f>
        <v>98209</v>
      </c>
      <c r="D18" s="1373"/>
      <c r="E18" s="1373"/>
    </row>
    <row r="19" spans="1:14">
      <c r="A19" s="172" t="s">
        <v>1393</v>
      </c>
      <c r="B19" s="1389">
        <f>SUMIF(RegulatorSize,"=1.25",RegulatorUnits)+SUMIF(RegulatorSize,"=1.5",RegulatorUnits)</f>
        <v>5482</v>
      </c>
      <c r="C19" s="1373"/>
      <c r="D19" s="1373">
        <f>B19</f>
        <v>5482</v>
      </c>
      <c r="E19" s="1373">
        <f>B19-D19</f>
        <v>0</v>
      </c>
    </row>
    <row r="20" spans="1:14">
      <c r="A20" s="172" t="s">
        <v>1410</v>
      </c>
      <c r="B20" s="1389">
        <f>SUMIF(RegulatorSize,"=2",RegulatorUnits)</f>
        <v>996</v>
      </c>
      <c r="C20" s="1374"/>
      <c r="D20" s="1373">
        <f t="shared" ref="D20:D21" si="0">ROUND(B20*0.987,0)</f>
        <v>983</v>
      </c>
      <c r="E20" s="1373">
        <f>B20-D20</f>
        <v>13</v>
      </c>
    </row>
    <row r="21" spans="1:14">
      <c r="A21" s="172" t="s">
        <v>1412</v>
      </c>
      <c r="B21" s="1389">
        <f>SUMIF(RegulatorSize,"=3",RegulatorUnits)</f>
        <v>239</v>
      </c>
      <c r="C21" s="1374"/>
      <c r="D21" s="1373">
        <f t="shared" si="0"/>
        <v>236</v>
      </c>
      <c r="E21" s="1373">
        <f>B21-D21</f>
        <v>3</v>
      </c>
    </row>
    <row r="22" spans="1:14">
      <c r="A22" s="172" t="s">
        <v>1411</v>
      </c>
      <c r="B22" s="1389">
        <f>SUMIF(RegulatorSize,"&gt;4",RegulatorUnits)</f>
        <v>115</v>
      </c>
      <c r="C22" s="1374"/>
      <c r="D22" s="1366">
        <f>B22-E22</f>
        <v>0</v>
      </c>
      <c r="E22" s="1374">
        <f>B22</f>
        <v>115</v>
      </c>
    </row>
    <row r="23" spans="1:14">
      <c r="A23" s="172" t="s">
        <v>760</v>
      </c>
      <c r="B23" s="1373">
        <f>B24-B18-B19-B20-B21</f>
        <v>1313</v>
      </c>
      <c r="C23" s="1374">
        <f>ROUND($B23*C25,2)</f>
        <v>1227.6600000000001</v>
      </c>
      <c r="D23" s="1374">
        <f>ROUND($B23*D25,2)</f>
        <v>83.77</v>
      </c>
      <c r="E23" s="1374">
        <f>ROUND($B23*E25,2)</f>
        <v>1.58</v>
      </c>
    </row>
    <row r="24" spans="1:14" ht="13.5" thickBot="1">
      <c r="A24" s="172"/>
      <c r="B24" s="1375">
        <f t="array" ref="B24">SUM(IF(RegulatorSize="Total",RegulatorUnits))</f>
        <v>106239</v>
      </c>
      <c r="C24" s="1376">
        <f>SUM(C18:C23)</f>
        <v>99436.66</v>
      </c>
      <c r="D24" s="1376">
        <f>SUM(D18:D23)</f>
        <v>6784.77</v>
      </c>
      <c r="E24" s="1376">
        <f>SUM(E18:E23)</f>
        <v>132.58000000000001</v>
      </c>
    </row>
    <row r="25" spans="1:14" ht="13.5" thickTop="1">
      <c r="A25" s="172"/>
      <c r="B25" s="1369">
        <f>SUM(C25:E25)</f>
        <v>1</v>
      </c>
      <c r="C25" s="1370">
        <f>ROUND(SUM(C18:C22)/(SUM($B$18:$B$22)),4)</f>
        <v>0.93500000000000005</v>
      </c>
      <c r="D25" s="1370">
        <f t="shared" ref="D25:E25" si="1">ROUND(SUM(D18:D22)/(SUM($B$18:$B$22)),4)</f>
        <v>6.3799999999999996E-2</v>
      </c>
      <c r="E25" s="1370">
        <f t="shared" si="1"/>
        <v>1.1999999999999999E-3</v>
      </c>
      <c r="F25" s="177"/>
    </row>
    <row r="26" spans="1:14">
      <c r="A26" s="172" t="s">
        <v>762</v>
      </c>
      <c r="B26" s="1377"/>
      <c r="C26" s="1378">
        <f>ROUND(C15/C24,2)</f>
        <v>31.98</v>
      </c>
      <c r="D26" s="1378">
        <f>ROUND(D15/D24,2)</f>
        <v>209.72</v>
      </c>
      <c r="E26" s="1378">
        <f>ROUND(E15/E24,2)</f>
        <v>597.19000000000005</v>
      </c>
    </row>
    <row r="27" spans="1:14">
      <c r="A27" s="172" t="s">
        <v>763</v>
      </c>
      <c r="B27" s="1377"/>
      <c r="C27" s="1366">
        <v>1</v>
      </c>
      <c r="D27" s="1366">
        <f>D26/C26</f>
        <v>6.5578486554096305</v>
      </c>
      <c r="E27" s="1366">
        <f>E26/C26</f>
        <v>18.673858661663541</v>
      </c>
      <c r="H27" s="19" t="s">
        <v>570</v>
      </c>
      <c r="J27" s="211"/>
      <c r="K27" s="375" t="s">
        <v>1239</v>
      </c>
      <c r="L27" s="211"/>
    </row>
    <row r="28" spans="1:14">
      <c r="A28" s="172"/>
      <c r="B28" s="1377"/>
      <c r="C28" s="373"/>
      <c r="D28" s="1377"/>
      <c r="E28" s="373"/>
      <c r="J28" s="379" t="s">
        <v>479</v>
      </c>
      <c r="K28" s="380" t="s">
        <v>564</v>
      </c>
      <c r="L28" s="380" t="s">
        <v>565</v>
      </c>
    </row>
    <row r="29" spans="1:14">
      <c r="A29" s="1275" t="s">
        <v>764</v>
      </c>
      <c r="B29" s="1377"/>
      <c r="C29" s="373"/>
      <c r="D29" s="1377"/>
      <c r="E29" s="373"/>
      <c r="J29" s="211"/>
      <c r="K29" s="211"/>
      <c r="L29" s="375" t="s">
        <v>571</v>
      </c>
    </row>
    <row r="30" spans="1:14" ht="13.5" thickBot="1">
      <c r="A30" s="172" t="s">
        <v>765</v>
      </c>
      <c r="B30" s="1367">
        <f t="array" ref="B30">SUM(IF(RegulatorSize="Units",RegulatorCost))</f>
        <v>3543395.52</v>
      </c>
      <c r="C30" s="1368">
        <f>ROUND(B30*C16,2)</f>
        <v>2442108.19</v>
      </c>
      <c r="D30" s="1368">
        <f>ROUND(D32*(D27*C34),2)</f>
        <v>1092894.78</v>
      </c>
      <c r="E30" s="1368">
        <f>B30-C30-D30</f>
        <v>8392.5500000000466</v>
      </c>
      <c r="F30" s="178"/>
      <c r="J30" s="374" t="s">
        <v>1286</v>
      </c>
      <c r="K30" s="1023">
        <v>5314682</v>
      </c>
      <c r="L30" s="321">
        <v>0.44175000000000009</v>
      </c>
    </row>
    <row r="31" spans="1:14" ht="13.5" thickTop="1">
      <c r="A31" s="172"/>
      <c r="B31" s="1377"/>
      <c r="C31" s="1369" t="s">
        <v>343</v>
      </c>
      <c r="D31" s="1369" t="s">
        <v>343</v>
      </c>
      <c r="E31" s="1369" t="s">
        <v>343</v>
      </c>
      <c r="F31" s="177"/>
      <c r="J31" s="374" t="s">
        <v>1282</v>
      </c>
      <c r="K31" s="1023">
        <v>3027396</v>
      </c>
      <c r="L31" s="321">
        <v>0.25163999999999997</v>
      </c>
      <c r="N31" s="182">
        <f>K31/(K31+K32)</f>
        <v>0.58548285283733481</v>
      </c>
    </row>
    <row r="32" spans="1:14" ht="13.5" thickBot="1">
      <c r="A32" s="172" t="s">
        <v>766</v>
      </c>
      <c r="B32" s="1375">
        <f t="array" ref="B32">SUM(IF(RegulatorSize="units",RegulatorUnits))</f>
        <v>98683</v>
      </c>
      <c r="C32" s="1374">
        <f>ROUND(B32*C25,0)</f>
        <v>92269</v>
      </c>
      <c r="D32" s="1374">
        <f>B32*D25</f>
        <v>6295.9753999999994</v>
      </c>
      <c r="E32" s="1374">
        <f>B32*E25</f>
        <v>118.41959999999999</v>
      </c>
      <c r="F32" s="217"/>
      <c r="J32" s="374" t="s">
        <v>984</v>
      </c>
      <c r="K32" s="1023">
        <v>2143372</v>
      </c>
      <c r="L32" s="321">
        <v>0.17816000000000001</v>
      </c>
      <c r="N32" s="182">
        <f>K32/(K31+K32)</f>
        <v>0.41451714716266519</v>
      </c>
    </row>
    <row r="33" spans="1:12" ht="13.5" thickTop="1">
      <c r="A33" s="172"/>
      <c r="B33" s="1377"/>
      <c r="C33" s="373"/>
      <c r="D33" s="1377"/>
      <c r="E33" s="373"/>
      <c r="J33" s="374" t="s">
        <v>566</v>
      </c>
      <c r="K33" s="1032">
        <v>1545311</v>
      </c>
      <c r="L33" s="321">
        <v>0.12845000000000001</v>
      </c>
    </row>
    <row r="34" spans="1:12">
      <c r="A34" s="172" t="s">
        <v>762</v>
      </c>
      <c r="B34" s="1377"/>
      <c r="C34" s="373">
        <f>ROUND(C30/C32,2)</f>
        <v>26.47</v>
      </c>
      <c r="D34" s="1379">
        <f>D30/D32</f>
        <v>173.58625321185343</v>
      </c>
      <c r="E34" s="1379">
        <f>E30/E32</f>
        <v>70.871291576732631</v>
      </c>
      <c r="J34" s="375" t="s">
        <v>567</v>
      </c>
      <c r="K34" s="376">
        <v>12030761</v>
      </c>
      <c r="L34" s="377">
        <v>1</v>
      </c>
    </row>
    <row r="35" spans="1:12">
      <c r="A35" s="172"/>
      <c r="B35" s="1377"/>
      <c r="C35" s="373"/>
      <c r="D35" s="1377"/>
      <c r="E35" s="373"/>
    </row>
    <row r="36" spans="1:12" ht="13.5" thickBot="1">
      <c r="A36" s="172" t="s">
        <v>582</v>
      </c>
      <c r="B36" s="1380">
        <f>B30+B15</f>
        <v>8158365.9499999993</v>
      </c>
      <c r="C36" s="1380">
        <f>C30+C15</f>
        <v>5622524.8300000001</v>
      </c>
      <c r="D36" s="1380">
        <f>D30+D15</f>
        <v>2515828.4300000002</v>
      </c>
      <c r="E36" s="1380">
        <f>E30+E15</f>
        <v>87568.220000000147</v>
      </c>
    </row>
    <row r="37" spans="1:12" ht="13.5" thickTop="1">
      <c r="A37" s="172"/>
      <c r="B37" s="373"/>
      <c r="C37" s="373"/>
      <c r="D37" s="373"/>
      <c r="E37" s="373"/>
      <c r="F37" s="146"/>
    </row>
    <row r="38" spans="1:12">
      <c r="A38" s="172" t="s">
        <v>767</v>
      </c>
      <c r="B38" s="1374">
        <f>B32+B24</f>
        <v>204922</v>
      </c>
      <c r="C38" s="1374">
        <f>C32+C24</f>
        <v>191705.66</v>
      </c>
      <c r="D38" s="1374">
        <f>D32+D24</f>
        <v>13080.7454</v>
      </c>
      <c r="E38" s="1374">
        <f>E32+E24</f>
        <v>250.99959999999999</v>
      </c>
    </row>
    <row r="39" spans="1:12">
      <c r="A39" s="172" t="s">
        <v>768</v>
      </c>
      <c r="B39" s="1366" t="s">
        <v>343</v>
      </c>
      <c r="C39" s="1378">
        <f>C36/C38</f>
        <v>29.328945373861156</v>
      </c>
      <c r="D39" s="1378">
        <f>D36/D38</f>
        <v>192.33066259358586</v>
      </c>
      <c r="E39" s="1378">
        <f>E36/E38</f>
        <v>348.87792649868823</v>
      </c>
    </row>
    <row r="40" spans="1:12">
      <c r="A40" s="172" t="s">
        <v>769</v>
      </c>
      <c r="B40" s="1366" t="s">
        <v>343</v>
      </c>
      <c r="C40" s="1366">
        <f>C39/C39</f>
        <v>1</v>
      </c>
      <c r="D40" s="1366">
        <f>D39/C39</f>
        <v>6.5577080983278986</v>
      </c>
      <c r="E40" s="1366">
        <f>E39/C39</f>
        <v>11.895345095143407</v>
      </c>
    </row>
    <row r="41" spans="1:12">
      <c r="A41" s="172"/>
      <c r="B41" s="1366" t="s">
        <v>343</v>
      </c>
      <c r="C41" s="1366"/>
      <c r="D41" s="1366"/>
      <c r="E41" s="1366"/>
    </row>
    <row r="42" spans="1:12" ht="25.5">
      <c r="A42" s="19" t="s">
        <v>575</v>
      </c>
      <c r="B42" s="1381" t="s">
        <v>770</v>
      </c>
      <c r="C42" s="1381" t="s">
        <v>771</v>
      </c>
      <c r="D42" s="1381" t="s">
        <v>748</v>
      </c>
      <c r="E42" s="1381" t="s">
        <v>772</v>
      </c>
      <c r="F42" s="146"/>
      <c r="G42" s="180"/>
    </row>
    <row r="43" spans="1:12">
      <c r="A43" s="374" t="s">
        <v>749</v>
      </c>
      <c r="B43" s="1372">
        <f>'Alloc Factors Summary'!D60</f>
        <v>91382</v>
      </c>
      <c r="C43" s="1382">
        <f>C40</f>
        <v>1</v>
      </c>
      <c r="D43" s="1383">
        <f>B43*C43</f>
        <v>91382</v>
      </c>
      <c r="E43" s="1384">
        <f>1-SUM(E44:E46)</f>
        <v>0.66070000000000007</v>
      </c>
      <c r="F43" s="146"/>
      <c r="G43" s="180"/>
    </row>
    <row r="44" spans="1:12">
      <c r="A44" s="25" t="s">
        <v>1282</v>
      </c>
      <c r="B44" s="1372">
        <f>'Alloc Factors Summary'!D61</f>
        <v>6943</v>
      </c>
      <c r="C44" s="1382">
        <f>D40</f>
        <v>6.5577080983278986</v>
      </c>
      <c r="D44" s="1374">
        <f>ROUND(B44*C44,0)</f>
        <v>45530</v>
      </c>
      <c r="E44" s="1384">
        <f>ROUND(D44/D$47,4)</f>
        <v>0.32919999999999999</v>
      </c>
      <c r="F44" s="146"/>
    </row>
    <row r="45" spans="1:12">
      <c r="A45" s="25" t="s">
        <v>984</v>
      </c>
      <c r="B45" s="1372">
        <f>'Alloc Factors Summary'!D62</f>
        <v>95</v>
      </c>
      <c r="C45" s="1382">
        <f>E40</f>
        <v>11.895345095143407</v>
      </c>
      <c r="D45" s="1374">
        <f>ROUND(B45*C45,0)</f>
        <v>1130</v>
      </c>
      <c r="E45" s="1384">
        <f>ROUND(D45/D$47,4)</f>
        <v>8.2000000000000007E-3</v>
      </c>
      <c r="F45" s="146"/>
    </row>
    <row r="46" spans="1:12">
      <c r="A46" s="374" t="s">
        <v>566</v>
      </c>
      <c r="B46" s="1372">
        <f>'Alloc Factors Summary'!D63</f>
        <v>22</v>
      </c>
      <c r="C46" s="1382">
        <f>E40</f>
        <v>11.895345095143407</v>
      </c>
      <c r="D46" s="1374">
        <f>ROUND(B46*C46,0)</f>
        <v>262</v>
      </c>
      <c r="E46" s="1384">
        <f>ROUND(D46/D$47,4)</f>
        <v>1.9E-3</v>
      </c>
      <c r="F46" s="146"/>
      <c r="I46" s="23"/>
    </row>
    <row r="47" spans="1:12">
      <c r="A47" s="25" t="s">
        <v>774</v>
      </c>
      <c r="B47" s="1385">
        <f>SUM(B43:B46)</f>
        <v>98442</v>
      </c>
      <c r="C47" s="1382" t="s">
        <v>343</v>
      </c>
      <c r="D47" s="1385">
        <f>SUM(D43:D46)</f>
        <v>138304</v>
      </c>
      <c r="E47" s="1386">
        <f>SUM(E43:E46)</f>
        <v>1</v>
      </c>
      <c r="F47" s="146"/>
      <c r="G47" s="182"/>
    </row>
    <row r="48" spans="1:12">
      <c r="A48" s="25"/>
      <c r="B48" s="43"/>
      <c r="C48" s="448"/>
      <c r="D48" s="43"/>
      <c r="E48" s="23"/>
      <c r="F48" s="146"/>
    </row>
    <row r="49" spans="1:11">
      <c r="B49" s="217"/>
      <c r="D49" s="184"/>
      <c r="E49" s="183"/>
      <c r="G49" s="182"/>
    </row>
    <row r="50" spans="1:11">
      <c r="A50" s="36"/>
      <c r="E50" s="183"/>
    </row>
    <row r="51" spans="1:11">
      <c r="A51" s="216" t="s">
        <v>573</v>
      </c>
      <c r="E51" s="183" t="s">
        <v>343</v>
      </c>
      <c r="F51" s="183" t="s">
        <v>343</v>
      </c>
    </row>
    <row r="52" spans="1:11">
      <c r="E52" s="216" t="s">
        <v>343</v>
      </c>
      <c r="F52" s="216" t="s">
        <v>343</v>
      </c>
    </row>
    <row r="53" spans="1:11">
      <c r="F53" s="183" t="s">
        <v>343</v>
      </c>
      <c r="G53" s="196" t="str">
        <f>co_name</f>
        <v>DUKE ENERGY KENTUCKY, INC.</v>
      </c>
      <c r="H53" s="11"/>
      <c r="I53" s="11"/>
      <c r="J53" s="10" t="s">
        <v>756</v>
      </c>
      <c r="K53" s="11"/>
    </row>
    <row r="54" spans="1:11">
      <c r="G54" s="196" t="str">
        <f>coss_type</f>
        <v xml:space="preserve">GAS COST OF SERVICE STUDY </v>
      </c>
      <c r="H54" s="11"/>
      <c r="I54" s="11"/>
      <c r="J54" s="10" t="str">
        <f>D2</f>
        <v>Witness Responsible:</v>
      </c>
      <c r="K54" s="11"/>
    </row>
    <row r="55" spans="1:11">
      <c r="G55" s="196" t="str">
        <f>case_name</f>
        <v>CASE NO: 2018-00261</v>
      </c>
      <c r="H55" s="11"/>
      <c r="I55" s="11"/>
      <c r="J55" s="10" t="str">
        <f>D3</f>
        <v>James E. Ziolkowski</v>
      </c>
      <c r="K55" s="11"/>
    </row>
    <row r="56" spans="1:11">
      <c r="G56" s="10" t="str">
        <f>alloc_factors</f>
        <v>ALLOCATION FACTORS FOR COST OF SERVICE STUDY</v>
      </c>
      <c r="H56" s="172"/>
      <c r="I56" s="172"/>
      <c r="J56" s="10" t="s">
        <v>776</v>
      </c>
      <c r="K56" s="172"/>
    </row>
    <row r="57" spans="1:11">
      <c r="G57" s="10" t="str">
        <f>time_period</f>
        <v>TWELVE MONTHS ENDING DECEMBER 31, 2017</v>
      </c>
      <c r="J57" s="1285">
        <f ca="1">TODAY()</f>
        <v>43347</v>
      </c>
    </row>
    <row r="58" spans="1:11">
      <c r="G58" s="198" t="s">
        <v>960</v>
      </c>
    </row>
    <row r="59" spans="1:11">
      <c r="G59" s="51"/>
      <c r="H59" s="51"/>
      <c r="I59" s="51"/>
      <c r="J59" s="51"/>
    </row>
    <row r="60" spans="1:11">
      <c r="G60" s="51"/>
      <c r="H60" s="51"/>
      <c r="I60" s="51"/>
      <c r="J60" s="51"/>
    </row>
    <row r="61" spans="1:11" ht="30">
      <c r="G61" s="441" t="s">
        <v>957</v>
      </c>
      <c r="H61" s="441" t="s">
        <v>777</v>
      </c>
      <c r="I61" s="441" t="s">
        <v>958</v>
      </c>
      <c r="J61" s="441" t="s">
        <v>959</v>
      </c>
      <c r="K61" s="442" t="s">
        <v>961</v>
      </c>
    </row>
    <row r="62" spans="1:11" ht="15.75">
      <c r="G62" s="1352" t="s">
        <v>1346</v>
      </c>
      <c r="H62" s="215" t="s">
        <v>778</v>
      </c>
      <c r="I62" s="1353">
        <v>2</v>
      </c>
      <c r="J62" s="1354">
        <v>14058.14</v>
      </c>
      <c r="K62" s="443" t="s">
        <v>1384</v>
      </c>
    </row>
    <row r="63" spans="1:11" ht="15.75">
      <c r="G63" s="1352"/>
      <c r="H63" s="215" t="s">
        <v>1347</v>
      </c>
      <c r="I63" s="1353">
        <v>0</v>
      </c>
      <c r="J63" s="1354">
        <v>0</v>
      </c>
      <c r="K63" t="s">
        <v>963</v>
      </c>
    </row>
    <row r="64" spans="1:11" ht="15.75">
      <c r="G64" s="1352"/>
      <c r="H64" s="215" t="s">
        <v>779</v>
      </c>
      <c r="I64" s="1353">
        <v>536</v>
      </c>
      <c r="J64" s="1354">
        <v>298.62000000000006</v>
      </c>
      <c r="K64">
        <v>1</v>
      </c>
    </row>
    <row r="65" spans="7:11" ht="15.75">
      <c r="G65" s="1352"/>
      <c r="H65" s="215" t="s">
        <v>780</v>
      </c>
      <c r="I65" s="1353">
        <v>1045</v>
      </c>
      <c r="J65" s="1354">
        <v>120813.50000000001</v>
      </c>
      <c r="K65">
        <v>1.5</v>
      </c>
    </row>
    <row r="66" spans="7:11" ht="15.75">
      <c r="G66" s="1352"/>
      <c r="H66" s="215" t="s">
        <v>781</v>
      </c>
      <c r="I66" s="1353">
        <v>3411</v>
      </c>
      <c r="J66" s="1354">
        <v>89264.219999999987</v>
      </c>
      <c r="K66">
        <v>1.25</v>
      </c>
    </row>
    <row r="67" spans="7:11" ht="15.75">
      <c r="G67" s="1352"/>
      <c r="H67" s="215" t="s">
        <v>1348</v>
      </c>
      <c r="I67" s="1353">
        <v>2009</v>
      </c>
      <c r="J67" s="1354">
        <v>66400.210000000006</v>
      </c>
      <c r="K67">
        <v>1</v>
      </c>
    </row>
    <row r="68" spans="7:11" ht="15.75">
      <c r="G68" s="1352"/>
      <c r="H68" s="215" t="s">
        <v>782</v>
      </c>
      <c r="I68" s="1353">
        <v>6</v>
      </c>
      <c r="J68" s="1354">
        <v>4215.8899999999994</v>
      </c>
      <c r="K68">
        <v>2</v>
      </c>
    </row>
    <row r="69" spans="7:11" ht="15.75">
      <c r="G69" s="1352"/>
      <c r="H69" s="215" t="s">
        <v>1349</v>
      </c>
      <c r="I69" s="1353">
        <v>56</v>
      </c>
      <c r="J69" s="1354">
        <v>134.28</v>
      </c>
      <c r="K69">
        <v>0.25</v>
      </c>
    </row>
    <row r="70" spans="7:11" ht="15.75">
      <c r="G70" s="1352"/>
      <c r="H70" s="215" t="s">
        <v>783</v>
      </c>
      <c r="I70" s="1353">
        <v>2</v>
      </c>
      <c r="J70" s="1354">
        <v>2423.5700000000002</v>
      </c>
      <c r="K70">
        <v>10</v>
      </c>
    </row>
    <row r="71" spans="7:11" ht="15.75">
      <c r="G71" s="1352"/>
      <c r="H71" s="215" t="s">
        <v>784</v>
      </c>
      <c r="I71" s="1353">
        <v>6</v>
      </c>
      <c r="J71" s="1354">
        <v>7270.93</v>
      </c>
      <c r="K71">
        <v>16</v>
      </c>
    </row>
    <row r="72" spans="7:11" ht="15.75">
      <c r="G72" s="1352"/>
      <c r="H72" s="215" t="s">
        <v>785</v>
      </c>
      <c r="I72" s="1353">
        <v>557</v>
      </c>
      <c r="J72" s="1354">
        <v>120864.34000000003</v>
      </c>
      <c r="K72">
        <v>2</v>
      </c>
    </row>
    <row r="73" spans="7:11" ht="15.75">
      <c r="G73" s="1352"/>
      <c r="H73" s="215" t="s">
        <v>786</v>
      </c>
      <c r="I73" s="1353">
        <v>10</v>
      </c>
      <c r="J73" s="1354">
        <v>5075.7300000000005</v>
      </c>
      <c r="K73">
        <v>4</v>
      </c>
    </row>
    <row r="74" spans="7:11" ht="15.75">
      <c r="G74" s="1352"/>
      <c r="H74" s="215" t="s">
        <v>787</v>
      </c>
      <c r="I74" s="1353">
        <v>94</v>
      </c>
      <c r="J74" s="1354">
        <v>17675.660000000003</v>
      </c>
      <c r="K74">
        <v>3</v>
      </c>
    </row>
    <row r="75" spans="7:11" ht="15.75">
      <c r="G75" s="1352"/>
      <c r="H75" s="215" t="s">
        <v>788</v>
      </c>
      <c r="I75" s="1353">
        <v>0</v>
      </c>
      <c r="J75" s="1354">
        <v>0</v>
      </c>
      <c r="K75">
        <v>0.75</v>
      </c>
    </row>
    <row r="76" spans="7:11" ht="15.75">
      <c r="G76" s="1352"/>
      <c r="H76" s="215" t="s">
        <v>789</v>
      </c>
      <c r="I76" s="1353">
        <v>49931</v>
      </c>
      <c r="J76" s="1354">
        <v>502003.70000000013</v>
      </c>
      <c r="K76">
        <v>1</v>
      </c>
    </row>
    <row r="77" spans="7:11" ht="15.75">
      <c r="G77" s="1352"/>
      <c r="H77" s="215" t="s">
        <v>790</v>
      </c>
      <c r="I77" s="1353">
        <v>81</v>
      </c>
      <c r="J77" s="1354">
        <v>28893.95</v>
      </c>
      <c r="K77">
        <v>4</v>
      </c>
    </row>
    <row r="78" spans="7:11" ht="15.75">
      <c r="G78" s="1352"/>
      <c r="H78" s="215" t="s">
        <v>791</v>
      </c>
      <c r="I78" s="1353">
        <v>33</v>
      </c>
      <c r="J78" s="1354">
        <v>17099.580000000002</v>
      </c>
      <c r="K78">
        <v>6</v>
      </c>
    </row>
    <row r="79" spans="7:11" ht="15.75">
      <c r="G79" s="1352"/>
      <c r="H79" s="215" t="s">
        <v>792</v>
      </c>
      <c r="I79" s="1353">
        <v>11</v>
      </c>
      <c r="J79" s="1354">
        <v>5941.12</v>
      </c>
      <c r="K79">
        <v>8</v>
      </c>
    </row>
    <row r="80" spans="7:11" ht="15.75">
      <c r="G80" s="1352"/>
      <c r="H80" s="215" t="s">
        <v>793</v>
      </c>
      <c r="I80" s="1353">
        <v>1621</v>
      </c>
      <c r="J80" s="1354">
        <v>972.19000000000017</v>
      </c>
      <c r="K80" t="s">
        <v>962</v>
      </c>
    </row>
    <row r="81" spans="7:11" ht="15.75">
      <c r="G81" s="1352"/>
      <c r="H81" s="215" t="s">
        <v>1350</v>
      </c>
      <c r="I81" s="1353">
        <v>3</v>
      </c>
      <c r="J81" s="1354">
        <v>104.81</v>
      </c>
      <c r="K81" t="s">
        <v>1385</v>
      </c>
    </row>
    <row r="82" spans="7:11" ht="15.75">
      <c r="G82" s="1352"/>
      <c r="H82" s="215" t="s">
        <v>794</v>
      </c>
      <c r="I82" s="1353">
        <v>12</v>
      </c>
      <c r="J82" s="1354">
        <v>51.85</v>
      </c>
      <c r="K82" t="s">
        <v>1386</v>
      </c>
    </row>
    <row r="83" spans="7:11" ht="15.75">
      <c r="G83" s="1352"/>
      <c r="H83" s="215" t="s">
        <v>1351</v>
      </c>
      <c r="I83" s="1353">
        <v>2</v>
      </c>
      <c r="J83" s="1354">
        <v>37.130000000000003</v>
      </c>
      <c r="K83" t="s">
        <v>1387</v>
      </c>
    </row>
    <row r="84" spans="7:11" ht="15.75">
      <c r="G84" s="1352"/>
      <c r="H84" s="215" t="s">
        <v>1352</v>
      </c>
      <c r="I84" s="1353">
        <v>165</v>
      </c>
      <c r="J84" s="1354">
        <v>8544.7199999999993</v>
      </c>
      <c r="K84">
        <v>1</v>
      </c>
    </row>
    <row r="85" spans="7:11" ht="15.75">
      <c r="G85" s="1352"/>
      <c r="H85" s="215" t="s">
        <v>1353</v>
      </c>
      <c r="I85" s="1353">
        <v>0</v>
      </c>
      <c r="J85" s="1354">
        <v>0</v>
      </c>
      <c r="K85">
        <v>0.5</v>
      </c>
    </row>
    <row r="86" spans="7:11" ht="15.75">
      <c r="G86" s="1352"/>
      <c r="H86" s="215" t="s">
        <v>795</v>
      </c>
      <c r="I86" s="1353">
        <v>2</v>
      </c>
      <c r="J86" s="1354">
        <v>17.41</v>
      </c>
      <c r="K86">
        <v>0.25</v>
      </c>
    </row>
    <row r="87" spans="7:11" ht="15.75">
      <c r="G87" s="1352"/>
      <c r="H87" s="215" t="s">
        <v>796</v>
      </c>
      <c r="I87" s="1353">
        <v>167</v>
      </c>
      <c r="J87" s="1354">
        <v>15251.55</v>
      </c>
      <c r="K87">
        <v>2</v>
      </c>
    </row>
    <row r="88" spans="7:11" ht="15.75">
      <c r="G88" s="1352"/>
      <c r="H88" s="215" t="s">
        <v>797</v>
      </c>
      <c r="I88" s="1353">
        <v>92</v>
      </c>
      <c r="J88" s="1354">
        <v>6486.9000000000005</v>
      </c>
      <c r="K88">
        <v>3</v>
      </c>
    </row>
    <row r="89" spans="7:11" ht="15.75">
      <c r="G89" s="1352"/>
      <c r="H89" s="215" t="s">
        <v>798</v>
      </c>
      <c r="I89" s="1353">
        <v>1</v>
      </c>
      <c r="J89" s="1354">
        <v>504.85</v>
      </c>
      <c r="K89">
        <v>3</v>
      </c>
    </row>
    <row r="90" spans="7:11" ht="15.75">
      <c r="G90" s="1352"/>
      <c r="H90" s="215" t="s">
        <v>799</v>
      </c>
      <c r="I90" s="1353">
        <v>1</v>
      </c>
      <c r="J90" s="1354">
        <v>139.4</v>
      </c>
      <c r="K90">
        <v>4</v>
      </c>
    </row>
    <row r="91" spans="7:11" ht="15.75">
      <c r="G91" s="1352"/>
      <c r="H91" s="215" t="s">
        <v>800</v>
      </c>
      <c r="I91" s="1353">
        <v>286</v>
      </c>
      <c r="J91" s="1354">
        <v>560.79999999999995</v>
      </c>
      <c r="K91">
        <v>0.75</v>
      </c>
    </row>
    <row r="92" spans="7:11" ht="15.75">
      <c r="G92" s="1352"/>
      <c r="H92" s="215" t="s">
        <v>801</v>
      </c>
      <c r="I92" s="1353">
        <v>1100</v>
      </c>
      <c r="J92" s="1354">
        <v>26810.460000000006</v>
      </c>
      <c r="K92">
        <v>1</v>
      </c>
    </row>
    <row r="93" spans="7:11" ht="15.75">
      <c r="G93" s="1352"/>
      <c r="H93" s="215" t="s">
        <v>802</v>
      </c>
      <c r="I93" s="1353">
        <v>73</v>
      </c>
      <c r="J93" s="1354">
        <v>21266.77</v>
      </c>
      <c r="K93">
        <v>4</v>
      </c>
    </row>
    <row r="94" spans="7:11" ht="15.75">
      <c r="G94" s="1352"/>
      <c r="H94" s="215" t="s">
        <v>803</v>
      </c>
      <c r="I94" s="1353">
        <v>36</v>
      </c>
      <c r="J94" s="1354">
        <v>4696.0200000000004</v>
      </c>
      <c r="K94">
        <v>6</v>
      </c>
    </row>
    <row r="95" spans="7:11" ht="15.75">
      <c r="G95" s="1352"/>
      <c r="H95" s="215" t="s">
        <v>804</v>
      </c>
      <c r="I95" s="1353">
        <v>3</v>
      </c>
      <c r="J95" s="1354">
        <v>1822.85</v>
      </c>
      <c r="K95">
        <v>8</v>
      </c>
    </row>
    <row r="96" spans="7:11" ht="15.75">
      <c r="G96" s="1352"/>
      <c r="H96" s="215" t="s">
        <v>805</v>
      </c>
      <c r="I96" s="1353">
        <v>6</v>
      </c>
      <c r="J96" s="1354">
        <v>4314.6400000000003</v>
      </c>
      <c r="K96">
        <v>8</v>
      </c>
    </row>
    <row r="97" spans="7:11" ht="15.75">
      <c r="G97" s="1352"/>
      <c r="H97" s="215" t="s">
        <v>1354</v>
      </c>
      <c r="I97" s="1353">
        <v>14</v>
      </c>
      <c r="J97" s="1354">
        <v>114539.65</v>
      </c>
      <c r="K97">
        <v>1.5</v>
      </c>
    </row>
    <row r="98" spans="7:11" ht="15.75">
      <c r="G98" s="1352"/>
      <c r="H98" s="215" t="s">
        <v>1355</v>
      </c>
      <c r="I98" s="1353">
        <v>12</v>
      </c>
      <c r="J98" s="1354">
        <v>8425.2999999999993</v>
      </c>
      <c r="K98">
        <v>1.25</v>
      </c>
    </row>
    <row r="99" spans="7:11" ht="15.75">
      <c r="G99" s="1352"/>
      <c r="H99" s="215" t="s">
        <v>1356</v>
      </c>
      <c r="I99" s="1353">
        <v>14</v>
      </c>
      <c r="J99" s="1354">
        <v>4274.57</v>
      </c>
      <c r="K99">
        <v>1</v>
      </c>
    </row>
    <row r="100" spans="7:11" ht="15.75">
      <c r="G100" s="1352"/>
      <c r="H100" s="215" t="s">
        <v>1357</v>
      </c>
      <c r="I100" s="1353">
        <v>11</v>
      </c>
      <c r="J100" s="1354">
        <v>180037</v>
      </c>
      <c r="K100">
        <v>2</v>
      </c>
    </row>
    <row r="101" spans="7:11" ht="15.75">
      <c r="G101" s="1352"/>
      <c r="H101" s="215" t="s">
        <v>1358</v>
      </c>
      <c r="I101" s="1353">
        <v>1</v>
      </c>
      <c r="J101" s="1354">
        <v>36517.910000000003</v>
      </c>
      <c r="K101">
        <v>2</v>
      </c>
    </row>
    <row r="102" spans="7:11" ht="15.75">
      <c r="G102" s="1352"/>
      <c r="H102" s="215" t="s">
        <v>1359</v>
      </c>
      <c r="I102" s="1353">
        <v>1</v>
      </c>
      <c r="J102" s="1354">
        <v>56060.78</v>
      </c>
      <c r="K102">
        <v>3</v>
      </c>
    </row>
    <row r="103" spans="7:11" ht="15.75">
      <c r="G103" s="1352"/>
      <c r="H103" s="215" t="s">
        <v>1360</v>
      </c>
      <c r="I103" s="1353">
        <v>36</v>
      </c>
      <c r="J103" s="1354">
        <v>11447.21</v>
      </c>
      <c r="K103">
        <v>1</v>
      </c>
    </row>
    <row r="104" spans="7:11" ht="15.75">
      <c r="G104" s="1352"/>
      <c r="H104" s="215" t="s">
        <v>1361</v>
      </c>
      <c r="I104" s="1353">
        <v>4</v>
      </c>
      <c r="J104" s="1354">
        <v>62935.05</v>
      </c>
      <c r="K104">
        <v>2</v>
      </c>
    </row>
    <row r="105" spans="7:11" ht="15.75">
      <c r="G105" s="1352"/>
      <c r="H105" s="215" t="s">
        <v>806</v>
      </c>
      <c r="I105" s="1353">
        <v>0</v>
      </c>
      <c r="J105" s="1354">
        <v>0</v>
      </c>
      <c r="K105">
        <v>1.5</v>
      </c>
    </row>
    <row r="106" spans="7:11" ht="15.75">
      <c r="G106" s="1352"/>
      <c r="H106" s="215" t="s">
        <v>1362</v>
      </c>
      <c r="I106" s="1353">
        <v>0</v>
      </c>
      <c r="J106" s="1354">
        <v>0</v>
      </c>
      <c r="K106" t="s">
        <v>1388</v>
      </c>
    </row>
    <row r="107" spans="7:11" ht="15.75">
      <c r="G107" s="1352"/>
      <c r="H107" s="215" t="s">
        <v>1363</v>
      </c>
      <c r="I107" s="1353">
        <v>0</v>
      </c>
      <c r="J107" s="1354">
        <v>0</v>
      </c>
      <c r="K107" t="s">
        <v>1389</v>
      </c>
    </row>
    <row r="108" spans="7:11" ht="15.75">
      <c r="G108" s="1355"/>
      <c r="H108" s="215" t="s">
        <v>1364</v>
      </c>
      <c r="I108" s="1353">
        <v>0</v>
      </c>
      <c r="J108" s="1354">
        <v>0</v>
      </c>
      <c r="K108" t="s">
        <v>1389</v>
      </c>
    </row>
    <row r="109" spans="7:11" ht="15.75">
      <c r="G109" s="1356" t="s">
        <v>1380</v>
      </c>
      <c r="H109" s="1356"/>
      <c r="I109" s="1357">
        <v>61453</v>
      </c>
      <c r="J109" s="1358">
        <v>1568253.2600000002</v>
      </c>
      <c r="K109" t="s">
        <v>582</v>
      </c>
    </row>
    <row r="110" spans="7:11" ht="15.75">
      <c r="G110" s="1352" t="s">
        <v>1365</v>
      </c>
      <c r="H110" s="215" t="s">
        <v>780</v>
      </c>
      <c r="I110" s="1353">
        <v>122</v>
      </c>
      <c r="J110" s="1354">
        <v>46310.64</v>
      </c>
      <c r="K110">
        <v>1.5</v>
      </c>
    </row>
    <row r="111" spans="7:11" ht="15.75">
      <c r="G111" s="1352"/>
      <c r="H111" s="215" t="s">
        <v>781</v>
      </c>
      <c r="I111" s="1353">
        <v>469</v>
      </c>
      <c r="J111" s="1354">
        <v>56568.03</v>
      </c>
      <c r="K111">
        <v>1.25</v>
      </c>
    </row>
    <row r="112" spans="7:11" ht="15.75">
      <c r="G112" s="1352"/>
      <c r="H112" s="215" t="s">
        <v>1348</v>
      </c>
      <c r="I112" s="1353">
        <v>39496</v>
      </c>
      <c r="J112" s="1354">
        <v>1675939.15</v>
      </c>
      <c r="K112">
        <v>1</v>
      </c>
    </row>
    <row r="113" spans="7:11" ht="15.75">
      <c r="G113" s="1352"/>
      <c r="H113" s="215" t="s">
        <v>785</v>
      </c>
      <c r="I113" s="1353">
        <v>45</v>
      </c>
      <c r="J113" s="1354">
        <v>89461.5</v>
      </c>
      <c r="K113">
        <v>2</v>
      </c>
    </row>
    <row r="114" spans="7:11" ht="15.75">
      <c r="G114" s="1352"/>
      <c r="H114" s="215" t="s">
        <v>787</v>
      </c>
      <c r="I114" s="1353">
        <v>10</v>
      </c>
      <c r="J114" s="1354">
        <v>25020.420000000002</v>
      </c>
      <c r="K114">
        <v>3</v>
      </c>
    </row>
    <row r="115" spans="7:11" ht="15.75">
      <c r="G115" s="1352"/>
      <c r="H115" s="215" t="s">
        <v>789</v>
      </c>
      <c r="I115" s="1353">
        <v>136</v>
      </c>
      <c r="J115" s="1354">
        <v>1710.41</v>
      </c>
      <c r="K115">
        <v>1</v>
      </c>
    </row>
    <row r="116" spans="7:11" ht="15.75">
      <c r="G116" s="1352"/>
      <c r="H116" s="215" t="s">
        <v>790</v>
      </c>
      <c r="I116" s="1353">
        <v>4</v>
      </c>
      <c r="J116" s="1354">
        <v>7165.09</v>
      </c>
      <c r="K116">
        <v>4</v>
      </c>
    </row>
    <row r="117" spans="7:11" ht="15.75">
      <c r="G117" s="1352"/>
      <c r="H117" s="215" t="s">
        <v>791</v>
      </c>
      <c r="I117" s="1353">
        <v>2</v>
      </c>
      <c r="J117" s="1354">
        <v>7254.36</v>
      </c>
      <c r="K117">
        <v>6</v>
      </c>
    </row>
    <row r="118" spans="7:11" ht="15.75">
      <c r="G118" s="1352"/>
      <c r="H118" s="215" t="s">
        <v>1352</v>
      </c>
      <c r="I118" s="1353">
        <v>358</v>
      </c>
      <c r="J118" s="1354">
        <v>79509.25</v>
      </c>
      <c r="K118">
        <v>1</v>
      </c>
    </row>
    <row r="119" spans="7:11" ht="15.75">
      <c r="G119" s="1352"/>
      <c r="H119" s="215" t="s">
        <v>796</v>
      </c>
      <c r="I119" s="1353">
        <v>23</v>
      </c>
      <c r="J119" s="1354">
        <v>49839.41</v>
      </c>
      <c r="K119">
        <v>2</v>
      </c>
    </row>
    <row r="120" spans="7:11" ht="15.75">
      <c r="G120" s="1352"/>
      <c r="H120" s="215" t="s">
        <v>797</v>
      </c>
      <c r="I120" s="1353">
        <v>8</v>
      </c>
      <c r="J120" s="1354">
        <v>9676.2699999999986</v>
      </c>
      <c r="K120">
        <v>3</v>
      </c>
    </row>
    <row r="121" spans="7:11" ht="15.75">
      <c r="G121" s="1352"/>
      <c r="H121" s="215" t="s">
        <v>802</v>
      </c>
      <c r="I121" s="1353">
        <v>3</v>
      </c>
      <c r="J121" s="1354">
        <v>4206.45</v>
      </c>
      <c r="K121">
        <v>4</v>
      </c>
    </row>
    <row r="122" spans="7:11" ht="15.75">
      <c r="G122" s="1352"/>
      <c r="H122" s="215" t="s">
        <v>1366</v>
      </c>
      <c r="I122" s="1353">
        <v>0</v>
      </c>
      <c r="J122" s="1354">
        <v>396100.04</v>
      </c>
      <c r="K122">
        <v>1</v>
      </c>
    </row>
    <row r="123" spans="7:11" ht="15.75">
      <c r="G123" s="1352"/>
      <c r="H123" s="215" t="s">
        <v>1354</v>
      </c>
      <c r="I123" s="1353">
        <v>116</v>
      </c>
      <c r="J123" s="1354">
        <v>64136.13</v>
      </c>
      <c r="K123">
        <v>1.5</v>
      </c>
    </row>
    <row r="124" spans="7:11" ht="15.75">
      <c r="G124" s="1352"/>
      <c r="H124" s="215" t="s">
        <v>1355</v>
      </c>
      <c r="I124" s="1353">
        <v>218</v>
      </c>
      <c r="J124" s="1354">
        <v>19639.62</v>
      </c>
      <c r="K124">
        <v>1.25</v>
      </c>
    </row>
    <row r="125" spans="7:11" ht="15.75">
      <c r="G125" s="1352"/>
      <c r="H125" s="215" t="s">
        <v>1356</v>
      </c>
      <c r="I125" s="1353">
        <v>3206</v>
      </c>
      <c r="J125" s="1354">
        <v>216745.28999999998</v>
      </c>
      <c r="K125" s="216">
        <v>1</v>
      </c>
    </row>
    <row r="126" spans="7:11" ht="15.75">
      <c r="G126" s="1352"/>
      <c r="H126" s="215" t="s">
        <v>1357</v>
      </c>
      <c r="I126" s="1353">
        <v>116</v>
      </c>
      <c r="J126" s="1354">
        <v>102964.97000000002</v>
      </c>
      <c r="K126" s="216">
        <v>2</v>
      </c>
    </row>
    <row r="127" spans="7:11" ht="15.75">
      <c r="G127" s="1352"/>
      <c r="H127" s="215" t="s">
        <v>1358</v>
      </c>
      <c r="I127" s="1353">
        <v>0</v>
      </c>
      <c r="J127" s="1354">
        <v>0</v>
      </c>
      <c r="K127" s="216">
        <v>2</v>
      </c>
    </row>
    <row r="128" spans="7:11" ht="15.75">
      <c r="G128" s="1352"/>
      <c r="H128" s="215" t="s">
        <v>1367</v>
      </c>
      <c r="I128" s="1353">
        <v>3</v>
      </c>
      <c r="J128" s="1354">
        <v>2902.45</v>
      </c>
      <c r="K128" s="216">
        <v>4</v>
      </c>
    </row>
    <row r="129" spans="7:11" ht="15.75">
      <c r="G129" s="1352"/>
      <c r="H129" s="215" t="s">
        <v>1359</v>
      </c>
      <c r="I129" s="1353">
        <v>7</v>
      </c>
      <c r="J129" s="1354">
        <v>25054.07</v>
      </c>
      <c r="K129" s="216">
        <v>3</v>
      </c>
    </row>
    <row r="130" spans="7:11" ht="15.75">
      <c r="G130" s="1352"/>
      <c r="H130" s="215" t="s">
        <v>1360</v>
      </c>
      <c r="I130" s="1353">
        <v>0</v>
      </c>
      <c r="J130" s="1354">
        <v>0</v>
      </c>
      <c r="K130" s="216">
        <v>1</v>
      </c>
    </row>
    <row r="131" spans="7:11" ht="15.75">
      <c r="G131" s="1352"/>
      <c r="H131" s="215" t="s">
        <v>1368</v>
      </c>
      <c r="I131" s="1353">
        <v>2</v>
      </c>
      <c r="J131" s="1354">
        <v>10164.92</v>
      </c>
      <c r="K131" s="216">
        <v>4</v>
      </c>
    </row>
    <row r="132" spans="7:11" ht="15.75">
      <c r="G132" s="1352"/>
      <c r="H132" s="215" t="s">
        <v>1369</v>
      </c>
      <c r="I132" s="1353">
        <v>1</v>
      </c>
      <c r="J132" s="1354">
        <v>7077.05</v>
      </c>
      <c r="K132" s="216">
        <v>6</v>
      </c>
    </row>
    <row r="133" spans="7:11" ht="15.75">
      <c r="G133" s="1352"/>
      <c r="H133" s="215" t="s">
        <v>1370</v>
      </c>
      <c r="I133" s="1353">
        <v>13</v>
      </c>
      <c r="J133" s="1354">
        <v>9448.43</v>
      </c>
      <c r="K133" s="216">
        <v>8</v>
      </c>
    </row>
    <row r="134" spans="7:11" ht="15.75">
      <c r="G134" s="1352"/>
      <c r="H134" s="215" t="s">
        <v>1371</v>
      </c>
      <c r="I134" s="1353">
        <v>373</v>
      </c>
      <c r="J134" s="1354">
        <v>63779.140000000007</v>
      </c>
      <c r="K134" s="216">
        <v>1</v>
      </c>
    </row>
    <row r="135" spans="7:11" ht="15.75">
      <c r="G135" s="1352"/>
      <c r="H135" s="215" t="s">
        <v>1361</v>
      </c>
      <c r="I135" s="1353">
        <v>38</v>
      </c>
      <c r="J135" s="1354">
        <v>40401.279999999999</v>
      </c>
      <c r="K135" s="216">
        <v>2</v>
      </c>
    </row>
    <row r="136" spans="7:11" ht="15.75">
      <c r="G136" s="1352"/>
      <c r="H136" s="215" t="s">
        <v>1372</v>
      </c>
      <c r="I136" s="1353">
        <v>11</v>
      </c>
      <c r="J136" s="1354">
        <v>19487.05</v>
      </c>
      <c r="K136" s="216">
        <v>3</v>
      </c>
    </row>
    <row r="137" spans="7:11" ht="15.75">
      <c r="G137" s="1352"/>
      <c r="H137" s="215" t="s">
        <v>1373</v>
      </c>
      <c r="I137" s="1353">
        <v>6</v>
      </c>
      <c r="J137" s="1354">
        <v>16155.75</v>
      </c>
      <c r="K137" s="216">
        <v>4</v>
      </c>
    </row>
    <row r="138" spans="7:11" ht="15.75">
      <c r="G138" s="1352"/>
      <c r="H138" s="215" t="s">
        <v>806</v>
      </c>
      <c r="I138" s="1353">
        <v>0</v>
      </c>
      <c r="J138" s="1354">
        <v>0</v>
      </c>
      <c r="K138" s="216">
        <v>1.5</v>
      </c>
    </row>
    <row r="139" spans="7:11" ht="15.75">
      <c r="G139" s="1352"/>
      <c r="H139" s="215" t="s">
        <v>1362</v>
      </c>
      <c r="I139" s="1353">
        <v>0</v>
      </c>
      <c r="J139" s="1354">
        <v>0</v>
      </c>
      <c r="K139" s="215" t="s">
        <v>1388</v>
      </c>
    </row>
    <row r="140" spans="7:11" ht="15.75">
      <c r="G140" s="1352"/>
      <c r="H140" s="215" t="s">
        <v>1374</v>
      </c>
      <c r="I140" s="1353">
        <v>0</v>
      </c>
      <c r="J140" s="1354">
        <v>0</v>
      </c>
      <c r="K140" s="215" t="s">
        <v>1389</v>
      </c>
    </row>
    <row r="141" spans="7:11" ht="15.75">
      <c r="G141" s="1355"/>
      <c r="H141" s="215" t="s">
        <v>1375</v>
      </c>
      <c r="I141" s="1353">
        <v>0</v>
      </c>
      <c r="J141" s="1354">
        <v>0</v>
      </c>
      <c r="K141" s="215" t="s">
        <v>1389</v>
      </c>
    </row>
    <row r="142" spans="7:11" ht="15.75">
      <c r="G142" s="1356" t="s">
        <v>1381</v>
      </c>
      <c r="H142" s="1356"/>
      <c r="I142" s="1357">
        <v>44786</v>
      </c>
      <c r="J142" s="1358">
        <v>3046717.1699999995</v>
      </c>
      <c r="K142" s="215" t="s">
        <v>582</v>
      </c>
    </row>
    <row r="143" spans="7:11" ht="15.75">
      <c r="G143" s="1359" t="s">
        <v>1376</v>
      </c>
      <c r="H143" s="215" t="s">
        <v>1354</v>
      </c>
      <c r="I143" s="1353">
        <v>14</v>
      </c>
      <c r="J143" s="1354">
        <v>814.64</v>
      </c>
      <c r="K143" s="216">
        <v>1.5</v>
      </c>
    </row>
    <row r="144" spans="7:11" ht="15.75">
      <c r="G144" s="1359"/>
      <c r="H144" s="215" t="s">
        <v>1355</v>
      </c>
      <c r="I144" s="1353">
        <v>61</v>
      </c>
      <c r="J144" s="1354">
        <v>3549.53</v>
      </c>
      <c r="K144" s="216">
        <v>1.25</v>
      </c>
    </row>
    <row r="145" spans="7:11" ht="15.75">
      <c r="G145" s="1359"/>
      <c r="H145" s="215" t="s">
        <v>1356</v>
      </c>
      <c r="I145" s="1353">
        <v>401</v>
      </c>
      <c r="J145" s="1354">
        <v>23333.79</v>
      </c>
      <c r="K145" s="216">
        <v>1</v>
      </c>
    </row>
    <row r="146" spans="7:11" ht="15.75">
      <c r="G146" s="1359"/>
      <c r="H146" s="215" t="s">
        <v>1357</v>
      </c>
      <c r="I146" s="1353">
        <v>18</v>
      </c>
      <c r="J146" s="1354">
        <v>2044.04</v>
      </c>
      <c r="K146" s="216">
        <v>2</v>
      </c>
    </row>
    <row r="147" spans="7:11" ht="15.75">
      <c r="G147" s="1359"/>
      <c r="H147" s="215" t="s">
        <v>1367</v>
      </c>
      <c r="I147" s="1353">
        <v>1</v>
      </c>
      <c r="J147" s="1354">
        <v>139.72999999999999</v>
      </c>
      <c r="K147" s="216">
        <v>4</v>
      </c>
    </row>
    <row r="148" spans="7:11" ht="15.75">
      <c r="G148" s="1359"/>
      <c r="H148" s="215" t="s">
        <v>1359</v>
      </c>
      <c r="I148" s="1353">
        <v>5</v>
      </c>
      <c r="J148" s="1354">
        <v>290.94</v>
      </c>
      <c r="K148" s="216">
        <v>3</v>
      </c>
    </row>
    <row r="149" spans="7:11" ht="15.75">
      <c r="G149" s="1359"/>
      <c r="H149" s="215" t="s">
        <v>1368</v>
      </c>
      <c r="I149" s="1353">
        <v>2</v>
      </c>
      <c r="J149" s="1354">
        <v>297.58999999999997</v>
      </c>
      <c r="K149" s="216">
        <v>4</v>
      </c>
    </row>
    <row r="150" spans="7:11" ht="15.75">
      <c r="G150" s="1359"/>
      <c r="H150" s="215" t="s">
        <v>1369</v>
      </c>
      <c r="I150" s="1353">
        <v>1</v>
      </c>
      <c r="J150" s="1354">
        <v>148.79</v>
      </c>
      <c r="K150" s="216">
        <v>6</v>
      </c>
    </row>
    <row r="151" spans="7:11" ht="15.75">
      <c r="G151" s="1359"/>
      <c r="H151" s="215" t="s">
        <v>1370</v>
      </c>
      <c r="I151" s="1353">
        <v>1</v>
      </c>
      <c r="J151" s="1354">
        <v>58.19</v>
      </c>
      <c r="K151" s="216">
        <v>8</v>
      </c>
    </row>
    <row r="152" spans="7:11" ht="15.75">
      <c r="G152" s="1359"/>
      <c r="H152" s="215" t="s">
        <v>1371</v>
      </c>
      <c r="I152" s="1353">
        <v>104</v>
      </c>
      <c r="J152" s="1354">
        <v>6051.65</v>
      </c>
      <c r="K152" s="216">
        <v>1</v>
      </c>
    </row>
    <row r="153" spans="7:11" ht="15.75">
      <c r="G153" s="1359"/>
      <c r="H153" s="215" t="s">
        <v>1361</v>
      </c>
      <c r="I153" s="1353">
        <v>10</v>
      </c>
      <c r="J153" s="1354">
        <v>581.89</v>
      </c>
      <c r="K153" s="216">
        <v>2</v>
      </c>
    </row>
    <row r="154" spans="7:11" ht="15.75">
      <c r="G154" s="1359"/>
      <c r="H154" s="215" t="s">
        <v>1372</v>
      </c>
      <c r="I154" s="1353">
        <v>10</v>
      </c>
      <c r="J154" s="1354">
        <v>1487.93</v>
      </c>
      <c r="K154" s="216">
        <v>3</v>
      </c>
    </row>
    <row r="155" spans="7:11" ht="15.75">
      <c r="G155" s="1359"/>
      <c r="H155" s="215" t="s">
        <v>1373</v>
      </c>
      <c r="I155" s="1353">
        <v>5</v>
      </c>
      <c r="J155" s="1354">
        <v>743.96</v>
      </c>
      <c r="K155" s="216">
        <v>4</v>
      </c>
    </row>
    <row r="156" spans="7:11" ht="15.75">
      <c r="G156" s="1359"/>
      <c r="H156" s="215" t="s">
        <v>806</v>
      </c>
      <c r="I156" s="1353">
        <v>0</v>
      </c>
      <c r="J156" s="1354">
        <v>0</v>
      </c>
      <c r="K156" s="216">
        <v>1.5</v>
      </c>
    </row>
    <row r="157" spans="7:11" ht="15.75">
      <c r="G157" s="1359"/>
      <c r="H157" s="215" t="s">
        <v>807</v>
      </c>
      <c r="I157" s="1353">
        <v>52599</v>
      </c>
      <c r="J157" s="1354">
        <v>326892.71000000002</v>
      </c>
      <c r="K157" s="215" t="s">
        <v>807</v>
      </c>
    </row>
    <row r="158" spans="7:11" ht="15.75">
      <c r="G158" s="1359"/>
      <c r="H158" s="215" t="s">
        <v>1377</v>
      </c>
      <c r="I158" s="1353">
        <v>0</v>
      </c>
      <c r="J158" s="1354">
        <v>0</v>
      </c>
      <c r="K158" s="215" t="s">
        <v>1390</v>
      </c>
    </row>
    <row r="159" spans="7:11" ht="15.75">
      <c r="G159" s="1359"/>
      <c r="H159" s="215" t="s">
        <v>1363</v>
      </c>
      <c r="I159" s="1353">
        <v>0</v>
      </c>
      <c r="J159" s="1354">
        <v>0</v>
      </c>
      <c r="K159" s="215" t="s">
        <v>1389</v>
      </c>
    </row>
    <row r="160" spans="7:11" ht="15.75">
      <c r="G160" s="1359"/>
      <c r="H160" s="215" t="s">
        <v>1364</v>
      </c>
      <c r="I160" s="1353">
        <v>0</v>
      </c>
      <c r="J160" s="1354">
        <v>0</v>
      </c>
      <c r="K160" s="215" t="s">
        <v>1389</v>
      </c>
    </row>
    <row r="161" spans="7:11" ht="15.75">
      <c r="G161" s="1355"/>
      <c r="H161" s="215" t="s">
        <v>1378</v>
      </c>
      <c r="I161" s="1353">
        <v>6448</v>
      </c>
      <c r="J161" s="1354">
        <v>828200.73</v>
      </c>
      <c r="K161" s="215" t="s">
        <v>1391</v>
      </c>
    </row>
    <row r="162" spans="7:11" ht="15.75">
      <c r="G162" s="1356" t="s">
        <v>1382</v>
      </c>
      <c r="H162" s="1356"/>
      <c r="I162" s="1357">
        <v>59680</v>
      </c>
      <c r="J162" s="1358">
        <v>1194636.1099999999</v>
      </c>
      <c r="K162" s="215" t="s">
        <v>761</v>
      </c>
    </row>
    <row r="163" spans="7:11" ht="15.75">
      <c r="G163" s="1359" t="s">
        <v>1379</v>
      </c>
      <c r="H163" s="215" t="s">
        <v>806</v>
      </c>
      <c r="I163" s="1353">
        <v>0</v>
      </c>
      <c r="J163" s="1354">
        <v>0</v>
      </c>
      <c r="K163" s="216">
        <v>1.5</v>
      </c>
    </row>
    <row r="164" spans="7:11" ht="15.75">
      <c r="G164" s="1359"/>
      <c r="H164" s="215" t="s">
        <v>1377</v>
      </c>
      <c r="I164" s="1353">
        <v>0</v>
      </c>
      <c r="J164" s="1354">
        <v>0</v>
      </c>
      <c r="K164" s="215" t="s">
        <v>1390</v>
      </c>
    </row>
    <row r="165" spans="7:11" ht="15.75">
      <c r="G165" s="1359"/>
      <c r="H165" s="215" t="s">
        <v>1374</v>
      </c>
      <c r="I165" s="1353">
        <v>0</v>
      </c>
      <c r="J165" s="1354">
        <v>0</v>
      </c>
      <c r="K165" s="215" t="s">
        <v>1389</v>
      </c>
    </row>
    <row r="166" spans="7:11" ht="15.75">
      <c r="G166" s="1359"/>
      <c r="H166" s="215" t="s">
        <v>1375</v>
      </c>
      <c r="I166" s="1353">
        <v>0</v>
      </c>
      <c r="J166" s="1354">
        <v>0</v>
      </c>
      <c r="K166" s="215" t="s">
        <v>1389</v>
      </c>
    </row>
    <row r="167" spans="7:11" ht="15.75">
      <c r="G167" s="1355"/>
      <c r="H167" s="215" t="s">
        <v>1378</v>
      </c>
      <c r="I167" s="1353">
        <v>39003</v>
      </c>
      <c r="J167" s="1354">
        <v>2348759.41</v>
      </c>
      <c r="K167" s="215" t="s">
        <v>1391</v>
      </c>
    </row>
    <row r="168" spans="7:11" ht="15.75">
      <c r="G168" s="1356" t="s">
        <v>1383</v>
      </c>
      <c r="H168" s="1356"/>
      <c r="I168" s="1357">
        <v>39003</v>
      </c>
      <c r="J168" s="1358">
        <v>2348759.41</v>
      </c>
      <c r="K168" s="215" t="s">
        <v>761</v>
      </c>
    </row>
    <row r="169" spans="7:11" ht="15.75">
      <c r="G169" s="1360" t="s">
        <v>716</v>
      </c>
      <c r="H169" s="1360"/>
      <c r="I169" s="1361">
        <v>204922</v>
      </c>
      <c r="J169" s="1362">
        <v>8158365.9500000011</v>
      </c>
      <c r="K169" s="215" t="s">
        <v>1392</v>
      </c>
    </row>
  </sheetData>
  <mergeCells count="1">
    <mergeCell ref="D7:E7"/>
  </mergeCells>
  <printOptions horizontalCentered="1"/>
  <pageMargins left="1" right="1" top="1" bottom="1" header="0.5" footer="0.5"/>
  <pageSetup scale="67" orientation="portrait" blackAndWhite="1" r:id="rId1"/>
  <headerFooter alignWithMargins="0"/>
  <rowBreaks count="1" manualBreakCount="1">
    <brk id="52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>
    <pageSetUpPr fitToPage="1"/>
  </sheetPr>
  <dimension ref="A1:M77"/>
  <sheetViews>
    <sheetView workbookViewId="0">
      <selection sqref="A1:M77"/>
    </sheetView>
  </sheetViews>
  <sheetFormatPr defaultColWidth="8.88671875" defaultRowHeight="15"/>
  <cols>
    <col min="1" max="1" width="19.77734375" style="1501" customWidth="1"/>
    <col min="2" max="2" width="11.33203125" style="1501" bestFit="1" customWidth="1"/>
    <col min="3" max="3" width="14.6640625" style="1501" bestFit="1" customWidth="1"/>
    <col min="4" max="4" width="13" style="1501" bestFit="1" customWidth="1"/>
    <col min="5" max="6" width="1.6640625" style="1501" customWidth="1"/>
    <col min="7" max="9" width="8.88671875" style="1501"/>
    <col min="10" max="10" width="5.6640625" style="1501" customWidth="1"/>
    <col min="11" max="11" width="13.5546875" style="1501" customWidth="1"/>
    <col min="12" max="12" width="7.5546875" style="1501" customWidth="1"/>
    <col min="13" max="16384" width="8.88671875" style="1501"/>
  </cols>
  <sheetData>
    <row r="1" spans="1:13">
      <c r="A1" s="196" t="str">
        <f>co_name</f>
        <v>DUKE ENERGY KENTUCKY, INC.</v>
      </c>
      <c r="B1" s="287"/>
      <c r="C1" s="287"/>
      <c r="D1" s="188"/>
      <c r="E1" s="189"/>
      <c r="F1" s="190"/>
      <c r="G1" s="190"/>
      <c r="I1" s="287"/>
      <c r="L1" s="10" t="s">
        <v>1551</v>
      </c>
    </row>
    <row r="2" spans="1:13">
      <c r="A2" s="196" t="str">
        <f>coss_type</f>
        <v xml:space="preserve">GAS COST OF SERVICE STUDY </v>
      </c>
      <c r="B2" s="287"/>
      <c r="C2" s="287"/>
      <c r="D2" s="288"/>
      <c r="E2" s="189"/>
      <c r="F2" s="190"/>
      <c r="G2" s="190"/>
      <c r="I2" s="287"/>
      <c r="L2" s="10" t="str">
        <f>'Alloc Factors Summary'!G2</f>
        <v>Witness Responsible:</v>
      </c>
    </row>
    <row r="3" spans="1:13">
      <c r="A3" s="196" t="str">
        <f>case_name</f>
        <v>CASE NO: 2018-00261</v>
      </c>
      <c r="B3" s="287"/>
      <c r="C3" s="287"/>
      <c r="D3" s="287"/>
      <c r="E3" s="189"/>
      <c r="F3" s="190"/>
      <c r="G3" s="190"/>
      <c r="I3" s="287"/>
      <c r="L3" s="10" t="str">
        <f>'Alloc Factors Summary'!G3</f>
        <v>James E. Ziolkowski</v>
      </c>
    </row>
    <row r="4" spans="1:13">
      <c r="A4" s="10" t="str">
        <f>alloc_factors</f>
        <v>ALLOCATION FACTORS FOR COST OF SERVICE STUDY</v>
      </c>
      <c r="B4" s="287"/>
      <c r="C4" s="287"/>
      <c r="D4" s="287"/>
      <c r="E4" s="189"/>
      <c r="F4" s="190"/>
      <c r="G4" s="190"/>
      <c r="I4" s="287"/>
      <c r="L4" s="10" t="s">
        <v>604</v>
      </c>
    </row>
    <row r="5" spans="1:13">
      <c r="A5" s="10" t="str">
        <f>time_period</f>
        <v>TWELVE MONTHS ENDING DECEMBER 31, 2017</v>
      </c>
      <c r="B5" s="287"/>
      <c r="C5" s="287"/>
      <c r="D5" s="188"/>
      <c r="E5" s="189"/>
      <c r="F5" s="190"/>
      <c r="G5" s="190"/>
      <c r="I5" s="287"/>
      <c r="L5" s="1285">
        <f ca="1">TODAY()</f>
        <v>43347</v>
      </c>
    </row>
    <row r="6" spans="1:13">
      <c r="A6" s="1276" t="s">
        <v>1394</v>
      </c>
      <c r="B6" s="287"/>
      <c r="C6" s="287"/>
      <c r="D6" s="188"/>
      <c r="E6" s="189"/>
      <c r="F6" s="190"/>
      <c r="G6" s="190"/>
      <c r="H6" s="287"/>
      <c r="I6" s="287"/>
    </row>
    <row r="8" spans="1:13">
      <c r="A8" s="1501" t="s">
        <v>1418</v>
      </c>
      <c r="B8" s="1501" t="s">
        <v>1501</v>
      </c>
      <c r="C8" s="1501" t="s">
        <v>1502</v>
      </c>
      <c r="D8" s="1502" t="s">
        <v>1503</v>
      </c>
      <c r="I8" s="188"/>
      <c r="J8" s="287"/>
      <c r="K8" s="1008" t="s">
        <v>1148</v>
      </c>
      <c r="L8" s="1008"/>
      <c r="M8" s="1008" t="s">
        <v>909</v>
      </c>
    </row>
    <row r="9" spans="1:13">
      <c r="A9" s="1503" t="s">
        <v>1504</v>
      </c>
      <c r="B9" s="1504">
        <v>4499288.0899995267</v>
      </c>
      <c r="C9" s="1505">
        <v>19944</v>
      </c>
      <c r="D9" s="1504">
        <v>225.59607350579256</v>
      </c>
      <c r="I9" s="191" t="s">
        <v>808</v>
      </c>
      <c r="J9" s="287"/>
      <c r="K9" s="192" t="s">
        <v>1149</v>
      </c>
      <c r="L9" s="192"/>
      <c r="M9" s="192" t="s">
        <v>1149</v>
      </c>
    </row>
    <row r="10" spans="1:13">
      <c r="A10" s="1506" t="s">
        <v>1505</v>
      </c>
      <c r="B10" s="1504">
        <v>564657.23999999266</v>
      </c>
      <c r="C10" s="1505">
        <v>938</v>
      </c>
      <c r="D10" s="1504">
        <v>601.97999999999217</v>
      </c>
      <c r="G10" s="287"/>
      <c r="H10" s="287"/>
      <c r="I10" s="1241"/>
      <c r="J10" s="1011"/>
      <c r="K10" s="1244"/>
      <c r="L10" s="289"/>
      <c r="M10" s="1019" t="s">
        <v>565</v>
      </c>
    </row>
    <row r="11" spans="1:13">
      <c r="A11" s="1506" t="s">
        <v>1506</v>
      </c>
      <c r="B11" s="1504">
        <v>77405</v>
      </c>
      <c r="C11" s="1505">
        <v>113</v>
      </c>
      <c r="D11" s="1504">
        <v>685</v>
      </c>
      <c r="G11" s="287" t="s">
        <v>773</v>
      </c>
      <c r="H11" s="287"/>
      <c r="I11" s="1241">
        <v>241894</v>
      </c>
      <c r="J11" s="1011"/>
      <c r="K11" s="1242">
        <v>18152038.139987618</v>
      </c>
      <c r="L11" s="290"/>
      <c r="M11" s="1507">
        <f>K11/K15</f>
        <v>0.79176402734983431</v>
      </c>
    </row>
    <row r="12" spans="1:13">
      <c r="A12" s="1506" t="s">
        <v>1507</v>
      </c>
      <c r="B12" s="1504">
        <v>609404.31999999855</v>
      </c>
      <c r="C12" s="1505">
        <v>1154</v>
      </c>
      <c r="D12" s="1504">
        <v>528.07999999999879</v>
      </c>
      <c r="G12" s="1011" t="s">
        <v>1282</v>
      </c>
      <c r="H12" s="1011"/>
      <c r="I12" s="1241">
        <v>19944</v>
      </c>
      <c r="J12" s="1011"/>
      <c r="K12" s="1242">
        <v>4499288.0899995267</v>
      </c>
      <c r="L12" s="1017"/>
      <c r="M12" s="1507">
        <f>K12/K15</f>
        <v>0.19625203687168977</v>
      </c>
    </row>
    <row r="13" spans="1:13">
      <c r="A13" s="1506" t="s">
        <v>1508</v>
      </c>
      <c r="B13" s="1504">
        <v>30375</v>
      </c>
      <c r="C13" s="1505">
        <v>45</v>
      </c>
      <c r="D13" s="1504">
        <v>675</v>
      </c>
      <c r="G13" s="1011" t="s">
        <v>984</v>
      </c>
      <c r="H13" s="1011"/>
      <c r="I13" s="1241">
        <v>47</v>
      </c>
      <c r="J13" s="1011"/>
      <c r="K13" s="1242">
        <v>184982.06</v>
      </c>
      <c r="L13" s="1017"/>
      <c r="M13" s="1507">
        <f>K13/K15</f>
        <v>8.068633377891779E-3</v>
      </c>
    </row>
    <row r="14" spans="1:13">
      <c r="A14" s="1506" t="s">
        <v>1509</v>
      </c>
      <c r="B14" s="1504">
        <v>780975</v>
      </c>
      <c r="C14" s="1505">
        <v>1157</v>
      </c>
      <c r="D14" s="1504">
        <v>675</v>
      </c>
      <c r="G14" s="211" t="s">
        <v>566</v>
      </c>
      <c r="H14" s="287"/>
      <c r="I14" s="1241">
        <v>11</v>
      </c>
      <c r="J14" s="1011"/>
      <c r="K14" s="1242">
        <v>89762.5</v>
      </c>
      <c r="L14" s="290"/>
      <c r="M14" s="1507">
        <f>K14/K15</f>
        <v>3.9153024005842011E-3</v>
      </c>
    </row>
    <row r="15" spans="1:13" ht="15.75" thickBot="1">
      <c r="A15" s="1506" t="s">
        <v>1510</v>
      </c>
      <c r="B15" s="1504">
        <v>103986</v>
      </c>
      <c r="C15" s="1505">
        <v>53</v>
      </c>
      <c r="D15" s="1504">
        <v>1962</v>
      </c>
      <c r="G15" s="287" t="s">
        <v>229</v>
      </c>
      <c r="H15" s="287"/>
      <c r="I15" s="291">
        <v>261896</v>
      </c>
      <c r="J15" s="1018"/>
      <c r="K15" s="1243">
        <v>22926070.789987143</v>
      </c>
      <c r="L15" s="290"/>
      <c r="M15" s="1508">
        <f>SUM(M11:M14)</f>
        <v>1</v>
      </c>
    </row>
    <row r="16" spans="1:13" ht="15.75" thickTop="1">
      <c r="A16" s="1506" t="s">
        <v>1511</v>
      </c>
      <c r="B16" s="1504">
        <v>100800</v>
      </c>
      <c r="C16" s="1505">
        <v>90</v>
      </c>
      <c r="D16" s="1504">
        <v>1120</v>
      </c>
    </row>
    <row r="17" spans="1:4">
      <c r="A17" s="1506" t="s">
        <v>1512</v>
      </c>
      <c r="B17" s="1504">
        <v>43408</v>
      </c>
      <c r="C17" s="1505">
        <v>16</v>
      </c>
      <c r="D17" s="1504">
        <v>2713</v>
      </c>
    </row>
    <row r="18" spans="1:4">
      <c r="A18" s="1506" t="s">
        <v>1513</v>
      </c>
      <c r="B18" s="1504">
        <v>27616</v>
      </c>
      <c r="C18" s="1505">
        <v>4</v>
      </c>
      <c r="D18" s="1504">
        <v>6904</v>
      </c>
    </row>
    <row r="19" spans="1:4">
      <c r="A19" s="1506" t="s">
        <v>1514</v>
      </c>
      <c r="B19" s="1504">
        <v>423696.239999977</v>
      </c>
      <c r="C19" s="1505">
        <v>4026</v>
      </c>
      <c r="D19" s="1504">
        <v>105.23999999999428</v>
      </c>
    </row>
    <row r="20" spans="1:4">
      <c r="A20" s="1506" t="s">
        <v>1515</v>
      </c>
      <c r="B20" s="1504">
        <v>32110.670000000042</v>
      </c>
      <c r="C20" s="1505">
        <v>313</v>
      </c>
      <c r="D20" s="1504">
        <v>102.59000000000013</v>
      </c>
    </row>
    <row r="21" spans="1:4">
      <c r="A21" s="1506" t="s">
        <v>1516</v>
      </c>
      <c r="B21" s="1504">
        <v>231539.51999998771</v>
      </c>
      <c r="C21" s="1505">
        <v>4128</v>
      </c>
      <c r="D21" s="1504">
        <v>56.089999999997019</v>
      </c>
    </row>
    <row r="22" spans="1:4">
      <c r="A22" s="1506" t="s">
        <v>1517</v>
      </c>
      <c r="B22" s="1504">
        <v>5131.4600000000073</v>
      </c>
      <c r="C22" s="1505">
        <v>94</v>
      </c>
      <c r="D22" s="1504">
        <v>54.590000000000074</v>
      </c>
    </row>
    <row r="23" spans="1:4">
      <c r="A23" s="1506" t="s">
        <v>1518</v>
      </c>
      <c r="B23" s="1504">
        <v>220507.5599999878</v>
      </c>
      <c r="C23" s="1505">
        <v>4134</v>
      </c>
      <c r="D23" s="1504">
        <v>53.339999999997048</v>
      </c>
    </row>
    <row r="24" spans="1:4">
      <c r="A24" s="1506" t="s">
        <v>1519</v>
      </c>
      <c r="B24" s="1504">
        <v>23623.5</v>
      </c>
      <c r="C24" s="1505">
        <v>3</v>
      </c>
      <c r="D24" s="1504">
        <v>7874.5</v>
      </c>
    </row>
    <row r="25" spans="1:4">
      <c r="A25" s="1506" t="s">
        <v>1520</v>
      </c>
      <c r="B25" s="1504">
        <v>402080</v>
      </c>
      <c r="C25" s="1505">
        <v>359</v>
      </c>
      <c r="D25" s="1504">
        <v>1120</v>
      </c>
    </row>
    <row r="26" spans="1:4">
      <c r="A26" s="1506" t="s">
        <v>1521</v>
      </c>
      <c r="B26" s="1504">
        <v>4079</v>
      </c>
      <c r="C26" s="1505">
        <v>1</v>
      </c>
      <c r="D26" s="1504">
        <v>4079</v>
      </c>
    </row>
    <row r="27" spans="1:4">
      <c r="A27" s="1506" t="s">
        <v>1522</v>
      </c>
      <c r="B27" s="1504">
        <v>161054.79000000074</v>
      </c>
      <c r="C27" s="1505">
        <v>949</v>
      </c>
      <c r="D27" s="1504">
        <v>169.71000000000078</v>
      </c>
    </row>
    <row r="28" spans="1:4">
      <c r="A28" s="1506" t="s">
        <v>1523</v>
      </c>
      <c r="B28" s="1504">
        <v>22100</v>
      </c>
      <c r="C28" s="1505">
        <v>130</v>
      </c>
      <c r="D28" s="1504">
        <v>170</v>
      </c>
    </row>
    <row r="29" spans="1:4">
      <c r="A29" s="1506" t="s">
        <v>1524</v>
      </c>
      <c r="B29" s="1504">
        <v>115028.29000000221</v>
      </c>
      <c r="C29" s="1505">
        <v>949</v>
      </c>
      <c r="D29" s="1504">
        <v>121.21000000000232</v>
      </c>
    </row>
    <row r="30" spans="1:4">
      <c r="A30" s="1506" t="s">
        <v>1525</v>
      </c>
      <c r="B30" s="1504">
        <v>3135</v>
      </c>
      <c r="C30" s="1505">
        <v>19</v>
      </c>
      <c r="D30" s="1504">
        <v>165</v>
      </c>
    </row>
    <row r="31" spans="1:4">
      <c r="A31" s="1506" t="s">
        <v>1526</v>
      </c>
      <c r="B31" s="1504">
        <v>170775</v>
      </c>
      <c r="C31" s="1505">
        <v>1035</v>
      </c>
      <c r="D31" s="1504">
        <v>165</v>
      </c>
    </row>
    <row r="32" spans="1:4">
      <c r="A32" s="1506" t="s">
        <v>1527</v>
      </c>
      <c r="B32" s="1504">
        <v>9844.5</v>
      </c>
      <c r="C32" s="1505">
        <v>1</v>
      </c>
      <c r="D32" s="1504">
        <v>9844.5</v>
      </c>
    </row>
    <row r="33" spans="1:4">
      <c r="A33" s="1506" t="s">
        <v>1528</v>
      </c>
      <c r="B33" s="1504">
        <v>191114</v>
      </c>
      <c r="C33" s="1505">
        <v>146</v>
      </c>
      <c r="D33" s="1504">
        <v>1309</v>
      </c>
    </row>
    <row r="34" spans="1:4">
      <c r="A34" s="1506" t="s">
        <v>1529</v>
      </c>
      <c r="B34" s="1504">
        <v>142464</v>
      </c>
      <c r="C34" s="1505">
        <v>84</v>
      </c>
      <c r="D34" s="1504">
        <v>1696</v>
      </c>
    </row>
    <row r="35" spans="1:4">
      <c r="A35" s="1506" t="s">
        <v>1530</v>
      </c>
      <c r="B35" s="1504">
        <v>2378</v>
      </c>
      <c r="C35" s="1505">
        <v>2</v>
      </c>
      <c r="D35" s="1504">
        <v>1189</v>
      </c>
    </row>
    <row r="36" spans="1:4">
      <c r="A36" s="1506" t="s">
        <v>1531</v>
      </c>
      <c r="B36" s="1504">
        <v>0</v>
      </c>
      <c r="C36" s="1505">
        <v>1</v>
      </c>
      <c r="D36" s="1504">
        <v>0</v>
      </c>
    </row>
    <row r="37" spans="1:4">
      <c r="A37" s="1503" t="s">
        <v>1532</v>
      </c>
      <c r="B37" s="1504">
        <v>183020.06</v>
      </c>
      <c r="C37" s="1505">
        <v>46</v>
      </c>
      <c r="D37" s="1504">
        <v>3978.6969565217391</v>
      </c>
    </row>
    <row r="38" spans="1:4">
      <c r="A38" s="1506" t="s">
        <v>1505</v>
      </c>
      <c r="B38" s="1504">
        <v>601.98</v>
      </c>
      <c r="C38" s="1505">
        <v>1</v>
      </c>
      <c r="D38" s="1504">
        <v>601.98</v>
      </c>
    </row>
    <row r="39" spans="1:4">
      <c r="A39" s="1506" t="s">
        <v>1507</v>
      </c>
      <c r="B39" s="1504">
        <v>528.08000000000004</v>
      </c>
      <c r="C39" s="1505">
        <v>1</v>
      </c>
      <c r="D39" s="1504">
        <v>528.08000000000004</v>
      </c>
    </row>
    <row r="40" spans="1:4">
      <c r="A40" s="1506" t="s">
        <v>1509</v>
      </c>
      <c r="B40" s="1504">
        <v>675</v>
      </c>
      <c r="C40" s="1505">
        <v>1</v>
      </c>
      <c r="D40" s="1504">
        <v>675</v>
      </c>
    </row>
    <row r="41" spans="1:4">
      <c r="A41" s="1506" t="s">
        <v>1510</v>
      </c>
      <c r="B41" s="1504">
        <v>11772</v>
      </c>
      <c r="C41" s="1505">
        <v>6</v>
      </c>
      <c r="D41" s="1504">
        <v>1962</v>
      </c>
    </row>
    <row r="42" spans="1:4">
      <c r="A42" s="1506" t="s">
        <v>1512</v>
      </c>
      <c r="B42" s="1504">
        <v>24417</v>
      </c>
      <c r="C42" s="1505">
        <v>9</v>
      </c>
      <c r="D42" s="1504">
        <v>2713</v>
      </c>
    </row>
    <row r="43" spans="1:4">
      <c r="A43" s="1506" t="s">
        <v>1513</v>
      </c>
      <c r="B43" s="1504">
        <v>34520</v>
      </c>
      <c r="C43" s="1505">
        <v>5</v>
      </c>
      <c r="D43" s="1504">
        <v>6904</v>
      </c>
    </row>
    <row r="44" spans="1:4">
      <c r="A44" s="1506" t="s">
        <v>1519</v>
      </c>
      <c r="B44" s="1504">
        <v>55121.5</v>
      </c>
      <c r="C44" s="1505">
        <v>7</v>
      </c>
      <c r="D44" s="1504">
        <v>7874.5</v>
      </c>
    </row>
    <row r="45" spans="1:4">
      <c r="A45" s="1506" t="s">
        <v>1520</v>
      </c>
      <c r="B45" s="1504">
        <v>1120</v>
      </c>
      <c r="C45" s="1505">
        <v>1</v>
      </c>
      <c r="D45" s="1504">
        <v>1120</v>
      </c>
    </row>
    <row r="46" spans="1:4">
      <c r="A46" s="1506" t="s">
        <v>1521</v>
      </c>
      <c r="B46" s="1504">
        <v>8158</v>
      </c>
      <c r="C46" s="1505">
        <v>2</v>
      </c>
      <c r="D46" s="1504">
        <v>4079</v>
      </c>
    </row>
    <row r="47" spans="1:4">
      <c r="A47" s="1506" t="s">
        <v>1527</v>
      </c>
      <c r="B47" s="1504">
        <v>29533.5</v>
      </c>
      <c r="C47" s="1505">
        <v>3</v>
      </c>
      <c r="D47" s="1504">
        <v>9844.5</v>
      </c>
    </row>
    <row r="48" spans="1:4">
      <c r="A48" s="1506" t="s">
        <v>1528</v>
      </c>
      <c r="B48" s="1504">
        <v>1309</v>
      </c>
      <c r="C48" s="1505">
        <v>1</v>
      </c>
      <c r="D48" s="1504">
        <v>1309</v>
      </c>
    </row>
    <row r="49" spans="1:4">
      <c r="A49" s="1506" t="s">
        <v>1529</v>
      </c>
      <c r="B49" s="1504">
        <v>15264</v>
      </c>
      <c r="C49" s="1505">
        <v>9</v>
      </c>
      <c r="D49" s="1504">
        <v>1696</v>
      </c>
    </row>
    <row r="50" spans="1:4">
      <c r="A50" s="1503" t="s">
        <v>1533</v>
      </c>
      <c r="B50" s="1504">
        <v>1962</v>
      </c>
      <c r="C50" s="1505">
        <v>1</v>
      </c>
      <c r="D50" s="1504">
        <v>1962</v>
      </c>
    </row>
    <row r="51" spans="1:4">
      <c r="A51" s="1506" t="s">
        <v>1510</v>
      </c>
      <c r="B51" s="1504">
        <v>1962</v>
      </c>
      <c r="C51" s="1505">
        <v>1</v>
      </c>
      <c r="D51" s="1504">
        <v>1962</v>
      </c>
    </row>
    <row r="52" spans="1:4">
      <c r="A52" s="1503" t="s">
        <v>1534</v>
      </c>
      <c r="B52" s="1504">
        <v>89762.5</v>
      </c>
      <c r="C52" s="1505">
        <v>11</v>
      </c>
      <c r="D52" s="1504">
        <v>8160.227272727273</v>
      </c>
    </row>
    <row r="53" spans="1:4">
      <c r="A53" s="1506" t="s">
        <v>1513</v>
      </c>
      <c r="B53" s="1504">
        <v>20712</v>
      </c>
      <c r="C53" s="1505">
        <v>3</v>
      </c>
      <c r="D53" s="1504">
        <v>6904</v>
      </c>
    </row>
    <row r="54" spans="1:4">
      <c r="A54" s="1506" t="s">
        <v>1519</v>
      </c>
      <c r="B54" s="1504">
        <v>15749</v>
      </c>
      <c r="C54" s="1505">
        <v>2</v>
      </c>
      <c r="D54" s="1504">
        <v>7874.5</v>
      </c>
    </row>
    <row r="55" spans="1:4">
      <c r="A55" s="1506" t="s">
        <v>1521</v>
      </c>
      <c r="B55" s="1504">
        <v>4079</v>
      </c>
      <c r="C55" s="1505">
        <v>1</v>
      </c>
      <c r="D55" s="1504">
        <v>4079</v>
      </c>
    </row>
    <row r="56" spans="1:4">
      <c r="A56" s="1506" t="s">
        <v>1527</v>
      </c>
      <c r="B56" s="1504">
        <v>49222.5</v>
      </c>
      <c r="C56" s="1505">
        <v>5</v>
      </c>
      <c r="D56" s="1504">
        <v>9844.5</v>
      </c>
    </row>
    <row r="57" spans="1:4">
      <c r="A57" s="1503" t="s">
        <v>1535</v>
      </c>
      <c r="B57" s="1504">
        <v>18152038.139987618</v>
      </c>
      <c r="C57" s="1505">
        <v>241894</v>
      </c>
      <c r="D57" s="1504">
        <v>75.041291392046176</v>
      </c>
    </row>
    <row r="58" spans="1:4">
      <c r="A58" s="1506" t="s">
        <v>1505</v>
      </c>
      <c r="B58" s="1504">
        <v>81267.300000000047</v>
      </c>
      <c r="C58" s="1505">
        <v>135</v>
      </c>
      <c r="D58" s="1504">
        <v>601.98000000000036</v>
      </c>
    </row>
    <row r="59" spans="1:4">
      <c r="A59" s="1506" t="s">
        <v>1506</v>
      </c>
      <c r="B59" s="1504">
        <v>10960</v>
      </c>
      <c r="C59" s="1505">
        <v>16</v>
      </c>
      <c r="D59" s="1504">
        <v>685</v>
      </c>
    </row>
    <row r="60" spans="1:4">
      <c r="A60" s="1506" t="s">
        <v>1507</v>
      </c>
      <c r="B60" s="1504">
        <v>81852.400000000212</v>
      </c>
      <c r="C60" s="1505">
        <v>155</v>
      </c>
      <c r="D60" s="1504">
        <v>528.08000000000141</v>
      </c>
    </row>
    <row r="61" spans="1:4">
      <c r="A61" s="1506" t="s">
        <v>1508</v>
      </c>
      <c r="B61" s="1504">
        <v>2025</v>
      </c>
      <c r="C61" s="1505">
        <v>3</v>
      </c>
      <c r="D61" s="1504">
        <v>675</v>
      </c>
    </row>
    <row r="62" spans="1:4">
      <c r="A62" s="1506" t="s">
        <v>1509</v>
      </c>
      <c r="B62" s="1504">
        <v>105300</v>
      </c>
      <c r="C62" s="1505">
        <v>156</v>
      </c>
      <c r="D62" s="1504">
        <v>675</v>
      </c>
    </row>
    <row r="63" spans="1:4">
      <c r="A63" s="1506" t="s">
        <v>1511</v>
      </c>
      <c r="B63" s="1504">
        <v>3360</v>
      </c>
      <c r="C63" s="1505">
        <v>3</v>
      </c>
      <c r="D63" s="1504">
        <v>1120</v>
      </c>
    </row>
    <row r="64" spans="1:4">
      <c r="A64" s="1506" t="s">
        <v>1514</v>
      </c>
      <c r="B64" s="1504">
        <v>7460358.36001122</v>
      </c>
      <c r="C64" s="1505">
        <v>70889</v>
      </c>
      <c r="D64" s="1504">
        <v>105.24000000015828</v>
      </c>
    </row>
    <row r="65" spans="1:4">
      <c r="A65" s="1506" t="s">
        <v>1515</v>
      </c>
      <c r="B65" s="1504">
        <v>1909918.0300005947</v>
      </c>
      <c r="C65" s="1505">
        <v>18617</v>
      </c>
      <c r="D65" s="1504">
        <v>102.59000000003195</v>
      </c>
    </row>
    <row r="66" spans="1:4">
      <c r="A66" s="1506" t="s">
        <v>1516</v>
      </c>
      <c r="B66" s="1504">
        <v>4138825.0099959439</v>
      </c>
      <c r="C66" s="1505">
        <v>73789</v>
      </c>
      <c r="D66" s="1504">
        <v>56.089999999945029</v>
      </c>
    </row>
    <row r="67" spans="1:4">
      <c r="A67" s="1506" t="s">
        <v>1517</v>
      </c>
      <c r="B67" s="1504">
        <v>135601.55999999351</v>
      </c>
      <c r="C67" s="1505">
        <v>2484</v>
      </c>
      <c r="D67" s="1504">
        <v>54.589999999997389</v>
      </c>
    </row>
    <row r="68" spans="1:4">
      <c r="A68" s="1506" t="s">
        <v>1518</v>
      </c>
      <c r="B68" s="1504">
        <v>3941719.3199962853</v>
      </c>
      <c r="C68" s="1505">
        <v>73898</v>
      </c>
      <c r="D68" s="1504">
        <v>53.339999999949733</v>
      </c>
    </row>
    <row r="69" spans="1:4">
      <c r="A69" s="1506" t="s">
        <v>1520</v>
      </c>
      <c r="B69" s="1504">
        <v>14560</v>
      </c>
      <c r="C69" s="1505">
        <v>13</v>
      </c>
      <c r="D69" s="1504">
        <v>1120</v>
      </c>
    </row>
    <row r="70" spans="1:4">
      <c r="A70" s="1506" t="s">
        <v>1522</v>
      </c>
      <c r="B70" s="1504">
        <v>88758.330000000584</v>
      </c>
      <c r="C70" s="1505">
        <v>523</v>
      </c>
      <c r="D70" s="1504">
        <v>169.71000000000112</v>
      </c>
    </row>
    <row r="71" spans="1:4">
      <c r="A71" s="1506" t="s">
        <v>1523</v>
      </c>
      <c r="B71" s="1504">
        <v>9860</v>
      </c>
      <c r="C71" s="1505">
        <v>58</v>
      </c>
      <c r="D71" s="1504">
        <v>170</v>
      </c>
    </row>
    <row r="72" spans="1:4">
      <c r="A72" s="1506" t="s">
        <v>1524</v>
      </c>
      <c r="B72" s="1504">
        <v>63392.829999999609</v>
      </c>
      <c r="C72" s="1505">
        <v>523</v>
      </c>
      <c r="D72" s="1504">
        <v>121.20999999999925</v>
      </c>
    </row>
    <row r="73" spans="1:4">
      <c r="A73" s="1506" t="s">
        <v>1525</v>
      </c>
      <c r="B73" s="1504">
        <v>990</v>
      </c>
      <c r="C73" s="1505">
        <v>6</v>
      </c>
      <c r="D73" s="1504">
        <v>165</v>
      </c>
    </row>
    <row r="74" spans="1:4">
      <c r="A74" s="1506" t="s">
        <v>1526</v>
      </c>
      <c r="B74" s="1504">
        <v>103290</v>
      </c>
      <c r="C74" s="1505">
        <v>626</v>
      </c>
      <c r="D74" s="1504">
        <v>165</v>
      </c>
    </row>
    <row r="75" spans="1:4">
      <c r="A75" s="1503" t="s">
        <v>1536</v>
      </c>
      <c r="B75" s="1504"/>
      <c r="C75" s="1505"/>
      <c r="D75" s="1504"/>
    </row>
    <row r="76" spans="1:4">
      <c r="A76" s="1506" t="s">
        <v>1536</v>
      </c>
      <c r="B76" s="1504"/>
      <c r="C76" s="1505"/>
    </row>
    <row r="77" spans="1:4">
      <c r="A77" s="1503" t="s">
        <v>716</v>
      </c>
      <c r="B77" s="1504">
        <v>22926070.78999123</v>
      </c>
      <c r="C77" s="1505">
        <v>261896</v>
      </c>
    </row>
  </sheetData>
  <pageMargins left="0.7" right="0.7" top="0.75" bottom="0.75" header="0.3" footer="0.3"/>
  <pageSetup scale="59" orientation="portrait"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tabColor rgb="FF92D050"/>
    <pageSetUpPr fitToPage="1"/>
  </sheetPr>
  <dimension ref="A1:G102"/>
  <sheetViews>
    <sheetView zoomScale="70" zoomScaleNormal="70" workbookViewId="0"/>
  </sheetViews>
  <sheetFormatPr defaultColWidth="14.33203125" defaultRowHeight="12.75"/>
  <cols>
    <col min="1" max="16384" width="14.33203125" style="216"/>
  </cols>
  <sheetData>
    <row r="1" spans="1:7" s="25" customFormat="1">
      <c r="A1" s="196" t="str">
        <f>co_name</f>
        <v>DUKE ENERGY KENTUCKY, INC.</v>
      </c>
      <c r="B1" s="10"/>
      <c r="C1" s="10"/>
      <c r="D1" s="10"/>
      <c r="F1" s="224" t="s">
        <v>1551</v>
      </c>
      <c r="G1" s="10"/>
    </row>
    <row r="2" spans="1:7" s="25" customFormat="1">
      <c r="A2" s="196" t="str">
        <f>coss_type</f>
        <v xml:space="preserve">GAS COST OF SERVICE STUDY </v>
      </c>
      <c r="B2" s="10"/>
      <c r="D2" s="10"/>
      <c r="F2" s="224" t="str">
        <f>'Alloc Factors Summary'!G2</f>
        <v>Witness Responsible:</v>
      </c>
      <c r="G2" s="10"/>
    </row>
    <row r="3" spans="1:7" s="25" customFormat="1">
      <c r="A3" s="196" t="str">
        <f>case_name</f>
        <v>CASE NO: 2018-00261</v>
      </c>
      <c r="B3" s="10"/>
      <c r="C3" s="10"/>
      <c r="D3" s="10"/>
      <c r="F3" s="224" t="str">
        <f>'Alloc Factors Summary'!G3</f>
        <v>James E. Ziolkowski</v>
      </c>
      <c r="G3" s="10"/>
    </row>
    <row r="4" spans="1:7" s="25" customFormat="1">
      <c r="A4" s="10" t="str">
        <f>alloc_factors</f>
        <v>ALLOCATION FACTORS FOR COST OF SERVICE STUDY</v>
      </c>
      <c r="B4" s="10"/>
      <c r="C4" s="10"/>
      <c r="D4" s="10"/>
      <c r="F4" s="224" t="s">
        <v>604</v>
      </c>
      <c r="G4" s="10"/>
    </row>
    <row r="5" spans="1:7" s="25" customFormat="1">
      <c r="A5" s="10" t="str">
        <f>time_period</f>
        <v>TWELVE MONTHS ENDING DECEMBER 31, 2017</v>
      </c>
      <c r="B5" s="10"/>
      <c r="C5" s="10"/>
      <c r="D5" s="10"/>
      <c r="F5" s="1285">
        <f ca="1">TODAY()</f>
        <v>43347</v>
      </c>
      <c r="G5" s="10"/>
    </row>
    <row r="6" spans="1:7" s="25" customFormat="1">
      <c r="A6" s="198" t="s">
        <v>842</v>
      </c>
      <c r="B6" s="10"/>
      <c r="C6" s="10"/>
      <c r="D6" s="10"/>
      <c r="E6" s="10"/>
      <c r="F6" s="10"/>
      <c r="G6" s="10"/>
    </row>
    <row r="7" spans="1:7" s="25" customFormat="1">
      <c r="A7" s="10"/>
      <c r="B7" s="10"/>
      <c r="C7" s="10"/>
      <c r="D7" s="10"/>
      <c r="E7" s="10"/>
      <c r="F7" s="10"/>
      <c r="G7" s="10"/>
    </row>
    <row r="8" spans="1:7" s="25" customFormat="1">
      <c r="A8" s="10"/>
      <c r="B8" s="209"/>
      <c r="C8" s="34" t="s">
        <v>749</v>
      </c>
      <c r="D8" s="209"/>
      <c r="E8" s="209"/>
      <c r="F8" s="209"/>
      <c r="G8" s="209"/>
    </row>
    <row r="9" spans="1:7">
      <c r="A9" s="225" t="s">
        <v>809</v>
      </c>
      <c r="B9" s="1245" t="s">
        <v>965</v>
      </c>
      <c r="C9" s="1010" t="s">
        <v>773</v>
      </c>
      <c r="D9" s="1246" t="s">
        <v>1282</v>
      </c>
      <c r="E9" s="1246" t="s">
        <v>984</v>
      </c>
      <c r="F9" s="186" t="s">
        <v>370</v>
      </c>
      <c r="G9" s="186" t="s">
        <v>582</v>
      </c>
    </row>
    <row r="10" spans="1:7">
      <c r="A10" s="34"/>
      <c r="B10" s="211"/>
      <c r="C10" s="211"/>
      <c r="D10" s="211"/>
      <c r="E10" s="211"/>
    </row>
    <row r="11" spans="1:7">
      <c r="A11" s="34">
        <v>901</v>
      </c>
      <c r="B11" s="445">
        <v>587612</v>
      </c>
      <c r="C11" s="1247">
        <f t="shared" ref="C11:F21" si="0">$B11*C$29</f>
        <v>545470.02076349524</v>
      </c>
      <c r="D11" s="1247">
        <f t="shared" si="0"/>
        <v>41443.59232847768</v>
      </c>
      <c r="E11" s="1247">
        <f t="shared" si="0"/>
        <v>567.06629284248595</v>
      </c>
      <c r="F11" s="226">
        <f t="shared" si="0"/>
        <v>131.32061518457567</v>
      </c>
      <c r="G11" s="226">
        <f t="shared" ref="G11:G21" si="1">SUM(C11:F11)</f>
        <v>587612</v>
      </c>
    </row>
    <row r="12" spans="1:7">
      <c r="A12" s="34">
        <v>902</v>
      </c>
      <c r="B12" s="1248">
        <v>467970</v>
      </c>
      <c r="C12" s="390">
        <f t="shared" si="0"/>
        <v>434408.42871944903</v>
      </c>
      <c r="D12" s="390">
        <f t="shared" si="0"/>
        <v>33005.380934966779</v>
      </c>
      <c r="E12" s="390">
        <f t="shared" si="0"/>
        <v>451.60754555982203</v>
      </c>
      <c r="F12" s="39">
        <f t="shared" si="0"/>
        <v>104.58280002437984</v>
      </c>
      <c r="G12" s="39">
        <f t="shared" si="1"/>
        <v>467970</v>
      </c>
    </row>
    <row r="13" spans="1:7">
      <c r="A13" s="34">
        <v>903</v>
      </c>
      <c r="B13" s="1248">
        <v>2568495</v>
      </c>
      <c r="C13" s="390">
        <f t="shared" si="0"/>
        <v>2384289.3286402146</v>
      </c>
      <c r="D13" s="390">
        <f t="shared" si="0"/>
        <v>181152.97114036692</v>
      </c>
      <c r="E13" s="390">
        <f t="shared" si="0"/>
        <v>2478.6882123483879</v>
      </c>
      <c r="F13" s="39">
        <f t="shared" si="0"/>
        <v>574.012007070153</v>
      </c>
      <c r="G13" s="39">
        <f t="shared" si="1"/>
        <v>2568495.0000000005</v>
      </c>
    </row>
    <row r="14" spans="1:7">
      <c r="A14" s="34">
        <v>904</v>
      </c>
      <c r="B14" s="1248">
        <v>3920</v>
      </c>
      <c r="C14" s="390">
        <f t="shared" si="0"/>
        <v>3638.8679628613804</v>
      </c>
      <c r="D14" s="390">
        <f t="shared" si="0"/>
        <v>276.47305012088339</v>
      </c>
      <c r="E14" s="390">
        <f t="shared" si="0"/>
        <v>3.7829381767944579</v>
      </c>
      <c r="F14" s="39">
        <f t="shared" si="0"/>
        <v>0.8760488409418743</v>
      </c>
      <c r="G14" s="39">
        <f t="shared" si="1"/>
        <v>3920</v>
      </c>
    </row>
    <row r="15" spans="1:7">
      <c r="A15" s="34">
        <v>907</v>
      </c>
      <c r="B15" s="1248">
        <v>0</v>
      </c>
      <c r="C15" s="390">
        <f t="shared" si="0"/>
        <v>0</v>
      </c>
      <c r="D15" s="390">
        <f t="shared" si="0"/>
        <v>0</v>
      </c>
      <c r="E15" s="390">
        <f t="shared" si="0"/>
        <v>0</v>
      </c>
      <c r="F15" s="39">
        <f t="shared" si="0"/>
        <v>0</v>
      </c>
      <c r="G15" s="39">
        <f t="shared" si="1"/>
        <v>0</v>
      </c>
    </row>
    <row r="16" spans="1:7">
      <c r="A16" s="34">
        <v>908</v>
      </c>
      <c r="B16" s="1248">
        <v>139343</v>
      </c>
      <c r="C16" s="390">
        <f t="shared" si="0"/>
        <v>129349.68840535544</v>
      </c>
      <c r="D16" s="390">
        <f t="shared" si="0"/>
        <v>9827.7000568862877</v>
      </c>
      <c r="E16" s="390">
        <f t="shared" si="0"/>
        <v>134.47090672680361</v>
      </c>
      <c r="F16" s="39">
        <f t="shared" si="0"/>
        <v>31.140631031470306</v>
      </c>
      <c r="G16" s="39">
        <f t="shared" si="1"/>
        <v>139343.00000000003</v>
      </c>
    </row>
    <row r="17" spans="1:7">
      <c r="A17" s="34">
        <v>909</v>
      </c>
      <c r="B17" s="1248">
        <v>1310</v>
      </c>
      <c r="C17" s="390">
        <f t="shared" si="0"/>
        <v>1216.0502630990836</v>
      </c>
      <c r="D17" s="390">
        <f t="shared" si="0"/>
        <v>92.392779504682963</v>
      </c>
      <c r="E17" s="390">
        <f t="shared" si="0"/>
        <v>1.2641961764287601</v>
      </c>
      <c r="F17" s="39">
        <f t="shared" si="0"/>
        <v>0.29276121980455494</v>
      </c>
      <c r="G17" s="39">
        <f t="shared" si="1"/>
        <v>1310</v>
      </c>
    </row>
    <row r="18" spans="1:7">
      <c r="A18" s="34">
        <v>910</v>
      </c>
      <c r="B18" s="1248">
        <v>310786</v>
      </c>
      <c r="C18" s="390">
        <f t="shared" si="0"/>
        <v>288497.24966985633</v>
      </c>
      <c r="D18" s="390">
        <f t="shared" si="0"/>
        <v>21919.375855833892</v>
      </c>
      <c r="E18" s="390">
        <f t="shared" si="0"/>
        <v>299.91944495235776</v>
      </c>
      <c r="F18" s="39">
        <f t="shared" si="0"/>
        <v>69.455029357388099</v>
      </c>
      <c r="G18" s="39">
        <f>SUM(C18:F18)</f>
        <v>310785.99999999994</v>
      </c>
    </row>
    <row r="19" spans="1:7">
      <c r="A19" s="34">
        <v>911</v>
      </c>
      <c r="B19" s="1248">
        <v>19</v>
      </c>
      <c r="C19" s="390">
        <f t="shared" si="0"/>
        <v>17.637370228154648</v>
      </c>
      <c r="D19" s="390">
        <f t="shared" si="0"/>
        <v>1.3400479470144857</v>
      </c>
      <c r="E19" s="390">
        <f t="shared" si="0"/>
        <v>1.8335669734462934E-2</v>
      </c>
      <c r="F19" s="39">
        <f t="shared" si="0"/>
        <v>4.2461550964019417E-3</v>
      </c>
      <c r="G19" s="39">
        <f>SUM(C19:F19)</f>
        <v>19</v>
      </c>
    </row>
    <row r="20" spans="1:7">
      <c r="A20" s="34">
        <v>912</v>
      </c>
      <c r="B20" s="1248">
        <v>99009</v>
      </c>
      <c r="C20" s="390">
        <f t="shared" si="0"/>
        <v>91908.336258913871</v>
      </c>
      <c r="D20" s="390">
        <f t="shared" si="0"/>
        <v>6982.9898518924847</v>
      </c>
      <c r="E20" s="390">
        <f t="shared" si="0"/>
        <v>95.547174986286336</v>
      </c>
      <c r="F20" s="39">
        <f t="shared" si="0"/>
        <v>22.126714207350521</v>
      </c>
      <c r="G20" s="39">
        <f>SUM(C20:F20)</f>
        <v>99009</v>
      </c>
    </row>
    <row r="21" spans="1:7">
      <c r="A21" s="34">
        <v>913</v>
      </c>
      <c r="B21" s="1248">
        <v>7303</v>
      </c>
      <c r="C21" s="390">
        <f t="shared" si="0"/>
        <v>6779.2481461164944</v>
      </c>
      <c r="D21" s="390">
        <f t="shared" si="0"/>
        <v>515.07211352877835</v>
      </c>
      <c r="E21" s="390">
        <f t="shared" si="0"/>
        <v>7.0476524247780423</v>
      </c>
      <c r="F21" s="39">
        <f t="shared" si="0"/>
        <v>1.6320879299485991</v>
      </c>
      <c r="G21" s="39">
        <f t="shared" si="1"/>
        <v>7302.9999999999991</v>
      </c>
    </row>
    <row r="22" spans="1:7">
      <c r="B22" s="1249"/>
      <c r="C22" s="1250"/>
      <c r="D22" s="1250"/>
      <c r="E22" s="1250"/>
      <c r="F22" s="227"/>
      <c r="G22" s="227"/>
    </row>
    <row r="23" spans="1:7">
      <c r="B23" s="445"/>
      <c r="C23" s="226">
        <f>SUM(C11:C22)</f>
        <v>3885574.8561995896</v>
      </c>
      <c r="D23" s="226">
        <f>SUM(D11:D22)</f>
        <v>295217.28815952543</v>
      </c>
      <c r="E23" s="226">
        <f>SUM(E11:E22)</f>
        <v>4039.412699863879</v>
      </c>
      <c r="F23" s="226">
        <f>SUM(F11:F22)</f>
        <v>935.44294102110894</v>
      </c>
      <c r="G23" s="226">
        <f>SUM(G11:G22)</f>
        <v>4185767.0000000005</v>
      </c>
    </row>
    <row r="24" spans="1:7">
      <c r="C24" s="38"/>
      <c r="D24" s="38"/>
      <c r="E24" s="38"/>
      <c r="F24" s="38"/>
      <c r="G24" s="38"/>
    </row>
    <row r="25" spans="1:7">
      <c r="C25" s="38"/>
      <c r="D25" s="38"/>
      <c r="E25" s="38"/>
      <c r="F25" s="38"/>
      <c r="G25" s="38"/>
    </row>
    <row r="26" spans="1:7">
      <c r="A26" s="25"/>
      <c r="C26" s="38"/>
      <c r="D26" s="38"/>
      <c r="E26" s="38"/>
      <c r="F26" s="38"/>
      <c r="G26" s="38"/>
    </row>
    <row r="27" spans="1:7">
      <c r="A27" s="25"/>
      <c r="C27" s="38"/>
      <c r="D27" s="38"/>
      <c r="E27" s="38"/>
      <c r="F27" s="38"/>
      <c r="G27" s="38"/>
    </row>
    <row r="28" spans="1:7" s="25" customFormat="1">
      <c r="A28" s="216" t="s">
        <v>966</v>
      </c>
      <c r="B28" s="446"/>
      <c r="C28" s="447">
        <f>'Alloc Factors Summary'!D60</f>
        <v>91382</v>
      </c>
      <c r="D28" s="447">
        <f>'Alloc Factors Summary'!D61</f>
        <v>6943</v>
      </c>
      <c r="E28" s="447">
        <f>'Alloc Factors Summary'!D62</f>
        <v>95</v>
      </c>
      <c r="F28" s="447">
        <f>'Alloc Factors Summary'!D63</f>
        <v>22</v>
      </c>
      <c r="G28" s="447">
        <f>SUM(C28:F28)</f>
        <v>98442</v>
      </c>
    </row>
    <row r="29" spans="1:7" s="25" customFormat="1">
      <c r="B29" s="10"/>
      <c r="C29" s="228">
        <f>C28/$G$28</f>
        <v>0.92828264358708679</v>
      </c>
      <c r="D29" s="228">
        <f>D28/$G$28</f>
        <v>7.0528839316551878E-2</v>
      </c>
      <c r="E29" s="228">
        <f>E28/$G$28</f>
        <v>9.6503524918225962E-4</v>
      </c>
      <c r="F29" s="228">
        <f>F28/$G$28</f>
        <v>2.2348184717904958E-4</v>
      </c>
      <c r="G29" s="228">
        <f>G28/$G$28</f>
        <v>1</v>
      </c>
    </row>
    <row r="30" spans="1:7" s="25" customFormat="1">
      <c r="B30" s="10"/>
      <c r="C30" s="10"/>
      <c r="D30" s="10"/>
      <c r="E30" s="10"/>
      <c r="F30" s="10"/>
      <c r="G30" s="10"/>
    </row>
    <row r="31" spans="1:7">
      <c r="A31" s="365" t="s">
        <v>964</v>
      </c>
    </row>
    <row r="32" spans="1:7">
      <c r="A32" s="216" t="s">
        <v>1567</v>
      </c>
    </row>
    <row r="33" spans="1:7">
      <c r="A33" s="229"/>
      <c r="B33" s="229"/>
      <c r="C33" s="186"/>
      <c r="D33" s="186"/>
      <c r="E33" s="186"/>
      <c r="F33" s="186"/>
      <c r="G33" s="229"/>
    </row>
    <row r="35" spans="1:7">
      <c r="C35" s="38"/>
      <c r="D35" s="38"/>
      <c r="E35" s="38"/>
      <c r="F35" s="38"/>
      <c r="G35" s="38"/>
    </row>
    <row r="36" spans="1:7">
      <c r="C36" s="38"/>
      <c r="D36" s="38"/>
      <c r="E36" s="38"/>
      <c r="F36" s="38"/>
      <c r="G36" s="38"/>
    </row>
    <row r="37" spans="1:7">
      <c r="C37" s="38"/>
      <c r="D37" s="38"/>
      <c r="E37" s="38"/>
      <c r="F37" s="38"/>
      <c r="G37" s="38"/>
    </row>
    <row r="38" spans="1:7">
      <c r="C38" s="38"/>
      <c r="D38" s="38"/>
      <c r="E38" s="38"/>
      <c r="F38" s="38"/>
      <c r="G38" s="38"/>
    </row>
    <row r="39" spans="1:7">
      <c r="C39" s="38"/>
      <c r="D39" s="38"/>
      <c r="E39" s="38"/>
      <c r="F39" s="38"/>
      <c r="G39" s="38"/>
    </row>
    <row r="40" spans="1:7">
      <c r="C40" s="38"/>
      <c r="D40" s="38"/>
      <c r="E40" s="38"/>
      <c r="F40" s="38"/>
      <c r="G40" s="38"/>
    </row>
    <row r="41" spans="1:7">
      <c r="C41" s="38"/>
      <c r="D41" s="38"/>
      <c r="E41" s="38"/>
      <c r="F41" s="38"/>
      <c r="G41" s="38"/>
    </row>
    <row r="42" spans="1:7">
      <c r="C42" s="38"/>
      <c r="D42" s="38"/>
      <c r="E42" s="38"/>
      <c r="F42" s="38"/>
      <c r="G42" s="38"/>
    </row>
    <row r="43" spans="1:7">
      <c r="C43" s="38"/>
      <c r="D43" s="38"/>
      <c r="E43" s="38"/>
      <c r="F43" s="38"/>
      <c r="G43" s="38"/>
    </row>
    <row r="44" spans="1:7">
      <c r="C44" s="38"/>
      <c r="D44" s="38"/>
      <c r="E44" s="38"/>
      <c r="F44" s="38"/>
      <c r="G44" s="38"/>
    </row>
    <row r="45" spans="1:7">
      <c r="C45" s="38"/>
      <c r="D45" s="38"/>
      <c r="E45" s="38"/>
      <c r="F45" s="38"/>
      <c r="G45" s="38"/>
    </row>
    <row r="47" spans="1:7">
      <c r="A47" s="10"/>
      <c r="C47" s="37"/>
      <c r="D47" s="37"/>
      <c r="E47" s="37"/>
      <c r="F47" s="37"/>
      <c r="G47" s="37"/>
    </row>
    <row r="48" spans="1:7">
      <c r="A48" s="25"/>
      <c r="C48" s="37"/>
      <c r="D48" s="37"/>
      <c r="E48" s="37"/>
      <c r="F48" s="37"/>
      <c r="G48" s="37"/>
    </row>
    <row r="49" spans="1:7">
      <c r="A49" s="10"/>
      <c r="C49" s="37"/>
      <c r="D49" s="37"/>
      <c r="E49" s="37"/>
      <c r="F49" s="37"/>
      <c r="G49" s="37"/>
    </row>
    <row r="50" spans="1:7">
      <c r="A50" s="10"/>
      <c r="C50" s="37"/>
      <c r="D50" s="37"/>
      <c r="E50" s="37"/>
      <c r="F50" s="37"/>
      <c r="G50" s="37"/>
    </row>
    <row r="51" spans="1:7">
      <c r="A51" s="10"/>
      <c r="C51" s="37"/>
      <c r="D51" s="37"/>
      <c r="E51" s="37"/>
      <c r="F51" s="37"/>
      <c r="G51" s="37"/>
    </row>
    <row r="52" spans="1:7">
      <c r="A52" s="10"/>
      <c r="C52" s="37"/>
      <c r="D52" s="37"/>
      <c r="E52" s="37"/>
      <c r="F52" s="37"/>
      <c r="G52" s="37"/>
    </row>
    <row r="53" spans="1:7">
      <c r="B53" s="25"/>
      <c r="C53" s="25"/>
      <c r="D53" s="25"/>
      <c r="E53" s="25"/>
    </row>
    <row r="55" spans="1:7">
      <c r="C55" s="205"/>
      <c r="D55" s="205"/>
      <c r="E55" s="205"/>
      <c r="F55" s="205"/>
    </row>
    <row r="56" spans="1:7">
      <c r="C56" s="217"/>
      <c r="D56" s="217"/>
      <c r="E56" s="217"/>
      <c r="F56" s="230"/>
    </row>
    <row r="57" spans="1:7">
      <c r="C57" s="217"/>
      <c r="D57" s="217"/>
      <c r="E57" s="217"/>
      <c r="F57" s="230"/>
    </row>
    <row r="58" spans="1:7">
      <c r="C58" s="217"/>
      <c r="D58" s="217"/>
      <c r="E58" s="217"/>
      <c r="F58" s="230"/>
    </row>
    <row r="59" spans="1:7">
      <c r="C59" s="217"/>
      <c r="D59" s="217"/>
      <c r="E59" s="217"/>
      <c r="F59" s="230"/>
    </row>
    <row r="60" spans="1:7">
      <c r="C60" s="217"/>
      <c r="D60" s="217"/>
      <c r="E60" s="217"/>
      <c r="F60" s="230"/>
    </row>
    <row r="61" spans="1:7" ht="13.5" thickBot="1">
      <c r="C61" s="41"/>
      <c r="D61" s="41"/>
      <c r="E61" s="41"/>
      <c r="F61" s="231"/>
    </row>
    <row r="62" spans="1:7" ht="13.5" thickTop="1"/>
    <row r="63" spans="1:7">
      <c r="B63" s="25"/>
      <c r="C63" s="25"/>
      <c r="D63" s="25"/>
      <c r="E63" s="25"/>
    </row>
    <row r="64" spans="1:7">
      <c r="C64" s="209"/>
      <c r="D64" s="217"/>
      <c r="E64" s="217"/>
    </row>
    <row r="65" spans="2:6">
      <c r="D65" s="205"/>
    </row>
    <row r="71" spans="2:6" ht="13.5" thickBot="1">
      <c r="D71" s="232"/>
    </row>
    <row r="72" spans="2:6" ht="13.5" thickTop="1"/>
    <row r="73" spans="2:6">
      <c r="B73" s="25"/>
      <c r="C73" s="25"/>
      <c r="D73" s="25"/>
      <c r="E73" s="25"/>
    </row>
    <row r="75" spans="2:6">
      <c r="C75" s="205"/>
      <c r="D75" s="205"/>
      <c r="E75" s="205"/>
      <c r="F75" s="205"/>
    </row>
    <row r="76" spans="2:6">
      <c r="C76" s="217"/>
      <c r="D76" s="217"/>
      <c r="E76" s="217"/>
      <c r="F76" s="230"/>
    </row>
    <row r="77" spans="2:6">
      <c r="C77" s="217"/>
      <c r="D77" s="217"/>
      <c r="E77" s="217"/>
      <c r="F77" s="230"/>
    </row>
    <row r="78" spans="2:6">
      <c r="C78" s="217"/>
      <c r="D78" s="217"/>
      <c r="E78" s="217"/>
      <c r="F78" s="230"/>
    </row>
    <row r="79" spans="2:6">
      <c r="C79" s="217"/>
      <c r="D79" s="217"/>
      <c r="E79" s="217"/>
      <c r="F79" s="230"/>
    </row>
    <row r="80" spans="2:6">
      <c r="C80" s="217"/>
      <c r="D80" s="217"/>
      <c r="E80" s="217"/>
      <c r="F80" s="230"/>
    </row>
    <row r="81" spans="2:6" ht="13.5" thickBot="1">
      <c r="C81" s="41"/>
      <c r="D81" s="41"/>
      <c r="E81" s="41"/>
      <c r="F81" s="231"/>
    </row>
    <row r="82" spans="2:6" ht="13.5" thickTop="1"/>
    <row r="83" spans="2:6">
      <c r="B83" s="25"/>
      <c r="C83" s="25"/>
      <c r="D83" s="25"/>
      <c r="E83" s="25"/>
    </row>
    <row r="85" spans="2:6">
      <c r="C85" s="205"/>
      <c r="D85" s="205"/>
      <c r="E85" s="205"/>
      <c r="F85" s="205"/>
    </row>
    <row r="86" spans="2:6">
      <c r="C86" s="217"/>
      <c r="D86" s="217"/>
      <c r="E86" s="217"/>
      <c r="F86" s="230"/>
    </row>
    <row r="87" spans="2:6">
      <c r="C87" s="217"/>
      <c r="D87" s="217"/>
      <c r="E87" s="217"/>
      <c r="F87" s="230"/>
    </row>
    <row r="88" spans="2:6">
      <c r="C88" s="217"/>
      <c r="D88" s="217"/>
      <c r="E88" s="217"/>
      <c r="F88" s="230"/>
    </row>
    <row r="89" spans="2:6">
      <c r="C89" s="217"/>
      <c r="D89" s="217"/>
      <c r="E89" s="217"/>
      <c r="F89" s="230"/>
    </row>
    <row r="90" spans="2:6">
      <c r="C90" s="217"/>
      <c r="D90" s="217"/>
      <c r="E90" s="217"/>
      <c r="F90" s="230"/>
    </row>
    <row r="91" spans="2:6" ht="13.5" thickBot="1">
      <c r="C91" s="41"/>
      <c r="D91" s="41"/>
      <c r="E91" s="41"/>
      <c r="F91" s="231"/>
    </row>
    <row r="92" spans="2:6" ht="13.5" thickTop="1"/>
    <row r="93" spans="2:6">
      <c r="B93" s="25"/>
      <c r="C93" s="25"/>
      <c r="D93" s="25"/>
    </row>
    <row r="95" spans="2:6">
      <c r="C95" s="205"/>
    </row>
    <row r="96" spans="2:6">
      <c r="C96" s="217"/>
    </row>
    <row r="97" spans="3:3">
      <c r="C97" s="217"/>
    </row>
    <row r="98" spans="3:3">
      <c r="C98" s="217"/>
    </row>
    <row r="99" spans="3:3">
      <c r="C99" s="217"/>
    </row>
    <row r="100" spans="3:3">
      <c r="C100" s="217"/>
    </row>
    <row r="101" spans="3:3" ht="13.5" thickBot="1">
      <c r="C101" s="41"/>
    </row>
    <row r="102" spans="3:3" ht="13.5" thickTop="1"/>
  </sheetData>
  <printOptions horizontalCentered="1"/>
  <pageMargins left="1" right="1" top="1" bottom="1" header="0.5" footer="0.5"/>
  <pageSetup scale="96" orientation="landscape" r:id="rId1"/>
  <headerFooter alignWithMargins="0"/>
  <rowBreaks count="2" manualBreakCount="2">
    <brk id="25" max="16383" man="1"/>
    <brk id="46" max="13" man="1"/>
  </rowBreaks>
  <colBreaks count="1" manualBreakCount="1">
    <brk id="7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92D050"/>
    <pageSetUpPr fitToPage="1"/>
  </sheetPr>
  <dimension ref="A1:J54"/>
  <sheetViews>
    <sheetView zoomScale="75" workbookViewId="0"/>
  </sheetViews>
  <sheetFormatPr defaultColWidth="9" defaultRowHeight="12.75"/>
  <cols>
    <col min="1" max="1" width="27.33203125" style="332" customWidth="1"/>
    <col min="2" max="2" width="11.21875" style="332" customWidth="1"/>
    <col min="3" max="3" width="10.77734375" style="332" customWidth="1"/>
    <col min="4" max="4" width="13.88671875" style="332" customWidth="1"/>
    <col min="5" max="5" width="14.21875" style="332" customWidth="1"/>
    <col min="6" max="6" width="13.44140625" style="332" customWidth="1"/>
    <col min="7" max="7" width="14.77734375" style="332" customWidth="1"/>
    <col min="8" max="8" width="19.109375" style="332" customWidth="1"/>
    <col min="9" max="9" width="10.5546875" style="332" customWidth="1"/>
    <col min="10" max="16384" width="9" style="332"/>
  </cols>
  <sheetData>
    <row r="1" spans="1:8">
      <c r="A1" s="196" t="str">
        <f>co_name</f>
        <v>DUKE ENERGY KENTUCKY, INC.</v>
      </c>
      <c r="G1" s="361" t="s">
        <v>1551</v>
      </c>
    </row>
    <row r="2" spans="1:8">
      <c r="A2" s="196" t="str">
        <f>coss_type</f>
        <v xml:space="preserve">GAS COST OF SERVICE STUDY </v>
      </c>
      <c r="G2" s="361" t="str">
        <f>'Alloc Factors Summary'!G2</f>
        <v>Witness Responsible:</v>
      </c>
    </row>
    <row r="3" spans="1:8">
      <c r="A3" s="196" t="str">
        <f>case_name</f>
        <v>CASE NO: 2018-00261</v>
      </c>
      <c r="G3" s="361" t="str">
        <f>'Alloc Factors Summary'!G3</f>
        <v>James E. Ziolkowski</v>
      </c>
    </row>
    <row r="4" spans="1:8">
      <c r="A4" s="10" t="str">
        <f>alloc_factors</f>
        <v>ALLOCATION FACTORS FOR COST OF SERVICE STUDY</v>
      </c>
      <c r="G4" s="224" t="s">
        <v>604</v>
      </c>
    </row>
    <row r="5" spans="1:8">
      <c r="A5" s="10" t="str">
        <f>time_period</f>
        <v>TWELVE MONTHS ENDING DECEMBER 31, 2017</v>
      </c>
      <c r="G5" s="1285">
        <f ca="1">TODAY()</f>
        <v>43347</v>
      </c>
    </row>
    <row r="6" spans="1:8">
      <c r="A6" s="198" t="s">
        <v>843</v>
      </c>
    </row>
    <row r="7" spans="1:8">
      <c r="A7" s="196"/>
    </row>
    <row r="8" spans="1:8">
      <c r="A8" s="361" t="s">
        <v>1409</v>
      </c>
    </row>
    <row r="9" spans="1:8" s="196" customFormat="1" ht="22.9" customHeight="1"/>
    <row r="10" spans="1:8" s="196" customFormat="1" ht="13.9" customHeight="1">
      <c r="A10" s="361"/>
    </row>
    <row r="11" spans="1:8" s="196" customFormat="1" ht="81" customHeight="1">
      <c r="A11" s="344" t="s">
        <v>367</v>
      </c>
      <c r="B11" s="362" t="s">
        <v>956</v>
      </c>
      <c r="C11" s="362" t="s">
        <v>377</v>
      </c>
      <c r="D11" s="362" t="s">
        <v>969</v>
      </c>
      <c r="E11" s="362" t="s">
        <v>970</v>
      </c>
      <c r="F11" s="362" t="s">
        <v>971</v>
      </c>
      <c r="G11" s="362" t="s">
        <v>972</v>
      </c>
      <c r="H11" s="362" t="s">
        <v>973</v>
      </c>
    </row>
    <row r="12" spans="1:8">
      <c r="A12" s="196" t="s">
        <v>357</v>
      </c>
      <c r="B12" s="1196">
        <v>408401</v>
      </c>
      <c r="C12" s="23">
        <f>1-SUM(C13:C18)</f>
        <v>5.7989999999999986E-2</v>
      </c>
      <c r="D12" s="309">
        <f>D19-SUM(D13:D18)</f>
        <v>1418707</v>
      </c>
      <c r="E12" s="309">
        <f>E19-SUM(E13:E18)</f>
        <v>546802</v>
      </c>
      <c r="F12" s="309">
        <f>F19-SUM(F13:F18)</f>
        <v>746752</v>
      </c>
      <c r="G12" s="309">
        <f>G19-SUM(G13:G18)</f>
        <v>615843</v>
      </c>
      <c r="H12" s="309">
        <f>H19-SUM(H13:H18)</f>
        <v>403815</v>
      </c>
    </row>
    <row r="13" spans="1:8">
      <c r="A13" s="196" t="s">
        <v>365</v>
      </c>
      <c r="B13" s="1196">
        <v>319466</v>
      </c>
      <c r="C13" s="23">
        <f t="shared" ref="C13:C18" si="0">ROUND(B13/$B$19,5)</f>
        <v>4.5359999999999998E-2</v>
      </c>
      <c r="D13" s="309">
        <f>ROUND(($B13/$B$19)*D$19,0)</f>
        <v>1109764</v>
      </c>
      <c r="E13" s="38">
        <f>ROUND(($B13/$B$19)*E$19,0)</f>
        <v>427728</v>
      </c>
      <c r="F13" s="38">
        <f t="shared" ref="D13:G18" si="1">ROUND(($B13/$B$19)*F$19,0)</f>
        <v>584136</v>
      </c>
      <c r="G13" s="38">
        <f>ROUND(($B13/$B$19)*G$19,0)</f>
        <v>481734</v>
      </c>
      <c r="H13" s="38">
        <f t="shared" ref="H13:H18" si="2">ROUND((B13/B$19)*H$19,0)</f>
        <v>315879</v>
      </c>
    </row>
    <row r="14" spans="1:8">
      <c r="A14" s="196" t="s">
        <v>358</v>
      </c>
      <c r="B14" s="1196">
        <v>0</v>
      </c>
      <c r="C14" s="23">
        <f t="shared" si="0"/>
        <v>0</v>
      </c>
      <c r="D14" s="309">
        <f t="shared" si="1"/>
        <v>0</v>
      </c>
      <c r="E14" s="38">
        <f t="shared" si="1"/>
        <v>0</v>
      </c>
      <c r="F14" s="38">
        <f t="shared" si="1"/>
        <v>0</v>
      </c>
      <c r="G14" s="38">
        <f t="shared" si="1"/>
        <v>0</v>
      </c>
      <c r="H14" s="38">
        <f t="shared" si="2"/>
        <v>0</v>
      </c>
    </row>
    <row r="15" spans="1:8">
      <c r="A15" s="196" t="s">
        <v>359</v>
      </c>
      <c r="B15" s="1196">
        <v>4327010</v>
      </c>
      <c r="C15" s="23">
        <f t="shared" si="0"/>
        <v>0.61436999999999997</v>
      </c>
      <c r="D15" s="309">
        <f t="shared" si="1"/>
        <v>15031206</v>
      </c>
      <c r="E15" s="38">
        <f t="shared" si="1"/>
        <v>5793367</v>
      </c>
      <c r="F15" s="38">
        <f t="shared" si="1"/>
        <v>7911837</v>
      </c>
      <c r="G15" s="38">
        <f t="shared" si="1"/>
        <v>6524849</v>
      </c>
      <c r="H15" s="38">
        <f t="shared" si="2"/>
        <v>4278422</v>
      </c>
    </row>
    <row r="16" spans="1:8">
      <c r="A16" s="196" t="s">
        <v>360</v>
      </c>
      <c r="B16" s="1196">
        <v>1828109</v>
      </c>
      <c r="C16" s="23">
        <f t="shared" si="0"/>
        <v>0.25957000000000002</v>
      </c>
      <c r="D16" s="309">
        <f t="shared" si="1"/>
        <v>6350501</v>
      </c>
      <c r="E16" s="38">
        <f t="shared" si="1"/>
        <v>2447627</v>
      </c>
      <c r="F16" s="38">
        <f t="shared" si="1"/>
        <v>3342655</v>
      </c>
      <c r="G16" s="38">
        <f t="shared" si="1"/>
        <v>2756669</v>
      </c>
      <c r="H16" s="38">
        <f t="shared" si="2"/>
        <v>1807581</v>
      </c>
    </row>
    <row r="17" spans="1:10">
      <c r="A17" s="196" t="s">
        <v>361</v>
      </c>
      <c r="B17" s="1196">
        <v>159972</v>
      </c>
      <c r="C17" s="23">
        <f t="shared" si="0"/>
        <v>2.2710000000000001E-2</v>
      </c>
      <c r="D17" s="309">
        <f t="shared" si="1"/>
        <v>555712</v>
      </c>
      <c r="E17" s="38">
        <f t="shared" si="1"/>
        <v>214184</v>
      </c>
      <c r="F17" s="38">
        <f t="shared" si="1"/>
        <v>292505</v>
      </c>
      <c r="G17" s="38">
        <f t="shared" si="1"/>
        <v>241227</v>
      </c>
      <c r="H17" s="38">
        <f t="shared" si="2"/>
        <v>158176</v>
      </c>
    </row>
    <row r="18" spans="1:10">
      <c r="A18" s="196" t="s">
        <v>362</v>
      </c>
      <c r="B18" s="1251">
        <v>0</v>
      </c>
      <c r="C18" s="181">
        <f t="shared" si="0"/>
        <v>0</v>
      </c>
      <c r="D18" s="309">
        <f t="shared" si="1"/>
        <v>0</v>
      </c>
      <c r="E18" s="38">
        <f t="shared" si="1"/>
        <v>0</v>
      </c>
      <c r="F18" s="38">
        <f t="shared" si="1"/>
        <v>0</v>
      </c>
      <c r="G18" s="38">
        <f t="shared" si="1"/>
        <v>0</v>
      </c>
      <c r="H18" s="38">
        <f t="shared" si="2"/>
        <v>0</v>
      </c>
    </row>
    <row r="19" spans="1:10" ht="13.5" thickBot="1">
      <c r="A19" s="196" t="s">
        <v>363</v>
      </c>
      <c r="B19" s="309">
        <f>SUM(B12:B18)</f>
        <v>7042958</v>
      </c>
      <c r="C19" s="42">
        <f>SUM(C12:C18)</f>
        <v>1</v>
      </c>
      <c r="D19" s="444">
        <f>'[1]SCH B-2.1'!$I$284</f>
        <v>24465890</v>
      </c>
      <c r="E19" s="444">
        <f>'[1]SCH B-3'!$K$329</f>
        <v>9429708</v>
      </c>
      <c r="F19" s="444">
        <f>'[1]SCH B-2.1'!$I$327</f>
        <v>12877885</v>
      </c>
      <c r="G19" s="444">
        <f>'[1]SCH B-3'!$K$386</f>
        <v>10620322</v>
      </c>
      <c r="H19" s="444">
        <f>[1]SCH_C2!$N$38-'FR-16(7)(v)-1 Functional'!F417-'FR-16(7)(v)-1 Functional'!F418-'FR-16(7)(v)-1 Functional'!F419</f>
        <v>6963873</v>
      </c>
      <c r="J19" s="335"/>
    </row>
    <row r="20" spans="1:10" ht="13.5" thickTop="1">
      <c r="A20" s="196" t="s">
        <v>356</v>
      </c>
      <c r="B20" s="1196">
        <v>1414111</v>
      </c>
      <c r="C20" s="38"/>
      <c r="D20" s="38">
        <f>SUM(D12:D18)</f>
        <v>24465890</v>
      </c>
      <c r="E20" s="38">
        <f>SUM(E12:E18)</f>
        <v>9429708</v>
      </c>
      <c r="F20" s="38">
        <f>SUM(F12:F18)</f>
        <v>12877885</v>
      </c>
      <c r="G20" s="38">
        <f>SUM(G12:G18)</f>
        <v>10620322</v>
      </c>
      <c r="H20" s="38">
        <f>SUM(H12:H18)</f>
        <v>6963873</v>
      </c>
      <c r="J20" s="335"/>
    </row>
    <row r="21" spans="1:10" ht="13.5" thickBot="1">
      <c r="A21" s="196" t="s">
        <v>364</v>
      </c>
      <c r="B21" s="49">
        <f>B20+B19</f>
        <v>8457069</v>
      </c>
      <c r="C21" s="35"/>
      <c r="D21" s="38"/>
      <c r="E21" s="38"/>
      <c r="F21" s="38"/>
      <c r="G21" s="38"/>
      <c r="H21" s="38"/>
    </row>
    <row r="22" spans="1:10" ht="13.5" thickTop="1">
      <c r="A22" s="196"/>
      <c r="B22" s="363"/>
      <c r="C22" s="35"/>
      <c r="D22" s="38"/>
      <c r="E22" s="38"/>
      <c r="F22" s="38"/>
      <c r="G22" s="38"/>
      <c r="H22" s="38"/>
    </row>
    <row r="23" spans="1:10">
      <c r="C23" s="30"/>
      <c r="D23" s="30"/>
      <c r="E23" s="30"/>
      <c r="F23" s="30"/>
      <c r="G23" s="30"/>
      <c r="H23" s="30"/>
      <c r="I23" s="30"/>
    </row>
    <row r="24" spans="1:10">
      <c r="B24" s="344"/>
      <c r="C24" s="1523"/>
      <c r="D24" s="1523"/>
      <c r="E24" s="1523"/>
      <c r="F24" s="364"/>
      <c r="G24" s="364"/>
    </row>
    <row r="25" spans="1:10" ht="15" customHeight="1">
      <c r="A25" s="365"/>
      <c r="B25" s="366"/>
      <c r="C25" s="364"/>
      <c r="D25" s="364"/>
      <c r="E25" s="364"/>
      <c r="F25" s="364"/>
      <c r="G25" s="364"/>
    </row>
    <row r="26" spans="1:10">
      <c r="A26" s="365" t="s">
        <v>979</v>
      </c>
      <c r="B26" s="367"/>
      <c r="C26" s="367"/>
      <c r="D26" s="367"/>
      <c r="E26" s="367"/>
      <c r="F26" s="367"/>
      <c r="G26" s="367"/>
    </row>
    <row r="27" spans="1:10">
      <c r="A27" s="365" t="s">
        <v>968</v>
      </c>
      <c r="B27" s="369"/>
      <c r="C27" s="369"/>
      <c r="D27" s="369"/>
      <c r="E27" s="369"/>
      <c r="F27" s="369" t="s">
        <v>343</v>
      </c>
      <c r="G27" s="369"/>
    </row>
    <row r="28" spans="1:10">
      <c r="A28" s="365" t="s">
        <v>974</v>
      </c>
      <c r="B28" s="367"/>
      <c r="C28" s="367"/>
      <c r="D28" s="367"/>
      <c r="E28" s="367"/>
      <c r="F28" s="367"/>
      <c r="G28" s="367"/>
    </row>
    <row r="29" spans="1:10">
      <c r="A29" s="368"/>
      <c r="B29" s="370"/>
      <c r="C29" s="370"/>
      <c r="D29" s="370"/>
      <c r="E29" s="370"/>
      <c r="F29" s="370"/>
      <c r="G29" s="370"/>
    </row>
    <row r="30" spans="1:10">
      <c r="A30" s="368"/>
      <c r="B30" s="367"/>
      <c r="C30" s="367"/>
      <c r="D30" s="367"/>
      <c r="E30" s="367"/>
      <c r="F30" s="367"/>
      <c r="G30" s="367"/>
    </row>
    <row r="31" spans="1:10">
      <c r="A31" s="368"/>
      <c r="B31" s="371"/>
      <c r="C31" s="369"/>
      <c r="D31" s="369"/>
      <c r="E31" s="369"/>
      <c r="F31" s="369" t="s">
        <v>343</v>
      </c>
      <c r="G31" s="371"/>
    </row>
    <row r="32" spans="1:10">
      <c r="A32" s="368"/>
      <c r="B32" s="367"/>
      <c r="C32" s="367"/>
      <c r="D32" s="367"/>
      <c r="E32" s="367"/>
      <c r="F32" s="367"/>
      <c r="G32" s="367"/>
    </row>
    <row r="33" spans="1:7">
      <c r="A33" s="368"/>
      <c r="B33" s="370"/>
      <c r="C33" s="370"/>
      <c r="D33" s="370"/>
      <c r="E33" s="370"/>
      <c r="F33" s="370"/>
      <c r="G33" s="370"/>
    </row>
    <row r="34" spans="1:7">
      <c r="A34" s="368"/>
      <c r="B34" s="367"/>
      <c r="C34" s="367"/>
      <c r="D34" s="367"/>
      <c r="E34" s="367"/>
      <c r="F34" s="367"/>
      <c r="G34" s="367"/>
    </row>
    <row r="35" spans="1:7">
      <c r="A35" s="368"/>
      <c r="B35" s="367"/>
      <c r="C35" s="367"/>
      <c r="D35" s="367"/>
      <c r="E35" s="367"/>
      <c r="F35" s="367"/>
      <c r="G35" s="367"/>
    </row>
    <row r="36" spans="1:7">
      <c r="A36" s="368"/>
      <c r="B36" s="367"/>
      <c r="C36" s="367"/>
      <c r="D36" s="367"/>
      <c r="E36" s="367"/>
      <c r="F36" s="367"/>
      <c r="G36" s="367"/>
    </row>
    <row r="37" spans="1:7">
      <c r="A37" s="368"/>
      <c r="B37" s="371"/>
      <c r="C37" s="369"/>
      <c r="D37" s="369"/>
      <c r="E37" s="369"/>
      <c r="F37" s="369" t="s">
        <v>343</v>
      </c>
      <c r="G37" s="371"/>
    </row>
    <row r="38" spans="1:7">
      <c r="A38" s="368"/>
      <c r="B38" s="367"/>
      <c r="C38" s="367"/>
      <c r="D38" s="367"/>
      <c r="E38" s="367"/>
      <c r="F38" s="367"/>
      <c r="G38" s="367"/>
    </row>
    <row r="39" spans="1:7">
      <c r="A39" s="368"/>
      <c r="B39" s="370"/>
      <c r="C39" s="370"/>
      <c r="D39" s="370"/>
      <c r="E39" s="370"/>
      <c r="F39" s="370"/>
      <c r="G39" s="370"/>
    </row>
    <row r="40" spans="1:7">
      <c r="A40" s="368"/>
      <c r="B40" s="367"/>
      <c r="C40" s="367"/>
      <c r="D40" s="367"/>
      <c r="E40" s="367"/>
      <c r="F40" s="367"/>
      <c r="G40" s="367"/>
    </row>
    <row r="41" spans="1:7">
      <c r="A41" s="368"/>
      <c r="B41" s="371"/>
      <c r="C41" s="369"/>
      <c r="D41" s="369"/>
      <c r="E41" s="369"/>
      <c r="F41" s="369" t="s">
        <v>343</v>
      </c>
      <c r="G41" s="371"/>
    </row>
    <row r="42" spans="1:7">
      <c r="A42" s="368"/>
      <c r="B42" s="367"/>
      <c r="C42" s="367"/>
      <c r="D42" s="367"/>
      <c r="E42" s="367"/>
      <c r="F42" s="367"/>
      <c r="G42" s="367"/>
    </row>
    <row r="43" spans="1:7">
      <c r="A43" s="368"/>
      <c r="B43" s="370"/>
      <c r="C43" s="370"/>
      <c r="D43" s="370"/>
      <c r="E43" s="370"/>
      <c r="F43" s="370"/>
      <c r="G43" s="370"/>
    </row>
    <row r="44" spans="1:7">
      <c r="A44" s="368"/>
      <c r="B44" s="367"/>
      <c r="C44" s="367"/>
      <c r="D44" s="367"/>
      <c r="E44" s="367"/>
      <c r="F44" s="367"/>
      <c r="G44" s="367"/>
    </row>
    <row r="45" spans="1:7">
      <c r="A45" s="368"/>
      <c r="B45" s="371"/>
      <c r="C45" s="369"/>
      <c r="D45" s="369"/>
      <c r="E45" s="369"/>
      <c r="F45" s="369" t="s">
        <v>343</v>
      </c>
      <c r="G45" s="371"/>
    </row>
    <row r="46" spans="1:7">
      <c r="A46" s="368"/>
      <c r="B46" s="367"/>
      <c r="C46" s="367"/>
      <c r="D46" s="367"/>
      <c r="E46" s="367"/>
      <c r="F46" s="367"/>
      <c r="G46" s="367"/>
    </row>
    <row r="47" spans="1:7">
      <c r="A47" s="368"/>
      <c r="B47" s="370"/>
      <c r="C47" s="370"/>
      <c r="D47" s="370"/>
      <c r="E47" s="370"/>
      <c r="F47" s="370"/>
      <c r="G47" s="370"/>
    </row>
    <row r="48" spans="1:7">
      <c r="A48" s="368"/>
      <c r="B48" s="367"/>
      <c r="C48" s="367"/>
      <c r="D48" s="367"/>
      <c r="E48" s="367"/>
      <c r="F48" s="367"/>
      <c r="G48" s="367"/>
    </row>
    <row r="49" spans="1:7">
      <c r="A49" s="368"/>
      <c r="B49" s="369"/>
      <c r="C49" s="369"/>
      <c r="D49" s="369"/>
      <c r="E49" s="369"/>
      <c r="F49" s="369" t="s">
        <v>343</v>
      </c>
      <c r="G49" s="369"/>
    </row>
    <row r="50" spans="1:7">
      <c r="A50" s="368"/>
      <c r="B50" s="367"/>
      <c r="C50" s="367"/>
      <c r="D50" s="367"/>
      <c r="E50" s="367"/>
      <c r="F50" s="367"/>
      <c r="G50" s="367"/>
    </row>
    <row r="51" spans="1:7">
      <c r="A51" s="368"/>
      <c r="B51" s="370"/>
      <c r="C51" s="370"/>
      <c r="D51" s="370"/>
      <c r="E51" s="370"/>
      <c r="F51" s="370"/>
      <c r="G51" s="370"/>
    </row>
    <row r="52" spans="1:7">
      <c r="A52" s="368"/>
      <c r="B52" s="367"/>
      <c r="C52" s="367"/>
      <c r="D52" s="367"/>
      <c r="E52" s="367"/>
      <c r="F52" s="367"/>
      <c r="G52" s="367"/>
    </row>
    <row r="53" spans="1:7">
      <c r="A53" s="365"/>
      <c r="B53" s="367"/>
      <c r="C53" s="367"/>
      <c r="D53" s="367"/>
      <c r="E53" s="367"/>
      <c r="F53" s="367"/>
      <c r="G53" s="367"/>
    </row>
    <row r="54" spans="1:7">
      <c r="A54" s="368"/>
      <c r="B54" s="369"/>
      <c r="C54" s="369"/>
      <c r="D54" s="369"/>
      <c r="E54" s="369"/>
      <c r="F54" s="369" t="s">
        <v>343</v>
      </c>
      <c r="G54" s="369"/>
    </row>
  </sheetData>
  <mergeCells count="1">
    <mergeCell ref="C24:E24"/>
  </mergeCells>
  <phoneticPr fontId="0" type="noConversion"/>
  <pageMargins left="1" right="1" top="1" bottom="1" header="0.5" footer="0.5"/>
  <pageSetup scale="77" orientation="landscape" blackAndWhite="1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indexed="32"/>
  </sheetPr>
  <dimension ref="A2:J76"/>
  <sheetViews>
    <sheetView topLeftCell="B1" zoomScale="75" zoomScaleNormal="75" workbookViewId="0">
      <pane xSplit="1" ySplit="2" topLeftCell="C33" activePane="bottomRight" state="frozen"/>
      <selection activeCell="J20" sqref="J20"/>
      <selection pane="topRight" activeCell="J20" sqref="J20"/>
      <selection pane="bottomLeft" activeCell="J20" sqref="J20"/>
      <selection pane="bottomRight" activeCell="D55" sqref="D55"/>
    </sheetView>
  </sheetViews>
  <sheetFormatPr defaultColWidth="8.77734375" defaultRowHeight="12.75"/>
  <cols>
    <col min="1" max="1" width="24.44140625" style="332" customWidth="1"/>
    <col min="2" max="2" width="28" style="332" customWidth="1"/>
    <col min="3" max="3" width="16.6640625" style="353" customWidth="1"/>
    <col min="4" max="4" width="17" style="353" customWidth="1"/>
    <col min="5" max="5" width="14.6640625" style="353" customWidth="1"/>
    <col min="6" max="16384" width="8.77734375" style="332"/>
  </cols>
  <sheetData>
    <row r="2" spans="1:9">
      <c r="A2" s="9"/>
      <c r="B2" s="9"/>
      <c r="C2" s="1335" t="s">
        <v>439</v>
      </c>
      <c r="D2" s="1335" t="s">
        <v>440</v>
      </c>
      <c r="E2" s="1335" t="s">
        <v>3</v>
      </c>
    </row>
    <row r="3" spans="1:9">
      <c r="A3" s="9"/>
      <c r="B3" s="1480" t="s">
        <v>1153</v>
      </c>
      <c r="C3" s="1336">
        <f>'FR-16(7)(v)-1 Functional'!F101</f>
        <v>588627191</v>
      </c>
      <c r="D3" s="1336">
        <f>[1]!PLANT_IN_SERVICE</f>
        <v>588627191</v>
      </c>
      <c r="E3" s="1336">
        <f>D3-C3</f>
        <v>0</v>
      </c>
    </row>
    <row r="4" spans="1:9" ht="15">
      <c r="A4" s="9"/>
      <c r="B4" s="1480" t="s">
        <v>1154</v>
      </c>
      <c r="C4" s="1336">
        <f>'FR-16(7)(v)-1 Functional'!F151</f>
        <v>187541693</v>
      </c>
      <c r="D4" s="1336">
        <f>-[1]SCH_B1!$I$20</f>
        <v>187541693</v>
      </c>
      <c r="E4" s="1336">
        <f>D4-C4</f>
        <v>0</v>
      </c>
      <c r="F4"/>
      <c r="G4"/>
      <c r="H4"/>
      <c r="I4"/>
    </row>
    <row r="5" spans="1:9" ht="13.5" thickBot="1">
      <c r="A5" s="9"/>
      <c r="B5" s="1480" t="s">
        <v>438</v>
      </c>
      <c r="C5" s="1337">
        <f>C3-C4</f>
        <v>401085498</v>
      </c>
      <c r="D5" s="1337">
        <f>D3-D4</f>
        <v>401085498</v>
      </c>
      <c r="E5" s="1337">
        <f>E3-E4</f>
        <v>0</v>
      </c>
    </row>
    <row r="6" spans="1:9" ht="13.5" thickTop="1">
      <c r="A6" s="9"/>
      <c r="B6" s="1480"/>
      <c r="C6" s="1029"/>
      <c r="D6" s="1029"/>
      <c r="E6" s="1029"/>
    </row>
    <row r="7" spans="1:9">
      <c r="A7" s="9"/>
      <c r="B7" s="1033" t="s">
        <v>1484</v>
      </c>
      <c r="C7" s="1336"/>
      <c r="D7" s="1336"/>
      <c r="E7" s="1336"/>
    </row>
    <row r="8" spans="1:9">
      <c r="A8" s="9"/>
      <c r="B8" s="1481" t="s">
        <v>442</v>
      </c>
      <c r="C8" s="1336">
        <f>'FR-16(7)(v)-1 Functional'!F313</f>
        <v>3021735</v>
      </c>
      <c r="D8" s="1336">
        <f>[1]SCH_B1!$I$26</f>
        <v>3021735</v>
      </c>
      <c r="E8" s="1336">
        <f>D8-C8</f>
        <v>0</v>
      </c>
    </row>
    <row r="9" spans="1:9">
      <c r="A9" s="9"/>
      <c r="B9" s="1481" t="s">
        <v>503</v>
      </c>
      <c r="C9" s="1338">
        <v>0</v>
      </c>
      <c r="D9" s="1339">
        <v>0</v>
      </c>
      <c r="E9" s="1336">
        <f>D9-C9</f>
        <v>0</v>
      </c>
    </row>
    <row r="10" spans="1:9">
      <c r="A10" s="9"/>
      <c r="B10" s="1481" t="s">
        <v>443</v>
      </c>
      <c r="C10" s="1340">
        <f>'FR-16(7)(v)-1 Functional'!F304+'FR-16(7)(v)-1 Functional'!F316+'FR-16(7)(v)-1 Functional'!F310</f>
        <v>5423808</v>
      </c>
      <c r="D10" s="1340">
        <f>[1]SCH_B1!$I$28</f>
        <v>5423808</v>
      </c>
      <c r="E10" s="1340">
        <f>D10-C10</f>
        <v>0</v>
      </c>
    </row>
    <row r="11" spans="1:9">
      <c r="A11" s="9"/>
      <c r="B11" s="1482" t="s">
        <v>441</v>
      </c>
      <c r="C11" s="1336">
        <f>SUM(C8:C10)</f>
        <v>8445543</v>
      </c>
      <c r="D11" s="1336">
        <f>SUM(D8:D10)</f>
        <v>8445543</v>
      </c>
      <c r="E11" s="1336">
        <f>D11-C11</f>
        <v>0</v>
      </c>
    </row>
    <row r="12" spans="1:9">
      <c r="A12" s="9"/>
      <c r="B12" s="1483"/>
      <c r="C12" s="1341"/>
      <c r="D12" s="1341"/>
      <c r="E12" s="1341"/>
    </row>
    <row r="13" spans="1:9">
      <c r="A13" s="9" t="s">
        <v>512</v>
      </c>
      <c r="B13" s="1033" t="s">
        <v>1483</v>
      </c>
      <c r="C13" s="1342"/>
      <c r="D13" s="1336"/>
      <c r="E13" s="1336"/>
    </row>
    <row r="14" spans="1:9">
      <c r="A14" s="2" t="s">
        <v>504</v>
      </c>
      <c r="B14" s="1481" t="s">
        <v>444</v>
      </c>
      <c r="C14" s="1336">
        <f>'FR-16(7)(v)-1 Functional'!F232</f>
        <v>1579329</v>
      </c>
      <c r="D14" s="1336">
        <f>-[1]SCH_B1!$I$32</f>
        <v>1579329</v>
      </c>
      <c r="E14" s="1336">
        <f t="shared" ref="E14:E20" si="0">D14-C14</f>
        <v>0</v>
      </c>
      <c r="F14" s="1322" t="s">
        <v>1292</v>
      </c>
    </row>
    <row r="15" spans="1:9">
      <c r="A15" s="2"/>
      <c r="B15" s="1481" t="s">
        <v>511</v>
      </c>
      <c r="C15" s="1029">
        <f>'FR-16(7)(v)-1 Functional'!F233</f>
        <v>0</v>
      </c>
      <c r="D15" s="1029">
        <v>0</v>
      </c>
      <c r="E15" s="1029">
        <f>D15-C15</f>
        <v>0</v>
      </c>
      <c r="F15" s="1322" t="s">
        <v>1292</v>
      </c>
    </row>
    <row r="16" spans="1:9">
      <c r="A16" s="4" t="s">
        <v>515</v>
      </c>
      <c r="B16" s="1481" t="s">
        <v>445</v>
      </c>
      <c r="C16" s="1336">
        <f>'FR-16(7)(v)-1 Functional'!F234</f>
        <v>0</v>
      </c>
      <c r="D16" s="1336">
        <v>0</v>
      </c>
      <c r="E16" s="1336">
        <f t="shared" si="0"/>
        <v>0</v>
      </c>
      <c r="F16" s="1322" t="s">
        <v>1292</v>
      </c>
    </row>
    <row r="17" spans="1:10">
      <c r="A17" s="2" t="s">
        <v>514</v>
      </c>
      <c r="B17" s="1481" t="s">
        <v>1444</v>
      </c>
      <c r="C17" s="1336">
        <f>'FR-16(7)(v)-1 Functional'!F235</f>
        <v>31320215</v>
      </c>
      <c r="D17" s="1486">
        <f>-[1]SCH_B1!$I$38</f>
        <v>31320215</v>
      </c>
      <c r="E17" s="1336">
        <f t="shared" si="0"/>
        <v>0</v>
      </c>
      <c r="F17" s="1322" t="s">
        <v>1292</v>
      </c>
    </row>
    <row r="18" spans="1:10">
      <c r="A18" s="2"/>
      <c r="B18" s="1481" t="s">
        <v>447</v>
      </c>
      <c r="C18" s="1336">
        <f>'FR-16(7)(v)-1 Functional'!F215</f>
        <v>62552777.857534245</v>
      </c>
      <c r="D18" s="1336">
        <f>-'[1]WPB-6''s'!$R$113-'[1]WPB-6''s'!$R$114+'[1]WPB-6''s'!$R$119-'[1]WPB-6''s'!$R$121-[1]SCH_B6!$N$78</f>
        <v>62552777.857534245</v>
      </c>
      <c r="E18" s="1336">
        <f t="shared" si="0"/>
        <v>0</v>
      </c>
      <c r="F18" s="1323" t="s">
        <v>1293</v>
      </c>
    </row>
    <row r="19" spans="1:10">
      <c r="A19" s="9"/>
      <c r="B19" s="1481" t="s">
        <v>448</v>
      </c>
      <c r="C19" s="1340">
        <f>'FR-16(7)(v)-1 Functional'!F229</f>
        <v>2429667</v>
      </c>
      <c r="D19" s="1336">
        <f>-'[1]WPB-6''s'!$R$115-'[1]WPB-6''s'!$R$116</f>
        <v>2429667</v>
      </c>
      <c r="E19" s="1340">
        <f t="shared" si="0"/>
        <v>0</v>
      </c>
      <c r="F19" s="1323" t="s">
        <v>1293</v>
      </c>
    </row>
    <row r="20" spans="1:10">
      <c r="B20" s="1482" t="s">
        <v>505</v>
      </c>
      <c r="C20" s="1291">
        <f>SUM(C14:C19)</f>
        <v>97881988.857534245</v>
      </c>
      <c r="D20" s="1343">
        <f>SUM(D14:D19)</f>
        <v>97881988.857534245</v>
      </c>
      <c r="E20" s="1336">
        <f t="shared" si="0"/>
        <v>0</v>
      </c>
    </row>
    <row r="21" spans="1:10">
      <c r="A21" s="5"/>
      <c r="B21" s="1483"/>
      <c r="C21" s="1291"/>
      <c r="D21" s="1336"/>
      <c r="E21" s="1336"/>
    </row>
    <row r="22" spans="1:10">
      <c r="A22" s="2" t="s">
        <v>506</v>
      </c>
      <c r="B22" s="1481" t="s">
        <v>446</v>
      </c>
      <c r="C22" s="1336">
        <f>'FR-16(7)(v)-1 Functional'!F275</f>
        <v>2316562</v>
      </c>
      <c r="D22" s="1336">
        <f>'[1]WPB-6''s'!$R$111</f>
        <v>2316562</v>
      </c>
      <c r="E22" s="1336">
        <f>D22-C22</f>
        <v>0</v>
      </c>
      <c r="F22" s="1324" t="s">
        <v>1293</v>
      </c>
    </row>
    <row r="23" spans="1:10">
      <c r="A23" s="9"/>
      <c r="B23" s="1481" t="s">
        <v>534</v>
      </c>
      <c r="C23" s="1340">
        <f>'FR-16(7)(v)-1 Functional'!F281</f>
        <v>-290375</v>
      </c>
      <c r="D23" s="1336">
        <f>-([1]SCH_D1!$AA$312+[1]SCH_D1!$AA$317+[1]SCH_D1!$AC$312+[1]SCH_D1!$AC$317)</f>
        <v>-290375</v>
      </c>
      <c r="E23" s="1340">
        <f>D23-C23</f>
        <v>0</v>
      </c>
      <c r="F23" s="1391" t="s">
        <v>1293</v>
      </c>
      <c r="G23" s="353"/>
    </row>
    <row r="24" spans="1:10">
      <c r="B24" s="1482" t="s">
        <v>513</v>
      </c>
      <c r="C24" s="1029">
        <f>C22+C23</f>
        <v>2026187</v>
      </c>
      <c r="D24" s="1344">
        <f>SUM(D22:D23)</f>
        <v>2026187</v>
      </c>
      <c r="E24" s="1336">
        <f>D24-C24</f>
        <v>0</v>
      </c>
      <c r="F24" s="365"/>
    </row>
    <row r="25" spans="1:10">
      <c r="A25" s="9"/>
      <c r="B25" s="1480"/>
      <c r="C25" s="1342"/>
      <c r="D25" s="1336"/>
      <c r="E25" s="1336"/>
    </row>
    <row r="26" spans="1:10" ht="13.5" thickBot="1">
      <c r="A26" s="2" t="s">
        <v>449</v>
      </c>
      <c r="B26" s="1482" t="s">
        <v>978</v>
      </c>
      <c r="C26" s="1345">
        <f>C5+C11-C20+C24</f>
        <v>313675239.14246577</v>
      </c>
      <c r="D26" s="1345">
        <f>D5+D11-D20+D24</f>
        <v>313675239.14246577</v>
      </c>
      <c r="E26" s="1337">
        <f>D26-C26</f>
        <v>0</v>
      </c>
      <c r="F26" s="332" t="s">
        <v>1447</v>
      </c>
    </row>
    <row r="27" spans="1:10" ht="13.5" thickTop="1">
      <c r="A27" s="2"/>
      <c r="B27" s="1480"/>
      <c r="C27" s="1342"/>
      <c r="E27" s="1336"/>
    </row>
    <row r="28" spans="1:10">
      <c r="A28" s="2"/>
      <c r="B28" s="1033" t="s">
        <v>1485</v>
      </c>
      <c r="C28" s="1342"/>
      <c r="E28" s="1336"/>
    </row>
    <row r="29" spans="1:10">
      <c r="A29" s="6" t="s">
        <v>450</v>
      </c>
      <c r="B29" s="1480" t="s">
        <v>1151</v>
      </c>
      <c r="C29" s="1336">
        <f>'FR-16(7)(v)-1 Functional'!F360</f>
        <v>37306920</v>
      </c>
      <c r="D29" s="1336">
        <f>[1]SCH_C2!$N$27+[1]SCH_C2!$N$32</f>
        <v>37306920</v>
      </c>
      <c r="E29" s="1336">
        <f>D29-C29</f>
        <v>0</v>
      </c>
      <c r="F29" s="1325" t="s">
        <v>1294</v>
      </c>
    </row>
    <row r="30" spans="1:10">
      <c r="A30" s="6"/>
      <c r="B30" s="1480" t="s">
        <v>451</v>
      </c>
      <c r="C30" s="1336">
        <f>'FR-16(7)(v)-1 Functional'!F364</f>
        <v>0</v>
      </c>
      <c r="D30" s="1336">
        <f>[1]SCH_C2!$N$33</f>
        <v>0</v>
      </c>
      <c r="E30" s="1336">
        <f t="shared" ref="E30:E35" si="1">D30-C30</f>
        <v>0</v>
      </c>
      <c r="F30" s="1326" t="s">
        <v>1294</v>
      </c>
    </row>
    <row r="31" spans="1:10">
      <c r="A31" s="7"/>
      <c r="B31" s="1480" t="s">
        <v>452</v>
      </c>
      <c r="C31" s="1336">
        <f>'FR-16(7)(v)-1 Functional'!F378</f>
        <v>12905095</v>
      </c>
      <c r="D31" s="1336">
        <f>[1]SCH_C2!$N$34</f>
        <v>12905095</v>
      </c>
      <c r="E31" s="1336">
        <f t="shared" si="1"/>
        <v>0</v>
      </c>
    </row>
    <row r="32" spans="1:10">
      <c r="A32" s="8"/>
      <c r="B32" s="1480" t="s">
        <v>453</v>
      </c>
      <c r="C32" s="1336">
        <f>'FR-16(7)(v)-1 Functional'!F389</f>
        <v>2672913</v>
      </c>
      <c r="D32" s="1336">
        <f>[1]SCH_C2!$N$35</f>
        <v>2672913</v>
      </c>
      <c r="E32" s="1336">
        <f t="shared" si="1"/>
        <v>0</v>
      </c>
      <c r="F32" s="332" t="s">
        <v>540</v>
      </c>
      <c r="I32" s="335">
        <v>0</v>
      </c>
      <c r="J32" s="332" t="s">
        <v>1199</v>
      </c>
    </row>
    <row r="33" spans="1:6">
      <c r="A33" s="9"/>
      <c r="B33" s="1480" t="s">
        <v>454</v>
      </c>
      <c r="C33" s="1336">
        <f>'FR-16(7)(v)-1 Functional'!F403</f>
        <v>406241</v>
      </c>
      <c r="D33" s="1336">
        <f>[1]SCH_C2!$N$36</f>
        <v>406241</v>
      </c>
      <c r="E33" s="1336">
        <f t="shared" si="1"/>
        <v>0</v>
      </c>
      <c r="F33" s="1326" t="s">
        <v>1294</v>
      </c>
    </row>
    <row r="34" spans="1:6">
      <c r="A34" s="1028"/>
      <c r="B34" s="1480" t="s">
        <v>362</v>
      </c>
      <c r="C34" s="1336">
        <f>'FR-16(7)(v)-1 Functional'!F407</f>
        <v>194128</v>
      </c>
      <c r="D34" s="1336">
        <f>[1]SCH_C2!$N$37</f>
        <v>194128</v>
      </c>
      <c r="E34" s="1336">
        <f t="shared" si="1"/>
        <v>0</v>
      </c>
      <c r="F34" s="1326" t="s">
        <v>1294</v>
      </c>
    </row>
    <row r="35" spans="1:6">
      <c r="A35" s="9"/>
      <c r="B35" s="1480" t="s">
        <v>1155</v>
      </c>
      <c r="C35" s="1336">
        <f>'FR-16(7)(v)-1 Functional'!F431</f>
        <v>7022671</v>
      </c>
      <c r="D35" s="1336">
        <f>[1]SCH_C2!$N$38+[1]SCH_C2!$N$39</f>
        <v>7022671</v>
      </c>
      <c r="E35" s="1336">
        <f t="shared" si="1"/>
        <v>0</v>
      </c>
      <c r="F35" s="1326" t="s">
        <v>1294</v>
      </c>
    </row>
    <row r="36" spans="1:6">
      <c r="A36" s="9"/>
      <c r="B36" s="1482" t="s">
        <v>364</v>
      </c>
      <c r="C36" s="1346">
        <f>SUM(C29:C35)</f>
        <v>60507968</v>
      </c>
      <c r="D36" s="1346">
        <f>SUM(D29:D35)</f>
        <v>60507968</v>
      </c>
      <c r="E36" s="1346">
        <f t="shared" ref="E36:E42" si="2">D36-C36</f>
        <v>0</v>
      </c>
    </row>
    <row r="37" spans="1:6">
      <c r="A37" s="9" t="s">
        <v>460</v>
      </c>
      <c r="B37" s="1482" t="s">
        <v>455</v>
      </c>
      <c r="C37" s="1346">
        <f>'FR-16(7)(v)-1 Functional'!F465</f>
        <v>14615192.067600001</v>
      </c>
      <c r="D37" s="1346">
        <f>[1]SCH_C2!$N$42</f>
        <v>14615192</v>
      </c>
      <c r="E37" s="1346">
        <f t="shared" si="2"/>
        <v>-6.7600000649690628E-2</v>
      </c>
    </row>
    <row r="38" spans="1:6">
      <c r="A38" s="9" t="s">
        <v>456</v>
      </c>
      <c r="B38" s="1480" t="s">
        <v>456</v>
      </c>
      <c r="C38" s="1029">
        <f>'FR-16(7)(v)-1 Functional'!F481</f>
        <v>3388723</v>
      </c>
      <c r="D38" s="1029">
        <f>'[1]SCH_C2.1 - Forecasted Period'!$J$275+'[1]SCH_C2.1 - Forecasted Period'!$J$277+[1]SCH_D1!$AE$242</f>
        <v>3388723</v>
      </c>
      <c r="E38" s="1336">
        <f t="shared" si="2"/>
        <v>0</v>
      </c>
      <c r="F38" s="1326" t="s">
        <v>1296</v>
      </c>
    </row>
    <row r="39" spans="1:6">
      <c r="A39" s="9" t="s">
        <v>457</v>
      </c>
      <c r="B39" s="1480" t="s">
        <v>507</v>
      </c>
      <c r="C39" s="1340">
        <f>'FR-16(7)(v)-1 Functional'!F488</f>
        <v>708964</v>
      </c>
      <c r="D39" s="1340">
        <f>[1]SCH_C2!$N$47-D38</f>
        <v>708964</v>
      </c>
      <c r="E39" s="1340">
        <f t="shared" si="2"/>
        <v>0</v>
      </c>
      <c r="F39" s="1326" t="s">
        <v>1294</v>
      </c>
    </row>
    <row r="40" spans="1:6">
      <c r="A40" s="9" t="s">
        <v>458</v>
      </c>
      <c r="B40" s="1480" t="s">
        <v>508</v>
      </c>
      <c r="C40" s="1029">
        <f>C38+C39</f>
        <v>4097687</v>
      </c>
      <c r="D40" s="1029">
        <f>D38+D39</f>
        <v>4097687</v>
      </c>
      <c r="E40" s="1336">
        <f t="shared" si="2"/>
        <v>0</v>
      </c>
    </row>
    <row r="41" spans="1:6">
      <c r="A41" s="9"/>
      <c r="B41" s="1480" t="s">
        <v>2</v>
      </c>
      <c r="C41" s="1336">
        <f>'FR-16(7)(v)-1 Functional'!F493</f>
        <v>21084</v>
      </c>
      <c r="D41" s="1336">
        <f>[1]SCH_C1!$G$22</f>
        <v>21084</v>
      </c>
      <c r="E41" s="1336">
        <f t="shared" si="2"/>
        <v>0</v>
      </c>
    </row>
    <row r="42" spans="1:6" ht="13.5" thickBot="1">
      <c r="A42" s="9"/>
      <c r="B42" s="1482" t="s">
        <v>459</v>
      </c>
      <c r="C42" s="1337">
        <f>C36+C37+C40+C41</f>
        <v>79241931.067599997</v>
      </c>
      <c r="D42" s="1337">
        <f>D36+D37+D40+D41</f>
        <v>79241931</v>
      </c>
      <c r="E42" s="1337">
        <f t="shared" si="2"/>
        <v>-6.759999692440033E-2</v>
      </c>
    </row>
    <row r="43" spans="1:6" ht="13.5" thickTop="1">
      <c r="A43" s="9"/>
      <c r="B43" s="1482"/>
      <c r="C43" s="1029"/>
      <c r="D43" s="1029"/>
      <c r="E43" s="1029"/>
    </row>
    <row r="44" spans="1:6">
      <c r="A44" s="9"/>
      <c r="B44" s="1479" t="s">
        <v>1482</v>
      </c>
      <c r="C44" s="1029"/>
      <c r="D44" s="1029"/>
      <c r="E44" s="1029"/>
    </row>
    <row r="45" spans="1:6">
      <c r="A45" s="9"/>
      <c r="B45" s="1484" t="s">
        <v>1486</v>
      </c>
      <c r="C45" s="1342"/>
      <c r="D45" s="1342"/>
      <c r="E45" s="1336"/>
    </row>
    <row r="46" spans="1:6">
      <c r="A46" s="9"/>
      <c r="B46" s="1480" t="s">
        <v>1487</v>
      </c>
      <c r="C46" s="1336">
        <f>'FR-16(7)(v)-1 Functional'!F515</f>
        <v>6761503</v>
      </c>
      <c r="D46" s="1336">
        <f>-[1]SCH_E1!$Q$22</f>
        <v>6761503</v>
      </c>
      <c r="E46" s="1336">
        <f>D46-C46</f>
        <v>0</v>
      </c>
      <c r="F46" s="353"/>
    </row>
    <row r="47" spans="1:6">
      <c r="A47" s="9"/>
      <c r="B47" s="1480" t="s">
        <v>1481</v>
      </c>
      <c r="C47" s="1336">
        <f>'FR-16(7)(v)-1 Functional'!F522</f>
        <v>6601028</v>
      </c>
      <c r="D47" s="1336">
        <f>-[1]SCH_E1!$Q$28-[1]SCH_E1!$Q$24-[1]SCH_E1!$Q$32</f>
        <v>6601028</v>
      </c>
      <c r="E47" s="1336">
        <f>D47-C47</f>
        <v>0</v>
      </c>
      <c r="F47" s="353"/>
    </row>
    <row r="48" spans="1:6">
      <c r="A48" s="9"/>
      <c r="B48" s="1480"/>
      <c r="C48" s="1336"/>
      <c r="D48" s="1336"/>
      <c r="E48" s="1336"/>
      <c r="F48" s="353"/>
    </row>
    <row r="49" spans="1:6">
      <c r="A49" s="9"/>
      <c r="B49" s="1484" t="s">
        <v>1488</v>
      </c>
      <c r="C49" s="1336"/>
      <c r="D49" s="1336"/>
      <c r="E49" s="1336"/>
      <c r="F49" s="353"/>
    </row>
    <row r="50" spans="1:6">
      <c r="A50" s="9"/>
      <c r="B50" s="1480" t="s">
        <v>1489</v>
      </c>
      <c r="C50" s="1336">
        <f>'FR-16(7)(v)-1 Functional'!F603</f>
        <v>379535</v>
      </c>
      <c r="D50" s="1336">
        <f>[1]SCH_E1!$Q$96</f>
        <v>379533</v>
      </c>
      <c r="E50" s="1336">
        <f t="shared" ref="E50:E51" si="3">D50-C50</f>
        <v>-2</v>
      </c>
      <c r="F50" s="353"/>
    </row>
    <row r="51" spans="1:6">
      <c r="A51" s="9"/>
      <c r="B51" s="1480" t="s">
        <v>1490</v>
      </c>
      <c r="C51" s="1336">
        <f>'FR-16(7)(v)-1 Functional'!F585</f>
        <v>450960</v>
      </c>
      <c r="D51" s="1336">
        <f>[1]SCH_E1!$Q$102</f>
        <v>450960</v>
      </c>
      <c r="E51" s="1336">
        <f t="shared" si="3"/>
        <v>0</v>
      </c>
      <c r="F51" s="353"/>
    </row>
    <row r="52" spans="1:6">
      <c r="A52" s="9"/>
      <c r="B52" s="1480" t="s">
        <v>1491</v>
      </c>
      <c r="C52" s="1343">
        <f>SUM(C50:C51)</f>
        <v>830495</v>
      </c>
      <c r="D52" s="1343">
        <f t="shared" ref="D52:E52" si="4">SUM(D50:D51)</f>
        <v>830493</v>
      </c>
      <c r="E52" s="1343">
        <f t="shared" si="4"/>
        <v>-2</v>
      </c>
      <c r="F52" s="353"/>
    </row>
    <row r="53" spans="1:6">
      <c r="A53" s="9"/>
      <c r="B53" s="1480"/>
      <c r="C53" s="1336"/>
      <c r="D53" s="1336"/>
      <c r="E53" s="1336"/>
      <c r="F53" s="353"/>
    </row>
    <row r="54" spans="1:6">
      <c r="A54" s="9"/>
      <c r="B54" s="1484" t="s">
        <v>1492</v>
      </c>
      <c r="C54" s="1336"/>
      <c r="D54" s="1336"/>
      <c r="E54" s="1336"/>
      <c r="F54" s="353"/>
    </row>
    <row r="55" spans="1:6">
      <c r="A55" s="9"/>
      <c r="B55" s="1480" t="s">
        <v>1175</v>
      </c>
      <c r="C55" s="1348">
        <f>'FR-16(7)(v)-1 Functional'!F555</f>
        <v>2717476</v>
      </c>
      <c r="D55" s="1348">
        <f>[1]SCH_E1!$Q$115</f>
        <v>2717472</v>
      </c>
      <c r="E55" s="1336">
        <f>D55-C55</f>
        <v>-4</v>
      </c>
      <c r="F55" s="353"/>
    </row>
    <row r="56" spans="1:6">
      <c r="A56" s="9"/>
      <c r="B56" s="1480" t="s">
        <v>541</v>
      </c>
      <c r="C56" s="1348">
        <f>'FR-16(7)(v)-1 Functional'!F532</f>
        <v>675483</v>
      </c>
      <c r="D56" s="1348">
        <f>[1]SCH_E1!$Q$121</f>
        <v>675483</v>
      </c>
      <c r="E56" s="1336">
        <f>D56-C56</f>
        <v>0</v>
      </c>
      <c r="F56" s="353"/>
    </row>
    <row r="57" spans="1:6">
      <c r="A57" s="9"/>
      <c r="B57" s="1480" t="s">
        <v>1493</v>
      </c>
      <c r="C57" s="1347">
        <f>-'FR-16(7)(v)-1 Functional'!F535</f>
        <v>-66055</v>
      </c>
      <c r="D57" s="1347">
        <f>[1]SCH_E1!$Q$123</f>
        <v>-66055</v>
      </c>
      <c r="E57" s="1347">
        <f>D57-C57</f>
        <v>0</v>
      </c>
      <c r="F57" s="353"/>
    </row>
    <row r="58" spans="1:6">
      <c r="A58" s="9"/>
      <c r="B58" s="1480" t="s">
        <v>461</v>
      </c>
      <c r="C58" s="1336">
        <f>SUM(C55:C57)</f>
        <v>3326904</v>
      </c>
      <c r="D58" s="1336">
        <f>SUM(D55:D57)</f>
        <v>3326900</v>
      </c>
      <c r="E58" s="1336">
        <f>D58-C58</f>
        <v>-4</v>
      </c>
    </row>
    <row r="59" spans="1:6">
      <c r="A59" s="9"/>
      <c r="B59" s="1480"/>
      <c r="C59" s="1336"/>
      <c r="D59" s="1336"/>
      <c r="E59" s="1336"/>
    </row>
    <row r="60" spans="1:6">
      <c r="A60" s="9"/>
      <c r="C60" s="332"/>
      <c r="D60" s="332"/>
      <c r="E60" s="332"/>
    </row>
    <row r="61" spans="1:6">
      <c r="A61" s="9"/>
      <c r="B61" s="1480" t="s">
        <v>509</v>
      </c>
      <c r="C61" s="1336">
        <f>C55+C58</f>
        <v>6044380</v>
      </c>
      <c r="D61" s="1336">
        <f>D55+D58</f>
        <v>6044372</v>
      </c>
      <c r="E61" s="1336">
        <f>D61-C61</f>
        <v>-8</v>
      </c>
    </row>
    <row r="62" spans="1:6">
      <c r="A62" s="9"/>
      <c r="B62" s="1480"/>
      <c r="C62" s="1342"/>
      <c r="D62" s="1342"/>
      <c r="E62" s="1336"/>
    </row>
    <row r="63" spans="1:6">
      <c r="A63" s="9"/>
      <c r="B63" s="1480" t="s">
        <v>1172</v>
      </c>
      <c r="C63" s="1336">
        <f>'FR-16(7)(v)-1 Functional'!F630</f>
        <v>94257</v>
      </c>
      <c r="D63" s="1348">
        <f>[1]SCH_C2!$N$19</f>
        <v>66492</v>
      </c>
      <c r="E63" s="1336">
        <f>D63-C63</f>
        <v>-27765</v>
      </c>
      <c r="F63" s="332" t="s">
        <v>1183</v>
      </c>
    </row>
    <row r="64" spans="1:6">
      <c r="A64" s="9"/>
      <c r="B64" s="1480"/>
      <c r="C64" s="1342"/>
      <c r="D64" s="1342"/>
      <c r="E64" s="1336"/>
    </row>
    <row r="65" spans="1:6">
      <c r="A65" s="9"/>
      <c r="B65" s="1480" t="s">
        <v>510</v>
      </c>
      <c r="C65" s="1336">
        <f>'FR-16(7)(v)-1 Functional'!F646</f>
        <v>0</v>
      </c>
      <c r="D65" s="1342"/>
      <c r="E65" s="1342"/>
    </row>
    <row r="66" spans="1:6">
      <c r="A66" s="9"/>
      <c r="B66" s="1480" t="s">
        <v>0</v>
      </c>
      <c r="C66" s="1336">
        <f>'FR-16(7)(v)-1 Functional'!F41</f>
        <v>10542219.067599997</v>
      </c>
      <c r="D66" s="1351">
        <f>'[1]SCH_A Rate Base'!$I$31</f>
        <v>10542220</v>
      </c>
      <c r="E66" s="1336">
        <f>D66-C66</f>
        <v>0.93240000307559967</v>
      </c>
      <c r="F66" s="618" t="s">
        <v>1297</v>
      </c>
    </row>
    <row r="67" spans="1:6">
      <c r="A67" s="9"/>
      <c r="B67" s="1480"/>
      <c r="C67" s="1342"/>
      <c r="D67" s="1342"/>
      <c r="E67" s="1342"/>
    </row>
    <row r="68" spans="1:6">
      <c r="A68" s="9"/>
      <c r="B68" s="1485" t="s">
        <v>1</v>
      </c>
      <c r="C68" s="1336">
        <v>0</v>
      </c>
      <c r="D68" s="1336">
        <v>0</v>
      </c>
      <c r="E68" s="1336">
        <f>D68-C68</f>
        <v>0</v>
      </c>
    </row>
    <row r="71" spans="1:6">
      <c r="B71" s="1480" t="s">
        <v>1173</v>
      </c>
      <c r="C71" s="1291">
        <f>'FR-16(7)(v)-1 Functional'!F744</f>
        <v>95287873</v>
      </c>
      <c r="D71" s="1291">
        <f>[1]SCH_C2!$N$17+[1]SCH_C2!$N$18</f>
        <v>95315638</v>
      </c>
      <c r="E71" s="1336">
        <f>D71-C71</f>
        <v>27765</v>
      </c>
      <c r="F71" s="1027"/>
    </row>
    <row r="72" spans="1:6">
      <c r="F72" s="1027"/>
    </row>
    <row r="73" spans="1:6">
      <c r="F73" s="1027"/>
    </row>
    <row r="74" spans="1:6">
      <c r="F74" s="1027"/>
    </row>
    <row r="75" spans="1:6">
      <c r="F75" s="1034"/>
    </row>
    <row r="76" spans="1:6">
      <c r="F76" s="335"/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7">
    <tabColor rgb="FF92D050"/>
    <pageSetUpPr fitToPage="1"/>
  </sheetPr>
  <dimension ref="A1:L52"/>
  <sheetViews>
    <sheetView zoomScale="75" workbookViewId="0">
      <selection activeCell="F50" sqref="F50"/>
    </sheetView>
  </sheetViews>
  <sheetFormatPr defaultColWidth="8.77734375" defaultRowHeight="12.75"/>
  <cols>
    <col min="1" max="1" width="7" style="332" customWidth="1"/>
    <col min="2" max="2" width="3.5546875" style="332" customWidth="1"/>
    <col min="3" max="3" width="35" style="332" customWidth="1"/>
    <col min="4" max="4" width="13.109375" style="332" customWidth="1"/>
    <col min="5" max="5" width="2.6640625" style="332" customWidth="1"/>
    <col min="6" max="6" width="12.77734375" style="332" customWidth="1"/>
    <col min="7" max="8" width="12.6640625" style="353" customWidth="1"/>
    <col min="9" max="9" width="13.88671875" style="353" customWidth="1"/>
    <col min="10" max="10" width="13.21875" style="332" customWidth="1"/>
    <col min="11" max="11" width="13.33203125" style="332" customWidth="1"/>
    <col min="12" max="12" width="9.33203125" style="332" customWidth="1"/>
    <col min="13" max="16384" width="8.77734375" style="332"/>
  </cols>
  <sheetData>
    <row r="1" spans="1:12">
      <c r="A1" s="196" t="str">
        <f>co_name</f>
        <v>DUKE ENERGY KENTUCKY, INC.</v>
      </c>
      <c r="B1" s="196"/>
      <c r="C1" s="196"/>
      <c r="D1" s="196"/>
      <c r="E1" s="196"/>
      <c r="F1" s="196"/>
      <c r="G1" s="342"/>
      <c r="H1" s="342"/>
      <c r="K1" s="342" t="s">
        <v>1551</v>
      </c>
      <c r="L1" s="196"/>
    </row>
    <row r="2" spans="1:12">
      <c r="A2" s="196" t="str">
        <f>coss_type</f>
        <v xml:space="preserve">GAS COST OF SERVICE STUDY </v>
      </c>
      <c r="B2" s="196"/>
      <c r="C2" s="196"/>
      <c r="D2" s="196"/>
      <c r="E2" s="196"/>
      <c r="F2" s="196"/>
      <c r="G2" s="342"/>
      <c r="H2" s="342"/>
      <c r="I2" s="342"/>
      <c r="K2" s="196" t="s">
        <v>437</v>
      </c>
      <c r="L2" s="196"/>
    </row>
    <row r="3" spans="1:12">
      <c r="A3" s="583" t="s">
        <v>1231</v>
      </c>
      <c r="B3" s="196"/>
      <c r="C3" s="196"/>
      <c r="D3" s="196"/>
      <c r="E3" s="196"/>
      <c r="F3" s="196"/>
      <c r="G3" s="342"/>
      <c r="H3" s="342"/>
      <c r="I3" s="342"/>
      <c r="K3" s="196" t="str">
        <f>Witness</f>
        <v>JAMES E. ZIOLKOWSKI</v>
      </c>
      <c r="L3" s="196"/>
    </row>
    <row r="4" spans="1:12">
      <c r="A4" s="196" t="str">
        <f>test_period</f>
        <v>TWELVE MONTHS ENDING MARCH 31, 2020</v>
      </c>
      <c r="B4" s="196"/>
      <c r="C4" s="196"/>
      <c r="D4" s="196"/>
      <c r="E4" s="196"/>
      <c r="F4" s="196"/>
      <c r="G4" s="342"/>
      <c r="H4" s="342"/>
      <c r="I4" s="342"/>
      <c r="K4" s="196" t="str">
        <f>"PAGE 1 OF 1"</f>
        <v>PAGE 1 OF 1</v>
      </c>
      <c r="L4" s="196"/>
    </row>
    <row r="5" spans="1:12">
      <c r="A5" s="196" t="str">
        <f>case_name</f>
        <v>CASE NO: 2018-00261</v>
      </c>
      <c r="B5" s="196"/>
      <c r="C5" s="196"/>
      <c r="D5" s="196"/>
      <c r="E5" s="196"/>
      <c r="F5" s="196"/>
      <c r="G5" s="342"/>
      <c r="H5" s="342"/>
      <c r="I5" s="342"/>
      <c r="K5" s="1285">
        <f ca="1">NOW()</f>
        <v>43347.578002314818</v>
      </c>
      <c r="L5" s="196"/>
    </row>
    <row r="6" spans="1:12">
      <c r="A6" s="343" t="str">
        <f>data_filing</f>
        <v>DATA: 12 MONTH FORECASTED PERIOD</v>
      </c>
      <c r="B6" s="196"/>
      <c r="C6" s="196"/>
      <c r="D6" s="196"/>
      <c r="E6" s="196"/>
      <c r="F6" s="196"/>
      <c r="G6" s="342"/>
      <c r="H6" s="342"/>
      <c r="I6" s="342"/>
      <c r="L6" s="196"/>
    </row>
    <row r="7" spans="1:12">
      <c r="B7" s="343"/>
      <c r="C7" s="196"/>
      <c r="D7" s="196"/>
      <c r="E7" s="196"/>
      <c r="F7" s="196"/>
      <c r="G7" s="342"/>
      <c r="H7" s="342"/>
      <c r="I7" s="342"/>
      <c r="K7" s="196"/>
      <c r="L7" s="196"/>
    </row>
    <row r="8" spans="1:12">
      <c r="B8" s="343"/>
      <c r="C8" s="196"/>
      <c r="D8" s="196"/>
      <c r="E8" s="196"/>
      <c r="F8" s="196"/>
      <c r="G8" s="342"/>
      <c r="H8" s="342"/>
      <c r="I8" s="342"/>
      <c r="J8" s="344" t="s">
        <v>370</v>
      </c>
      <c r="K8" s="196"/>
      <c r="L8" s="196"/>
    </row>
    <row r="9" spans="1:12">
      <c r="A9" s="344" t="s">
        <v>474</v>
      </c>
      <c r="B9" s="196"/>
      <c r="C9" s="196"/>
      <c r="D9" s="344" t="s">
        <v>1184</v>
      </c>
      <c r="E9" s="196"/>
      <c r="F9" s="344" t="s">
        <v>229</v>
      </c>
      <c r="G9" s="354" t="s">
        <v>773</v>
      </c>
      <c r="H9" s="354" t="s">
        <v>1282</v>
      </c>
      <c r="I9" s="354" t="s">
        <v>984</v>
      </c>
      <c r="J9" s="344" t="s">
        <v>549</v>
      </c>
      <c r="K9" s="344" t="s">
        <v>229</v>
      </c>
      <c r="L9" s="344" t="s">
        <v>342</v>
      </c>
    </row>
    <row r="10" spans="1:12">
      <c r="A10" s="346" t="s">
        <v>478</v>
      </c>
      <c r="B10" s="345" t="s">
        <v>102</v>
      </c>
      <c r="C10" s="359"/>
      <c r="D10" s="346" t="s">
        <v>1185</v>
      </c>
      <c r="E10" s="345"/>
      <c r="F10" s="346" t="s">
        <v>284</v>
      </c>
      <c r="G10" s="355" t="s">
        <v>338</v>
      </c>
      <c r="H10" s="355" t="s">
        <v>405</v>
      </c>
      <c r="I10" s="355" t="s">
        <v>1283</v>
      </c>
      <c r="J10" s="346" t="s">
        <v>550</v>
      </c>
      <c r="K10" s="346" t="s">
        <v>341</v>
      </c>
      <c r="L10" s="346" t="s">
        <v>340</v>
      </c>
    </row>
    <row r="11" spans="1:12">
      <c r="C11" s="578" t="s">
        <v>354</v>
      </c>
      <c r="D11" s="196"/>
      <c r="E11" s="196"/>
    </row>
    <row r="12" spans="1:12">
      <c r="A12" s="333">
        <v>1</v>
      </c>
      <c r="B12" s="332" t="s">
        <v>100</v>
      </c>
      <c r="D12" s="196"/>
      <c r="E12" s="196"/>
    </row>
    <row r="13" spans="1:12">
      <c r="A13" s="333">
        <v>2</v>
      </c>
      <c r="C13" s="332" t="s">
        <v>95</v>
      </c>
      <c r="D13" s="1039" t="s">
        <v>1046</v>
      </c>
      <c r="E13" s="196"/>
      <c r="F13" s="349">
        <f>'FR-16(7)(v)-8 TOT CLASS Alloc'!F12</f>
        <v>588627191</v>
      </c>
      <c r="G13" s="349">
        <f>'FR-16(7)(v)-8 TOT CLASS Alloc'!G12</f>
        <v>411599984</v>
      </c>
      <c r="H13" s="349">
        <f>'FR-16(7)(v)-8 TOT CLASS Alloc'!H12</f>
        <v>129395039</v>
      </c>
      <c r="I13" s="349">
        <f>'FR-16(7)(v)-8 TOT CLASS Alloc'!I12</f>
        <v>36724321</v>
      </c>
      <c r="J13" s="349">
        <f>'FR-16(7)(v)-8 TOT CLASS Alloc'!J12</f>
        <v>10907847</v>
      </c>
      <c r="K13" s="347">
        <f>SUM(G13:J13)</f>
        <v>588627191</v>
      </c>
      <c r="L13" s="347">
        <f>F13-K13</f>
        <v>0</v>
      </c>
    </row>
    <row r="14" spans="1:12">
      <c r="A14" s="333">
        <v>3</v>
      </c>
      <c r="C14" s="332" t="s">
        <v>23</v>
      </c>
      <c r="D14" s="1039" t="s">
        <v>1047</v>
      </c>
      <c r="E14" s="196"/>
      <c r="F14" s="349">
        <f>'FR-16(7)(v)-8 TOT CLASS Alloc'!F13</f>
        <v>-187541693</v>
      </c>
      <c r="G14" s="349">
        <f>'FR-16(7)(v)-8 TOT CLASS Alloc'!G13</f>
        <v>-132832282</v>
      </c>
      <c r="H14" s="349">
        <f>'FR-16(7)(v)-8 TOT CLASS Alloc'!H13</f>
        <v>-38975357</v>
      </c>
      <c r="I14" s="349">
        <f>'FR-16(7)(v)-8 TOT CLASS Alloc'!I13</f>
        <v>-12138011</v>
      </c>
      <c r="J14" s="349">
        <f>'FR-16(7)(v)-8 TOT CLASS Alloc'!J13</f>
        <v>-3596043</v>
      </c>
      <c r="K14" s="347">
        <f>SUM(G14:J14)</f>
        <v>-187541693</v>
      </c>
      <c r="L14" s="347">
        <f>F14-K14</f>
        <v>0</v>
      </c>
    </row>
    <row r="15" spans="1:12">
      <c r="A15" s="333">
        <v>4</v>
      </c>
      <c r="C15" s="359" t="s">
        <v>152</v>
      </c>
      <c r="D15" s="1039" t="s">
        <v>1048</v>
      </c>
      <c r="E15" s="196"/>
      <c r="F15" s="349">
        <f>'FR-16(7)(v)-8 TOT CLASS Alloc'!F14</f>
        <v>-87410258.857534245</v>
      </c>
      <c r="G15" s="349">
        <f>'FR-16(7)(v)-8 TOT CLASS Alloc'!G14</f>
        <v>-62365719</v>
      </c>
      <c r="H15" s="349">
        <f>'FR-16(7)(v)-8 TOT CLASS Alloc'!H14</f>
        <v>-19058287</v>
      </c>
      <c r="I15" s="349">
        <f>'FR-16(7)(v)-8 TOT CLASS Alloc'!I14</f>
        <v>-4513178</v>
      </c>
      <c r="J15" s="349">
        <f>'FR-16(7)(v)-8 TOT CLASS Alloc'!J14</f>
        <v>-1473075</v>
      </c>
      <c r="K15" s="347">
        <f>SUM(G15:J15)</f>
        <v>-87410259</v>
      </c>
      <c r="L15" s="347">
        <f>F15-K15</f>
        <v>0.14246575534343719</v>
      </c>
    </row>
    <row r="16" spans="1:12">
      <c r="A16" s="333">
        <v>5</v>
      </c>
      <c r="C16" s="332" t="s">
        <v>153</v>
      </c>
      <c r="D16" s="1039"/>
      <c r="E16" s="196"/>
      <c r="F16" s="348">
        <f t="shared" ref="F16:L16" si="0">SUM(F11:F15)</f>
        <v>313675239.14246577</v>
      </c>
      <c r="G16" s="348">
        <f t="shared" si="0"/>
        <v>216401983</v>
      </c>
      <c r="H16" s="348">
        <f t="shared" si="0"/>
        <v>71361395</v>
      </c>
      <c r="I16" s="348">
        <f>SUM(I11:I15)</f>
        <v>20073132</v>
      </c>
      <c r="J16" s="348">
        <f t="shared" si="0"/>
        <v>5838729</v>
      </c>
      <c r="K16" s="348">
        <f t="shared" si="0"/>
        <v>313675239</v>
      </c>
      <c r="L16" s="348">
        <f t="shared" si="0"/>
        <v>0.14246575534343719</v>
      </c>
    </row>
    <row r="17" spans="1:12">
      <c r="A17" s="333">
        <v>6</v>
      </c>
      <c r="D17" s="1039"/>
      <c r="E17" s="196"/>
    </row>
    <row r="18" spans="1:12">
      <c r="A18" s="333">
        <v>7</v>
      </c>
      <c r="B18" s="332" t="s">
        <v>98</v>
      </c>
      <c r="D18" s="1039"/>
      <c r="E18" s="196"/>
    </row>
    <row r="19" spans="1:12">
      <c r="A19" s="333">
        <v>8</v>
      </c>
      <c r="C19" s="332" t="s">
        <v>182</v>
      </c>
      <c r="D19" s="1039" t="s">
        <v>1049</v>
      </c>
      <c r="E19" s="196"/>
      <c r="F19" s="349">
        <f>'FR-16(7)(v)-8 TOT CLASS Alloc'!F18</f>
        <v>60507968</v>
      </c>
      <c r="G19" s="349">
        <f>'FR-16(7)(v)-8 TOT CLASS Alloc'!G18</f>
        <v>35800714</v>
      </c>
      <c r="H19" s="349">
        <f>'FR-16(7)(v)-8 TOT CLASS Alloc'!H18</f>
        <v>15474188</v>
      </c>
      <c r="I19" s="349">
        <f>'FR-16(7)(v)-8 TOT CLASS Alloc'!I18</f>
        <v>8824202</v>
      </c>
      <c r="J19" s="349">
        <f>'FR-16(7)(v)-8 TOT CLASS Alloc'!J18</f>
        <v>408864</v>
      </c>
      <c r="K19" s="347">
        <f>SUM(G19:J19)</f>
        <v>60507968</v>
      </c>
      <c r="L19" s="347">
        <f>F19-K19</f>
        <v>0</v>
      </c>
    </row>
    <row r="20" spans="1:12">
      <c r="A20" s="333">
        <v>9</v>
      </c>
      <c r="C20" s="332" t="s">
        <v>61</v>
      </c>
      <c r="D20" s="1039" t="s">
        <v>1050</v>
      </c>
      <c r="E20" s="196"/>
      <c r="F20" s="349">
        <f>'FR-16(7)(v)-8 TOT CLASS Alloc'!F19</f>
        <v>14615192.067600001</v>
      </c>
      <c r="G20" s="349">
        <f>'FR-16(7)(v)-8 TOT CLASS Alloc'!G19</f>
        <v>10203657</v>
      </c>
      <c r="H20" s="349">
        <f>'FR-16(7)(v)-8 TOT CLASS Alloc'!H19</f>
        <v>3260617</v>
      </c>
      <c r="I20" s="349">
        <f>'FR-16(7)(v)-8 TOT CLASS Alloc'!I19</f>
        <v>901967</v>
      </c>
      <c r="J20" s="349">
        <f>'FR-16(7)(v)-8 TOT CLASS Alloc'!J19</f>
        <v>248951</v>
      </c>
      <c r="K20" s="347">
        <f>SUM(G20:J20)</f>
        <v>14615192</v>
      </c>
      <c r="L20" s="347">
        <f>F20-K20</f>
        <v>6.7600000649690628E-2</v>
      </c>
    </row>
    <row r="21" spans="1:12">
      <c r="A21" s="333">
        <v>10</v>
      </c>
      <c r="C21" s="359" t="s">
        <v>67</v>
      </c>
      <c r="D21" s="1039" t="s">
        <v>1051</v>
      </c>
      <c r="E21" s="196"/>
      <c r="F21" s="349">
        <f>'FR-16(7)(v)-8 TOT CLASS Alloc'!F20</f>
        <v>4118771</v>
      </c>
      <c r="G21" s="349">
        <f>'FR-16(7)(v)-8 TOT CLASS Alloc'!G20</f>
        <v>2889707</v>
      </c>
      <c r="H21" s="349">
        <f>'FR-16(7)(v)-8 TOT CLASS Alloc'!H20</f>
        <v>908553</v>
      </c>
      <c r="I21" s="349">
        <f>'FR-16(7)(v)-8 TOT CLASS Alloc'!I20</f>
        <v>251215</v>
      </c>
      <c r="J21" s="349">
        <f>'FR-16(7)(v)-8 TOT CLASS Alloc'!J20</f>
        <v>69296</v>
      </c>
      <c r="K21" s="347">
        <f>SUM(G21:J21)</f>
        <v>4118771</v>
      </c>
      <c r="L21" s="347">
        <f>F21-K21</f>
        <v>0</v>
      </c>
    </row>
    <row r="22" spans="1:12">
      <c r="A22" s="333">
        <v>11</v>
      </c>
      <c r="C22" s="332" t="s">
        <v>1233</v>
      </c>
      <c r="D22" s="1039"/>
      <c r="E22" s="196"/>
      <c r="F22" s="348">
        <f t="shared" ref="F22:L22" si="1">SUM(F18:F21)</f>
        <v>79241931.067599997</v>
      </c>
      <c r="G22" s="348">
        <f t="shared" si="1"/>
        <v>48894078</v>
      </c>
      <c r="H22" s="348">
        <f t="shared" si="1"/>
        <v>19643358</v>
      </c>
      <c r="I22" s="348">
        <f t="shared" si="1"/>
        <v>9977384</v>
      </c>
      <c r="J22" s="348">
        <f t="shared" si="1"/>
        <v>727111</v>
      </c>
      <c r="K22" s="348">
        <f t="shared" si="1"/>
        <v>79241931</v>
      </c>
      <c r="L22" s="348">
        <f t="shared" si="1"/>
        <v>6.7600000649690628E-2</v>
      </c>
    </row>
    <row r="23" spans="1:12">
      <c r="A23" s="333">
        <v>12</v>
      </c>
      <c r="C23" s="332" t="s">
        <v>380</v>
      </c>
      <c r="D23" s="1039" t="s">
        <v>1052</v>
      </c>
      <c r="E23" s="196"/>
      <c r="F23" s="349">
        <f>'FR-16(7)(v)-8 TOT CLASS Alloc'!F22</f>
        <v>3326901</v>
      </c>
      <c r="G23" s="349">
        <f ca="1">'FR-16(7)(v)-8 TOT CLASS Alloc'!G22</f>
        <v>2095412</v>
      </c>
      <c r="H23" s="349">
        <f>'FR-16(7)(v)-8 TOT CLASS Alloc'!H22</f>
        <v>830072</v>
      </c>
      <c r="I23" s="349">
        <f ca="1">'FR-16(7)(v)-8 TOT CLASS Alloc'!I22</f>
        <v>349461</v>
      </c>
      <c r="J23" s="349">
        <f>'FR-16(7)(v)-8 TOT CLASS Alloc'!J22</f>
        <v>51956</v>
      </c>
      <c r="K23" s="347">
        <f ca="1">SUM(G23:J23)</f>
        <v>3326901</v>
      </c>
      <c r="L23" s="347">
        <f ca="1">F23-K23</f>
        <v>0</v>
      </c>
    </row>
    <row r="24" spans="1:12">
      <c r="A24" s="333">
        <v>13</v>
      </c>
      <c r="C24" s="359" t="s">
        <v>281</v>
      </c>
      <c r="D24" s="1039" t="s">
        <v>1053</v>
      </c>
      <c r="E24" s="196"/>
      <c r="F24" s="349">
        <f>'FR-16(7)(v)-8 TOT CLASS Alloc'!F23</f>
        <v>830493</v>
      </c>
      <c r="G24" s="349">
        <f ca="1">'FR-16(7)(v)-8 TOT CLASS Alloc'!G23</f>
        <v>560670</v>
      </c>
      <c r="H24" s="349">
        <f>'FR-16(7)(v)-8 TOT CLASS Alloc'!H23</f>
        <v>193787</v>
      </c>
      <c r="I24" s="349">
        <f ca="1">'FR-16(7)(v)-8 TOT CLASS Alloc'!I23</f>
        <v>60549</v>
      </c>
      <c r="J24" s="349">
        <f>'FR-16(7)(v)-8 TOT CLASS Alloc'!J23</f>
        <v>15489</v>
      </c>
      <c r="K24" s="347">
        <f ca="1">SUM(G24:J24)</f>
        <v>830495</v>
      </c>
      <c r="L24" s="347">
        <f ca="1">F24-K24</f>
        <v>-2</v>
      </c>
    </row>
    <row r="25" spans="1:12">
      <c r="A25" s="333">
        <v>14</v>
      </c>
      <c r="C25" s="332" t="s">
        <v>282</v>
      </c>
      <c r="D25" s="1039"/>
      <c r="E25" s="196"/>
      <c r="F25" s="348">
        <f t="shared" ref="F25:L25" si="2">SUM(F22:F24)</f>
        <v>83399325.067599997</v>
      </c>
      <c r="G25" s="348">
        <f t="shared" ca="1" si="2"/>
        <v>51550160</v>
      </c>
      <c r="H25" s="348">
        <f t="shared" si="2"/>
        <v>20667217</v>
      </c>
      <c r="I25" s="348">
        <f t="shared" ca="1" si="2"/>
        <v>10387394</v>
      </c>
      <c r="J25" s="348">
        <f t="shared" si="2"/>
        <v>794556</v>
      </c>
      <c r="K25" s="348">
        <f t="shared" ca="1" si="2"/>
        <v>83399327</v>
      </c>
      <c r="L25" s="348">
        <f t="shared" ca="1" si="2"/>
        <v>-1.9323999993503094</v>
      </c>
    </row>
    <row r="26" spans="1:12">
      <c r="A26" s="333">
        <v>15</v>
      </c>
      <c r="D26" s="1039"/>
      <c r="E26" s="196"/>
    </row>
    <row r="27" spans="1:12">
      <c r="A27" s="333">
        <v>16</v>
      </c>
      <c r="B27" s="332" t="s">
        <v>43</v>
      </c>
      <c r="D27" s="1039" t="s">
        <v>1048</v>
      </c>
      <c r="E27" s="196"/>
      <c r="F27" s="349">
        <f>'FR-16(7)(v)-8 TOT CLASS Alloc'!F26</f>
        <v>22525019</v>
      </c>
      <c r="G27" s="349">
        <f>'FR-16(7)(v)-8 TOT CLASS Alloc'!G26</f>
        <v>15539826</v>
      </c>
      <c r="H27" s="349">
        <f>'FR-16(7)(v)-8 TOT CLASS Alloc'!H26</f>
        <v>5124462</v>
      </c>
      <c r="I27" s="349">
        <f>'FR-16(7)(v)-8 TOT CLASS Alloc'!I26</f>
        <v>1441452</v>
      </c>
      <c r="J27" s="349">
        <f>'FR-16(7)(v)-8 TOT CLASS Alloc'!J26</f>
        <v>419279</v>
      </c>
      <c r="K27" s="347">
        <f>SUM(G27:J27)</f>
        <v>22525019</v>
      </c>
      <c r="L27" s="347">
        <f>'FR-16(7)(v)-1 Functional'!K334</f>
        <v>0</v>
      </c>
    </row>
    <row r="28" spans="1:12">
      <c r="A28" s="333">
        <v>17</v>
      </c>
      <c r="B28" s="359" t="s">
        <v>103</v>
      </c>
      <c r="C28" s="359"/>
      <c r="D28" s="1039" t="s">
        <v>1053</v>
      </c>
      <c r="E28" s="196"/>
      <c r="F28" s="349">
        <f>'FR-16(7)(v)-8 TOT CLASS Alloc'!F27</f>
        <v>-94257</v>
      </c>
      <c r="G28" s="349">
        <f>'FR-16(7)(v)-8 TOT CLASS Alloc'!G27</f>
        <v>-78649</v>
      </c>
      <c r="H28" s="349">
        <f>'FR-16(7)(v)-8 TOT CLASS Alloc'!H27</f>
        <v>-12450</v>
      </c>
      <c r="I28" s="349">
        <f>'FR-16(7)(v)-8 TOT CLASS Alloc'!I27</f>
        <v>-2592</v>
      </c>
      <c r="J28" s="349">
        <f>'FR-16(7)(v)-8 TOT CLASS Alloc'!J27</f>
        <v>-566</v>
      </c>
      <c r="K28" s="347">
        <f>SUM(G28:J28)</f>
        <v>-94257</v>
      </c>
      <c r="L28" s="347">
        <f>-'FR-16(7)(v)-1 Functional'!K630</f>
        <v>0</v>
      </c>
    </row>
    <row r="29" spans="1:12">
      <c r="A29" s="333">
        <v>18</v>
      </c>
      <c r="C29" s="332" t="s">
        <v>79</v>
      </c>
      <c r="E29" s="196"/>
      <c r="F29" s="348">
        <f t="shared" ref="F29:L29" si="3">SUM(F25:F28)</f>
        <v>105830087.0676</v>
      </c>
      <c r="G29" s="348">
        <f t="shared" ca="1" si="3"/>
        <v>67011337</v>
      </c>
      <c r="H29" s="348">
        <f t="shared" si="3"/>
        <v>25779229</v>
      </c>
      <c r="I29" s="348">
        <f t="shared" ca="1" si="3"/>
        <v>11826254</v>
      </c>
      <c r="J29" s="348">
        <f t="shared" si="3"/>
        <v>1213269</v>
      </c>
      <c r="K29" s="348">
        <f t="shared" ca="1" si="3"/>
        <v>105830089</v>
      </c>
      <c r="L29" s="348">
        <f t="shared" ca="1" si="3"/>
        <v>-1.9323999993503094</v>
      </c>
    </row>
    <row r="30" spans="1:12">
      <c r="A30" s="333">
        <v>19</v>
      </c>
      <c r="D30" s="344"/>
      <c r="E30" s="196"/>
    </row>
    <row r="31" spans="1:12">
      <c r="A31" s="333">
        <v>20</v>
      </c>
      <c r="B31" s="1252" t="str">
        <f>"PROPOSED REVENUES - ELIM "&amp;TEXT('WP FR-16(7)(v)Rate Incr (15.0%)'!I11,"#.00%")&amp;" OF SUBSIDY"</f>
        <v>PROPOSED REVENUES - ELIM 15.00% OF SUBSIDY</v>
      </c>
      <c r="C31" s="511"/>
      <c r="D31" s="196"/>
      <c r="E31" s="196"/>
      <c r="F31" s="349">
        <f>'FR-16(7)(v)-8 TOT CLASS Alloc'!F31</f>
        <v>95287873</v>
      </c>
      <c r="G31" s="349">
        <f>'FR-16(7)(v)-8 TOT CLASS Alloc'!G31</f>
        <v>65522694</v>
      </c>
      <c r="H31" s="349">
        <f>'FR-16(7)(v)-8 TOT CLASS Alloc'!H31</f>
        <v>23198248</v>
      </c>
      <c r="I31" s="349">
        <f>'FR-16(7)(v)-8 TOT CLASS Alloc'!I31</f>
        <v>5042683</v>
      </c>
      <c r="J31" s="349">
        <f>'FR-16(7)(v)-8 TOT CLASS Alloc'!J31</f>
        <v>1524248</v>
      </c>
      <c r="K31" s="347">
        <f>SUM(G31:J31)</f>
        <v>95287873</v>
      </c>
      <c r="L31" s="347">
        <f>'FR-16(7)(v)-3 PROD Comm Alloc'!L744</f>
        <v>0</v>
      </c>
    </row>
    <row r="32" spans="1:12">
      <c r="A32" s="333">
        <v>21</v>
      </c>
      <c r="C32" s="332" t="s">
        <v>80</v>
      </c>
      <c r="D32" s="196"/>
      <c r="E32" s="196"/>
      <c r="F32" s="348">
        <f t="shared" ref="F32:L32" si="4">F31-F29</f>
        <v>-10542214.067599997</v>
      </c>
      <c r="G32" s="348">
        <f t="shared" ca="1" si="4"/>
        <v>-1488643</v>
      </c>
      <c r="H32" s="348">
        <f t="shared" si="4"/>
        <v>-2580981</v>
      </c>
      <c r="I32" s="348">
        <f t="shared" ca="1" si="4"/>
        <v>-6783571</v>
      </c>
      <c r="J32" s="348">
        <f t="shared" si="4"/>
        <v>310979</v>
      </c>
      <c r="K32" s="348">
        <f t="shared" ca="1" si="4"/>
        <v>-10542216</v>
      </c>
      <c r="L32" s="348">
        <f t="shared" ca="1" si="4"/>
        <v>1.9323999993503094</v>
      </c>
    </row>
    <row r="33" spans="1:12">
      <c r="A33" s="333">
        <v>22</v>
      </c>
      <c r="D33" s="196"/>
      <c r="E33" s="196"/>
    </row>
    <row r="34" spans="1:12">
      <c r="A34" s="333">
        <v>23</v>
      </c>
      <c r="B34" s="332" t="s">
        <v>1232</v>
      </c>
      <c r="D34" s="1039" t="s">
        <v>1186</v>
      </c>
      <c r="E34" s="196"/>
      <c r="F34" s="1042">
        <f t="shared" ref="F34:L34" ca="1" si="5">F27+F52</f>
        <v>14610450.932400003</v>
      </c>
      <c r="G34" s="1042">
        <f t="shared" ca="1" si="5"/>
        <v>14422228</v>
      </c>
      <c r="H34" s="1042">
        <f t="shared" si="5"/>
        <v>3186790</v>
      </c>
      <c r="I34" s="1042">
        <f t="shared" ca="1" si="5"/>
        <v>-3651314</v>
      </c>
      <c r="J34" s="1042">
        <f t="shared" si="5"/>
        <v>652746</v>
      </c>
      <c r="K34" s="1042">
        <f t="shared" ca="1" si="5"/>
        <v>14610450</v>
      </c>
      <c r="L34" s="1042">
        <f t="shared" ca="1" si="5"/>
        <v>0.93240000307559967</v>
      </c>
    </row>
    <row r="35" spans="1:12">
      <c r="A35" s="333">
        <v>24</v>
      </c>
      <c r="B35" s="332" t="s">
        <v>105</v>
      </c>
      <c r="D35" s="196"/>
      <c r="E35" s="196"/>
      <c r="F35" s="350">
        <f ca="1">IF('FR-16(7)(v)-1 Functional'!F331=0,0,ROUND(F34/'FR-16(7)(v)-1 Functional'!F331,5))</f>
        <v>4.6580000000000003E-2</v>
      </c>
      <c r="G35" s="356">
        <f ca="1">IF('FR-16(7)(v)-8 TOT CLASS Alloc'!G15=0,0,ROUND(G34/'FR-16(7)(v)-8 TOT CLASS Alloc'!G15,5))</f>
        <v>6.6650000000000001E-2</v>
      </c>
      <c r="H35" s="356">
        <f>IF('FR-16(7)(v)-8 TOT CLASS Alloc'!H15=0,0,ROUND(H34/'FR-16(7)(v)-8 TOT CLASS Alloc'!H15,5))</f>
        <v>4.4659999999999998E-2</v>
      </c>
      <c r="I35" s="356">
        <f ca="1">IF('FR-16(7)(v)-8 TOT CLASS Alloc'!I15=0,0,ROUND(I34/'FR-16(7)(v)-8 TOT CLASS Alloc'!I15,5))</f>
        <v>-0.18190000000000001</v>
      </c>
      <c r="J35" s="356">
        <f>IF('FR-16(7)(v)-8 TOT CLASS Alloc'!J15=0,0,ROUND(J34/'FR-16(7)(v)-8 TOT CLASS Alloc'!J15,5))</f>
        <v>0.1118</v>
      </c>
      <c r="K35" s="356">
        <f ca="1">IF('FR-16(7)(v)-8 TOT CLASS Alloc'!K15=0,0,ROUND(K34/'FR-16(7)(v)-8 TOT CLASS Alloc'!K15,5))</f>
        <v>4.6580000000000003E-2</v>
      </c>
      <c r="L35" s="356">
        <f ca="1">IF('FR-16(7)(v)-8 TOT CLASS Alloc'!L15=0,0,ROUND(L34/'FR-16(7)(v)-8 TOT CLASS Alloc'!L15,5))</f>
        <v>6.5447300000000004</v>
      </c>
    </row>
    <row r="36" spans="1:12">
      <c r="A36" s="333">
        <v>25</v>
      </c>
      <c r="B36" s="332" t="s">
        <v>42</v>
      </c>
      <c r="D36" s="196"/>
      <c r="E36" s="196"/>
      <c r="F36" s="351">
        <f>'FR-16(7)(v)-1 Functional'!$F$688</f>
        <v>7.1809999999999999E-2</v>
      </c>
      <c r="G36" s="357">
        <f>'FR-16(7)(v)-1 Functional'!$F$688</f>
        <v>7.1809999999999999E-2</v>
      </c>
      <c r="H36" s="357">
        <f>'FR-16(7)(v)-1 Functional'!$F$688</f>
        <v>7.1809999999999999E-2</v>
      </c>
      <c r="I36" s="357">
        <f>'FR-16(7)(v)-1 Functional'!$F$688</f>
        <v>7.1809999999999999E-2</v>
      </c>
      <c r="J36" s="351">
        <f>'FR-16(7)(v)-1 Functional'!$F$688</f>
        <v>7.1809999999999999E-2</v>
      </c>
      <c r="K36" s="351"/>
      <c r="L36" s="351">
        <f>'FR-16(7)(v)-1 Functional'!$F$688</f>
        <v>7.1809999999999999E-2</v>
      </c>
    </row>
    <row r="37" spans="1:12" ht="13.9" customHeight="1">
      <c r="A37" s="333">
        <v>26</v>
      </c>
      <c r="B37" s="332" t="s">
        <v>106</v>
      </c>
      <c r="D37" s="196"/>
      <c r="E37" s="196"/>
      <c r="F37" s="350">
        <f ca="1">IF('FR-16(7)(v)-8 TOT CLASS Alloc'!F670=0,0,(F35-'FR-16(7)(v)-8 TOT CLASS Alloc'!$F$683-'FR-16(7)(v)-8 TOT CLASS Alloc'!$F$684-'FR-16(7)(v)-8 TOT CLASS Alloc'!$F$686)*'FR-16(7)(v)-8 TOT CLASS Alloc'!$F$673/'FR-16(7)(v)-8 TOT CLASS Alloc'!$F$670)</f>
        <v>4.9295745932011921E-2</v>
      </c>
      <c r="G37" s="356">
        <f ca="1">IF('FR-16(7)(v)-8 TOT CLASS Alloc'!F670=0,0,(G35-'FR-16(7)(v)-8 TOT CLASS Alloc'!$F$683-'FR-16(7)(v)-8 TOT CLASS Alloc'!$F$684-'FR-16(7)(v)-8 TOT CLASS Alloc'!$F$686)*'FR-16(7)(v)-8 TOT CLASS Alloc'!$F$673/'FR-16(7)(v)-8 TOT CLASS Alloc'!$F$670)</f>
        <v>8.8838736373877597E-2</v>
      </c>
      <c r="H37" s="356">
        <f>IF('FR-16(7)(v)-8 TOT CLASS Alloc'!F670=0,0,(H35-'FR-16(7)(v)-8 TOT CLASS Alloc'!$F$683-'FR-16(7)(v)-8 TOT CLASS Alloc'!$F$684-'FR-16(7)(v)-8 TOT CLASS Alloc'!$F$686)*'FR-16(7)(v)-8 TOT CLASS Alloc'!$F$673/'FR-16(7)(v)-8 TOT CLASS Alloc'!$F$670)</f>
        <v>4.5512858954015793E-2</v>
      </c>
      <c r="I37" s="356">
        <f ca="1">IF('FR-16(7)(v)-8 TOT CLASS Alloc'!F670=0,0,(I35-'FR-16(7)(v)-8 TOT CLASS Alloc'!$F$683-'FR-16(7)(v)-8 TOT CLASS Alloc'!$F$684-'FR-16(7)(v)-8 TOT CLASS Alloc'!$F$686)*'FR-16(7)(v)-8 TOT CLASS Alloc'!$F$673/'FR-16(7)(v)-8 TOT CLASS Alloc'!$F$670)</f>
        <v>-0.40086780444952619</v>
      </c>
      <c r="J37" s="350">
        <f>IF('FR-16(7)(v)-8 TOT CLASS Alloc'!F670=0,0,(J35-'FR-16(7)(v)-8 TOT CLASS Alloc'!$F$683-'FR-16(7)(v)-8 TOT CLASS Alloc'!$F$684-'FR-16(7)(v)-8 TOT CLASS Alloc'!$F$686)*'FR-16(7)(v)-8 TOT CLASS Alloc'!$F$673/'FR-16(7)(v)-8 TOT CLASS Alloc'!$F$670)</f>
        <v>0.17779568796581757</v>
      </c>
      <c r="K37" s="350">
        <f ca="1">IF('FR-16(7)(v)-8 TOT CLASS Alloc'!F670=0,0,(K35-'FR-16(7)(v)-8 TOT CLASS Alloc'!$F$683-'FR-16(7)(v)-8 TOT CLASS Alloc'!$F$684-'FR-16(7)(v)-8 TOT CLASS Alloc'!$F$686)*'FR-16(7)(v)-8 TOT CLASS Alloc'!$F$673/'FR-16(7)(v)-8 TOT CLASS Alloc'!$F$670)</f>
        <v>4.9295745932011921E-2</v>
      </c>
      <c r="L37" s="350">
        <f ca="1">IF('FR-16(7)(v)-8 TOT CLASS Alloc'!F670=0,0,(L35-'FR-16(7)(v)-8 TOT CLASS Alloc'!$F$683-'FR-16(7)(v)-8 TOT CLASS Alloc'!$F$684-'FR-16(7)(v)-8 TOT CLASS Alloc'!$F$686)*'FR-16(7)(v)-8 TOT CLASS Alloc'!$F$673/'FR-16(7)(v)-8 TOT CLASS Alloc'!$F$670)</f>
        <v>12.852299400132782</v>
      </c>
    </row>
    <row r="38" spans="1:12">
      <c r="A38" s="333">
        <v>27</v>
      </c>
      <c r="B38" s="332" t="s">
        <v>107</v>
      </c>
      <c r="D38" s="196"/>
      <c r="E38" s="196"/>
      <c r="F38" s="350">
        <f>IF('FR-16(7)(v)-1 Functional'!F670=0,0,(G36-'FR-16(7)(v)-1 Functional'!$F$683-'FR-16(7)(v)-1 Functional'!$F$684-'FR-16(7)(v)-1 Functional'!$F$686)*'FR-16(7)(v)-1 Functional'!$F$673/'FR-16(7)(v)-1 Functional'!$F$670)</f>
        <v>9.9005245127242167E-2</v>
      </c>
      <c r="G38" s="356">
        <f>IF('FR-16(7)(v)-1 Functional'!F670=0,0,(G36-'FR-16(7)(v)-1 Functional'!$F$683-'FR-16(7)(v)-1 Functional'!$F$684-'FR-16(7)(v)-1 Functional'!$F$686)*'FR-16(7)(v)-1 Functional'!$F$673/'FR-16(7)(v)-1 Functional'!$F$670)</f>
        <v>9.9005245127242167E-2</v>
      </c>
      <c r="H38" s="356">
        <f>IF('FR-16(7)(v)-1 Functional'!F670=0,0,(H36-'FR-16(7)(v)-1 Functional'!$F$683-'FR-16(7)(v)-1 Functional'!$F$684-'FR-16(7)(v)-1 Functional'!$F$686)*'FR-16(7)(v)-1 Functional'!$F$673/'FR-16(7)(v)-1 Functional'!$F$670)</f>
        <v>9.9005245127242167E-2</v>
      </c>
      <c r="I38" s="356">
        <f>IF('FR-16(7)(v)-1 Functional'!F670=0,0,(I36-'FR-16(7)(v)-1 Functional'!$F$683-'FR-16(7)(v)-1 Functional'!$F$684-'FR-16(7)(v)-1 Functional'!$F$686)*'FR-16(7)(v)-1 Functional'!$F$673/'FR-16(7)(v)-1 Functional'!$F$670)</f>
        <v>9.9005245127242167E-2</v>
      </c>
      <c r="J38" s="350">
        <f>IF('FR-16(7)(v)-1 Functional'!F670=0,0,(J36-'FR-16(7)(v)-1 Functional'!$F$683-'FR-16(7)(v)-1 Functional'!$F$684-'FR-16(7)(v)-1 Functional'!$F$686)*'FR-16(7)(v)-1 Functional'!$F$673/'FR-16(7)(v)-1 Functional'!$F$670)</f>
        <v>9.9005245127242167E-2</v>
      </c>
      <c r="K38" s="350"/>
      <c r="L38" s="350">
        <f>IF('FR-16(7)(v)-1 Functional'!F670=0,0,(L36-'FR-16(7)(v)-1 Functional'!$F$683-'FR-16(7)(v)-1 Functional'!$F$684-'FR-16(7)(v)-1 Functional'!$F$686)*'FR-16(7)(v)-1 Functional'!$F$673/'FR-16(7)(v)-1 Functional'!$F$670)</f>
        <v>9.9005245127242167E-2</v>
      </c>
    </row>
    <row r="39" spans="1:12">
      <c r="A39" s="333">
        <v>28</v>
      </c>
      <c r="D39" s="196"/>
      <c r="E39" s="196"/>
      <c r="F39" s="332" t="s">
        <v>343</v>
      </c>
    </row>
    <row r="40" spans="1:12">
      <c r="A40" s="333">
        <v>29</v>
      </c>
      <c r="B40" s="332" t="s">
        <v>108</v>
      </c>
      <c r="D40" s="196"/>
      <c r="E40" s="196"/>
      <c r="F40" s="347">
        <f>'FR-16(7)(v)-8 TOT CLASS Alloc'!F40</f>
        <v>95287873</v>
      </c>
      <c r="G40" s="347">
        <f>'FR-16(7)(v)-8 TOT CLASS Alloc'!G40</f>
        <v>65522695</v>
      </c>
      <c r="H40" s="347">
        <f>'FR-16(7)(v)-8 TOT CLASS Alloc'!H40</f>
        <v>23198247</v>
      </c>
      <c r="I40" s="347">
        <f>'FR-16(7)(v)-8 TOT CLASS Alloc'!I40</f>
        <v>5042683</v>
      </c>
      <c r="J40" s="347">
        <f>'FR-16(7)(v)-8 TOT CLASS Alloc'!J40</f>
        <v>1524248</v>
      </c>
      <c r="K40" s="347">
        <f>'FR-16(7)(v)-8 TOT CLASS Alloc'!K40</f>
        <v>95287873</v>
      </c>
      <c r="L40" s="347">
        <f>'FR-16(7)(v)-8 TOT CLASS Alloc'!L40</f>
        <v>0</v>
      </c>
    </row>
    <row r="41" spans="1:12">
      <c r="A41" s="333">
        <v>30</v>
      </c>
      <c r="B41" s="332" t="s">
        <v>109</v>
      </c>
      <c r="D41" s="196"/>
      <c r="E41" s="196"/>
      <c r="F41" s="347">
        <f>F29-F40</f>
        <v>10542214.067599997</v>
      </c>
      <c r="G41" s="349">
        <f t="shared" ref="G41:L41" ca="1" si="6">G29-G40</f>
        <v>1488642</v>
      </c>
      <c r="H41" s="349">
        <f t="shared" si="6"/>
        <v>2580982</v>
      </c>
      <c r="I41" s="349">
        <f t="shared" ca="1" si="6"/>
        <v>6783571</v>
      </c>
      <c r="J41" s="347">
        <f t="shared" si="6"/>
        <v>-310979</v>
      </c>
      <c r="K41" s="347">
        <f t="shared" ca="1" si="6"/>
        <v>10542216</v>
      </c>
      <c r="L41" s="347">
        <f t="shared" ca="1" si="6"/>
        <v>-1.9323999993503094</v>
      </c>
    </row>
    <row r="42" spans="1:12">
      <c r="A42" s="333">
        <v>31</v>
      </c>
      <c r="C42" s="332" t="s">
        <v>283</v>
      </c>
      <c r="D42" s="196"/>
      <c r="E42" s="196"/>
      <c r="F42" s="352">
        <f t="shared" ref="F42:L42" si="7">IF(F40=0,0,ROUND(F41/F40,5))</f>
        <v>0.11064</v>
      </c>
      <c r="G42" s="358">
        <f t="shared" ca="1" si="7"/>
        <v>2.2720000000000001E-2</v>
      </c>
      <c r="H42" s="358">
        <f t="shared" si="7"/>
        <v>0.11126</v>
      </c>
      <c r="I42" s="358">
        <f t="shared" ca="1" si="7"/>
        <v>1.3452299999999999</v>
      </c>
      <c r="J42" s="352">
        <f t="shared" si="7"/>
        <v>-0.20402000000000001</v>
      </c>
      <c r="K42" s="352">
        <f t="shared" ca="1" si="7"/>
        <v>0.11064</v>
      </c>
      <c r="L42" s="347">
        <f t="shared" si="7"/>
        <v>0</v>
      </c>
    </row>
    <row r="43" spans="1:12">
      <c r="A43" s="333">
        <v>32</v>
      </c>
      <c r="B43" s="332" t="s">
        <v>110</v>
      </c>
      <c r="D43" s="196"/>
      <c r="E43" s="196"/>
      <c r="F43" s="347">
        <f t="shared" ref="F43:L43" si="8">F31-F40</f>
        <v>0</v>
      </c>
      <c r="G43" s="349">
        <f>G31-G40</f>
        <v>-1</v>
      </c>
      <c r="H43" s="349">
        <f t="shared" si="8"/>
        <v>1</v>
      </c>
      <c r="I43" s="349">
        <f t="shared" si="8"/>
        <v>0</v>
      </c>
      <c r="J43" s="347">
        <f t="shared" si="8"/>
        <v>0</v>
      </c>
      <c r="K43" s="347">
        <f t="shared" si="8"/>
        <v>0</v>
      </c>
      <c r="L43" s="347">
        <f t="shared" si="8"/>
        <v>0</v>
      </c>
    </row>
    <row r="44" spans="1:12">
      <c r="A44" s="333">
        <v>33</v>
      </c>
      <c r="C44" s="332" t="s">
        <v>283</v>
      </c>
      <c r="D44" s="196"/>
      <c r="E44" s="196"/>
      <c r="F44" s="352">
        <f t="shared" ref="F44:L44" si="9">IF(F40=0,0,ROUND(F43/F40,5))</f>
        <v>0</v>
      </c>
      <c r="G44" s="358">
        <f t="shared" si="9"/>
        <v>0</v>
      </c>
      <c r="H44" s="358">
        <f t="shared" si="9"/>
        <v>0</v>
      </c>
      <c r="I44" s="358">
        <f t="shared" si="9"/>
        <v>0</v>
      </c>
      <c r="J44" s="352">
        <f t="shared" si="9"/>
        <v>0</v>
      </c>
      <c r="K44" s="352">
        <f t="shared" si="9"/>
        <v>0</v>
      </c>
      <c r="L44" s="347">
        <f t="shared" si="9"/>
        <v>0</v>
      </c>
    </row>
    <row r="45" spans="1:12">
      <c r="A45" s="333">
        <v>34</v>
      </c>
      <c r="D45" s="196"/>
      <c r="E45" s="196"/>
    </row>
    <row r="46" spans="1:12">
      <c r="A46" s="831">
        <v>35</v>
      </c>
      <c r="B46" s="842" t="s">
        <v>913</v>
      </c>
      <c r="C46" s="832"/>
      <c r="D46" s="832"/>
      <c r="E46" s="832"/>
      <c r="F46" s="832"/>
      <c r="G46" s="832"/>
      <c r="H46" s="832"/>
      <c r="I46" s="832"/>
      <c r="J46" s="832"/>
      <c r="K46" s="832"/>
      <c r="L46" s="833"/>
    </row>
    <row r="47" spans="1:12">
      <c r="A47" s="834">
        <v>36</v>
      </c>
      <c r="B47" s="835" t="s">
        <v>850</v>
      </c>
      <c r="C47" s="835"/>
      <c r="D47" s="836"/>
      <c r="E47" s="836"/>
      <c r="F47" s="776">
        <f>'FR-16(7)(v)-8 TOT CLASS Alloc'!F40</f>
        <v>95287873</v>
      </c>
      <c r="G47" s="776">
        <f>'FR-16(7)(v)-8 TOT CLASS Alloc'!G40</f>
        <v>65522695</v>
      </c>
      <c r="H47" s="776">
        <f>'FR-16(7)(v)-8 TOT CLASS Alloc'!H40</f>
        <v>23198247</v>
      </c>
      <c r="I47" s="776">
        <f>'FR-16(7)(v)-8 TOT CLASS Alloc'!I40</f>
        <v>5042683</v>
      </c>
      <c r="J47" s="776">
        <f>'FR-16(7)(v)-8 TOT CLASS Alloc'!J40</f>
        <v>1524248</v>
      </c>
      <c r="K47" s="776">
        <f>SUM(G47:J47)</f>
        <v>95287873</v>
      </c>
      <c r="L47" s="777">
        <f>'FR-16(7)(v)-8 TOT CLASS Alloc'!L40</f>
        <v>0</v>
      </c>
    </row>
    <row r="48" spans="1:12">
      <c r="A48" s="834">
        <v>37</v>
      </c>
      <c r="B48" s="835" t="s">
        <v>79</v>
      </c>
      <c r="C48" s="835"/>
      <c r="D48" s="836"/>
      <c r="E48" s="836"/>
      <c r="F48" s="776">
        <f>-'FR-16(7)(v)-8 TOT CLASS Alloc'!F28</f>
        <v>-105830087.0676</v>
      </c>
      <c r="G48" s="776">
        <f ca="1">-'FR-16(7)(v)-8 TOT CLASS Alloc'!G28</f>
        <v>-67011337</v>
      </c>
      <c r="H48" s="776">
        <f>-'FR-16(7)(v)-8 TOT CLASS Alloc'!H28</f>
        <v>-25779229</v>
      </c>
      <c r="I48" s="776">
        <f ca="1">-'FR-16(7)(v)-8 TOT CLASS Alloc'!I28</f>
        <v>-11826254</v>
      </c>
      <c r="J48" s="776">
        <f>-'FR-16(7)(v)-8 TOT CLASS Alloc'!J28</f>
        <v>-1213269</v>
      </c>
      <c r="K48" s="776">
        <f ca="1">-'FR-16(7)(v)-8 TOT CLASS Alloc'!K28</f>
        <v>-105830088</v>
      </c>
      <c r="L48" s="777">
        <f ca="1">-'FR-16(7)(v)-8 TOT CLASS Alloc'!L28</f>
        <v>0.93240000307559967</v>
      </c>
    </row>
    <row r="49" spans="1:12">
      <c r="A49" s="834">
        <v>38</v>
      </c>
      <c r="B49" s="835" t="s">
        <v>80</v>
      </c>
      <c r="C49" s="835"/>
      <c r="D49" s="836"/>
      <c r="E49" s="836"/>
      <c r="F49" s="776">
        <f>F48+F47</f>
        <v>-10542214.067599997</v>
      </c>
      <c r="G49" s="776">
        <f ca="1">G48+G47</f>
        <v>-1488642</v>
      </c>
      <c r="H49" s="776">
        <f>H48+H47</f>
        <v>-2580982</v>
      </c>
      <c r="I49" s="776">
        <f ca="1">I48+I47</f>
        <v>-6783571</v>
      </c>
      <c r="J49" s="776">
        <f>J48+J47</f>
        <v>310979</v>
      </c>
      <c r="K49" s="776">
        <f ca="1">SUM(G49:J49)</f>
        <v>-10542216</v>
      </c>
      <c r="L49" s="777">
        <f ca="1">L48+L47</f>
        <v>0.93240000307559967</v>
      </c>
    </row>
    <row r="50" spans="1:12">
      <c r="A50" s="834">
        <v>39</v>
      </c>
      <c r="B50" s="835" t="s">
        <v>76</v>
      </c>
      <c r="C50" s="835"/>
      <c r="D50" s="836"/>
      <c r="E50" s="836"/>
      <c r="F50" s="837">
        <f t="shared" ref="F50:L50" si="10">Composite_Tax_Rate</f>
        <v>0.24925</v>
      </c>
      <c r="G50" s="837">
        <f t="shared" si="10"/>
        <v>0.24925</v>
      </c>
      <c r="H50" s="837">
        <f t="shared" si="10"/>
        <v>0.24925</v>
      </c>
      <c r="I50" s="837">
        <f t="shared" si="10"/>
        <v>0.24925</v>
      </c>
      <c r="J50" s="837">
        <f t="shared" si="10"/>
        <v>0.24925</v>
      </c>
      <c r="K50" s="837">
        <f t="shared" si="10"/>
        <v>0.24925</v>
      </c>
      <c r="L50" s="837">
        <f t="shared" si="10"/>
        <v>0.24925</v>
      </c>
    </row>
    <row r="51" spans="1:12">
      <c r="A51" s="834">
        <v>40</v>
      </c>
      <c r="B51" s="835" t="s">
        <v>81</v>
      </c>
      <c r="C51" s="835"/>
      <c r="D51" s="836"/>
      <c r="E51" s="836"/>
      <c r="F51" s="776">
        <f>ROUND(F50*F49,0)</f>
        <v>-2627647</v>
      </c>
      <c r="G51" s="776">
        <f ca="1">F51-SUM(H51:J51)</f>
        <v>-371044</v>
      </c>
      <c r="H51" s="776">
        <f>ROUND(H50*H49,0)</f>
        <v>-643310</v>
      </c>
      <c r="I51" s="776">
        <f ca="1">ROUND(I50*I49,0)</f>
        <v>-1690805</v>
      </c>
      <c r="J51" s="776">
        <f>ROUND(J50*J49,0)</f>
        <v>77512</v>
      </c>
      <c r="K51" s="776">
        <f ca="1">SUM(G51:J51)</f>
        <v>-2627647</v>
      </c>
      <c r="L51" s="777">
        <f ca="1">ROUND(L50*L49,0)</f>
        <v>0</v>
      </c>
    </row>
    <row r="52" spans="1:12">
      <c r="A52" s="838">
        <v>41</v>
      </c>
      <c r="B52" s="781" t="s">
        <v>82</v>
      </c>
      <c r="C52" s="781"/>
      <c r="D52" s="839"/>
      <c r="E52" s="839"/>
      <c r="F52" s="840">
        <f ca="1">K52+L52</f>
        <v>-7914568.0675999969</v>
      </c>
      <c r="G52" s="840">
        <f ca="1">G49-G51</f>
        <v>-1117598</v>
      </c>
      <c r="H52" s="840">
        <f>H49-H51</f>
        <v>-1937672</v>
      </c>
      <c r="I52" s="840">
        <f ca="1">I49-I51</f>
        <v>-5092766</v>
      </c>
      <c r="J52" s="840">
        <f>J49-J51</f>
        <v>233467</v>
      </c>
      <c r="K52" s="840">
        <f ca="1">SUM(G52:J52)</f>
        <v>-7914569</v>
      </c>
      <c r="L52" s="841">
        <f ca="1">L49-L51</f>
        <v>0.93240000307559967</v>
      </c>
    </row>
  </sheetData>
  <pageMargins left="1" right="1" top="1" bottom="1" header="0.5" footer="0.5"/>
  <pageSetup scale="65" orientation="landscape" blackAndWhite="1" r:id="rId1"/>
  <headerFooter alignWithMargins="0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tabColor rgb="FFFF6600"/>
    <pageSetUpPr fitToPage="1"/>
  </sheetPr>
  <dimension ref="A1:V61"/>
  <sheetViews>
    <sheetView tabSelected="1" zoomScale="75" workbookViewId="0">
      <selection activeCell="F42" sqref="F42"/>
    </sheetView>
  </sheetViews>
  <sheetFormatPr defaultColWidth="12.88671875" defaultRowHeight="12.75"/>
  <cols>
    <col min="1" max="1" width="5.109375" style="332" customWidth="1"/>
    <col min="2" max="2" width="15.21875" style="332" customWidth="1"/>
    <col min="3" max="9" width="12.88671875" style="332"/>
    <col min="10" max="10" width="14.44140625" style="332" customWidth="1"/>
    <col min="11" max="11" width="13.33203125" style="332" customWidth="1"/>
    <col min="12" max="16" width="12.88671875" style="332"/>
    <col min="17" max="17" width="9.21875" style="332" customWidth="1"/>
    <col min="18" max="18" width="10.44140625" style="332" customWidth="1"/>
    <col min="19" max="16384" width="12.88671875" style="332"/>
  </cols>
  <sheetData>
    <row r="1" spans="1:22">
      <c r="A1" s="332" t="str">
        <f>co_name</f>
        <v>DUKE ENERGY KENTUCKY, INC.</v>
      </c>
      <c r="M1" s="983" t="s">
        <v>1134</v>
      </c>
    </row>
    <row r="2" spans="1:22">
      <c r="A2" s="332" t="str">
        <f>coss_type</f>
        <v xml:space="preserve">GAS COST OF SERVICE STUDY </v>
      </c>
      <c r="M2" s="984" t="s">
        <v>1552</v>
      </c>
    </row>
    <row r="3" spans="1:22">
      <c r="A3" s="332" t="str">
        <f>case_name</f>
        <v>CASE NO: 2018-00261</v>
      </c>
      <c r="M3" s="984" t="s">
        <v>437</v>
      </c>
    </row>
    <row r="4" spans="1:22">
      <c r="A4" s="332" t="s">
        <v>462</v>
      </c>
      <c r="M4" s="984" t="str">
        <f>Witness</f>
        <v>JAMES E. ZIOLKOWSKI</v>
      </c>
    </row>
    <row r="5" spans="1:22">
      <c r="A5" s="332" t="s">
        <v>463</v>
      </c>
      <c r="M5" s="984" t="s">
        <v>1200</v>
      </c>
    </row>
    <row r="8" spans="1:22">
      <c r="G8" s="333" t="s">
        <v>468</v>
      </c>
      <c r="H8" s="1253" t="s">
        <v>1116</v>
      </c>
      <c r="I8" s="1253" t="s">
        <v>1116</v>
      </c>
    </row>
    <row r="9" spans="1:22" ht="13.5" thickBot="1">
      <c r="A9" s="333"/>
      <c r="B9" s="333"/>
      <c r="C9" s="333"/>
      <c r="D9" s="333"/>
      <c r="E9" s="333"/>
      <c r="F9" s="333"/>
      <c r="G9" s="333" t="s">
        <v>464</v>
      </c>
      <c r="H9" s="1253" t="s">
        <v>1117</v>
      </c>
      <c r="I9" s="1253" t="s">
        <v>1117</v>
      </c>
      <c r="J9" s="333" t="s">
        <v>1120</v>
      </c>
      <c r="K9" s="966" t="s">
        <v>1124</v>
      </c>
      <c r="L9" s="333" t="s">
        <v>465</v>
      </c>
      <c r="M9" s="333" t="s">
        <v>466</v>
      </c>
      <c r="N9" s="968" t="s">
        <v>467</v>
      </c>
    </row>
    <row r="10" spans="1:22" ht="13.5" thickBot="1">
      <c r="A10" s="333"/>
      <c r="B10" s="333"/>
      <c r="C10" s="333"/>
      <c r="D10" s="333" t="s">
        <v>468</v>
      </c>
      <c r="E10" s="333" t="s">
        <v>469</v>
      </c>
      <c r="F10" s="333" t="s">
        <v>468</v>
      </c>
      <c r="G10" s="333" t="s">
        <v>470</v>
      </c>
      <c r="H10" s="333" t="s">
        <v>1118</v>
      </c>
      <c r="I10" s="1253" t="s">
        <v>1123</v>
      </c>
      <c r="J10" s="333" t="s">
        <v>1121</v>
      </c>
      <c r="K10" s="1254" t="str">
        <f>TEXT(1-I11,"0.00%")&amp;"  Interclass"</f>
        <v>85.00%  Interclass</v>
      </c>
      <c r="L10" s="333" t="s">
        <v>472</v>
      </c>
      <c r="M10" s="333" t="s">
        <v>473</v>
      </c>
      <c r="N10" s="968" t="s">
        <v>1125</v>
      </c>
      <c r="P10" s="1108" t="s">
        <v>1202</v>
      </c>
      <c r="Q10" s="1109"/>
      <c r="R10" s="1109"/>
      <c r="S10" s="1110"/>
      <c r="T10" s="1110"/>
      <c r="U10" s="1110"/>
      <c r="V10" s="1111"/>
    </row>
    <row r="11" spans="1:22">
      <c r="A11" s="333" t="s">
        <v>474</v>
      </c>
      <c r="B11" s="333"/>
      <c r="C11" s="333" t="s">
        <v>495</v>
      </c>
      <c r="D11" s="333" t="s">
        <v>464</v>
      </c>
      <c r="E11" s="333" t="s">
        <v>475</v>
      </c>
      <c r="F11" s="333" t="s">
        <v>466</v>
      </c>
      <c r="G11" s="333" t="s">
        <v>466</v>
      </c>
      <c r="H11" s="333" t="s">
        <v>1119</v>
      </c>
      <c r="I11" s="843">
        <v>0.15</v>
      </c>
      <c r="J11" s="333" t="s">
        <v>1122</v>
      </c>
      <c r="K11" s="1255" t="s">
        <v>1117</v>
      </c>
      <c r="L11" s="333" t="s">
        <v>476</v>
      </c>
      <c r="M11" s="333" t="s">
        <v>477</v>
      </c>
      <c r="N11" s="968" t="s">
        <v>1126</v>
      </c>
      <c r="P11" s="1158"/>
      <c r="Q11" s="1098" t="s">
        <v>1209</v>
      </c>
      <c r="R11" s="1098"/>
      <c r="S11" s="1101"/>
      <c r="T11" s="1097" t="s">
        <v>1059</v>
      </c>
      <c r="U11" s="1097"/>
      <c r="V11" s="1183"/>
    </row>
    <row r="12" spans="1:22">
      <c r="A12" s="334" t="s">
        <v>478</v>
      </c>
      <c r="B12" s="334" t="s">
        <v>479</v>
      </c>
      <c r="C12" s="334" t="s">
        <v>480</v>
      </c>
      <c r="D12" s="334" t="s">
        <v>481</v>
      </c>
      <c r="E12" s="334" t="s">
        <v>482</v>
      </c>
      <c r="F12" s="334" t="s">
        <v>483</v>
      </c>
      <c r="G12" s="334" t="s">
        <v>484</v>
      </c>
      <c r="H12" s="334" t="s">
        <v>485</v>
      </c>
      <c r="I12" s="334" t="s">
        <v>486</v>
      </c>
      <c r="J12" s="334" t="s">
        <v>487</v>
      </c>
      <c r="K12" s="334" t="s">
        <v>488</v>
      </c>
      <c r="L12" s="334" t="s">
        <v>489</v>
      </c>
      <c r="M12" s="334" t="s">
        <v>490</v>
      </c>
      <c r="N12" s="969" t="s">
        <v>491</v>
      </c>
      <c r="P12" s="1159" t="s">
        <v>582</v>
      </c>
      <c r="Q12" s="1100" t="s">
        <v>1058</v>
      </c>
      <c r="R12" s="1100" t="s">
        <v>1064</v>
      </c>
      <c r="S12" s="1102" t="s">
        <v>1061</v>
      </c>
      <c r="T12" s="1094" t="s">
        <v>1063</v>
      </c>
      <c r="U12" s="1165" t="s">
        <v>1062</v>
      </c>
      <c r="V12" s="1184" t="s">
        <v>599</v>
      </c>
    </row>
    <row r="13" spans="1:22" ht="25.5">
      <c r="A13" s="333"/>
      <c r="B13" s="333"/>
      <c r="C13" s="333" t="s">
        <v>1545</v>
      </c>
      <c r="D13" s="333" t="s">
        <v>1545</v>
      </c>
      <c r="E13" s="333" t="s">
        <v>1555</v>
      </c>
      <c r="F13" s="333" t="s">
        <v>492</v>
      </c>
      <c r="G13" s="971" t="s">
        <v>1192</v>
      </c>
      <c r="H13" s="974" t="s">
        <v>1133</v>
      </c>
      <c r="I13" s="333" t="str">
        <f>H12&amp;" * "&amp;TEXT(I11,"0.00%")</f>
        <v>(F) * 15.00%</v>
      </c>
      <c r="J13" s="971" t="s">
        <v>1190</v>
      </c>
      <c r="K13" s="970" t="s">
        <v>1129</v>
      </c>
      <c r="L13" s="972" t="s">
        <v>1130</v>
      </c>
      <c r="M13" s="973" t="s">
        <v>1191</v>
      </c>
      <c r="N13" s="970" t="s">
        <v>1127</v>
      </c>
      <c r="P13" s="1158"/>
      <c r="Q13" s="1170" t="s">
        <v>1212</v>
      </c>
      <c r="R13" s="463"/>
      <c r="S13" s="1103"/>
      <c r="T13" s="1084"/>
      <c r="U13" s="1084"/>
      <c r="V13" s="1185"/>
    </row>
    <row r="14" spans="1:22">
      <c r="P14" s="1158"/>
      <c r="Q14" s="463"/>
      <c r="R14" s="463"/>
      <c r="S14" s="1103"/>
      <c r="T14" s="1084"/>
      <c r="U14" s="1084"/>
      <c r="V14" s="1185"/>
    </row>
    <row r="15" spans="1:22">
      <c r="A15" s="333">
        <v>1</v>
      </c>
      <c r="B15" s="332" t="s">
        <v>1290</v>
      </c>
      <c r="C15" s="981">
        <f>'FR-16(7)(v)-8 TOT CLASS Alloc'!G15</f>
        <v>216401983</v>
      </c>
      <c r="D15" s="1510">
        <f>'FR-16(7)(v)-8 TOT CLASS Alloc'!G40</f>
        <v>65522695</v>
      </c>
      <c r="E15" s="981">
        <f ca="1">'WP FR-16(7)(v) Pres NOI'!G34</f>
        <v>14422228</v>
      </c>
      <c r="F15" s="975">
        <f ca="1">IF(C15=0,0,ROUND(E15/C15,6))</f>
        <v>6.6645999999999997E-2</v>
      </c>
      <c r="G15" s="981">
        <f ca="1">G20-SUM(G16:G19)</f>
        <v>60025735</v>
      </c>
      <c r="H15" s="981">
        <f ca="1">D15-G15</f>
        <v>5496960</v>
      </c>
      <c r="I15" s="981">
        <f ca="1">0-SUM(I16:I19)</f>
        <v>824544</v>
      </c>
      <c r="J15" s="981">
        <f>(ROUND(C15/C$20,6)*$J$20)</f>
        <v>7272992.5969846966</v>
      </c>
      <c r="K15" s="981">
        <f ca="1">D15-I15+J15</f>
        <v>71971143.596984699</v>
      </c>
      <c r="L15" s="28">
        <f ca="1">IF(K15=0,0,ROUND((K15-D15)/D15,6))</f>
        <v>9.8415000000000002E-2</v>
      </c>
      <c r="M15" s="976">
        <f ca="1">ROUND((((J15-I15)*(1-FIT))+E15)/C15,8)</f>
        <v>9.0186340000000004E-2</v>
      </c>
      <c r="N15" s="981">
        <f ca="1">J15-I15</f>
        <v>6448448.5969846966</v>
      </c>
      <c r="P15" s="1160">
        <f ca="1">H15-I15</f>
        <v>4672416</v>
      </c>
      <c r="Q15" s="1095">
        <f t="shared" ref="Q15:V15" ca="1" si="0">-SUM(Q16:Q18)</f>
        <v>99710</v>
      </c>
      <c r="R15" s="1095">
        <f t="shared" ca="1" si="0"/>
        <v>0</v>
      </c>
      <c r="S15" s="1095">
        <f t="shared" ca="1" si="0"/>
        <v>4572706</v>
      </c>
      <c r="T15" s="1191">
        <f t="shared" ca="1" si="0"/>
        <v>2589780</v>
      </c>
      <c r="U15" s="1085">
        <f t="shared" ca="1" si="0"/>
        <v>0</v>
      </c>
      <c r="V15" s="1186">
        <f t="shared" ca="1" si="0"/>
        <v>2082636</v>
      </c>
    </row>
    <row r="16" spans="1:22">
      <c r="A16" s="333">
        <v>2</v>
      </c>
      <c r="B16" s="332" t="s">
        <v>1287</v>
      </c>
      <c r="C16" s="982">
        <f>'FR-16(7)(v)-8 TOT CLASS Alloc'!H15</f>
        <v>71361395</v>
      </c>
      <c r="D16" s="1511">
        <f>'FR-16(7)(v)-8 TOT CLASS Alloc'!H40</f>
        <v>23198247</v>
      </c>
      <c r="E16" s="982">
        <f>'WP FR-16(7)(v) Pres NOI'!H34</f>
        <v>3186790</v>
      </c>
      <c r="F16" s="975">
        <f>IF(C16=0,0,ROUND(E16/C16,6))</f>
        <v>4.4657000000000002E-2</v>
      </c>
      <c r="G16" s="982">
        <f ca="1">ROUND((((F$20*C16)-E16)/(1-FIT)),0)+D16</f>
        <v>23371792</v>
      </c>
      <c r="H16" s="982">
        <f ca="1">D16-G16</f>
        <v>-173545</v>
      </c>
      <c r="I16" s="982">
        <f ca="1">ROUND(H16*$I$11,0)</f>
        <v>-26032</v>
      </c>
      <c r="J16" s="982">
        <f>(ROUND(C16/C$20,6)*$J$20)</f>
        <v>2398365.3800980672</v>
      </c>
      <c r="K16" s="982">
        <f ca="1">D16-I16+J16</f>
        <v>25622644.380098067</v>
      </c>
      <c r="L16" s="28">
        <f ca="1">IF(K16=0,0,ROUND((K16-D16)/D16,6))</f>
        <v>0.104508</v>
      </c>
      <c r="M16" s="976">
        <f ca="1">ROUND((((J16-I16)*(1-FIT))+E16)/C16,8)</f>
        <v>7.1496130000000005E-2</v>
      </c>
      <c r="N16" s="982">
        <f ca="1">J16-I16</f>
        <v>2424397.3800980672</v>
      </c>
      <c r="P16" s="1161">
        <f ca="1">H16-I16</f>
        <v>-147513</v>
      </c>
      <c r="Q16" s="1096">
        <f ca="1">ROUND(VLOOKUP($Q$22,AllocTable_Functional,3,FALSE)*P16,0)</f>
        <v>-3148</v>
      </c>
      <c r="R16" s="1096">
        <f ca="1">ROUND(VLOOKUP($Q$22,AllocTable_Functional,4,FALSE)*P16,0)</f>
        <v>0</v>
      </c>
      <c r="S16" s="1104">
        <f ca="1">ROUND(VLOOKUP($Q$22,AllocTable_Functional,5,FALSE)*P16,0)</f>
        <v>-144365</v>
      </c>
      <c r="T16" s="1086">
        <f ca="1">ROUND(VLOOKUP($Q$22,Alloctable_Classified_Distribution,3,FALSE)*P16,0)</f>
        <v>-81762</v>
      </c>
      <c r="U16" s="1086">
        <f ca="1">ROUND(VLOOKUP($Q$22,Alloctable_Classified_Distribution,4,FALSE)*P16,0)</f>
        <v>0</v>
      </c>
      <c r="V16" s="1187">
        <f ca="1">ROUND(VLOOKUP($Q$22,Alloctable_Classified_Distribution,5,FALSE)*P16,0)</f>
        <v>-65751</v>
      </c>
    </row>
    <row r="17" spans="1:22">
      <c r="A17" s="333">
        <v>3</v>
      </c>
      <c r="B17" s="332" t="s">
        <v>1288</v>
      </c>
      <c r="C17" s="980">
        <f>'FR-16(7)(v)-8 TOT CLASS Alloc'!I15</f>
        <v>20073132</v>
      </c>
      <c r="D17" s="1512">
        <f>'FR-16(7)(v)-8 TOT CLASS Alloc'!I40</f>
        <v>5042683</v>
      </c>
      <c r="E17" s="980">
        <f ca="1">'WP FR-16(7)(v) Pres NOI'!I34</f>
        <v>-3651314</v>
      </c>
      <c r="F17" s="975">
        <f ca="1">IF(C17=0,0,ROUND(E17/C17,6))</f>
        <v>-0.18190100000000001</v>
      </c>
      <c r="G17" s="980">
        <f ca="1">ROUND((((F$20*C17)-E17)/(1-FIT)),0)+D17</f>
        <v>10848108</v>
      </c>
      <c r="H17" s="980">
        <f ca="1">D17-G17</f>
        <v>-5805425</v>
      </c>
      <c r="I17" s="980">
        <f ca="1">ROUND(H17*$I$11,0)</f>
        <v>-870814</v>
      </c>
      <c r="J17" s="980">
        <f>(ROUND(C17/C$20,6)*$J$20)</f>
        <v>674628.22479292657</v>
      </c>
      <c r="K17" s="980">
        <f ca="1">D17-I17+J17</f>
        <v>6588125.2247929266</v>
      </c>
      <c r="L17" s="28">
        <f ca="1">IF(K17=0,0,ROUND((K17-D17)/D17,6))</f>
        <v>0.30647200000000002</v>
      </c>
      <c r="M17" s="976">
        <f ca="1">ROUND((((J17-I17)*(1-FIT))+E17)/C17,8)</f>
        <v>-0.12107800000000001</v>
      </c>
      <c r="N17" s="980">
        <f ca="1">J17-I17</f>
        <v>1545442.2247929266</v>
      </c>
      <c r="P17" s="1161">
        <f ca="1">H17-I17</f>
        <v>-4934611</v>
      </c>
      <c r="Q17" s="1096">
        <f ca="1">ROUND(VLOOKUP($Q$22,AllocTable_Functional,3,FALSE)*P17,0)</f>
        <v>-105305</v>
      </c>
      <c r="R17" s="1096">
        <f ca="1">ROUND(VLOOKUP($Q$22,AllocTable_Functional,4,FALSE)*P17,0)</f>
        <v>0</v>
      </c>
      <c r="S17" s="1104">
        <f ca="1">ROUND(VLOOKUP($Q$22,AllocTable_Functional,5,FALSE)*P17,0)</f>
        <v>-4829306</v>
      </c>
      <c r="T17" s="1086">
        <f ca="1">ROUND(VLOOKUP($Q$22,Alloctable_Classified_Distribution,3,FALSE)*P17,0)</f>
        <v>-2735107</v>
      </c>
      <c r="U17" s="1086">
        <f ca="1">ROUND(VLOOKUP($Q$22,Alloctable_Classified_Distribution,4,FALSE)*P17,0)</f>
        <v>0</v>
      </c>
      <c r="V17" s="1187">
        <f ca="1">ROUND(VLOOKUP($Q$22,Alloctable_Classified_Distribution,5,FALSE)*P17,0)</f>
        <v>-2199504</v>
      </c>
    </row>
    <row r="18" spans="1:22">
      <c r="A18" s="333">
        <v>4</v>
      </c>
      <c r="B18" s="332" t="s">
        <v>493</v>
      </c>
      <c r="C18" s="980">
        <f>'FR-16(7)(v)-8 TOT CLASS Alloc'!J15</f>
        <v>5838729</v>
      </c>
      <c r="D18" s="1512">
        <f>'FR-16(7)(v)-8 TOT CLASS Alloc'!J40</f>
        <v>1524248</v>
      </c>
      <c r="E18" s="980">
        <f>'WP FR-16(7)(v) Pres NOI'!J34</f>
        <v>652746</v>
      </c>
      <c r="F18" s="975">
        <f>IF(C18=0,0,ROUND(E18/C18,6))</f>
        <v>0.11179600000000001</v>
      </c>
      <c r="G18" s="980">
        <f ca="1">ROUND((((F$20*C18)-E18)/(1-FIT)),0)+D18</f>
        <v>1042238</v>
      </c>
      <c r="H18" s="980">
        <f ca="1">D18-G18</f>
        <v>482010</v>
      </c>
      <c r="I18" s="980">
        <f ca="1">ROUND(H18*$I$11,0)</f>
        <v>72302</v>
      </c>
      <c r="J18" s="980">
        <f>(ROUND(C18/C$20,6)*$J$20)</f>
        <v>196232.86572430632</v>
      </c>
      <c r="K18" s="980">
        <f ca="1">D18-I18+J18</f>
        <v>1648178.8657243063</v>
      </c>
      <c r="L18" s="28">
        <f ca="1">IF(K18=0,0,ROUND((K18-D18)/D18,6))</f>
        <v>8.1306000000000003E-2</v>
      </c>
      <c r="M18" s="976">
        <f ca="1">ROUND((((J18-I18)*(1-FIT))+E18)/C18,8)</f>
        <v>0.12856418</v>
      </c>
      <c r="N18" s="980">
        <f ca="1">J18-I18</f>
        <v>123930.86572430632</v>
      </c>
      <c r="P18" s="1161">
        <f ca="1">H18-I18</f>
        <v>409708</v>
      </c>
      <c r="Q18" s="1096">
        <f ca="1">ROUND(VLOOKUP($Q$22,AllocTable_Functional,3,FALSE)*P18,0)</f>
        <v>8743</v>
      </c>
      <c r="R18" s="1096">
        <f ca="1">ROUND(VLOOKUP($Q$22,AllocTable_Functional,4,FALSE)*P18,0)</f>
        <v>0</v>
      </c>
      <c r="S18" s="1104">
        <f ca="1">ROUND(VLOOKUP($Q$22,AllocTable_Functional,5,FALSE)*P18,0)</f>
        <v>400965</v>
      </c>
      <c r="T18" s="1086">
        <f ca="1">ROUND(VLOOKUP($Q$22,Alloctable_Classified_Distribution,3,FALSE)*P18,0)</f>
        <v>227089</v>
      </c>
      <c r="U18" s="1086">
        <f ca="1">ROUND(VLOOKUP($Q$22,Alloctable_Classified_Distribution,4,FALSE)*P18,0)</f>
        <v>0</v>
      </c>
      <c r="V18" s="1187">
        <f ca="1">ROUND(VLOOKUP($Q$22,Alloctable_Classified_Distribution,5,FALSE)*P18,0)</f>
        <v>182619</v>
      </c>
    </row>
    <row r="19" spans="1:22">
      <c r="A19" s="333" t="s">
        <v>343</v>
      </c>
      <c r="B19" s="365" t="s">
        <v>343</v>
      </c>
      <c r="C19" s="335" t="s">
        <v>343</v>
      </c>
      <c r="D19" s="1291" t="s">
        <v>343</v>
      </c>
      <c r="E19" s="335" t="s">
        <v>343</v>
      </c>
      <c r="F19" s="336" t="s">
        <v>343</v>
      </c>
      <c r="G19" s="337" t="s">
        <v>343</v>
      </c>
      <c r="H19" s="335" t="s">
        <v>343</v>
      </c>
      <c r="I19" s="335" t="s">
        <v>343</v>
      </c>
      <c r="J19" s="335" t="s">
        <v>343</v>
      </c>
      <c r="K19" s="338" t="s">
        <v>343</v>
      </c>
      <c r="L19" s="23" t="s">
        <v>343</v>
      </c>
      <c r="M19" s="976"/>
      <c r="P19" s="1161" t="str">
        <f>I19</f>
        <v xml:space="preserve"> </v>
      </c>
      <c r="Q19" s="463"/>
      <c r="R19" s="463"/>
      <c r="S19" s="1103"/>
      <c r="T19" s="1086"/>
      <c r="U19" s="1086"/>
      <c r="V19" s="1187"/>
    </row>
    <row r="20" spans="1:22" ht="13.5" thickBot="1">
      <c r="A20" s="333">
        <v>5</v>
      </c>
      <c r="B20" s="365" t="s">
        <v>494</v>
      </c>
      <c r="C20" s="977">
        <f>SUM(C15:C19)</f>
        <v>313675239</v>
      </c>
      <c r="D20" s="979">
        <f>SUM(D15:D18)</f>
        <v>95287873</v>
      </c>
      <c r="E20" s="977">
        <f ca="1">SUM(E15:E19)</f>
        <v>14610450</v>
      </c>
      <c r="F20" s="978">
        <f ca="1">ROUND(E20/C20,9)</f>
        <v>4.6578269999999998E-2</v>
      </c>
      <c r="G20" s="977">
        <f>D20</f>
        <v>95287873</v>
      </c>
      <c r="H20" s="977">
        <f ca="1">SUM(H15:H19)</f>
        <v>0</v>
      </c>
      <c r="I20" s="977">
        <f ca="1">SUM(I15:I19)</f>
        <v>0</v>
      </c>
      <c r="J20" s="979">
        <f>'Rev req link'!C66</f>
        <v>10542219.067599997</v>
      </c>
      <c r="K20" s="977">
        <f ca="1">SUM(K15:K19)</f>
        <v>105830092.0676</v>
      </c>
      <c r="L20" s="985">
        <f ca="1">ROUND((K20-D20)/D20,6)</f>
        <v>0.110635</v>
      </c>
      <c r="M20" s="1045">
        <f ca="1">ROUND((((J20-I20)*(1-FIT))+E20)/C20,8)</f>
        <v>7.3129150000000004E-2</v>
      </c>
      <c r="N20" s="979">
        <f ca="1">SUM(N15:N19)</f>
        <v>10542219.067599997</v>
      </c>
      <c r="P20" s="1162">
        <f t="shared" ref="P20:V20" ca="1" si="1">SUM(P15:P19)</f>
        <v>0</v>
      </c>
      <c r="Q20" s="1099">
        <f t="shared" ca="1" si="1"/>
        <v>0</v>
      </c>
      <c r="R20" s="1099">
        <f t="shared" ca="1" si="1"/>
        <v>0</v>
      </c>
      <c r="S20" s="1105">
        <f t="shared" ca="1" si="1"/>
        <v>0</v>
      </c>
      <c r="T20" s="1087">
        <f t="shared" ca="1" si="1"/>
        <v>0</v>
      </c>
      <c r="U20" s="1087">
        <f t="shared" ca="1" si="1"/>
        <v>0</v>
      </c>
      <c r="V20" s="1188">
        <f t="shared" ca="1" si="1"/>
        <v>0</v>
      </c>
    </row>
    <row r="21" spans="1:22" ht="13.5" thickTop="1">
      <c r="B21" s="365"/>
      <c r="C21" s="339"/>
      <c r="D21" s="339"/>
      <c r="E21" s="339"/>
      <c r="F21" s="339"/>
      <c r="G21" s="339"/>
      <c r="H21" s="339"/>
      <c r="I21" s="339"/>
      <c r="J21" s="339" t="s">
        <v>343</v>
      </c>
      <c r="K21" s="339"/>
      <c r="L21" s="339"/>
      <c r="M21" s="339"/>
      <c r="P21" s="1158"/>
      <c r="Q21" s="463"/>
      <c r="R21" s="463"/>
      <c r="S21" s="1103"/>
      <c r="T21" s="1084"/>
      <c r="U21" s="1084"/>
      <c r="V21" s="1185"/>
    </row>
    <row r="22" spans="1:22">
      <c r="K22" s="1509"/>
      <c r="P22" s="1158" t="s">
        <v>1203</v>
      </c>
      <c r="Q22" s="1164" t="s">
        <v>322</v>
      </c>
      <c r="R22" s="463"/>
      <c r="S22" s="1103"/>
      <c r="T22" s="1189"/>
      <c r="U22" s="1189"/>
      <c r="V22" s="1185"/>
    </row>
    <row r="23" spans="1:22" ht="13.5" thickBot="1">
      <c r="P23" s="1163"/>
      <c r="Q23" s="1106"/>
      <c r="R23" s="1106"/>
      <c r="S23" s="1107"/>
      <c r="T23" s="1088"/>
      <c r="U23" s="1088"/>
      <c r="V23" s="1190"/>
    </row>
    <row r="25" spans="1:22">
      <c r="B25" s="340" t="s">
        <v>548</v>
      </c>
    </row>
    <row r="26" spans="1:22">
      <c r="A26" s="333">
        <v>6</v>
      </c>
      <c r="B26" s="332" t="s">
        <v>918</v>
      </c>
      <c r="D26" s="1291">
        <f>'FR-16(7)(v)-1 Functional'!F626</f>
        <v>27765</v>
      </c>
      <c r="K26" s="335">
        <f>D26</f>
        <v>27765</v>
      </c>
    </row>
    <row r="27" spans="1:22">
      <c r="A27" s="333">
        <v>7</v>
      </c>
      <c r="B27" s="332" t="s">
        <v>919</v>
      </c>
      <c r="D27" s="1515">
        <v>28032</v>
      </c>
      <c r="K27" s="335">
        <f t="shared" ref="K27:K31" si="2">D27</f>
        <v>28032</v>
      </c>
    </row>
    <row r="28" spans="1:22">
      <c r="A28" s="333">
        <v>8</v>
      </c>
      <c r="B28" s="332" t="s">
        <v>920</v>
      </c>
      <c r="D28" s="1515">
        <v>22068</v>
      </c>
      <c r="K28" s="335">
        <f t="shared" si="2"/>
        <v>22068</v>
      </c>
    </row>
    <row r="29" spans="1:22">
      <c r="A29" s="333">
        <v>9</v>
      </c>
      <c r="B29" s="332" t="s">
        <v>921</v>
      </c>
      <c r="D29" s="1291">
        <f>'FR-16(7)(v)-1 Functional'!F628</f>
        <v>14496</v>
      </c>
      <c r="K29" s="335">
        <f t="shared" si="2"/>
        <v>14496</v>
      </c>
    </row>
    <row r="30" spans="1:22">
      <c r="A30" s="333">
        <v>10</v>
      </c>
      <c r="B30" s="332" t="s">
        <v>1277</v>
      </c>
      <c r="D30" s="1291">
        <v>0</v>
      </c>
      <c r="K30" s="335">
        <f t="shared" si="2"/>
        <v>0</v>
      </c>
    </row>
    <row r="31" spans="1:22">
      <c r="A31" s="333">
        <v>11</v>
      </c>
      <c r="B31" s="332" t="s">
        <v>922</v>
      </c>
      <c r="D31" s="1291">
        <f>'FR-16(7)(v)-1 Functional'!F627</f>
        <v>1896</v>
      </c>
      <c r="K31" s="335">
        <f t="shared" si="2"/>
        <v>1896</v>
      </c>
    </row>
    <row r="32" spans="1:22">
      <c r="A32" s="333">
        <v>12</v>
      </c>
      <c r="B32" s="332" t="s">
        <v>1553</v>
      </c>
      <c r="D32" s="1291">
        <v>0</v>
      </c>
      <c r="K32" s="335">
        <f>D32</f>
        <v>0</v>
      </c>
    </row>
    <row r="33" spans="1:12">
      <c r="A33" s="333">
        <v>13</v>
      </c>
      <c r="B33" s="332" t="s">
        <v>923</v>
      </c>
      <c r="D33" s="1513">
        <f>SUM(D26:D32)</f>
        <v>94257</v>
      </c>
      <c r="K33" s="844">
        <f>SUM(K26:K32)</f>
        <v>94257</v>
      </c>
    </row>
    <row r="34" spans="1:12">
      <c r="A34" s="333"/>
      <c r="B34" s="332" t="s">
        <v>924</v>
      </c>
      <c r="D34" s="353"/>
    </row>
    <row r="35" spans="1:12" ht="13.5" thickBot="1">
      <c r="A35" s="333">
        <v>14</v>
      </c>
      <c r="B35" s="332" t="s">
        <v>925</v>
      </c>
      <c r="D35" s="1514">
        <f>D20+D33</f>
        <v>95382130</v>
      </c>
      <c r="K35" s="967">
        <f ca="1">K20+K33</f>
        <v>105924349.0676</v>
      </c>
      <c r="L35" s="28">
        <f ca="1">ROUND((K35-D35)/D35,6)</f>
        <v>0.110526</v>
      </c>
    </row>
    <row r="36" spans="1:12" ht="13.5" thickTop="1">
      <c r="A36" s="333"/>
      <c r="D36" s="341"/>
    </row>
    <row r="37" spans="1:12">
      <c r="A37" s="333"/>
      <c r="D37" s="335"/>
      <c r="K37" s="335"/>
    </row>
    <row r="38" spans="1:12">
      <c r="A38" s="333"/>
      <c r="D38" s="335"/>
    </row>
    <row r="42" spans="1:12">
      <c r="L42" s="335"/>
    </row>
    <row r="61" spans="7:10">
      <c r="G61" s="333"/>
      <c r="H61" s="333"/>
      <c r="I61" s="333"/>
      <c r="J61" s="333"/>
    </row>
  </sheetData>
  <phoneticPr fontId="0" type="noConversion"/>
  <pageMargins left="1" right="1" top="1" bottom="1" header="0.5" footer="0.5"/>
  <pageSetup scale="54" orientation="landscape" blackAndWhite="1" r:id="rId1"/>
  <headerFooter alignWithMargins="0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tabColor rgb="FFFF6600"/>
    <pageSetUpPr fitToPage="1"/>
  </sheetPr>
  <dimension ref="A1:N56"/>
  <sheetViews>
    <sheetView zoomScale="75" workbookViewId="0">
      <selection activeCell="E13" sqref="E13"/>
    </sheetView>
  </sheetViews>
  <sheetFormatPr defaultColWidth="12.88671875" defaultRowHeight="12.75"/>
  <cols>
    <col min="1" max="1" width="5.77734375" style="332" customWidth="1"/>
    <col min="2" max="2" width="15.21875" style="332" customWidth="1"/>
    <col min="3" max="9" width="12.88671875" style="332"/>
    <col min="10" max="10" width="14.44140625" style="332" customWidth="1"/>
    <col min="11" max="11" width="13.33203125" style="332" customWidth="1"/>
    <col min="12" max="16384" width="12.88671875" style="332"/>
  </cols>
  <sheetData>
    <row r="1" spans="1:14">
      <c r="A1" s="332" t="str">
        <f>co_name</f>
        <v>DUKE ENERGY KENTUCKY, INC.</v>
      </c>
      <c r="M1" s="983" t="s">
        <v>1134</v>
      </c>
    </row>
    <row r="2" spans="1:14">
      <c r="A2" s="332" t="str">
        <f>coss_type</f>
        <v xml:space="preserve">GAS COST OF SERVICE STUDY </v>
      </c>
      <c r="M2" s="984" t="s">
        <v>1552</v>
      </c>
    </row>
    <row r="3" spans="1:14">
      <c r="A3" s="332" t="str">
        <f>case_name</f>
        <v>CASE NO: 2018-00261</v>
      </c>
      <c r="M3" s="984" t="s">
        <v>437</v>
      </c>
    </row>
    <row r="4" spans="1:14">
      <c r="A4" s="332" t="s">
        <v>462</v>
      </c>
      <c r="M4" s="984" t="str">
        <f>Witness</f>
        <v>JAMES E. ZIOLKOWSKI</v>
      </c>
    </row>
    <row r="5" spans="1:14">
      <c r="A5" s="332" t="s">
        <v>463</v>
      </c>
      <c r="M5" s="984" t="s">
        <v>1135</v>
      </c>
    </row>
    <row r="8" spans="1:14">
      <c r="G8" s="333" t="s">
        <v>468</v>
      </c>
      <c r="H8" s="965" t="s">
        <v>1116</v>
      </c>
      <c r="I8" s="965" t="s">
        <v>1116</v>
      </c>
    </row>
    <row r="9" spans="1:14">
      <c r="A9" s="333"/>
      <c r="B9" s="333"/>
      <c r="C9" s="333"/>
      <c r="D9" s="333"/>
      <c r="E9" s="333"/>
      <c r="F9" s="333"/>
      <c r="G9" s="333" t="s">
        <v>464</v>
      </c>
      <c r="H9" s="965" t="s">
        <v>1117</v>
      </c>
      <c r="I9" s="965" t="s">
        <v>1117</v>
      </c>
      <c r="J9" s="333" t="s">
        <v>1120</v>
      </c>
      <c r="K9" s="966" t="s">
        <v>1124</v>
      </c>
      <c r="L9" s="333" t="s">
        <v>465</v>
      </c>
      <c r="M9" s="333" t="s">
        <v>466</v>
      </c>
      <c r="N9" s="968" t="s">
        <v>467</v>
      </c>
    </row>
    <row r="10" spans="1:14">
      <c r="A10" s="333"/>
      <c r="B10" s="333"/>
      <c r="C10" s="333"/>
      <c r="D10" s="333" t="s">
        <v>468</v>
      </c>
      <c r="E10" s="333" t="s">
        <v>469</v>
      </c>
      <c r="F10" s="333" t="s">
        <v>468</v>
      </c>
      <c r="G10" s="333" t="s">
        <v>470</v>
      </c>
      <c r="H10" s="333" t="s">
        <v>1118</v>
      </c>
      <c r="I10" s="965" t="s">
        <v>1123</v>
      </c>
      <c r="J10" s="333" t="s">
        <v>1121</v>
      </c>
      <c r="K10" s="986" t="str">
        <f>TEXT(1-I11,"0.00%")&amp;"  Interclass"</f>
        <v>57.64%  Interclass</v>
      </c>
      <c r="L10" s="333" t="s">
        <v>472</v>
      </c>
      <c r="M10" s="333" t="s">
        <v>473</v>
      </c>
      <c r="N10" s="968" t="s">
        <v>1125</v>
      </c>
    </row>
    <row r="11" spans="1:14">
      <c r="A11" s="333" t="s">
        <v>474</v>
      </c>
      <c r="B11" s="333"/>
      <c r="C11" s="333" t="s">
        <v>495</v>
      </c>
      <c r="D11" s="333" t="s">
        <v>464</v>
      </c>
      <c r="E11" s="333" t="s">
        <v>475</v>
      </c>
      <c r="F11" s="333" t="s">
        <v>466</v>
      </c>
      <c r="G11" s="333" t="s">
        <v>466</v>
      </c>
      <c r="H11" s="333" t="s">
        <v>1119</v>
      </c>
      <c r="I11" s="843">
        <v>0.42359999999999998</v>
      </c>
      <c r="J11" s="333" t="s">
        <v>1122</v>
      </c>
      <c r="K11" s="987" t="s">
        <v>1117</v>
      </c>
      <c r="L11" s="333" t="s">
        <v>476</v>
      </c>
      <c r="M11" s="333" t="s">
        <v>477</v>
      </c>
      <c r="N11" s="968" t="s">
        <v>1126</v>
      </c>
    </row>
    <row r="12" spans="1:14">
      <c r="A12" s="334" t="s">
        <v>478</v>
      </c>
      <c r="B12" s="334" t="s">
        <v>479</v>
      </c>
      <c r="C12" s="334" t="s">
        <v>480</v>
      </c>
      <c r="D12" s="334" t="s">
        <v>481</v>
      </c>
      <c r="E12" s="334" t="s">
        <v>482</v>
      </c>
      <c r="F12" s="334" t="s">
        <v>483</v>
      </c>
      <c r="G12" s="334" t="s">
        <v>484</v>
      </c>
      <c r="H12" s="334" t="s">
        <v>485</v>
      </c>
      <c r="I12" s="334" t="s">
        <v>486</v>
      </c>
      <c r="J12" s="334" t="s">
        <v>487</v>
      </c>
      <c r="K12" s="334" t="s">
        <v>488</v>
      </c>
      <c r="L12" s="334" t="s">
        <v>489</v>
      </c>
      <c r="M12" s="334" t="s">
        <v>490</v>
      </c>
      <c r="N12" s="969" t="s">
        <v>491</v>
      </c>
    </row>
    <row r="13" spans="1:14" ht="38.25">
      <c r="A13" s="333"/>
      <c r="B13" s="333"/>
      <c r="C13" s="333" t="str">
        <f>'WP FR-16(7)(v)Rate Incr (15.0%)'!C13</f>
        <v>FR-16(7)(v)-8</v>
      </c>
      <c r="D13" s="333" t="str">
        <f>'WP FR-16(7)(v)Rate Incr (15.0%)'!D13</f>
        <v>FR-16(7)(v)-8</v>
      </c>
      <c r="E13" s="333" t="str">
        <f>'WP FR-16(7)(v)Rate Incr (15.0%)'!E13</f>
        <v>WP - Pres NOI</v>
      </c>
      <c r="F13" s="333" t="s">
        <v>492</v>
      </c>
      <c r="G13" s="971" t="s">
        <v>1132</v>
      </c>
      <c r="H13" s="974" t="s">
        <v>1133</v>
      </c>
      <c r="I13" s="333" t="str">
        <f>H12&amp;" * "&amp;TEXT(I11,"0.00%")</f>
        <v>(F) * 42.36%</v>
      </c>
      <c r="J13" s="971" t="s">
        <v>1128</v>
      </c>
      <c r="K13" s="970" t="s">
        <v>1129</v>
      </c>
      <c r="L13" s="972" t="s">
        <v>1130</v>
      </c>
      <c r="M13" s="973" t="s">
        <v>1131</v>
      </c>
      <c r="N13" s="970" t="s">
        <v>1127</v>
      </c>
    </row>
    <row r="15" spans="1:14">
      <c r="A15" s="333">
        <v>1</v>
      </c>
      <c r="B15" s="332" t="s">
        <v>1290</v>
      </c>
      <c r="C15" s="981">
        <f>'WP FR-16(7)(v)Rate Incr (15.0%)'!C15</f>
        <v>216401983</v>
      </c>
      <c r="D15" s="981">
        <f>'WP FR-16(7)(v)Rate Incr (15.0%)'!D15</f>
        <v>65522695</v>
      </c>
      <c r="E15" s="981">
        <f ca="1">'WP FR-16(7)(v)Rate Incr (15.0%)'!E15</f>
        <v>14422228</v>
      </c>
      <c r="F15" s="975">
        <f ca="1">IF(C15=0,0,ROUND(E15/C15,6))</f>
        <v>6.6645999999999997E-2</v>
      </c>
      <c r="G15" s="981">
        <f ca="1">G20-SUM(G16:G19)</f>
        <v>60025735</v>
      </c>
      <c r="H15" s="981">
        <f ca="1">D15-G15</f>
        <v>5496960</v>
      </c>
      <c r="I15" s="981">
        <f ca="1">0-SUM(I16:I19)</f>
        <v>2328513</v>
      </c>
      <c r="J15" s="981">
        <f>(ROUND(C15/C$20,6)*$J$20)</f>
        <v>7272992.5969846966</v>
      </c>
      <c r="K15" s="981">
        <f ca="1">D15-I15+J15</f>
        <v>70467174.596984699</v>
      </c>
      <c r="L15" s="28">
        <f ca="1">IF(K15=0,0,ROUND((K15-D15)/D15,6))</f>
        <v>7.5462000000000001E-2</v>
      </c>
      <c r="M15" s="976">
        <f ca="1">ROUND((((J15-I15)*(1-FIT))+E15)/C15,8)</f>
        <v>8.4695930000000003E-2</v>
      </c>
      <c r="N15" s="981">
        <f ca="1">J15-I15</f>
        <v>4944479.5969846966</v>
      </c>
    </row>
    <row r="16" spans="1:14">
      <c r="A16" s="333">
        <v>2</v>
      </c>
      <c r="B16" s="332" t="s">
        <v>1287</v>
      </c>
      <c r="C16" s="982">
        <f>'WP FR-16(7)(v)Rate Incr (15.0%)'!C16</f>
        <v>71361395</v>
      </c>
      <c r="D16" s="982">
        <f>'WP FR-16(7)(v)Rate Incr (15.0%)'!D16</f>
        <v>23198247</v>
      </c>
      <c r="E16" s="982">
        <f>'WP FR-16(7)(v)Rate Incr (15.0%)'!E16</f>
        <v>3186790</v>
      </c>
      <c r="F16" s="975">
        <f>IF(C16=0,0,ROUND(E16/C16,6))</f>
        <v>4.4657000000000002E-2</v>
      </c>
      <c r="G16" s="982">
        <f ca="1">ROUND((((F$20*C16)-E16)/(1-FIT)),0)+D16</f>
        <v>23371792</v>
      </c>
      <c r="H16" s="982">
        <f ca="1">D16-G16</f>
        <v>-173545</v>
      </c>
      <c r="I16" s="982">
        <f ca="1">ROUND(H16*$I$11,0)</f>
        <v>-73514</v>
      </c>
      <c r="J16" s="982">
        <f>(ROUND(C16/C$20,6)*$J$20)</f>
        <v>2398365.3800980672</v>
      </c>
      <c r="K16" s="982">
        <f ca="1">D16-I16+J16</f>
        <v>25670126.380098067</v>
      </c>
      <c r="L16" s="28">
        <f ca="1">IF(K16=0,0,ROUND((K16-D16)/D16,6))</f>
        <v>0.106555</v>
      </c>
      <c r="M16" s="976">
        <f ca="1">ROUND((((J16-I16)*(1-FIT))+E16)/C16,8)</f>
        <v>7.2021779999999994E-2</v>
      </c>
      <c r="N16" s="982">
        <f ca="1">J16-I16</f>
        <v>2471879.3800980672</v>
      </c>
    </row>
    <row r="17" spans="1:14">
      <c r="A17" s="333">
        <v>3</v>
      </c>
      <c r="B17" s="332" t="s">
        <v>1288</v>
      </c>
      <c r="C17" s="980">
        <f>'WP FR-16(7)(v)Rate Incr (15.0%)'!C17</f>
        <v>20073132</v>
      </c>
      <c r="D17" s="980">
        <f>'WP FR-16(7)(v)Rate Incr (15.0%)'!D17</f>
        <v>5042683</v>
      </c>
      <c r="E17" s="980">
        <f ca="1">'WP FR-16(7)(v)Rate Incr (15.0%)'!E17</f>
        <v>-3651314</v>
      </c>
      <c r="F17" s="975">
        <f ca="1">IF(C17=0,0,ROUND(E17/C17,6))</f>
        <v>-0.18190100000000001</v>
      </c>
      <c r="G17" s="980">
        <f ca="1">ROUND((((F$20*C17)-E17)/(1-FIT)),0)+D17</f>
        <v>10848108</v>
      </c>
      <c r="H17" s="980">
        <f ca="1">D17-G17</f>
        <v>-5805425</v>
      </c>
      <c r="I17" s="980">
        <f ca="1">ROUND(H17*$I$11,0)</f>
        <v>-2459178</v>
      </c>
      <c r="J17" s="980">
        <f>(ROUND(C17/C$20,6)*$J$20)</f>
        <v>674628.22479292657</v>
      </c>
      <c r="K17" s="980">
        <f ca="1">D17-I17+J17</f>
        <v>8176489.2247929266</v>
      </c>
      <c r="L17" s="28">
        <f ca="1">IF(K17=0,0,ROUND((K17-D17)/D17,6))</f>
        <v>0.62145600000000001</v>
      </c>
      <c r="M17" s="976">
        <f ca="1">ROUND((((J17-I17)*(1-FIT))+E17)/C17,8)</f>
        <v>-5.8566199999999999E-2</v>
      </c>
      <c r="N17" s="980">
        <f ca="1">J17-I17</f>
        <v>3133806.2247929266</v>
      </c>
    </row>
    <row r="18" spans="1:14">
      <c r="A18" s="333">
        <v>4</v>
      </c>
      <c r="B18" s="332" t="s">
        <v>493</v>
      </c>
      <c r="C18" s="980">
        <f>'WP FR-16(7)(v)Rate Incr (15.0%)'!C18</f>
        <v>5838729</v>
      </c>
      <c r="D18" s="980">
        <f>'WP FR-16(7)(v)Rate Incr (15.0%)'!D18</f>
        <v>1524248</v>
      </c>
      <c r="E18" s="980">
        <f>'WP FR-16(7)(v)Rate Incr (15.0%)'!E18</f>
        <v>652746</v>
      </c>
      <c r="F18" s="975">
        <f>IF(C18=0,0,ROUND(E18/C18,6))</f>
        <v>0.11179600000000001</v>
      </c>
      <c r="G18" s="980">
        <f ca="1">ROUND((((F$20*C18)-E18)/(1-FIT)),0)+D18</f>
        <v>1042238</v>
      </c>
      <c r="H18" s="980">
        <f ca="1">D18-G18</f>
        <v>482010</v>
      </c>
      <c r="I18" s="980">
        <f ca="1">ROUND(H18*$I$11,0)</f>
        <v>204179</v>
      </c>
      <c r="J18" s="980">
        <f>(ROUND(C18/C$20,6)*$J$20)</f>
        <v>196232.86572430632</v>
      </c>
      <c r="K18" s="980">
        <f ca="1">D18-I18+J18</f>
        <v>1516301.8657243063</v>
      </c>
      <c r="L18" s="28">
        <f ca="1">IF(K18=0,0,ROUND((K18-D18)/D18,6))</f>
        <v>-5.2129999999999998E-3</v>
      </c>
      <c r="M18" s="976">
        <f ca="1">ROUND((((J18-I18)*(1-FIT))+E18)/C18,8)</f>
        <v>0.11072077</v>
      </c>
      <c r="N18" s="980">
        <f ca="1">J18-I18</f>
        <v>-7946.1342756936792</v>
      </c>
    </row>
    <row r="19" spans="1:14">
      <c r="A19" s="333" t="s">
        <v>343</v>
      </c>
      <c r="B19" s="365" t="s">
        <v>343</v>
      </c>
      <c r="C19" s="335" t="s">
        <v>343</v>
      </c>
      <c r="D19" s="335" t="s">
        <v>343</v>
      </c>
      <c r="E19" s="335" t="s">
        <v>343</v>
      </c>
      <c r="F19" s="336" t="s">
        <v>343</v>
      </c>
      <c r="G19" s="337" t="s">
        <v>343</v>
      </c>
      <c r="H19" s="335" t="s">
        <v>343</v>
      </c>
      <c r="I19" s="335" t="s">
        <v>343</v>
      </c>
      <c r="J19" s="335" t="s">
        <v>343</v>
      </c>
      <c r="K19" s="338" t="s">
        <v>343</v>
      </c>
      <c r="L19" s="23" t="s">
        <v>343</v>
      </c>
      <c r="M19" s="976"/>
    </row>
    <row r="20" spans="1:14" ht="13.5" thickBot="1">
      <c r="A20" s="333">
        <v>5</v>
      </c>
      <c r="B20" s="365" t="s">
        <v>494</v>
      </c>
      <c r="C20" s="977">
        <f>SUM(C15:C19)</f>
        <v>313675239</v>
      </c>
      <c r="D20" s="977">
        <f>SUM(D15:D19)</f>
        <v>95287873</v>
      </c>
      <c r="E20" s="977">
        <f ca="1">SUM(E15:E19)</f>
        <v>14610450</v>
      </c>
      <c r="F20" s="978">
        <f ca="1">ROUND(E20/C20,9)</f>
        <v>4.6578269999999998E-2</v>
      </c>
      <c r="G20" s="977">
        <f>D20</f>
        <v>95287873</v>
      </c>
      <c r="H20" s="977">
        <f ca="1">SUM(H15:H19)</f>
        <v>0</v>
      </c>
      <c r="I20" s="977">
        <f ca="1">SUM(I15:I19)</f>
        <v>0</v>
      </c>
      <c r="J20" s="979">
        <f>'WP FR-16(7)(v)Rate Incr (15.0%)'!J20</f>
        <v>10542219.067599997</v>
      </c>
      <c r="K20" s="977">
        <f ca="1">SUM(K15:K19)</f>
        <v>105830092.0676</v>
      </c>
      <c r="L20" s="985">
        <f ca="1">ROUND((K20-D20)/D20,6)</f>
        <v>0.110635</v>
      </c>
      <c r="M20" s="1045">
        <f ca="1">ROUND((((J20-I20)*(1-FIT))+E20)/C20,8)</f>
        <v>7.3129150000000004E-2</v>
      </c>
      <c r="N20" s="979">
        <f ca="1">SUM(N15:N19)</f>
        <v>10542219.067599997</v>
      </c>
    </row>
    <row r="21" spans="1:14" ht="13.5" thickTop="1">
      <c r="B21" s="365"/>
      <c r="C21" s="339"/>
      <c r="D21" s="339"/>
      <c r="E21" s="339"/>
      <c r="F21" s="339"/>
      <c r="G21" s="339"/>
      <c r="H21" s="339"/>
      <c r="I21" s="339"/>
      <c r="J21" s="339" t="s">
        <v>343</v>
      </c>
      <c r="K21" s="339"/>
      <c r="L21" s="339"/>
      <c r="M21" s="339"/>
    </row>
    <row r="25" spans="1:14">
      <c r="B25" s="340" t="s">
        <v>548</v>
      </c>
    </row>
    <row r="26" spans="1:14">
      <c r="A26" s="333">
        <v>6</v>
      </c>
      <c r="B26" s="332" t="s">
        <v>918</v>
      </c>
      <c r="D26" s="1291">
        <f>'FR-16(7)(v)-1 Functional'!F626</f>
        <v>27765</v>
      </c>
      <c r="K26" s="335">
        <f>D26</f>
        <v>27765</v>
      </c>
    </row>
    <row r="27" spans="1:14">
      <c r="A27" s="333">
        <v>7</v>
      </c>
      <c r="B27" s="332" t="s">
        <v>919</v>
      </c>
      <c r="D27" s="1515">
        <v>28032</v>
      </c>
      <c r="K27" s="335">
        <f t="shared" ref="K27:K31" si="0">D27</f>
        <v>28032</v>
      </c>
    </row>
    <row r="28" spans="1:14">
      <c r="A28" s="333">
        <v>8</v>
      </c>
      <c r="B28" s="332" t="s">
        <v>920</v>
      </c>
      <c r="D28" s="1515">
        <v>22068</v>
      </c>
      <c r="K28" s="335">
        <f t="shared" si="0"/>
        <v>22068</v>
      </c>
    </row>
    <row r="29" spans="1:14">
      <c r="A29" s="333">
        <v>9</v>
      </c>
      <c r="B29" s="332" t="s">
        <v>921</v>
      </c>
      <c r="D29" s="1291">
        <f>'FR-16(7)(v)-1 Functional'!F628</f>
        <v>14496</v>
      </c>
      <c r="K29" s="335">
        <f t="shared" si="0"/>
        <v>14496</v>
      </c>
    </row>
    <row r="30" spans="1:14">
      <c r="A30" s="333">
        <v>10</v>
      </c>
      <c r="B30" s="332" t="s">
        <v>1277</v>
      </c>
      <c r="D30" s="1291">
        <v>0</v>
      </c>
      <c r="K30" s="335">
        <f t="shared" si="0"/>
        <v>0</v>
      </c>
    </row>
    <row r="31" spans="1:14">
      <c r="A31" s="333">
        <v>11</v>
      </c>
      <c r="B31" s="332" t="s">
        <v>922</v>
      </c>
      <c r="D31" s="1291">
        <f>'FR-16(7)(v)-1 Functional'!F627</f>
        <v>1896</v>
      </c>
      <c r="K31" s="335">
        <f t="shared" si="0"/>
        <v>1896</v>
      </c>
    </row>
    <row r="32" spans="1:14">
      <c r="A32" s="333">
        <v>12</v>
      </c>
      <c r="B32" s="332" t="s">
        <v>1553</v>
      </c>
      <c r="D32" s="1291">
        <v>0</v>
      </c>
      <c r="K32" s="335">
        <f>D32</f>
        <v>0</v>
      </c>
    </row>
    <row r="33" spans="1:12">
      <c r="A33" s="333">
        <v>13</v>
      </c>
      <c r="B33" s="332" t="s">
        <v>923</v>
      </c>
      <c r="D33" s="1513">
        <f>SUM(D26:D32)</f>
        <v>94257</v>
      </c>
      <c r="K33" s="844">
        <f>SUM(K26:K32)</f>
        <v>94257</v>
      </c>
    </row>
    <row r="34" spans="1:12">
      <c r="A34" s="333"/>
      <c r="B34" s="332" t="s">
        <v>924</v>
      </c>
      <c r="D34" s="353"/>
    </row>
    <row r="35" spans="1:12" ht="13.5" thickBot="1">
      <c r="A35" s="333">
        <v>14</v>
      </c>
      <c r="B35" s="332" t="s">
        <v>925</v>
      </c>
      <c r="D35" s="1514">
        <f>D20+D33</f>
        <v>95382130</v>
      </c>
      <c r="K35" s="967">
        <f ca="1">K20+K33</f>
        <v>105924349.0676</v>
      </c>
      <c r="L35" s="28">
        <f ca="1">ROUND((K35-D35)/D35,6)</f>
        <v>0.110526</v>
      </c>
    </row>
    <row r="36" spans="1:12" ht="13.5" thickTop="1">
      <c r="A36" s="333"/>
      <c r="D36" s="341"/>
    </row>
    <row r="37" spans="1:12">
      <c r="A37" s="333"/>
      <c r="D37" s="335"/>
      <c r="K37" s="335"/>
    </row>
    <row r="38" spans="1:12">
      <c r="A38" s="333"/>
      <c r="D38" s="335"/>
    </row>
    <row r="55" spans="6:6" ht="13.5" thickBot="1">
      <c r="F55" s="979"/>
    </row>
    <row r="56" spans="6:6" ht="13.5" thickTop="1"/>
  </sheetData>
  <phoneticPr fontId="0" type="noConversion"/>
  <pageMargins left="0.75" right="0.75" top="1" bottom="1" header="0.5" footer="0.5"/>
  <pageSetup scale="57" orientation="landscape" r:id="rId1"/>
  <headerFooter alignWithMargins="0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4">
    <tabColor rgb="FFFF6600"/>
    <pageSetUpPr fitToPage="1"/>
  </sheetPr>
  <dimension ref="A1:N56"/>
  <sheetViews>
    <sheetView zoomScale="75" workbookViewId="0">
      <selection activeCell="C13" sqref="C13:E13"/>
    </sheetView>
  </sheetViews>
  <sheetFormatPr defaultColWidth="12.88671875" defaultRowHeight="12.75"/>
  <cols>
    <col min="1" max="1" width="5.6640625" style="332" customWidth="1"/>
    <col min="2" max="2" width="15.21875" style="332" customWidth="1"/>
    <col min="3" max="9" width="12.88671875" style="332"/>
    <col min="10" max="10" width="14.44140625" style="332" customWidth="1"/>
    <col min="11" max="11" width="13.33203125" style="332" customWidth="1"/>
    <col min="12" max="16384" width="12.88671875" style="332"/>
  </cols>
  <sheetData>
    <row r="1" spans="1:14">
      <c r="A1" s="332" t="str">
        <f>co_name</f>
        <v>DUKE ENERGY KENTUCKY, INC.</v>
      </c>
      <c r="M1" s="983" t="s">
        <v>1134</v>
      </c>
    </row>
    <row r="2" spans="1:14">
      <c r="A2" s="332" t="str">
        <f>coss_type</f>
        <v xml:space="preserve">GAS COST OF SERVICE STUDY </v>
      </c>
      <c r="M2" s="984" t="s">
        <v>1552</v>
      </c>
    </row>
    <row r="3" spans="1:14">
      <c r="A3" s="332" t="str">
        <f>case_name</f>
        <v>CASE NO: 2018-00261</v>
      </c>
      <c r="M3" s="984" t="s">
        <v>437</v>
      </c>
    </row>
    <row r="4" spans="1:14">
      <c r="A4" s="332" t="s">
        <v>462</v>
      </c>
      <c r="M4" s="984" t="str">
        <f>Witness</f>
        <v>JAMES E. ZIOLKOWSKI</v>
      </c>
    </row>
    <row r="5" spans="1:14">
      <c r="A5" s="332" t="s">
        <v>463</v>
      </c>
      <c r="M5" s="984" t="s">
        <v>1136</v>
      </c>
    </row>
    <row r="8" spans="1:14">
      <c r="G8" s="333" t="s">
        <v>468</v>
      </c>
      <c r="H8" s="965" t="s">
        <v>1116</v>
      </c>
      <c r="I8" s="965" t="s">
        <v>1116</v>
      </c>
    </row>
    <row r="9" spans="1:14">
      <c r="A9" s="333"/>
      <c r="B9" s="333"/>
      <c r="C9" s="333"/>
      <c r="D9" s="333"/>
      <c r="E9" s="333"/>
      <c r="F9" s="333"/>
      <c r="G9" s="333" t="s">
        <v>464</v>
      </c>
      <c r="H9" s="965" t="s">
        <v>1117</v>
      </c>
      <c r="I9" s="965" t="s">
        <v>1117</v>
      </c>
      <c r="J9" s="333" t="s">
        <v>1120</v>
      </c>
      <c r="K9" s="966" t="s">
        <v>1124</v>
      </c>
      <c r="L9" s="333" t="s">
        <v>465</v>
      </c>
      <c r="M9" s="333" t="s">
        <v>466</v>
      </c>
      <c r="N9" s="968" t="s">
        <v>467</v>
      </c>
    </row>
    <row r="10" spans="1:14">
      <c r="A10" s="333"/>
      <c r="B10" s="333"/>
      <c r="C10" s="333"/>
      <c r="D10" s="333" t="s">
        <v>468</v>
      </c>
      <c r="E10" s="333" t="s">
        <v>469</v>
      </c>
      <c r="F10" s="333" t="s">
        <v>468</v>
      </c>
      <c r="G10" s="333" t="s">
        <v>470</v>
      </c>
      <c r="H10" s="333" t="s">
        <v>1118</v>
      </c>
      <c r="I10" s="965" t="s">
        <v>1123</v>
      </c>
      <c r="J10" s="333" t="s">
        <v>1121</v>
      </c>
      <c r="K10" s="986" t="str">
        <f>TEXT(1-I11,"0.00%")&amp;"  Interclass"</f>
        <v>25.00%  Interclass</v>
      </c>
      <c r="L10" s="333" t="s">
        <v>472</v>
      </c>
      <c r="M10" s="333" t="s">
        <v>473</v>
      </c>
      <c r="N10" s="968" t="s">
        <v>1125</v>
      </c>
    </row>
    <row r="11" spans="1:14">
      <c r="A11" s="333" t="s">
        <v>474</v>
      </c>
      <c r="B11" s="333"/>
      <c r="C11" s="333" t="s">
        <v>495</v>
      </c>
      <c r="D11" s="333" t="s">
        <v>464</v>
      </c>
      <c r="E11" s="333" t="s">
        <v>475</v>
      </c>
      <c r="F11" s="333" t="s">
        <v>466</v>
      </c>
      <c r="G11" s="333" t="s">
        <v>466</v>
      </c>
      <c r="H11" s="333" t="s">
        <v>1119</v>
      </c>
      <c r="I11" s="843">
        <v>0.75</v>
      </c>
      <c r="J11" s="333" t="s">
        <v>1122</v>
      </c>
      <c r="K11" s="987" t="s">
        <v>1117</v>
      </c>
      <c r="L11" s="333" t="s">
        <v>476</v>
      </c>
      <c r="M11" s="333" t="s">
        <v>477</v>
      </c>
      <c r="N11" s="968" t="s">
        <v>1126</v>
      </c>
    </row>
    <row r="12" spans="1:14">
      <c r="A12" s="334" t="s">
        <v>478</v>
      </c>
      <c r="B12" s="334" t="s">
        <v>479</v>
      </c>
      <c r="C12" s="334" t="s">
        <v>480</v>
      </c>
      <c r="D12" s="334" t="s">
        <v>481</v>
      </c>
      <c r="E12" s="334" t="s">
        <v>482</v>
      </c>
      <c r="F12" s="334" t="s">
        <v>483</v>
      </c>
      <c r="G12" s="334" t="s">
        <v>484</v>
      </c>
      <c r="H12" s="334" t="s">
        <v>485</v>
      </c>
      <c r="I12" s="334" t="s">
        <v>486</v>
      </c>
      <c r="J12" s="334" t="s">
        <v>487</v>
      </c>
      <c r="K12" s="334" t="s">
        <v>488</v>
      </c>
      <c r="L12" s="334" t="s">
        <v>489</v>
      </c>
      <c r="M12" s="334" t="s">
        <v>490</v>
      </c>
      <c r="N12" s="969" t="s">
        <v>491</v>
      </c>
    </row>
    <row r="13" spans="1:14" ht="38.25">
      <c r="A13" s="333"/>
      <c r="B13" s="333"/>
      <c r="C13" s="333" t="str">
        <f>'WP FR-16(7)(v)Rate Incr (15.0%)'!C13</f>
        <v>FR-16(7)(v)-8</v>
      </c>
      <c r="D13" s="333" t="str">
        <f>'WP FR-16(7)(v)Rate Incr (15.0%)'!D13</f>
        <v>FR-16(7)(v)-8</v>
      </c>
      <c r="E13" s="333" t="str">
        <f>'WP FR-16(7)(v)Rate Incr (15.0%)'!E13</f>
        <v>WP - Pres NOI</v>
      </c>
      <c r="F13" s="333" t="s">
        <v>492</v>
      </c>
      <c r="G13" s="971" t="s">
        <v>1132</v>
      </c>
      <c r="H13" s="974" t="s">
        <v>1133</v>
      </c>
      <c r="I13" s="333" t="str">
        <f>H12&amp;" * "&amp;TEXT(I11,"0.00%")</f>
        <v>(F) * 75.00%</v>
      </c>
      <c r="J13" s="971" t="s">
        <v>1128</v>
      </c>
      <c r="K13" s="970" t="s">
        <v>1129</v>
      </c>
      <c r="L13" s="972" t="s">
        <v>1130</v>
      </c>
      <c r="M13" s="973" t="s">
        <v>1131</v>
      </c>
      <c r="N13" s="970" t="s">
        <v>1127</v>
      </c>
    </row>
    <row r="15" spans="1:14">
      <c r="A15" s="333">
        <v>1</v>
      </c>
      <c r="B15" s="332" t="s">
        <v>1290</v>
      </c>
      <c r="C15" s="981">
        <f>'WP FR-16(7)(v)Rate Incr (15.0%)'!C15</f>
        <v>216401983</v>
      </c>
      <c r="D15" s="981">
        <f>'WP FR-16(7)(v)Rate Incr (15.0%)'!D15</f>
        <v>65522695</v>
      </c>
      <c r="E15" s="981">
        <f ca="1">'WP FR-16(7)(v)Rate Incr (15.0%)'!E15</f>
        <v>14422228</v>
      </c>
      <c r="F15" s="975">
        <f ca="1">IF(C15=0,0,ROUND(E15/C15,6))</f>
        <v>6.6645999999999997E-2</v>
      </c>
      <c r="G15" s="981">
        <f ca="1">G20-SUM(G16:G19)</f>
        <v>60025735</v>
      </c>
      <c r="H15" s="981">
        <f ca="1">D15-G15</f>
        <v>5496960</v>
      </c>
      <c r="I15" s="981">
        <f ca="1">0-SUM(I16:I19)</f>
        <v>4122720</v>
      </c>
      <c r="J15" s="981">
        <f>(ROUND(C15/C$20,6)*$J$20)</f>
        <v>7272992.5969846966</v>
      </c>
      <c r="K15" s="981">
        <f ca="1">D15-I15+J15</f>
        <v>68672967.596984699</v>
      </c>
      <c r="L15" s="28">
        <f ca="1">IF(K15=0,0,ROUND((K15-D15)/D15,6))</f>
        <v>4.8078999999999997E-2</v>
      </c>
      <c r="M15" s="976">
        <f ca="1">ROUND((((J15-I15)*(1-FIT))+E15)/C15,8)</f>
        <v>7.8145969999999995E-2</v>
      </c>
      <c r="N15" s="981">
        <f ca="1">J15-I15</f>
        <v>3150272.5969846966</v>
      </c>
    </row>
    <row r="16" spans="1:14">
      <c r="A16" s="333">
        <v>2</v>
      </c>
      <c r="B16" s="332" t="s">
        <v>1287</v>
      </c>
      <c r="C16" s="982">
        <f>'WP FR-16(7)(v)Rate Incr (15.0%)'!C16</f>
        <v>71361395</v>
      </c>
      <c r="D16" s="982">
        <f>'WP FR-16(7)(v)Rate Incr (15.0%)'!D16</f>
        <v>23198247</v>
      </c>
      <c r="E16" s="982">
        <f>'WP FR-16(7)(v)Rate Incr (15.0%)'!E16</f>
        <v>3186790</v>
      </c>
      <c r="F16" s="975">
        <f>IF(C16=0,0,ROUND(E16/C16,6))</f>
        <v>4.4657000000000002E-2</v>
      </c>
      <c r="G16" s="982">
        <f ca="1">ROUND((((F$20*C16)-E16)/(1-FIT)),0)+D16</f>
        <v>23371792</v>
      </c>
      <c r="H16" s="982">
        <f ca="1">D16-G16</f>
        <v>-173545</v>
      </c>
      <c r="I16" s="982">
        <f ca="1">ROUND(H16*$I$11,0)</f>
        <v>-130159</v>
      </c>
      <c r="J16" s="982">
        <f>(ROUND(C16/C$20,6)*$J$20)</f>
        <v>2398365.3800980672</v>
      </c>
      <c r="K16" s="982">
        <f ca="1">D16-I16+J16</f>
        <v>25726771.380098067</v>
      </c>
      <c r="L16" s="28">
        <f ca="1">IF(K16=0,0,ROUND((K16-D16)/D16,6))</f>
        <v>0.108996</v>
      </c>
      <c r="M16" s="976">
        <f ca="1">ROUND((((J16-I16)*(1-FIT))+E16)/C16,8)</f>
        <v>7.2648859999999996E-2</v>
      </c>
      <c r="N16" s="982">
        <f ca="1">J16-I16</f>
        <v>2528524.3800980672</v>
      </c>
    </row>
    <row r="17" spans="1:14">
      <c r="A17" s="333">
        <v>3</v>
      </c>
      <c r="B17" s="332" t="s">
        <v>1288</v>
      </c>
      <c r="C17" s="980">
        <f>'WP FR-16(7)(v)Rate Incr (15.0%)'!C17</f>
        <v>20073132</v>
      </c>
      <c r="D17" s="980">
        <f>'WP FR-16(7)(v)Rate Incr (15.0%)'!D17</f>
        <v>5042683</v>
      </c>
      <c r="E17" s="980">
        <f ca="1">'WP FR-16(7)(v)Rate Incr (15.0%)'!E17</f>
        <v>-3651314</v>
      </c>
      <c r="F17" s="975">
        <f ca="1">IF(C17=0,0,ROUND(E17/C17,6))</f>
        <v>-0.18190100000000001</v>
      </c>
      <c r="G17" s="980">
        <f ca="1">ROUND((((F$20*C17)-E17)/(1-FIT)),0)+D17</f>
        <v>10848108</v>
      </c>
      <c r="H17" s="980">
        <f ca="1">D17-G17</f>
        <v>-5805425</v>
      </c>
      <c r="I17" s="980">
        <f ca="1">ROUND(H17*$I$11,0)</f>
        <v>-4354069</v>
      </c>
      <c r="J17" s="980">
        <f>(ROUND(C17/C$20,6)*$J$20)</f>
        <v>674628.22479292657</v>
      </c>
      <c r="K17" s="980">
        <f ca="1">D17-I17+J17</f>
        <v>10071380.224792928</v>
      </c>
      <c r="L17" s="28">
        <f ca="1">IF(K17=0,0,ROUND((K17-D17)/D17,6))</f>
        <v>0.99722699999999997</v>
      </c>
      <c r="M17" s="976">
        <f ca="1">ROUND((((J17-I17)*(1-FIT))+E17)/C17,8)</f>
        <v>1.6009300000000001E-2</v>
      </c>
      <c r="N17" s="980">
        <f ca="1">J17-I17</f>
        <v>5028697.2247929266</v>
      </c>
    </row>
    <row r="18" spans="1:14">
      <c r="A18" s="333">
        <v>4</v>
      </c>
      <c r="B18" s="332" t="s">
        <v>493</v>
      </c>
      <c r="C18" s="980">
        <f>'WP FR-16(7)(v)Rate Incr (15.0%)'!C18</f>
        <v>5838729</v>
      </c>
      <c r="D18" s="980">
        <f>'WP FR-16(7)(v)Rate Incr (15.0%)'!D18</f>
        <v>1524248</v>
      </c>
      <c r="E18" s="980">
        <f>'WP FR-16(7)(v)Rate Incr (15.0%)'!E18</f>
        <v>652746</v>
      </c>
      <c r="F18" s="975">
        <f>IF(C18=0,0,ROUND(E18/C18,6))</f>
        <v>0.11179600000000001</v>
      </c>
      <c r="G18" s="980">
        <f ca="1">ROUND((((F$20*C18)-E18)/(1-FIT)),0)+D18</f>
        <v>1042238</v>
      </c>
      <c r="H18" s="980">
        <f ca="1">D18-G18</f>
        <v>482010</v>
      </c>
      <c r="I18" s="980">
        <f ca="1">ROUND(H18*$I$11,0)</f>
        <v>361508</v>
      </c>
      <c r="J18" s="980">
        <f>(ROUND(C18/C$20,6)*$J$20)</f>
        <v>196232.86572430632</v>
      </c>
      <c r="K18" s="980">
        <f ca="1">D18-I18+J18</f>
        <v>1358972.8657243063</v>
      </c>
      <c r="L18" s="28">
        <f ca="1">IF(K18=0,0,ROUND((K18-D18)/D18,6))</f>
        <v>-0.108431</v>
      </c>
      <c r="M18" s="976">
        <f ca="1">ROUND((((J18-I18)*(1-FIT))+E18)/C18,8)</f>
        <v>8.9433620000000005E-2</v>
      </c>
      <c r="N18" s="980">
        <f ca="1">J18-I18</f>
        <v>-165275.13427569368</v>
      </c>
    </row>
    <row r="19" spans="1:14">
      <c r="A19" s="333" t="s">
        <v>343</v>
      </c>
      <c r="B19" s="365" t="s">
        <v>343</v>
      </c>
      <c r="C19" s="335" t="s">
        <v>343</v>
      </c>
      <c r="D19" s="335" t="s">
        <v>343</v>
      </c>
      <c r="E19" s="335" t="s">
        <v>343</v>
      </c>
      <c r="F19" s="336" t="s">
        <v>343</v>
      </c>
      <c r="G19" s="337" t="s">
        <v>343</v>
      </c>
      <c r="H19" s="335" t="s">
        <v>343</v>
      </c>
      <c r="I19" s="335" t="s">
        <v>343</v>
      </c>
      <c r="J19" s="335" t="s">
        <v>343</v>
      </c>
      <c r="K19" s="338" t="s">
        <v>343</v>
      </c>
      <c r="L19" s="23" t="s">
        <v>343</v>
      </c>
      <c r="M19" s="976"/>
    </row>
    <row r="20" spans="1:14" ht="13.5" thickBot="1">
      <c r="A20" s="333">
        <v>5</v>
      </c>
      <c r="B20" s="365" t="s">
        <v>494</v>
      </c>
      <c r="C20" s="977">
        <f>SUM(C15:C19)</f>
        <v>313675239</v>
      </c>
      <c r="D20" s="977">
        <f>SUM(D15:D19)</f>
        <v>95287873</v>
      </c>
      <c r="E20" s="977">
        <f ca="1">SUM(E15:E19)</f>
        <v>14610450</v>
      </c>
      <c r="F20" s="978">
        <f ca="1">ROUND(E20/C20,9)</f>
        <v>4.6578269999999998E-2</v>
      </c>
      <c r="G20" s="977">
        <f>D20</f>
        <v>95287873</v>
      </c>
      <c r="H20" s="977">
        <f ca="1">SUM(H15:H19)</f>
        <v>0</v>
      </c>
      <c r="I20" s="977">
        <f ca="1">SUM(I15:I19)</f>
        <v>0</v>
      </c>
      <c r="J20" s="979">
        <f>'WP FR-16(7)(v)Rate Incr (15.0%)'!J20</f>
        <v>10542219.067599997</v>
      </c>
      <c r="K20" s="977">
        <f ca="1">SUM(K15:K19)</f>
        <v>105830092.0676</v>
      </c>
      <c r="L20" s="985">
        <f ca="1">ROUND((K20-D20)/D20,6)</f>
        <v>0.110635</v>
      </c>
      <c r="M20" s="1045">
        <f ca="1">ROUND((((J20-I20)*(1-FIT))+E20)/C20,8)</f>
        <v>7.3129150000000004E-2</v>
      </c>
      <c r="N20" s="979">
        <f ca="1">SUM(N15:N19)</f>
        <v>10542219.067599997</v>
      </c>
    </row>
    <row r="21" spans="1:14" ht="13.5" thickTop="1">
      <c r="B21" s="365"/>
      <c r="C21" s="339"/>
      <c r="D21" s="339"/>
      <c r="E21" s="339"/>
      <c r="F21" s="339"/>
      <c r="G21" s="339"/>
      <c r="H21" s="339"/>
      <c r="I21" s="339"/>
      <c r="J21" s="339" t="s">
        <v>343</v>
      </c>
      <c r="K21" s="339"/>
      <c r="L21" s="339"/>
      <c r="M21" s="339"/>
    </row>
    <row r="25" spans="1:14">
      <c r="B25" s="340" t="s">
        <v>548</v>
      </c>
    </row>
    <row r="26" spans="1:14">
      <c r="A26" s="333">
        <v>6</v>
      </c>
      <c r="B26" s="332" t="s">
        <v>918</v>
      </c>
      <c r="D26" s="1291">
        <f>'FR-16(7)(v)-1 Functional'!F626</f>
        <v>27765</v>
      </c>
      <c r="K26" s="335">
        <f>D26</f>
        <v>27765</v>
      </c>
    </row>
    <row r="27" spans="1:14">
      <c r="A27" s="333">
        <v>7</v>
      </c>
      <c r="B27" s="332" t="s">
        <v>919</v>
      </c>
      <c r="D27" s="1515">
        <v>28032</v>
      </c>
      <c r="K27" s="335">
        <f t="shared" ref="K27:K31" si="0">D27</f>
        <v>28032</v>
      </c>
    </row>
    <row r="28" spans="1:14">
      <c r="A28" s="333">
        <v>8</v>
      </c>
      <c r="B28" s="332" t="s">
        <v>920</v>
      </c>
      <c r="D28" s="1515">
        <v>22068</v>
      </c>
      <c r="K28" s="335">
        <f t="shared" si="0"/>
        <v>22068</v>
      </c>
    </row>
    <row r="29" spans="1:14">
      <c r="A29" s="333">
        <v>9</v>
      </c>
      <c r="B29" s="332" t="s">
        <v>921</v>
      </c>
      <c r="D29" s="1291">
        <f>'FR-16(7)(v)-1 Functional'!F628</f>
        <v>14496</v>
      </c>
      <c r="K29" s="335">
        <f t="shared" si="0"/>
        <v>14496</v>
      </c>
    </row>
    <row r="30" spans="1:14">
      <c r="A30" s="333">
        <v>10</v>
      </c>
      <c r="B30" s="332" t="s">
        <v>1277</v>
      </c>
      <c r="D30" s="1291">
        <v>0</v>
      </c>
      <c r="K30" s="335">
        <f t="shared" si="0"/>
        <v>0</v>
      </c>
    </row>
    <row r="31" spans="1:14">
      <c r="A31" s="333">
        <v>11</v>
      </c>
      <c r="B31" s="332" t="s">
        <v>922</v>
      </c>
      <c r="D31" s="1291">
        <f>'FR-16(7)(v)-1 Functional'!F627</f>
        <v>1896</v>
      </c>
      <c r="K31" s="335">
        <f t="shared" si="0"/>
        <v>1896</v>
      </c>
    </row>
    <row r="32" spans="1:14">
      <c r="A32" s="333">
        <v>12</v>
      </c>
      <c r="B32" s="332" t="s">
        <v>1553</v>
      </c>
      <c r="D32" s="1291">
        <v>0</v>
      </c>
      <c r="K32" s="335">
        <f>D32</f>
        <v>0</v>
      </c>
    </row>
    <row r="33" spans="1:12">
      <c r="A33" s="333">
        <v>13</v>
      </c>
      <c r="B33" s="332" t="s">
        <v>923</v>
      </c>
      <c r="D33" s="1513">
        <f>SUM(D26:D32)</f>
        <v>94257</v>
      </c>
      <c r="K33" s="844">
        <f>SUM(K26:K32)</f>
        <v>94257</v>
      </c>
    </row>
    <row r="34" spans="1:12">
      <c r="A34" s="333"/>
      <c r="B34" s="332" t="s">
        <v>924</v>
      </c>
      <c r="D34" s="353"/>
    </row>
    <row r="35" spans="1:12" ht="13.5" thickBot="1">
      <c r="A35" s="333">
        <v>14</v>
      </c>
      <c r="B35" s="332" t="s">
        <v>925</v>
      </c>
      <c r="D35" s="1514">
        <f>D20+D33</f>
        <v>95382130</v>
      </c>
      <c r="K35" s="967">
        <f ca="1">K20+K33</f>
        <v>105924349.0676</v>
      </c>
      <c r="L35" s="28">
        <f ca="1">ROUND((K35-D35)/D35,6)</f>
        <v>0.110526</v>
      </c>
    </row>
    <row r="36" spans="1:12" ht="13.5" thickTop="1">
      <c r="A36" s="333"/>
      <c r="D36" s="341"/>
    </row>
    <row r="37" spans="1:12">
      <c r="A37" s="333"/>
      <c r="D37" s="335"/>
      <c r="K37" s="335"/>
    </row>
    <row r="38" spans="1:12">
      <c r="A38" s="333"/>
      <c r="D38" s="335"/>
    </row>
    <row r="55" spans="6:6" ht="13.5" thickBot="1">
      <c r="F55" s="979"/>
    </row>
    <row r="56" spans="6:6" ht="13.5" thickTop="1"/>
  </sheetData>
  <phoneticPr fontId="0" type="noConversion"/>
  <pageMargins left="0.75" right="0.75" top="1" bottom="1" header="0.5" footer="0.5"/>
  <pageSetup scale="57" orientation="landscape" r:id="rId1"/>
  <headerFooter alignWithMargins="0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>
    <tabColor rgb="FFFF6600"/>
    <pageSetUpPr fitToPage="1"/>
  </sheetPr>
  <dimension ref="A1:N56"/>
  <sheetViews>
    <sheetView topLeftCell="A4" zoomScale="80" zoomScaleNormal="80" workbookViewId="0">
      <selection activeCell="A13" sqref="A13"/>
    </sheetView>
  </sheetViews>
  <sheetFormatPr defaultColWidth="12.88671875" defaultRowHeight="12.75"/>
  <cols>
    <col min="1" max="1" width="6.21875" style="332" customWidth="1"/>
    <col min="2" max="2" width="15.21875" style="332" customWidth="1"/>
    <col min="3" max="9" width="12.88671875" style="332"/>
    <col min="10" max="10" width="14.44140625" style="332" customWidth="1"/>
    <col min="11" max="11" width="13.33203125" style="332" customWidth="1"/>
    <col min="12" max="16384" width="12.88671875" style="332"/>
  </cols>
  <sheetData>
    <row r="1" spans="1:14">
      <c r="A1" s="332" t="str">
        <f>co_name</f>
        <v>DUKE ENERGY KENTUCKY, INC.</v>
      </c>
      <c r="M1" s="983" t="s">
        <v>1134</v>
      </c>
    </row>
    <row r="2" spans="1:14">
      <c r="A2" s="332" t="str">
        <f>coss_type</f>
        <v xml:space="preserve">GAS COST OF SERVICE STUDY </v>
      </c>
      <c r="M2" s="984" t="s">
        <v>1552</v>
      </c>
    </row>
    <row r="3" spans="1:14">
      <c r="A3" s="332" t="str">
        <f>case_name</f>
        <v>CASE NO: 2018-00261</v>
      </c>
      <c r="M3" s="984" t="s">
        <v>437</v>
      </c>
    </row>
    <row r="4" spans="1:14">
      <c r="A4" s="332" t="s">
        <v>462</v>
      </c>
      <c r="M4" s="984" t="str">
        <f>Witness</f>
        <v>JAMES E. ZIOLKOWSKI</v>
      </c>
    </row>
    <row r="5" spans="1:14">
      <c r="A5" s="332" t="s">
        <v>463</v>
      </c>
      <c r="M5" s="984" t="s">
        <v>1137</v>
      </c>
    </row>
    <row r="8" spans="1:14">
      <c r="G8" s="333" t="s">
        <v>468</v>
      </c>
      <c r="H8" s="965" t="s">
        <v>1116</v>
      </c>
      <c r="I8" s="965" t="s">
        <v>1116</v>
      </c>
    </row>
    <row r="9" spans="1:14">
      <c r="A9" s="333"/>
      <c r="B9" s="333"/>
      <c r="C9" s="333"/>
      <c r="D9" s="333"/>
      <c r="E9" s="333"/>
      <c r="F9" s="333"/>
      <c r="G9" s="333" t="s">
        <v>464</v>
      </c>
      <c r="H9" s="965" t="s">
        <v>1117</v>
      </c>
      <c r="I9" s="965" t="s">
        <v>1117</v>
      </c>
      <c r="J9" s="333" t="s">
        <v>1120</v>
      </c>
      <c r="K9" s="966" t="s">
        <v>1124</v>
      </c>
      <c r="L9" s="333" t="s">
        <v>465</v>
      </c>
      <c r="M9" s="333" t="s">
        <v>466</v>
      </c>
      <c r="N9" s="968" t="s">
        <v>467</v>
      </c>
    </row>
    <row r="10" spans="1:14">
      <c r="A10" s="333"/>
      <c r="B10" s="333"/>
      <c r="C10" s="333"/>
      <c r="D10" s="333" t="s">
        <v>468</v>
      </c>
      <c r="E10" s="333" t="s">
        <v>469</v>
      </c>
      <c r="F10" s="333" t="s">
        <v>468</v>
      </c>
      <c r="G10" s="333" t="s">
        <v>470</v>
      </c>
      <c r="H10" s="333" t="s">
        <v>1118</v>
      </c>
      <c r="I10" s="965" t="s">
        <v>1123</v>
      </c>
      <c r="J10" s="333" t="s">
        <v>1121</v>
      </c>
      <c r="K10" s="986" t="str">
        <f>TEXT(1-I11,"0.00%")&amp;"  Interclass"</f>
        <v>0.00%  Interclass</v>
      </c>
      <c r="L10" s="333" t="s">
        <v>472</v>
      </c>
      <c r="M10" s="333" t="s">
        <v>473</v>
      </c>
      <c r="N10" s="968" t="s">
        <v>1125</v>
      </c>
    </row>
    <row r="11" spans="1:14">
      <c r="A11" s="333" t="s">
        <v>474</v>
      </c>
      <c r="B11" s="333"/>
      <c r="C11" s="333" t="s">
        <v>495</v>
      </c>
      <c r="D11" s="333" t="s">
        <v>464</v>
      </c>
      <c r="E11" s="333" t="s">
        <v>475</v>
      </c>
      <c r="F11" s="333" t="s">
        <v>466</v>
      </c>
      <c r="G11" s="333" t="s">
        <v>466</v>
      </c>
      <c r="H11" s="333" t="s">
        <v>1119</v>
      </c>
      <c r="I11" s="843">
        <v>1</v>
      </c>
      <c r="J11" s="333" t="s">
        <v>1122</v>
      </c>
      <c r="K11" s="987" t="s">
        <v>1117</v>
      </c>
      <c r="L11" s="333" t="s">
        <v>476</v>
      </c>
      <c r="M11" s="333" t="s">
        <v>477</v>
      </c>
      <c r="N11" s="968" t="s">
        <v>1126</v>
      </c>
    </row>
    <row r="12" spans="1:14">
      <c r="A12" s="334" t="s">
        <v>478</v>
      </c>
      <c r="B12" s="334" t="s">
        <v>479</v>
      </c>
      <c r="C12" s="334" t="s">
        <v>480</v>
      </c>
      <c r="D12" s="334" t="s">
        <v>481</v>
      </c>
      <c r="E12" s="334" t="s">
        <v>482</v>
      </c>
      <c r="F12" s="334" t="s">
        <v>483</v>
      </c>
      <c r="G12" s="334" t="s">
        <v>484</v>
      </c>
      <c r="H12" s="334" t="s">
        <v>485</v>
      </c>
      <c r="I12" s="334" t="s">
        <v>486</v>
      </c>
      <c r="J12" s="334" t="s">
        <v>487</v>
      </c>
      <c r="K12" s="334" t="s">
        <v>488</v>
      </c>
      <c r="L12" s="334" t="s">
        <v>489</v>
      </c>
      <c r="M12" s="334" t="s">
        <v>490</v>
      </c>
      <c r="N12" s="969" t="s">
        <v>491</v>
      </c>
    </row>
    <row r="13" spans="1:14" ht="38.25">
      <c r="A13" s="333"/>
      <c r="B13" s="333"/>
      <c r="C13" s="333" t="str">
        <f>'WP FR-16(7)(v)Rate Incr (15.0%)'!C13</f>
        <v>FR-16(7)(v)-8</v>
      </c>
      <c r="D13" s="333" t="str">
        <f>'WP FR-16(7)(v)Rate Incr (15.0%)'!D13</f>
        <v>FR-16(7)(v)-8</v>
      </c>
      <c r="E13" s="333" t="str">
        <f>'WP FR-16(7)(v)Rate Incr (15.0%)'!E13</f>
        <v>WP - Pres NOI</v>
      </c>
      <c r="F13" s="333" t="s">
        <v>492</v>
      </c>
      <c r="G13" s="971" t="s">
        <v>1132</v>
      </c>
      <c r="H13" s="974" t="s">
        <v>1133</v>
      </c>
      <c r="I13" s="333" t="str">
        <f>H12&amp;" * "&amp;TEXT(I11,"0.00%")</f>
        <v>(F) * 100.00%</v>
      </c>
      <c r="J13" s="971" t="s">
        <v>1128</v>
      </c>
      <c r="K13" s="970" t="s">
        <v>1129</v>
      </c>
      <c r="L13" s="972" t="s">
        <v>1130</v>
      </c>
      <c r="M13" s="973" t="s">
        <v>1131</v>
      </c>
      <c r="N13" s="970" t="s">
        <v>1127</v>
      </c>
    </row>
    <row r="15" spans="1:14">
      <c r="A15" s="333">
        <v>1</v>
      </c>
      <c r="B15" s="332" t="s">
        <v>1290</v>
      </c>
      <c r="C15" s="981">
        <f>'WP FR-16(7)(v)Rate Incr (15.0%)'!C15</f>
        <v>216401983</v>
      </c>
      <c r="D15" s="981">
        <f>'WP FR-16(7)(v)Rate Incr (15.0%)'!D15</f>
        <v>65522695</v>
      </c>
      <c r="E15" s="981">
        <f ca="1">'WP FR-16(7)(v)Rate Incr (15.0%)'!E15</f>
        <v>14422228</v>
      </c>
      <c r="F15" s="975">
        <f ca="1">IF(C15=0,0,ROUND(E15/C15,6))</f>
        <v>6.6645999999999997E-2</v>
      </c>
      <c r="G15" s="981">
        <f ca="1">G20-SUM(G16:G19)</f>
        <v>60025735</v>
      </c>
      <c r="H15" s="981">
        <f ca="1">D15-G15</f>
        <v>5496960</v>
      </c>
      <c r="I15" s="981">
        <f ca="1">0-SUM(I16:I19)</f>
        <v>5496960</v>
      </c>
      <c r="J15" s="981">
        <f>(ROUND(C15/C$20,6)*$J$20)</f>
        <v>7272992.5969846966</v>
      </c>
      <c r="K15" s="981">
        <f ca="1">D15-I15+J15</f>
        <v>67298727.596984699</v>
      </c>
      <c r="L15" s="28">
        <f ca="1">IF(K15=0,0,ROUND((K15-D15)/D15,6))</f>
        <v>2.7106000000000002E-2</v>
      </c>
      <c r="M15" s="976">
        <f ca="1">ROUND((((J15-I15)*(1-FIT))+E15)/C15,8)</f>
        <v>7.3129150000000004E-2</v>
      </c>
      <c r="N15" s="981">
        <f ca="1">J15-I15</f>
        <v>1776032.5969846966</v>
      </c>
    </row>
    <row r="16" spans="1:14">
      <c r="A16" s="333">
        <v>2</v>
      </c>
      <c r="B16" s="332" t="s">
        <v>1287</v>
      </c>
      <c r="C16" s="982">
        <f>'WP FR-16(7)(v)Rate Incr (15.0%)'!C16</f>
        <v>71361395</v>
      </c>
      <c r="D16" s="982">
        <f>'WP FR-16(7)(v)Rate Incr (15.0%)'!D16</f>
        <v>23198247</v>
      </c>
      <c r="E16" s="982">
        <f>'WP FR-16(7)(v)Rate Incr (15.0%)'!E16</f>
        <v>3186790</v>
      </c>
      <c r="F16" s="975">
        <f>IF(C16=0,0,ROUND(E16/C16,6))</f>
        <v>4.4657000000000002E-2</v>
      </c>
      <c r="G16" s="982">
        <f ca="1">ROUND((((F$20*C16)-E16)/(1-FIT)),0)+D16</f>
        <v>23371792</v>
      </c>
      <c r="H16" s="982">
        <f ca="1">D16-G16</f>
        <v>-173545</v>
      </c>
      <c r="I16" s="982">
        <f ca="1">ROUND(H16*$I$11,0)</f>
        <v>-173545</v>
      </c>
      <c r="J16" s="982">
        <f>(ROUND(C16/C$20,6)*$J$20)</f>
        <v>2398365.3800980672</v>
      </c>
      <c r="K16" s="982">
        <f ca="1">D16-I16+J16</f>
        <v>25770157.380098067</v>
      </c>
      <c r="L16" s="28">
        <f ca="1">IF(K16=0,0,ROUND((K16-D16)/D16,6))</f>
        <v>0.11086699999999999</v>
      </c>
      <c r="M16" s="976">
        <f ca="1">ROUND((((J16-I16)*(1-FIT))+E16)/C16,8)</f>
        <v>7.3129159999999999E-2</v>
      </c>
      <c r="N16" s="982">
        <f ca="1">J16-I16</f>
        <v>2571910.3800980672</v>
      </c>
    </row>
    <row r="17" spans="1:14">
      <c r="A17" s="333">
        <v>3</v>
      </c>
      <c r="B17" s="332" t="s">
        <v>1288</v>
      </c>
      <c r="C17" s="980">
        <f>'WP FR-16(7)(v)Rate Incr (15.0%)'!C17</f>
        <v>20073132</v>
      </c>
      <c r="D17" s="980">
        <f>'WP FR-16(7)(v)Rate Incr (15.0%)'!D17</f>
        <v>5042683</v>
      </c>
      <c r="E17" s="980">
        <f ca="1">'WP FR-16(7)(v)Rate Incr (15.0%)'!E17</f>
        <v>-3651314</v>
      </c>
      <c r="F17" s="975">
        <f ca="1">IF(C17=0,0,ROUND(E17/C17,6))</f>
        <v>-0.18190100000000001</v>
      </c>
      <c r="G17" s="980">
        <f ca="1">ROUND((((F$20*C17)-E17)/(1-FIT)),0)+D17</f>
        <v>10848108</v>
      </c>
      <c r="H17" s="980">
        <f ca="1">D17-G17</f>
        <v>-5805425</v>
      </c>
      <c r="I17" s="980">
        <f ca="1">ROUND(H17*$I$11,0)</f>
        <v>-5805425</v>
      </c>
      <c r="J17" s="980">
        <f>(ROUND(C17/C$20,6)*$J$20)</f>
        <v>674628.22479292657</v>
      </c>
      <c r="K17" s="980">
        <f ca="1">D17-I17+J17</f>
        <v>11522736.224792928</v>
      </c>
      <c r="L17" s="28">
        <f ca="1">IF(K17=0,0,ROUND((K17-D17)/D17,6))</f>
        <v>1.2850410000000001</v>
      </c>
      <c r="M17" s="976">
        <f ca="1">ROUND((((J17-I17)*(1-FIT))+E17)/C17,8)</f>
        <v>7.3129E-2</v>
      </c>
      <c r="N17" s="980">
        <f ca="1">J17-I17</f>
        <v>6480053.2247929266</v>
      </c>
    </row>
    <row r="18" spans="1:14">
      <c r="A18" s="333">
        <v>4</v>
      </c>
      <c r="B18" s="332" t="s">
        <v>493</v>
      </c>
      <c r="C18" s="980">
        <f>'WP FR-16(7)(v)Rate Incr (15.0%)'!C18</f>
        <v>5838729</v>
      </c>
      <c r="D18" s="980">
        <f>'WP FR-16(7)(v)Rate Incr (15.0%)'!D18</f>
        <v>1524248</v>
      </c>
      <c r="E18" s="980">
        <f>'WP FR-16(7)(v)Rate Incr (15.0%)'!E18</f>
        <v>652746</v>
      </c>
      <c r="F18" s="975">
        <f>IF(C18=0,0,ROUND(E18/C18,6))</f>
        <v>0.11179600000000001</v>
      </c>
      <c r="G18" s="980">
        <f ca="1">ROUND((((F$20*C18)-E18)/(1-FIT)),0)+D18</f>
        <v>1042238</v>
      </c>
      <c r="H18" s="980">
        <f ca="1">D18-G18</f>
        <v>482010</v>
      </c>
      <c r="I18" s="980">
        <f ca="1">ROUND(H18*$I$11,0)</f>
        <v>482010</v>
      </c>
      <c r="J18" s="980">
        <f>(ROUND(C18/C$20,6)*$J$20)</f>
        <v>196232.86572430632</v>
      </c>
      <c r="K18" s="980">
        <f ca="1">D18-I18+J18</f>
        <v>1238470.8657243063</v>
      </c>
      <c r="L18" s="28">
        <f ca="1">IF(K18=0,0,ROUND((K18-D18)/D18,6))</f>
        <v>-0.18748699999999999</v>
      </c>
      <c r="M18" s="976">
        <f ca="1">ROUND((((J18-I18)*(1-FIT))+E18)/C18,8)</f>
        <v>7.3129280000000005E-2</v>
      </c>
      <c r="N18" s="980">
        <f ca="1">J18-I18</f>
        <v>-285777.13427569368</v>
      </c>
    </row>
    <row r="19" spans="1:14">
      <c r="A19" s="333" t="s">
        <v>343</v>
      </c>
      <c r="B19" s="365" t="s">
        <v>343</v>
      </c>
      <c r="C19" s="335" t="s">
        <v>343</v>
      </c>
      <c r="D19" s="335" t="s">
        <v>343</v>
      </c>
      <c r="E19" s="335" t="s">
        <v>343</v>
      </c>
      <c r="F19" s="336" t="s">
        <v>343</v>
      </c>
      <c r="G19" s="337" t="s">
        <v>343</v>
      </c>
      <c r="H19" s="335" t="s">
        <v>343</v>
      </c>
      <c r="I19" s="335" t="s">
        <v>343</v>
      </c>
      <c r="J19" s="335" t="s">
        <v>343</v>
      </c>
      <c r="K19" s="338" t="s">
        <v>343</v>
      </c>
      <c r="L19" s="23" t="s">
        <v>343</v>
      </c>
      <c r="M19" s="976"/>
    </row>
    <row r="20" spans="1:14" ht="13.5" thickBot="1">
      <c r="A20" s="333">
        <v>5</v>
      </c>
      <c r="B20" s="365" t="s">
        <v>494</v>
      </c>
      <c r="C20" s="977">
        <f>SUM(C15:C19)</f>
        <v>313675239</v>
      </c>
      <c r="D20" s="977">
        <f>SUM(D15:D19)</f>
        <v>95287873</v>
      </c>
      <c r="E20" s="977">
        <f ca="1">SUM(E15:E19)</f>
        <v>14610450</v>
      </c>
      <c r="F20" s="978">
        <f ca="1">ROUND(E20/C20,9)</f>
        <v>4.6578269999999998E-2</v>
      </c>
      <c r="G20" s="977">
        <f>D20</f>
        <v>95287873</v>
      </c>
      <c r="H20" s="977">
        <f ca="1">SUM(H15:H19)</f>
        <v>0</v>
      </c>
      <c r="I20" s="977">
        <f ca="1">SUM(I15:I19)</f>
        <v>0</v>
      </c>
      <c r="J20" s="979">
        <f>'WP FR-16(7)(v)Rate Incr (15.0%)'!J20</f>
        <v>10542219.067599997</v>
      </c>
      <c r="K20" s="977">
        <f ca="1">SUM(K15:K19)</f>
        <v>105830092.0676</v>
      </c>
      <c r="L20" s="985">
        <f ca="1">ROUND((K20-D20)/D20,6)</f>
        <v>0.110635</v>
      </c>
      <c r="M20" s="1045">
        <f ca="1">ROUND((((J20-I20)*(1-FIT))+E20)/C20,8)</f>
        <v>7.3129150000000004E-2</v>
      </c>
      <c r="N20" s="979">
        <f ca="1">SUM(N15:N19)</f>
        <v>10542219.067599997</v>
      </c>
    </row>
    <row r="21" spans="1:14" ht="13.5" thickTop="1">
      <c r="B21" s="365"/>
      <c r="C21" s="339"/>
      <c r="D21" s="339"/>
      <c r="E21" s="339"/>
      <c r="F21" s="339"/>
      <c r="G21" s="339"/>
      <c r="H21" s="339"/>
      <c r="I21" s="339"/>
      <c r="J21" s="339" t="s">
        <v>343</v>
      </c>
      <c r="K21" s="339"/>
      <c r="L21" s="339"/>
      <c r="M21" s="339"/>
    </row>
    <row r="25" spans="1:14">
      <c r="B25" s="340" t="s">
        <v>548</v>
      </c>
    </row>
    <row r="26" spans="1:14">
      <c r="A26" s="333">
        <v>6</v>
      </c>
      <c r="B26" s="332" t="s">
        <v>918</v>
      </c>
      <c r="D26" s="1291">
        <f>'FR-16(7)(v)-1 Functional'!F626</f>
        <v>27765</v>
      </c>
      <c r="K26" s="335">
        <f>D26</f>
        <v>27765</v>
      </c>
    </row>
    <row r="27" spans="1:14">
      <c r="A27" s="333">
        <v>7</v>
      </c>
      <c r="B27" s="332" t="s">
        <v>919</v>
      </c>
      <c r="D27" s="1515">
        <v>28032</v>
      </c>
      <c r="K27" s="335">
        <f t="shared" ref="K27:K31" si="0">D27</f>
        <v>28032</v>
      </c>
    </row>
    <row r="28" spans="1:14">
      <c r="A28" s="333">
        <v>8</v>
      </c>
      <c r="B28" s="332" t="s">
        <v>920</v>
      </c>
      <c r="D28" s="1515">
        <v>22068</v>
      </c>
      <c r="K28" s="335">
        <f t="shared" si="0"/>
        <v>22068</v>
      </c>
    </row>
    <row r="29" spans="1:14">
      <c r="A29" s="333">
        <v>9</v>
      </c>
      <c r="B29" s="332" t="s">
        <v>921</v>
      </c>
      <c r="D29" s="1291">
        <f>'FR-16(7)(v)-1 Functional'!F628</f>
        <v>14496</v>
      </c>
      <c r="K29" s="335">
        <f t="shared" si="0"/>
        <v>14496</v>
      </c>
    </row>
    <row r="30" spans="1:14">
      <c r="A30" s="333">
        <v>10</v>
      </c>
      <c r="B30" s="332" t="s">
        <v>1277</v>
      </c>
      <c r="D30" s="1291">
        <v>0</v>
      </c>
      <c r="K30" s="335">
        <f t="shared" si="0"/>
        <v>0</v>
      </c>
    </row>
    <row r="31" spans="1:14">
      <c r="A31" s="333">
        <v>11</v>
      </c>
      <c r="B31" s="332" t="s">
        <v>922</v>
      </c>
      <c r="D31" s="1291">
        <f>'FR-16(7)(v)-1 Functional'!F627</f>
        <v>1896</v>
      </c>
      <c r="K31" s="335">
        <f t="shared" si="0"/>
        <v>1896</v>
      </c>
    </row>
    <row r="32" spans="1:14">
      <c r="A32" s="333">
        <v>12</v>
      </c>
      <c r="B32" s="332" t="s">
        <v>1553</v>
      </c>
      <c r="D32" s="1291">
        <v>0</v>
      </c>
      <c r="K32" s="335">
        <f>D32</f>
        <v>0</v>
      </c>
    </row>
    <row r="33" spans="1:12">
      <c r="A33" s="333">
        <v>13</v>
      </c>
      <c r="B33" s="332" t="s">
        <v>923</v>
      </c>
      <c r="D33" s="1513">
        <f>SUM(D26:D32)</f>
        <v>94257</v>
      </c>
      <c r="K33" s="844">
        <f>SUM(K26:K32)</f>
        <v>94257</v>
      </c>
    </row>
    <row r="34" spans="1:12">
      <c r="A34" s="333"/>
      <c r="B34" s="332" t="s">
        <v>924</v>
      </c>
      <c r="D34" s="353"/>
    </row>
    <row r="35" spans="1:12" ht="13.5" thickBot="1">
      <c r="A35" s="333">
        <v>14</v>
      </c>
      <c r="B35" s="332" t="s">
        <v>925</v>
      </c>
      <c r="D35" s="1514">
        <f>D20+D33</f>
        <v>95382130</v>
      </c>
      <c r="K35" s="967">
        <f ca="1">K20+K33</f>
        <v>105924349.0676</v>
      </c>
      <c r="L35" s="28">
        <f ca="1">ROUND((K35-D35)/D35,6)</f>
        <v>0.110526</v>
      </c>
    </row>
    <row r="36" spans="1:12" ht="13.5" thickTop="1">
      <c r="A36" s="333"/>
      <c r="D36" s="341"/>
    </row>
    <row r="37" spans="1:12">
      <c r="A37" s="333"/>
      <c r="D37" s="335"/>
      <c r="K37" s="335"/>
    </row>
    <row r="38" spans="1:12">
      <c r="A38" s="333"/>
      <c r="D38" s="335"/>
    </row>
    <row r="50" spans="4:7">
      <c r="D50" s="332">
        <v>162300799</v>
      </c>
      <c r="E50" s="332">
        <f>ROUND(D50/$D$55,9)</f>
        <v>0.670947407</v>
      </c>
      <c r="F50" s="332">
        <f>ROUND($F$55*E50,0)</f>
        <v>29929528</v>
      </c>
      <c r="G50" s="332">
        <f>F50+D50</f>
        <v>192230327</v>
      </c>
    </row>
    <row r="51" spans="4:7">
      <c r="D51" s="332">
        <v>28276817</v>
      </c>
      <c r="E51" s="332">
        <f>ROUND(D51/$D$55,9)</f>
        <v>0.116895648</v>
      </c>
      <c r="F51" s="332">
        <f>ROUND($F$55*E51,0)</f>
        <v>5214465</v>
      </c>
      <c r="G51" s="332">
        <f>F51+D51</f>
        <v>33491282</v>
      </c>
    </row>
    <row r="52" spans="4:7">
      <c r="D52" s="332">
        <v>39119284</v>
      </c>
      <c r="E52" s="332">
        <f>ROUND(D52/$D$55,9)</f>
        <v>0.16171813299999999</v>
      </c>
      <c r="F52" s="332">
        <f>ROUND($F$55*E52,0)</f>
        <v>7213900</v>
      </c>
      <c r="G52" s="332">
        <f>F52+D52</f>
        <v>46333184</v>
      </c>
    </row>
    <row r="53" spans="4:7">
      <c r="D53" s="332">
        <v>12201045</v>
      </c>
      <c r="E53" s="332">
        <f>ROUND(D53/$D$55,9)</f>
        <v>5.0438812E-2</v>
      </c>
      <c r="F53" s="332">
        <f>ROUND($F$55*E53,0)</f>
        <v>2249967</v>
      </c>
      <c r="G53" s="332">
        <f>F53+D53</f>
        <v>14451012</v>
      </c>
    </row>
    <row r="54" spans="4:7">
      <c r="D54" s="332" t="s">
        <v>343</v>
      </c>
    </row>
    <row r="55" spans="4:7" ht="13.5" thickBot="1">
      <c r="D55" s="332">
        <v>241897945</v>
      </c>
      <c r="E55" s="332">
        <f>SUM(E50:E53)</f>
        <v>0.99999999999999989</v>
      </c>
      <c r="F55" s="979">
        <v>44607860</v>
      </c>
    </row>
    <row r="56" spans="4:7" ht="13.5" thickTop="1"/>
  </sheetData>
  <phoneticPr fontId="0" type="noConversion"/>
  <pageMargins left="0.75" right="0.75" top="1" bottom="1" header="0.5" footer="0.5"/>
  <pageSetup scale="56" orientation="landscape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4" tint="0.59999389629810485"/>
    <pageSetUpPr fitToPage="1"/>
  </sheetPr>
  <dimension ref="A1:N40"/>
  <sheetViews>
    <sheetView zoomScale="80" zoomScaleNormal="80" workbookViewId="0">
      <selection activeCell="A2" sqref="A2"/>
    </sheetView>
  </sheetViews>
  <sheetFormatPr defaultRowHeight="15"/>
  <cols>
    <col min="1" max="1" width="5.44140625" customWidth="1"/>
    <col min="2" max="2" width="45.77734375" customWidth="1"/>
    <col min="3" max="3" width="15.77734375" customWidth="1"/>
    <col min="4" max="4" width="1.5546875" style="215" customWidth="1"/>
    <col min="5" max="5" width="15.77734375" customWidth="1"/>
    <col min="6" max="6" width="1.5546875" style="215" customWidth="1"/>
    <col min="7" max="7" width="15.77734375" customWidth="1"/>
    <col min="8" max="8" width="1.5546875" style="215" customWidth="1"/>
    <col min="9" max="9" width="15.77734375" customWidth="1"/>
  </cols>
  <sheetData>
    <row r="1" spans="1:14">
      <c r="A1" s="990" t="str">
        <f>co_name</f>
        <v>DUKE ENERGY KENTUCKY, INC.</v>
      </c>
      <c r="B1" s="990"/>
      <c r="C1" s="990"/>
      <c r="D1" s="990"/>
      <c r="E1" s="990"/>
      <c r="F1" s="990"/>
      <c r="G1" s="990"/>
      <c r="H1" s="990"/>
      <c r="I1" s="990"/>
    </row>
    <row r="2" spans="1:14">
      <c r="A2" s="990" t="str">
        <f>case_name</f>
        <v>CASE NO: 2018-00261</v>
      </c>
      <c r="B2" s="990"/>
      <c r="C2" s="990"/>
      <c r="D2" s="990"/>
      <c r="E2" s="990"/>
      <c r="F2" s="990"/>
      <c r="G2" s="990"/>
      <c r="H2" s="990"/>
      <c r="I2" s="990"/>
    </row>
    <row r="3" spans="1:14">
      <c r="A3" s="990" t="s">
        <v>1138</v>
      </c>
      <c r="B3" s="990"/>
      <c r="C3" s="990"/>
      <c r="D3" s="990"/>
      <c r="E3" s="990"/>
      <c r="F3" s="990"/>
      <c r="G3" s="990"/>
      <c r="H3" s="990"/>
      <c r="I3" s="990"/>
    </row>
    <row r="4" spans="1:14">
      <c r="A4" s="990" t="str">
        <f>test_period</f>
        <v>TWELVE MONTHS ENDING MARCH 31, 2020</v>
      </c>
      <c r="B4" s="990"/>
      <c r="C4" s="990"/>
      <c r="D4" s="990"/>
      <c r="E4" s="990"/>
      <c r="F4" s="990"/>
      <c r="G4" s="990"/>
      <c r="H4" s="990"/>
      <c r="I4" s="990"/>
    </row>
    <row r="5" spans="1:14">
      <c r="A5" s="215"/>
      <c r="B5" s="215"/>
      <c r="C5" s="215"/>
      <c r="E5" s="215"/>
      <c r="G5" s="215"/>
      <c r="I5" s="215"/>
    </row>
    <row r="6" spans="1:14">
      <c r="A6" s="215"/>
      <c r="B6" s="215"/>
      <c r="C6" s="215"/>
      <c r="E6" s="215"/>
      <c r="G6" s="215"/>
      <c r="I6" s="215"/>
    </row>
    <row r="7" spans="1:14">
      <c r="A7" s="215" t="str">
        <f>data_filing</f>
        <v>DATA: 12 MONTH FORECASTED PERIOD</v>
      </c>
      <c r="B7" s="215"/>
      <c r="C7" s="215"/>
      <c r="E7" s="215"/>
      <c r="G7" s="215" t="s">
        <v>1537</v>
      </c>
      <c r="I7" s="215"/>
    </row>
    <row r="8" spans="1:14">
      <c r="A8" s="215" t="str">
        <f>type</f>
        <v xml:space="preserve">TYPE OF FILING: "X" ORIGINAL   UPDATED    REVISED  </v>
      </c>
      <c r="B8" s="215"/>
      <c r="C8" s="215"/>
      <c r="E8" s="215"/>
      <c r="G8" s="193" t="s">
        <v>1147</v>
      </c>
      <c r="H8" s="991"/>
      <c r="I8" s="215"/>
    </row>
    <row r="9" spans="1:14">
      <c r="A9" s="991" t="s">
        <v>1146</v>
      </c>
      <c r="B9" s="215"/>
      <c r="C9" s="215"/>
      <c r="E9" s="215"/>
      <c r="G9" s="215" t="s">
        <v>437</v>
      </c>
      <c r="I9" s="215"/>
    </row>
    <row r="10" spans="1:14">
      <c r="A10" s="215"/>
      <c r="B10" s="215"/>
      <c r="C10" s="215"/>
      <c r="E10" s="215"/>
      <c r="G10" s="215" t="str">
        <f>Witness1</f>
        <v>BRUCE L. SAILERS</v>
      </c>
      <c r="I10" s="215"/>
    </row>
    <row r="11" spans="1:14">
      <c r="A11" s="215"/>
      <c r="B11" s="215"/>
      <c r="C11" s="215"/>
      <c r="E11" s="215"/>
      <c r="G11" s="215"/>
      <c r="I11" s="215"/>
      <c r="K11" s="215"/>
      <c r="L11" s="215"/>
      <c r="M11" s="215"/>
      <c r="N11" s="215"/>
    </row>
    <row r="12" spans="1:14" s="215" customFormat="1"/>
    <row r="13" spans="1:14" s="215" customFormat="1">
      <c r="A13" s="999"/>
      <c r="B13" s="999"/>
      <c r="C13" s="1003" t="s">
        <v>924</v>
      </c>
      <c r="D13" s="1003"/>
      <c r="E13" s="1003" t="s">
        <v>924</v>
      </c>
      <c r="F13" s="1003"/>
      <c r="G13" s="1004" t="s">
        <v>924</v>
      </c>
      <c r="H13" s="1004"/>
      <c r="I13" s="1005" t="s">
        <v>370</v>
      </c>
    </row>
    <row r="14" spans="1:14">
      <c r="A14" s="998" t="s">
        <v>914</v>
      </c>
      <c r="B14" s="998"/>
      <c r="C14" s="1006" t="s">
        <v>773</v>
      </c>
      <c r="D14" s="1006"/>
      <c r="E14" s="1006" t="s">
        <v>1282</v>
      </c>
      <c r="F14" s="1006"/>
      <c r="G14" s="1006" t="s">
        <v>984</v>
      </c>
      <c r="H14" s="1006"/>
      <c r="I14" s="1006" t="s">
        <v>549</v>
      </c>
      <c r="K14" s="215"/>
      <c r="L14" s="215"/>
      <c r="M14" s="215"/>
      <c r="N14" s="215"/>
    </row>
    <row r="15" spans="1:14">
      <c r="A15" s="989" t="s">
        <v>915</v>
      </c>
      <c r="B15" s="989" t="s">
        <v>1139</v>
      </c>
      <c r="C15" s="1007" t="s">
        <v>338</v>
      </c>
      <c r="D15" s="1007"/>
      <c r="E15" s="1007" t="s">
        <v>405</v>
      </c>
      <c r="F15" s="1007"/>
      <c r="G15" s="1007" t="s">
        <v>1283</v>
      </c>
      <c r="H15" s="1007"/>
      <c r="I15" s="1007" t="s">
        <v>550</v>
      </c>
      <c r="K15" s="215"/>
      <c r="L15" s="215"/>
      <c r="M15" s="215"/>
      <c r="N15" s="215"/>
    </row>
    <row r="16" spans="1:14">
      <c r="A16" s="215"/>
      <c r="B16" s="215"/>
      <c r="C16" s="215"/>
      <c r="E16" s="215"/>
      <c r="G16" s="215"/>
      <c r="K16" s="215"/>
      <c r="L16" s="215"/>
      <c r="M16" s="215"/>
      <c r="N16" s="215"/>
    </row>
    <row r="17" spans="1:14">
      <c r="A17" s="988">
        <v>1</v>
      </c>
      <c r="B17" s="215" t="s">
        <v>495</v>
      </c>
      <c r="C17" s="993">
        <f>'FR-16(7)(v)-6 DISTR Cust Alloc'!$G$15</f>
        <v>117777731</v>
      </c>
      <c r="D17" s="1000"/>
      <c r="E17" s="993">
        <f>'FR-16(7)(v)-6 DISTR Cust Alloc'!$H$15</f>
        <v>18057902</v>
      </c>
      <c r="F17" s="1000"/>
      <c r="G17" s="993">
        <f>'FR-16(7)(v)-6 DISTR Cust Alloc'!$I$15</f>
        <v>478425</v>
      </c>
      <c r="H17" s="1000"/>
      <c r="I17" s="993">
        <f>'FR-16(7)(v)-6 DISTR Cust Alloc'!$J$15</f>
        <v>516969</v>
      </c>
      <c r="K17" s="215"/>
      <c r="L17" s="215"/>
      <c r="M17" s="215"/>
      <c r="N17" s="215"/>
    </row>
    <row r="18" spans="1:14">
      <c r="A18" s="988"/>
      <c r="B18" s="215"/>
      <c r="D18" s="3"/>
      <c r="E18" s="215"/>
      <c r="F18" s="3"/>
      <c r="G18" s="215"/>
      <c r="H18" s="3"/>
      <c r="I18" s="215"/>
      <c r="K18" s="215"/>
      <c r="L18" s="215"/>
      <c r="M18" s="215"/>
      <c r="N18" s="215"/>
    </row>
    <row r="19" spans="1:14">
      <c r="A19" s="988">
        <v>2</v>
      </c>
      <c r="B19" s="215" t="s">
        <v>1140</v>
      </c>
      <c r="C19" s="992">
        <f>'FR-16(7)(v)-6 DISTR Cust Alloc'!$G$24</f>
        <v>18932251</v>
      </c>
      <c r="D19" s="1000"/>
      <c r="E19" s="992">
        <f>'FR-16(7)(v)-6 DISTR Cust Alloc'!$H$24</f>
        <v>3059224</v>
      </c>
      <c r="F19" s="1000"/>
      <c r="G19" s="992">
        <f>'FR-16(7)(v)-6 DISTR Cust Alloc'!$I$24</f>
        <v>200188</v>
      </c>
      <c r="H19" s="1000"/>
      <c r="I19" s="992">
        <f>'FR-16(7)(v)-6 DISTR Cust Alloc'!$J$24</f>
        <v>93810</v>
      </c>
    </row>
    <row r="20" spans="1:14">
      <c r="A20" s="988"/>
      <c r="B20" s="215"/>
      <c r="D20" s="3"/>
      <c r="E20" s="215"/>
      <c r="F20" s="3"/>
      <c r="G20" s="215"/>
      <c r="H20" s="3"/>
      <c r="I20" s="215"/>
    </row>
    <row r="21" spans="1:14">
      <c r="A21" s="988">
        <v>3</v>
      </c>
      <c r="B21" s="215" t="str">
        <f>"Return @ "&amp;TEXT(RofR,"0.00%")</f>
        <v>Return @ 7.18%</v>
      </c>
      <c r="C21" s="993">
        <f>'FR-16(7)(v)-6 DISTR Cust Alloc'!$G$26</f>
        <v>8457618</v>
      </c>
      <c r="D21" s="1000"/>
      <c r="E21" s="993">
        <f>'FR-16(7)(v)-6 DISTR Cust Alloc'!$H$26</f>
        <v>1296738</v>
      </c>
      <c r="F21" s="1000"/>
      <c r="G21" s="993">
        <f>'FR-16(7)(v)-6 DISTR Cust Alloc'!$I$26</f>
        <v>34356</v>
      </c>
      <c r="H21" s="1000"/>
      <c r="I21" s="993">
        <f>'FR-16(7)(v)-6 DISTR Cust Alloc'!$J$26</f>
        <v>37124</v>
      </c>
    </row>
    <row r="22" spans="1:14">
      <c r="A22" s="988"/>
      <c r="B22" s="215"/>
      <c r="D22" s="3"/>
      <c r="E22" s="215"/>
      <c r="F22" s="3"/>
      <c r="G22" s="215"/>
      <c r="H22" s="3"/>
      <c r="I22" s="215"/>
    </row>
    <row r="23" spans="1:14">
      <c r="A23" s="988">
        <v>4</v>
      </c>
      <c r="B23" s="215" t="s">
        <v>1141</v>
      </c>
      <c r="C23" s="992">
        <f>C19+C21</f>
        <v>27389869</v>
      </c>
      <c r="D23" s="1000"/>
      <c r="E23" s="992">
        <f>E19+E21</f>
        <v>4355962</v>
      </c>
      <c r="F23" s="1000"/>
      <c r="G23" s="992">
        <f>G19+G21</f>
        <v>234544</v>
      </c>
      <c r="H23" s="1000"/>
      <c r="I23" s="992">
        <f>I19+I21</f>
        <v>130934</v>
      </c>
    </row>
    <row r="24" spans="1:14">
      <c r="A24" s="988"/>
      <c r="B24" s="215"/>
      <c r="D24" s="3"/>
      <c r="E24" s="215"/>
      <c r="F24" s="3"/>
      <c r="G24" s="215"/>
      <c r="H24" s="3"/>
      <c r="I24" s="215"/>
    </row>
    <row r="25" spans="1:14">
      <c r="A25" s="988">
        <v>5</v>
      </c>
      <c r="B25" s="215" t="s">
        <v>1142</v>
      </c>
      <c r="C25" s="992">
        <f>-'FR-16(7)(v)-6 DISTR Cust Alloc'!$G$27</f>
        <v>66630</v>
      </c>
      <c r="D25" s="1000"/>
      <c r="E25" s="992">
        <f>-'FR-16(7)(v)-6 DISTR Cust Alloc'!$H$27</f>
        <v>6449</v>
      </c>
      <c r="F25" s="1000"/>
      <c r="G25" s="992">
        <f>-'FR-16(7)(v)-6 DISTR Cust Alloc'!$I$27</f>
        <v>229</v>
      </c>
      <c r="H25" s="1000"/>
      <c r="I25" s="992">
        <f>-'FR-16(7)(v)-6 DISTR Cust Alloc'!$J$27</f>
        <v>91</v>
      </c>
    </row>
    <row r="26" spans="1:14">
      <c r="A26" s="988"/>
      <c r="B26" s="215"/>
      <c r="D26" s="3"/>
      <c r="E26" s="215"/>
      <c r="F26" s="3"/>
      <c r="G26" s="215"/>
      <c r="H26" s="3"/>
      <c r="I26" s="215"/>
    </row>
    <row r="27" spans="1:14">
      <c r="A27" s="988">
        <v>6</v>
      </c>
      <c r="B27" s="215" t="s">
        <v>1143</v>
      </c>
      <c r="C27" s="992">
        <f>C23-C25</f>
        <v>27323239</v>
      </c>
      <c r="D27" s="1000"/>
      <c r="E27" s="992">
        <f>E23-E25</f>
        <v>4349513</v>
      </c>
      <c r="F27" s="1000"/>
      <c r="G27" s="992">
        <f>G23-G25</f>
        <v>234315</v>
      </c>
      <c r="H27" s="1000"/>
      <c r="I27" s="992">
        <f>I23-I25</f>
        <v>130843</v>
      </c>
    </row>
    <row r="28" spans="1:14">
      <c r="A28" s="988"/>
      <c r="B28" s="215"/>
      <c r="D28" s="3"/>
      <c r="E28" s="215"/>
      <c r="F28" s="3"/>
      <c r="G28" s="215"/>
      <c r="H28" s="3"/>
      <c r="I28" s="215"/>
    </row>
    <row r="29" spans="1:14">
      <c r="A29" s="988">
        <v>7</v>
      </c>
      <c r="B29" s="215" t="s">
        <v>774</v>
      </c>
      <c r="C29" s="994">
        <f>'Alloc Factors Summary'!$D$60</f>
        <v>91382</v>
      </c>
      <c r="D29" s="1001"/>
      <c r="E29" s="994">
        <f>'Alloc Factors Summary'!$D$61</f>
        <v>6943</v>
      </c>
      <c r="F29" s="1001"/>
      <c r="G29" s="994">
        <f>'Alloc Factors Summary'!$D$62</f>
        <v>95</v>
      </c>
      <c r="H29" s="1001"/>
      <c r="I29" s="994">
        <f>'Alloc Factors Summary'!$D$63</f>
        <v>22</v>
      </c>
    </row>
    <row r="30" spans="1:14">
      <c r="A30" s="988"/>
      <c r="B30" s="215"/>
      <c r="D30" s="3"/>
      <c r="E30" s="215"/>
      <c r="F30" s="3"/>
      <c r="G30" s="215"/>
      <c r="H30" s="3"/>
      <c r="I30" s="215"/>
    </row>
    <row r="31" spans="1:14">
      <c r="A31" s="988">
        <v>8</v>
      </c>
      <c r="B31" s="215" t="s">
        <v>1144</v>
      </c>
      <c r="C31" s="995">
        <f>ROUND(C27/C29,2)</f>
        <v>299</v>
      </c>
      <c r="D31" s="1002"/>
      <c r="E31" s="995">
        <f>ROUND(E27/E29,2)</f>
        <v>626.46</v>
      </c>
      <c r="F31" s="1002"/>
      <c r="G31" s="995">
        <f>ROUND(G27/G29,2)</f>
        <v>2466.4699999999998</v>
      </c>
      <c r="H31" s="1002"/>
      <c r="I31" s="995">
        <f>ROUND(I27/I29,2)</f>
        <v>5947.41</v>
      </c>
    </row>
    <row r="32" spans="1:14">
      <c r="A32" s="988"/>
      <c r="B32" s="215"/>
      <c r="D32" s="3"/>
      <c r="E32" s="215"/>
      <c r="F32" s="3"/>
      <c r="G32" s="215"/>
      <c r="H32" s="3"/>
      <c r="I32" s="215"/>
    </row>
    <row r="33" spans="1:9" ht="15.75" thickBot="1">
      <c r="A33" s="988">
        <v>9</v>
      </c>
      <c r="B33" s="215" t="s">
        <v>1145</v>
      </c>
      <c r="C33" s="996">
        <f>ROUND(C31/12,2)</f>
        <v>24.92</v>
      </c>
      <c r="D33" s="1002"/>
      <c r="E33" s="996">
        <f>ROUND(E31/12,2)</f>
        <v>52.21</v>
      </c>
      <c r="F33" s="1002"/>
      <c r="G33" s="996">
        <f>ROUND(G31/12,2)</f>
        <v>205.54</v>
      </c>
      <c r="H33" s="1002"/>
      <c r="I33" s="996">
        <f>ROUND(I31/12,2)</f>
        <v>495.62</v>
      </c>
    </row>
    <row r="34" spans="1:9" ht="15.75" thickTop="1">
      <c r="F34" s="3"/>
      <c r="H34" s="3"/>
    </row>
    <row r="38" spans="1:9">
      <c r="E38" s="215"/>
      <c r="G38" s="215"/>
      <c r="I38" s="215"/>
    </row>
    <row r="39" spans="1:9">
      <c r="C39" s="215"/>
      <c r="E39" s="215"/>
      <c r="G39" s="215"/>
      <c r="I39" s="215"/>
    </row>
    <row r="40" spans="1:9">
      <c r="C40" s="215"/>
      <c r="E40" s="215"/>
      <c r="G40" s="215"/>
      <c r="I40" s="215"/>
    </row>
  </sheetData>
  <pageMargins left="1" right="1" top="1" bottom="1" header="0" footer="0"/>
  <pageSetup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>
    <tabColor rgb="FFFF0000"/>
    <pageSetUpPr fitToPage="1"/>
  </sheetPr>
  <dimension ref="A1:T899"/>
  <sheetViews>
    <sheetView zoomScale="80" zoomScaleNormal="80" zoomScaleSheetLayoutView="70" workbookViewId="0"/>
  </sheetViews>
  <sheetFormatPr defaultColWidth="8.77734375" defaultRowHeight="12.75"/>
  <cols>
    <col min="1" max="1" width="6.44140625" style="332" customWidth="1"/>
    <col min="2" max="2" width="3.5546875" style="332" customWidth="1"/>
    <col min="3" max="3" width="41.5546875" style="332" customWidth="1"/>
    <col min="4" max="4" width="7.5546875" style="333" customWidth="1"/>
    <col min="5" max="5" width="8.77734375" style="332" customWidth="1"/>
    <col min="6" max="8" width="11.88671875" style="332" customWidth="1"/>
    <col min="9" max="9" width="13" style="332" customWidth="1"/>
    <col min="10" max="11" width="11.88671875" style="332" customWidth="1"/>
    <col min="12" max="12" width="8.77734375" style="332"/>
    <col min="13" max="13" width="11.77734375" style="332" customWidth="1"/>
    <col min="14" max="14" width="11" style="332" customWidth="1"/>
    <col min="15" max="15" width="8.77734375" style="332"/>
    <col min="16" max="16" width="21.21875" style="332" customWidth="1"/>
    <col min="17" max="17" width="10.44140625" style="332" bestFit="1" customWidth="1"/>
    <col min="18" max="16384" width="8.77734375" style="332"/>
  </cols>
  <sheetData>
    <row r="1" spans="1:11">
      <c r="A1" s="343" t="str">
        <f>co_name</f>
        <v>DUKE ENERGY KENTUCKY, INC.</v>
      </c>
      <c r="C1" s="196"/>
      <c r="D1" s="344"/>
      <c r="E1" s="196"/>
      <c r="F1" s="196"/>
      <c r="G1" s="196"/>
      <c r="H1" s="196"/>
      <c r="I1" s="196"/>
      <c r="J1" s="583" t="s">
        <v>1539</v>
      </c>
      <c r="K1" s="196"/>
    </row>
    <row r="2" spans="1:11">
      <c r="A2" s="583" t="s">
        <v>1217</v>
      </c>
      <c r="C2" s="196"/>
      <c r="D2" s="344"/>
      <c r="E2" s="196"/>
      <c r="F2" s="196"/>
      <c r="G2" s="196"/>
      <c r="H2" s="196"/>
      <c r="I2" s="196"/>
      <c r="J2" s="583" t="s">
        <v>437</v>
      </c>
      <c r="K2" s="196"/>
    </row>
    <row r="3" spans="1:11">
      <c r="A3" s="343" t="str">
        <f>case_name</f>
        <v>CASE NO: 2018-00261</v>
      </c>
      <c r="C3" s="196"/>
      <c r="D3" s="344"/>
      <c r="E3" s="196"/>
      <c r="F3" s="196"/>
      <c r="G3" s="196"/>
      <c r="H3" s="196"/>
      <c r="I3" s="196"/>
      <c r="J3" s="196" t="str">
        <f>Witness</f>
        <v>JAMES E. ZIOLKOWSKI</v>
      </c>
      <c r="K3" s="196"/>
    </row>
    <row r="4" spans="1:11">
      <c r="A4" s="343" t="str">
        <f>data_filing</f>
        <v>DATA: 12 MONTH FORECASTED PERIOD</v>
      </c>
      <c r="C4" s="196"/>
      <c r="D4" s="344"/>
      <c r="E4" s="196"/>
      <c r="F4" s="196"/>
      <c r="G4" s="196"/>
      <c r="H4" s="196"/>
      <c r="I4" s="196"/>
      <c r="J4" s="196" t="str">
        <f>"PAGE "&amp;Pages-17&amp;" OF "&amp;Pages</f>
        <v>PAGE 1 OF 18</v>
      </c>
      <c r="K4" s="196"/>
    </row>
    <row r="5" spans="1:11">
      <c r="A5" s="343" t="str">
        <f>type</f>
        <v xml:space="preserve">TYPE OF FILING: "X" ORIGINAL   UPDATED    REVISED  </v>
      </c>
      <c r="C5" s="196"/>
      <c r="D5" s="344"/>
      <c r="E5" s="196"/>
      <c r="F5" s="196"/>
      <c r="G5" s="196"/>
      <c r="H5" s="196"/>
      <c r="I5" s="196"/>
      <c r="J5" s="196"/>
      <c r="K5" s="196"/>
    </row>
    <row r="6" spans="1:11">
      <c r="A6" s="343"/>
      <c r="C6" s="196"/>
      <c r="D6" s="344"/>
      <c r="E6" s="196"/>
      <c r="F6" s="196"/>
      <c r="G6" s="196"/>
      <c r="H6" s="196"/>
      <c r="I6" s="196"/>
      <c r="J6" s="196"/>
      <c r="K6" s="196"/>
    </row>
    <row r="7" spans="1:11">
      <c r="A7" s="343"/>
      <c r="C7" s="196"/>
      <c r="D7" s="344"/>
      <c r="E7" s="196"/>
      <c r="F7" s="196"/>
      <c r="G7" s="196"/>
      <c r="H7" s="196"/>
      <c r="I7" s="196"/>
      <c r="J7" s="196"/>
      <c r="K7" s="196"/>
    </row>
    <row r="8" spans="1:11">
      <c r="A8" s="344" t="s">
        <v>914</v>
      </c>
      <c r="B8" s="196"/>
      <c r="C8" s="196"/>
      <c r="D8" s="344"/>
      <c r="E8" s="196"/>
      <c r="F8" s="344" t="s">
        <v>229</v>
      </c>
      <c r="G8" s="457" t="s">
        <v>981</v>
      </c>
      <c r="H8" s="458"/>
      <c r="I8" s="459"/>
      <c r="J8" s="344" t="s">
        <v>229</v>
      </c>
      <c r="K8" s="344" t="s">
        <v>342</v>
      </c>
    </row>
    <row r="9" spans="1:11">
      <c r="A9" s="346" t="s">
        <v>915</v>
      </c>
      <c r="B9" s="345" t="s">
        <v>102</v>
      </c>
      <c r="C9" s="345"/>
      <c r="D9" s="346" t="s">
        <v>337</v>
      </c>
      <c r="E9" s="345"/>
      <c r="F9" s="346" t="s">
        <v>284</v>
      </c>
      <c r="G9" s="529" t="s">
        <v>845</v>
      </c>
      <c r="H9" s="530" t="s">
        <v>980</v>
      </c>
      <c r="I9" s="531" t="s">
        <v>846</v>
      </c>
      <c r="J9" s="346" t="s">
        <v>341</v>
      </c>
      <c r="K9" s="346" t="s">
        <v>340</v>
      </c>
    </row>
    <row r="10" spans="1:11">
      <c r="C10" s="578" t="s">
        <v>354</v>
      </c>
      <c r="D10" s="344"/>
      <c r="E10" s="196"/>
      <c r="G10" s="785">
        <v>3</v>
      </c>
      <c r="H10" s="786">
        <v>4</v>
      </c>
      <c r="I10" s="787">
        <v>5</v>
      </c>
    </row>
    <row r="11" spans="1:11">
      <c r="A11" s="333">
        <v>1</v>
      </c>
      <c r="B11" s="332" t="s">
        <v>100</v>
      </c>
      <c r="D11" s="344"/>
      <c r="E11" s="196"/>
      <c r="G11" s="462"/>
      <c r="H11" s="463"/>
      <c r="I11" s="464"/>
    </row>
    <row r="12" spans="1:11">
      <c r="A12" s="333">
        <v>2</v>
      </c>
      <c r="C12" s="332" t="s">
        <v>95</v>
      </c>
      <c r="D12" s="344"/>
      <c r="E12" s="196"/>
      <c r="F12" s="347">
        <f>F101</f>
        <v>588627191</v>
      </c>
      <c r="G12" s="465">
        <f>G101</f>
        <v>6658967</v>
      </c>
      <c r="H12" s="466">
        <f>H101</f>
        <v>0</v>
      </c>
      <c r="I12" s="467">
        <f>I101</f>
        <v>581968224</v>
      </c>
      <c r="J12" s="347">
        <f>J101</f>
        <v>588627191</v>
      </c>
      <c r="K12" s="347">
        <f>F12-J12</f>
        <v>0</v>
      </c>
    </row>
    <row r="13" spans="1:11">
      <c r="A13" s="333">
        <v>3</v>
      </c>
      <c r="C13" s="332" t="s">
        <v>23</v>
      </c>
      <c r="D13" s="344"/>
      <c r="E13" s="196"/>
      <c r="F13" s="347">
        <f>-F151</f>
        <v>-187541693</v>
      </c>
      <c r="G13" s="465">
        <f>-G151</f>
        <v>-3706705</v>
      </c>
      <c r="H13" s="466">
        <f>-H151</f>
        <v>0</v>
      </c>
      <c r="I13" s="467">
        <f>-I151</f>
        <v>-183834988</v>
      </c>
      <c r="J13" s="347">
        <f>-J151</f>
        <v>-187541693</v>
      </c>
      <c r="K13" s="347">
        <f>F13-J13</f>
        <v>0</v>
      </c>
    </row>
    <row r="14" spans="1:11">
      <c r="A14" s="333">
        <v>4</v>
      </c>
      <c r="C14" s="359" t="s">
        <v>152</v>
      </c>
      <c r="D14" s="344"/>
      <c r="E14" s="196"/>
      <c r="F14" s="347">
        <f>F326</f>
        <v>-87410258.857534245</v>
      </c>
      <c r="G14" s="465">
        <f>G326</f>
        <v>3742217.1424657535</v>
      </c>
      <c r="H14" s="466">
        <f>H326</f>
        <v>0</v>
      </c>
      <c r="I14" s="467">
        <f>I326</f>
        <v>-91152476</v>
      </c>
      <c r="J14" s="347">
        <f>J326</f>
        <v>-87410258.857534245</v>
      </c>
      <c r="K14" s="347">
        <f>F14-J14</f>
        <v>0</v>
      </c>
    </row>
    <row r="15" spans="1:11">
      <c r="A15" s="333">
        <v>5</v>
      </c>
      <c r="C15" s="332" t="s">
        <v>153</v>
      </c>
      <c r="D15" s="344"/>
      <c r="E15" s="196"/>
      <c r="F15" s="348">
        <f t="shared" ref="F15:K15" si="0">SUM(F12:F14)</f>
        <v>313675239.14246577</v>
      </c>
      <c r="G15" s="468">
        <f t="shared" si="0"/>
        <v>6694479.1424657535</v>
      </c>
      <c r="H15" s="456">
        <f t="shared" si="0"/>
        <v>0</v>
      </c>
      <c r="I15" s="469">
        <f t="shared" si="0"/>
        <v>306980760</v>
      </c>
      <c r="J15" s="348">
        <f t="shared" si="0"/>
        <v>313675239.14246577</v>
      </c>
      <c r="K15" s="348">
        <f t="shared" si="0"/>
        <v>0</v>
      </c>
    </row>
    <row r="16" spans="1:11">
      <c r="A16" s="333">
        <v>6</v>
      </c>
      <c r="D16" s="344"/>
      <c r="E16" s="196"/>
      <c r="F16" s="335"/>
      <c r="G16" s="1292"/>
      <c r="H16" s="1293"/>
      <c r="I16" s="1294"/>
      <c r="J16" s="335"/>
    </row>
    <row r="17" spans="1:11">
      <c r="A17" s="333">
        <v>7</v>
      </c>
      <c r="B17" s="332" t="s">
        <v>98</v>
      </c>
      <c r="D17" s="344"/>
      <c r="E17" s="196"/>
      <c r="F17" s="335"/>
      <c r="G17" s="1292"/>
      <c r="H17" s="1293"/>
      <c r="I17" s="1294"/>
      <c r="J17" s="335"/>
    </row>
    <row r="18" spans="1:11">
      <c r="A18" s="333">
        <v>8</v>
      </c>
      <c r="C18" s="332" t="s">
        <v>182</v>
      </c>
      <c r="D18" s="344"/>
      <c r="E18" s="196"/>
      <c r="F18" s="347">
        <f>F433</f>
        <v>60507968</v>
      </c>
      <c r="G18" s="465">
        <f>G433</f>
        <v>38032691</v>
      </c>
      <c r="H18" s="466">
        <f>H433</f>
        <v>0</v>
      </c>
      <c r="I18" s="467">
        <f>I433</f>
        <v>22475277</v>
      </c>
      <c r="J18" s="347">
        <f>J433</f>
        <v>60507968</v>
      </c>
      <c r="K18" s="347">
        <f t="shared" ref="K18:K24" si="1">F18-J18</f>
        <v>0</v>
      </c>
    </row>
    <row r="19" spans="1:11">
      <c r="A19" s="333">
        <v>9</v>
      </c>
      <c r="C19" s="332" t="s">
        <v>61</v>
      </c>
      <c r="D19" s="344"/>
      <c r="E19" s="196"/>
      <c r="F19" s="347">
        <f>F465</f>
        <v>14615192.067600001</v>
      </c>
      <c r="G19" s="465">
        <f>G465</f>
        <v>457905.06760000001</v>
      </c>
      <c r="H19" s="466">
        <f>H465</f>
        <v>0</v>
      </c>
      <c r="I19" s="467">
        <f>I465</f>
        <v>14157287</v>
      </c>
      <c r="J19" s="347">
        <f>J465</f>
        <v>14615192.067600001</v>
      </c>
      <c r="K19" s="347">
        <f t="shared" si="1"/>
        <v>0</v>
      </c>
    </row>
    <row r="20" spans="1:11">
      <c r="A20" s="333">
        <v>10</v>
      </c>
      <c r="C20" s="359" t="s">
        <v>67</v>
      </c>
      <c r="D20" s="344"/>
      <c r="E20" s="196"/>
      <c r="F20" s="347">
        <f>F495</f>
        <v>4118771</v>
      </c>
      <c r="G20" s="465">
        <f>$G$495</f>
        <v>100391</v>
      </c>
      <c r="H20" s="466">
        <f>$H$495</f>
        <v>0</v>
      </c>
      <c r="I20" s="467">
        <f>$I$495</f>
        <v>4018380</v>
      </c>
      <c r="J20" s="347">
        <f>$J$495</f>
        <v>4118771</v>
      </c>
      <c r="K20" s="347">
        <f t="shared" si="1"/>
        <v>0</v>
      </c>
    </row>
    <row r="21" spans="1:11">
      <c r="A21" s="333">
        <v>11</v>
      </c>
      <c r="C21" s="332" t="s">
        <v>1214</v>
      </c>
      <c r="D21" s="344"/>
      <c r="E21" s="196"/>
      <c r="F21" s="348">
        <f>SUM(F17:F20)</f>
        <v>79241931.067599997</v>
      </c>
      <c r="G21" s="468">
        <f>SUM(G17:G20)</f>
        <v>38590987.067599997</v>
      </c>
      <c r="H21" s="456">
        <f>SUM(H17:H20)</f>
        <v>0</v>
      </c>
      <c r="I21" s="469">
        <f>SUM(I17:I20)</f>
        <v>40650944</v>
      </c>
      <c r="J21" s="348">
        <f>SUM(J17:J20)</f>
        <v>79241931.067599997</v>
      </c>
      <c r="K21" s="348">
        <f t="shared" si="1"/>
        <v>0</v>
      </c>
    </row>
    <row r="22" spans="1:11">
      <c r="A22" s="333">
        <v>12</v>
      </c>
      <c r="C22" s="332" t="s">
        <v>380</v>
      </c>
      <c r="D22" s="344"/>
      <c r="E22" s="196"/>
      <c r="F22" s="347">
        <f>F557</f>
        <v>3326904</v>
      </c>
      <c r="G22" s="465">
        <f>$G$557</f>
        <v>955859</v>
      </c>
      <c r="H22" s="466">
        <f>$H$557</f>
        <v>0</v>
      </c>
      <c r="I22" s="467">
        <f>$I$557</f>
        <v>2371042</v>
      </c>
      <c r="J22" s="347">
        <f>$J$557</f>
        <v>3326901</v>
      </c>
      <c r="K22" s="347">
        <f t="shared" si="1"/>
        <v>3</v>
      </c>
    </row>
    <row r="23" spans="1:11">
      <c r="A23" s="333">
        <v>13</v>
      </c>
      <c r="C23" s="353" t="s">
        <v>1480</v>
      </c>
      <c r="D23" s="344"/>
      <c r="E23" s="196"/>
      <c r="F23" s="347">
        <f>F605</f>
        <v>830495</v>
      </c>
      <c r="G23" s="465">
        <f>G605</f>
        <v>58434</v>
      </c>
      <c r="H23" s="466">
        <f>H605</f>
        <v>0</v>
      </c>
      <c r="I23" s="467">
        <f>I605</f>
        <v>772059</v>
      </c>
      <c r="J23" s="347">
        <f>J605</f>
        <v>830493</v>
      </c>
      <c r="K23" s="347">
        <f t="shared" si="1"/>
        <v>2</v>
      </c>
    </row>
    <row r="24" spans="1:11">
      <c r="A24" s="333">
        <v>14</v>
      </c>
      <c r="C24" s="332" t="s">
        <v>282</v>
      </c>
      <c r="D24" s="344"/>
      <c r="E24" s="196"/>
      <c r="F24" s="348">
        <f>SUM(F21:F23)</f>
        <v>83399330.067599997</v>
      </c>
      <c r="G24" s="468">
        <f>SUM(G21:G23)</f>
        <v>39605280.067599997</v>
      </c>
      <c r="H24" s="456">
        <f>SUM(H21:H23)</f>
        <v>0</v>
      </c>
      <c r="I24" s="469">
        <f>SUM(I21:I23)</f>
        <v>43794045</v>
      </c>
      <c r="J24" s="348">
        <f>SUM(J21:J23)</f>
        <v>83399325.067599997</v>
      </c>
      <c r="K24" s="348">
        <f t="shared" si="1"/>
        <v>5</v>
      </c>
    </row>
    <row r="25" spans="1:11">
      <c r="A25" s="333">
        <v>15</v>
      </c>
      <c r="D25" s="344"/>
      <c r="E25" s="196"/>
      <c r="F25" s="335"/>
      <c r="G25" s="1292"/>
      <c r="H25" s="1293"/>
      <c r="I25" s="1294"/>
      <c r="J25" s="335"/>
    </row>
    <row r="26" spans="1:11">
      <c r="A26" s="333">
        <v>16</v>
      </c>
      <c r="B26" s="332" t="s">
        <v>43</v>
      </c>
      <c r="D26" s="344"/>
      <c r="E26" s="196"/>
      <c r="F26" s="347">
        <f>F334</f>
        <v>22525019</v>
      </c>
      <c r="G26" s="465">
        <f>G334</f>
        <v>480731</v>
      </c>
      <c r="H26" s="466">
        <f>H334</f>
        <v>0</v>
      </c>
      <c r="I26" s="467">
        <f>I334</f>
        <v>22044288</v>
      </c>
      <c r="J26" s="347">
        <f>J334</f>
        <v>22525019</v>
      </c>
      <c r="K26" s="347">
        <f t="shared" ref="K26:K31" si="2">F26-J26</f>
        <v>0</v>
      </c>
    </row>
    <row r="27" spans="1:11">
      <c r="A27" s="333">
        <v>17</v>
      </c>
      <c r="B27" s="359" t="s">
        <v>103</v>
      </c>
      <c r="C27" s="359"/>
      <c r="D27" s="344"/>
      <c r="E27" s="196"/>
      <c r="F27" s="347">
        <f>-F630</f>
        <v>-94257</v>
      </c>
      <c r="G27" s="465">
        <f>-$G$630</f>
        <v>-2870</v>
      </c>
      <c r="H27" s="466">
        <f>-$H$630</f>
        <v>0</v>
      </c>
      <c r="I27" s="467">
        <f>-$I$630</f>
        <v>-91387</v>
      </c>
      <c r="J27" s="347">
        <f>-$J$630</f>
        <v>-94257</v>
      </c>
      <c r="K27" s="347">
        <f t="shared" si="2"/>
        <v>0</v>
      </c>
    </row>
    <row r="28" spans="1:11">
      <c r="A28" s="333">
        <v>18</v>
      </c>
      <c r="C28" s="332" t="s">
        <v>79</v>
      </c>
      <c r="D28" s="344"/>
      <c r="E28" s="196"/>
      <c r="F28" s="348">
        <f>SUM(F24:F27)</f>
        <v>105830092.0676</v>
      </c>
      <c r="G28" s="498">
        <f>SUM(G24:G27)</f>
        <v>40083141.067599997</v>
      </c>
      <c r="H28" s="499">
        <f>SUM(H24:H27)</f>
        <v>0</v>
      </c>
      <c r="I28" s="500">
        <f>SUM(I24:I27)</f>
        <v>65746946</v>
      </c>
      <c r="J28" s="348">
        <f>SUM(J24:J27)</f>
        <v>105830087.0676</v>
      </c>
      <c r="K28" s="348">
        <f t="shared" si="2"/>
        <v>5</v>
      </c>
    </row>
    <row r="29" spans="1:11">
      <c r="A29" s="1112">
        <v>19</v>
      </c>
      <c r="B29" s="1113" t="s">
        <v>1206</v>
      </c>
      <c r="C29" s="1114"/>
      <c r="D29" s="1115">
        <f>1-'WP FR-16(7)(v)Rate Incr (15.0%)'!I11</f>
        <v>0.85</v>
      </c>
      <c r="E29" s="1116"/>
      <c r="F29" s="1117">
        <f ca="1">SUM(G29:I29)</f>
        <v>0</v>
      </c>
      <c r="G29" s="1149">
        <f ca="1">'WP FR-16(7)(v)Rate Incr (15.0%)'!Q20</f>
        <v>0</v>
      </c>
      <c r="H29" s="1117">
        <f ca="1">'WP FR-16(7)(v)Rate Incr (15.0%)'!R20</f>
        <v>0</v>
      </c>
      <c r="I29" s="1150">
        <f ca="1">'WP FR-16(7)(v)Rate Incr (15.0%)'!S20</f>
        <v>0</v>
      </c>
      <c r="J29" s="1120">
        <f ca="1">SUM(G29:I29)</f>
        <v>0</v>
      </c>
      <c r="K29" s="1120">
        <f t="shared" ca="1" si="2"/>
        <v>0</v>
      </c>
    </row>
    <row r="30" spans="1:11">
      <c r="A30" s="1112">
        <v>20</v>
      </c>
      <c r="B30" s="1121" t="s">
        <v>1207</v>
      </c>
      <c r="C30" s="1024"/>
      <c r="D30" s="1122"/>
      <c r="E30" s="1116"/>
      <c r="F30" s="1123">
        <f ca="1">F29+F28</f>
        <v>105830092.0676</v>
      </c>
      <c r="G30" s="1124">
        <f ca="1">G29+G28</f>
        <v>40083141.067599997</v>
      </c>
      <c r="H30" s="1125">
        <f ca="1">H29+H28</f>
        <v>0</v>
      </c>
      <c r="I30" s="1126">
        <f ca="1">I29+I28</f>
        <v>65746946</v>
      </c>
      <c r="J30" s="1127">
        <f ca="1">SUM(G30:I30)</f>
        <v>105830087.0676</v>
      </c>
      <c r="K30" s="1127">
        <f t="shared" ca="1" si="2"/>
        <v>5</v>
      </c>
    </row>
    <row r="31" spans="1:11">
      <c r="A31" s="1112">
        <v>21</v>
      </c>
      <c r="B31" s="1128" t="s">
        <v>850</v>
      </c>
      <c r="C31" s="1114"/>
      <c r="D31" s="1122"/>
      <c r="E31" s="1116"/>
      <c r="F31" s="1127">
        <f>F745</f>
        <v>95287873</v>
      </c>
      <c r="G31" s="1124">
        <f>G745</f>
        <v>36322784</v>
      </c>
      <c r="H31" s="1125">
        <f>H745</f>
        <v>0</v>
      </c>
      <c r="I31" s="1126">
        <f>I745</f>
        <v>58965089</v>
      </c>
      <c r="J31" s="1127">
        <f>J745</f>
        <v>95287873</v>
      </c>
      <c r="K31" s="1127">
        <f t="shared" si="2"/>
        <v>0</v>
      </c>
    </row>
    <row r="32" spans="1:11">
      <c r="A32" s="1112">
        <v>22</v>
      </c>
      <c r="B32" s="1129" t="s">
        <v>1208</v>
      </c>
      <c r="C32" s="1024"/>
      <c r="D32" s="1122"/>
      <c r="E32" s="1116"/>
      <c r="F32" s="1130">
        <f t="shared" ref="F32:K32" ca="1" si="3">F30-F31</f>
        <v>10542219.067599997</v>
      </c>
      <c r="G32" s="1131">
        <f t="shared" ca="1" si="3"/>
        <v>3760357.0675999969</v>
      </c>
      <c r="H32" s="1132">
        <f t="shared" ca="1" si="3"/>
        <v>0</v>
      </c>
      <c r="I32" s="1133">
        <f t="shared" ca="1" si="3"/>
        <v>6781857</v>
      </c>
      <c r="J32" s="1130">
        <f t="shared" ca="1" si="3"/>
        <v>10542214.067599997</v>
      </c>
      <c r="K32" s="1130">
        <f t="shared" ca="1" si="3"/>
        <v>5</v>
      </c>
    </row>
    <row r="33" spans="1:14">
      <c r="A33" s="1112">
        <v>23</v>
      </c>
      <c r="B33" s="1024"/>
      <c r="C33" s="1024"/>
      <c r="D33" s="1122"/>
      <c r="E33" s="1116"/>
      <c r="F33" s="1024"/>
      <c r="G33" s="1134"/>
      <c r="H33" s="1135"/>
      <c r="I33" s="1136"/>
      <c r="J33" s="1024"/>
      <c r="K33" s="1024"/>
    </row>
    <row r="34" spans="1:14">
      <c r="A34" s="1112">
        <v>24</v>
      </c>
      <c r="B34" s="1024" t="s">
        <v>104</v>
      </c>
      <c r="C34" s="1024"/>
      <c r="D34" s="1122"/>
      <c r="E34" s="1116"/>
      <c r="F34" s="1127">
        <f>F654+F26</f>
        <v>15233941.932400003</v>
      </c>
      <c r="G34" s="1124">
        <f>G654+G26</f>
        <v>-2298488.0675999969</v>
      </c>
      <c r="H34" s="1125">
        <f>H654+H26</f>
        <v>0</v>
      </c>
      <c r="I34" s="1126">
        <f>I654+I26</f>
        <v>17532432</v>
      </c>
      <c r="J34" s="1127">
        <f>J654+J26</f>
        <v>15233943.932400003</v>
      </c>
      <c r="K34" s="1127">
        <f>F34-J34</f>
        <v>-2</v>
      </c>
    </row>
    <row r="35" spans="1:14">
      <c r="A35" s="1112">
        <v>25</v>
      </c>
      <c r="B35" s="1024" t="s">
        <v>105</v>
      </c>
      <c r="C35" s="1024"/>
      <c r="D35" s="1122"/>
      <c r="E35" s="1116"/>
      <c r="F35" s="1137">
        <f t="shared" ref="F35:K35" si="4">IF(F331=0,0,ROUND(F34/F331,5))</f>
        <v>4.8570000000000002E-2</v>
      </c>
      <c r="G35" s="1138">
        <f t="shared" si="4"/>
        <v>-0.34333999999999998</v>
      </c>
      <c r="H35" s="1139">
        <f t="shared" si="4"/>
        <v>0</v>
      </c>
      <c r="I35" s="1140">
        <f t="shared" si="4"/>
        <v>5.7110000000000001E-2</v>
      </c>
      <c r="J35" s="1137">
        <f t="shared" si="4"/>
        <v>4.8570000000000002E-2</v>
      </c>
      <c r="K35" s="1137">
        <f t="shared" si="4"/>
        <v>0</v>
      </c>
    </row>
    <row r="36" spans="1:14">
      <c r="A36" s="1112">
        <v>26</v>
      </c>
      <c r="B36" s="1024" t="s">
        <v>42</v>
      </c>
      <c r="C36" s="1024"/>
      <c r="D36" s="1122"/>
      <c r="E36" s="1116"/>
      <c r="F36" s="1137">
        <f>$F$688</f>
        <v>7.1809999999999999E-2</v>
      </c>
      <c r="G36" s="1138">
        <f>F688</f>
        <v>7.1809999999999999E-2</v>
      </c>
      <c r="H36" s="1139">
        <f>F688</f>
        <v>7.1809999999999999E-2</v>
      </c>
      <c r="I36" s="1140">
        <f>F688</f>
        <v>7.1809999999999999E-2</v>
      </c>
      <c r="J36" s="1137">
        <f>$F$688</f>
        <v>7.1809999999999999E-2</v>
      </c>
      <c r="K36" s="1137">
        <f>F688</f>
        <v>7.1809999999999999E-2</v>
      </c>
      <c r="N36" s="659" t="s">
        <v>1210</v>
      </c>
    </row>
    <row r="37" spans="1:14">
      <c r="A37" s="1112">
        <v>27</v>
      </c>
      <c r="B37" s="1024" t="s">
        <v>106</v>
      </c>
      <c r="C37" s="1024"/>
      <c r="D37" s="1122"/>
      <c r="E37" s="1116"/>
      <c r="F37" s="1137">
        <f>IF(F670=0,0,(F35-$F$683-$F$684-$F$686)*$F$673/$F$670)</f>
        <v>5.321655066441415E-2</v>
      </c>
      <c r="G37" s="1138">
        <f>IF(F670=0,0,(G35-F683-F684-F686)*F673/F670)</f>
        <v>-0.71894555118269987</v>
      </c>
      <c r="H37" s="1139">
        <f>IF(F670=0,0,(H35-F683-F684-F686)*F673/F670)</f>
        <v>-4.2478668357081424E-2</v>
      </c>
      <c r="I37" s="1140">
        <f>IF(F670=0,0,(I35-F683-F684-F686)*F673/F670)</f>
        <v>7.0042516701959379E-2</v>
      </c>
      <c r="J37" s="1137">
        <f>IF(F670=0,0,(J35-F683-F684-F686)*F673/F670)</f>
        <v>5.321655066441415E-2</v>
      </c>
      <c r="K37" s="1137">
        <f>IF(F670=0,0,(K35-F683-F684-F686)*F673/F670)</f>
        <v>-4.2478668357081424E-2</v>
      </c>
      <c r="N37" s="659" t="s">
        <v>1211</v>
      </c>
    </row>
    <row r="38" spans="1:14">
      <c r="A38" s="1112">
        <v>28</v>
      </c>
      <c r="B38" s="1024" t="s">
        <v>107</v>
      </c>
      <c r="C38" s="1024"/>
      <c r="D38" s="1122"/>
      <c r="E38" s="1116"/>
      <c r="F38" s="1137">
        <f>IF($F$670=0,0,(F36-$F$683-$F$684-$F$686)*$F$673/$F$670)</f>
        <v>9.9005245127242167E-2</v>
      </c>
      <c r="G38" s="1138">
        <f>IF(F670=0,0,(G36-F683-F684-F686)*F673/F670)</f>
        <v>9.9005245127242167E-2</v>
      </c>
      <c r="H38" s="1139">
        <f>IF(F670=0,0,(H36-F683-F684-F686)*F673/F670)</f>
        <v>9.9005245127242167E-2</v>
      </c>
      <c r="I38" s="1140">
        <f>IF(F670=0,0,(I36-F683-F684-F686)*F673/F670)</f>
        <v>9.9005245127242167E-2</v>
      </c>
      <c r="J38" s="1137">
        <f>IF($F$670=0,0,(J36-$F$683-$F$684-$F$686)*$F$673/$F$670)</f>
        <v>9.9005245127242167E-2</v>
      </c>
      <c r="K38" s="1137">
        <f>IF(F670=0,0,(K36-F683-F684-F686)*F673/F670)</f>
        <v>9.9005245127242167E-2</v>
      </c>
    </row>
    <row r="39" spans="1:14">
      <c r="A39" s="1112">
        <v>29</v>
      </c>
      <c r="B39" s="1024"/>
      <c r="C39" s="1024"/>
      <c r="D39" s="1122"/>
      <c r="E39" s="1116"/>
      <c r="F39" s="1024" t="s">
        <v>343</v>
      </c>
      <c r="G39" s="1134"/>
      <c r="H39" s="1135"/>
      <c r="I39" s="1136"/>
      <c r="J39" s="1024"/>
      <c r="K39" s="1024"/>
    </row>
    <row r="40" spans="1:14">
      <c r="A40" s="1112">
        <v>30</v>
      </c>
      <c r="B40" s="1024" t="s">
        <v>108</v>
      </c>
      <c r="C40" s="1024"/>
      <c r="D40" s="1122"/>
      <c r="E40" s="1116"/>
      <c r="F40" s="1127">
        <f>F744</f>
        <v>95287873</v>
      </c>
      <c r="G40" s="1124">
        <f>G744</f>
        <v>36322784</v>
      </c>
      <c r="H40" s="1125">
        <f>H744</f>
        <v>0</v>
      </c>
      <c r="I40" s="1126">
        <f>I744</f>
        <v>58965089</v>
      </c>
      <c r="J40" s="1127">
        <f>J744</f>
        <v>95287873</v>
      </c>
      <c r="K40" s="1127">
        <f>F40-J40</f>
        <v>0</v>
      </c>
    </row>
    <row r="41" spans="1:14">
      <c r="A41" s="1112">
        <v>31</v>
      </c>
      <c r="B41" s="1024" t="s">
        <v>109</v>
      </c>
      <c r="C41" s="1024"/>
      <c r="D41" s="1122"/>
      <c r="E41" s="1116"/>
      <c r="F41" s="1127">
        <f>F28-F40</f>
        <v>10542219.067599997</v>
      </c>
      <c r="G41" s="1124">
        <f t="shared" ref="G41:K41" si="5">G28-G40</f>
        <v>3760357.0675999969</v>
      </c>
      <c r="H41" s="1125">
        <f t="shared" si="5"/>
        <v>0</v>
      </c>
      <c r="I41" s="1126">
        <f t="shared" si="5"/>
        <v>6781857</v>
      </c>
      <c r="J41" s="1127">
        <f t="shared" si="5"/>
        <v>10542214.067599997</v>
      </c>
      <c r="K41" s="1127">
        <f t="shared" si="5"/>
        <v>5</v>
      </c>
    </row>
    <row r="42" spans="1:14">
      <c r="A42" s="1112">
        <v>32</v>
      </c>
      <c r="B42" s="1024"/>
      <c r="C42" s="1024" t="s">
        <v>283</v>
      </c>
      <c r="D42" s="1122"/>
      <c r="E42" s="1116"/>
      <c r="F42" s="1141">
        <f t="shared" ref="F42:K42" si="6">IF(F40=0,0,ROUND(F41/F40,5))</f>
        <v>0.11064</v>
      </c>
      <c r="G42" s="1142">
        <f>IF(G40=0,0,ROUND(G41/G40,5))</f>
        <v>0.10353</v>
      </c>
      <c r="H42" s="1143">
        <f>IF(H40=0,0,ROUND(H41/H40,5))</f>
        <v>0</v>
      </c>
      <c r="I42" s="1144">
        <f>IF(I40=0,0,ROUND(I41/I40,5))</f>
        <v>0.11501</v>
      </c>
      <c r="J42" s="1141">
        <f t="shared" si="6"/>
        <v>0.11064</v>
      </c>
      <c r="K42" s="1127">
        <f t="shared" si="6"/>
        <v>0</v>
      </c>
    </row>
    <row r="43" spans="1:14">
      <c r="A43" s="1112">
        <v>33</v>
      </c>
      <c r="B43" s="1024" t="s">
        <v>110</v>
      </c>
      <c r="C43" s="1024"/>
      <c r="D43" s="1122"/>
      <c r="E43" s="1116"/>
      <c r="F43" s="1127">
        <f t="shared" ref="F43:K43" si="7">F31-F40</f>
        <v>0</v>
      </c>
      <c r="G43" s="1124">
        <f t="shared" si="7"/>
        <v>0</v>
      </c>
      <c r="H43" s="1125">
        <f t="shared" si="7"/>
        <v>0</v>
      </c>
      <c r="I43" s="1126">
        <f t="shared" si="7"/>
        <v>0</v>
      </c>
      <c r="J43" s="1127">
        <f t="shared" si="7"/>
        <v>0</v>
      </c>
      <c r="K43" s="1127">
        <f t="shared" si="7"/>
        <v>0</v>
      </c>
    </row>
    <row r="44" spans="1:14">
      <c r="A44" s="1112">
        <v>34</v>
      </c>
      <c r="B44" s="1024"/>
      <c r="C44" s="1024" t="s">
        <v>283</v>
      </c>
      <c r="D44" s="1122"/>
      <c r="E44" s="1116"/>
      <c r="F44" s="1141">
        <f t="shared" ref="F44:K44" si="8">IF(F40=0,0,ROUND(F43/F40,5))</f>
        <v>0</v>
      </c>
      <c r="G44" s="1145">
        <f>IF(G40=0,0,ROUND(G43/G40,5))</f>
        <v>0</v>
      </c>
      <c r="H44" s="1146">
        <f>IF(H40=0,0,ROUND(H43/H40,5))</f>
        <v>0</v>
      </c>
      <c r="I44" s="1147">
        <f>IF(I40=0,0,ROUND(I43/I40,5))</f>
        <v>0</v>
      </c>
      <c r="J44" s="1141">
        <f t="shared" si="8"/>
        <v>0</v>
      </c>
      <c r="K44" s="1127">
        <f t="shared" si="8"/>
        <v>0</v>
      </c>
    </row>
    <row r="45" spans="1:14">
      <c r="A45" s="343"/>
      <c r="C45" s="196"/>
      <c r="D45" s="344"/>
      <c r="E45" s="196"/>
      <c r="F45" s="196"/>
      <c r="G45" s="196"/>
      <c r="H45" s="196"/>
      <c r="I45" s="196"/>
      <c r="J45" s="196"/>
      <c r="K45" s="196"/>
    </row>
    <row r="46" spans="1:14">
      <c r="A46" s="343" t="str">
        <f>co_name</f>
        <v>DUKE ENERGY KENTUCKY, INC.</v>
      </c>
      <c r="C46" s="196"/>
      <c r="D46" s="344"/>
      <c r="E46" s="196"/>
      <c r="F46" s="196"/>
      <c r="G46" s="196"/>
      <c r="H46" s="196"/>
      <c r="I46" s="196"/>
      <c r="J46" s="196" t="str">
        <f>$J$1</f>
        <v>FR-16(7)(v)-1</v>
      </c>
      <c r="K46" s="196"/>
    </row>
    <row r="47" spans="1:14">
      <c r="A47" s="343" t="str">
        <f>$A$2</f>
        <v>FUNCTIONAL GAS COST OF SERVICE</v>
      </c>
      <c r="C47" s="196"/>
      <c r="D47" s="344"/>
      <c r="E47" s="196"/>
      <c r="F47" s="196"/>
      <c r="G47" s="196"/>
      <c r="H47" s="196"/>
      <c r="I47" s="196"/>
      <c r="J47" s="196" t="str">
        <f>$J$2</f>
        <v>WITNESS RESPONSIBLE:</v>
      </c>
      <c r="K47" s="196"/>
    </row>
    <row r="48" spans="1:14">
      <c r="A48" s="343" t="str">
        <f>case_name</f>
        <v>CASE NO: 2018-00261</v>
      </c>
      <c r="C48" s="196"/>
      <c r="D48" s="344"/>
      <c r="E48" s="196"/>
      <c r="F48" s="196"/>
      <c r="G48" s="196"/>
      <c r="H48" s="196"/>
      <c r="I48" s="196"/>
      <c r="J48" s="196" t="str">
        <f>Witness</f>
        <v>JAMES E. ZIOLKOWSKI</v>
      </c>
      <c r="K48" s="196"/>
    </row>
    <row r="49" spans="1:11">
      <c r="A49" s="343" t="str">
        <f>data_filing</f>
        <v>DATA: 12 MONTH FORECASTED PERIOD</v>
      </c>
      <c r="C49" s="196"/>
      <c r="D49" s="344"/>
      <c r="E49" s="196"/>
      <c r="F49" s="196"/>
      <c r="G49" s="196"/>
      <c r="H49" s="196"/>
      <c r="I49" s="196"/>
      <c r="J49" s="196" t="str">
        <f>"PAGE "&amp;Pages-16&amp;" OF "&amp;Pages</f>
        <v>PAGE 2 OF 18</v>
      </c>
      <c r="K49" s="196"/>
    </row>
    <row r="50" spans="1:11">
      <c r="A50" s="343" t="str">
        <f>type</f>
        <v xml:space="preserve">TYPE OF FILING: "X" ORIGINAL   UPDATED    REVISED  </v>
      </c>
      <c r="C50" s="196"/>
      <c r="D50" s="344"/>
      <c r="E50" s="196"/>
      <c r="F50" s="196"/>
      <c r="G50" s="196"/>
      <c r="H50" s="196"/>
      <c r="I50" s="196"/>
      <c r="J50" s="196"/>
      <c r="K50" s="196"/>
    </row>
    <row r="51" spans="1:11">
      <c r="A51" s="343"/>
      <c r="C51" s="196"/>
      <c r="D51" s="344"/>
      <c r="E51" s="196"/>
      <c r="F51" s="196"/>
      <c r="G51" s="196"/>
      <c r="H51" s="196"/>
      <c r="I51" s="196"/>
      <c r="J51" s="196"/>
      <c r="K51" s="196"/>
    </row>
    <row r="52" spans="1:11">
      <c r="A52" s="343"/>
      <c r="C52" s="196"/>
      <c r="D52" s="344"/>
      <c r="E52" s="196"/>
      <c r="F52" s="196"/>
      <c r="G52" s="196"/>
      <c r="H52" s="196"/>
      <c r="I52" s="196"/>
      <c r="J52" s="196"/>
      <c r="K52" s="196"/>
    </row>
    <row r="53" spans="1:11">
      <c r="A53" s="344" t="s">
        <v>914</v>
      </c>
      <c r="B53" s="196"/>
      <c r="C53" s="196"/>
      <c r="D53" s="344"/>
      <c r="E53" s="196"/>
      <c r="F53" s="344" t="s">
        <v>229</v>
      </c>
      <c r="G53" s="473" t="s">
        <v>981</v>
      </c>
      <c r="H53" s="474"/>
      <c r="I53" s="475"/>
      <c r="J53" s="344" t="s">
        <v>229</v>
      </c>
      <c r="K53" s="344" t="s">
        <v>342</v>
      </c>
    </row>
    <row r="54" spans="1:11">
      <c r="A54" s="346" t="s">
        <v>915</v>
      </c>
      <c r="B54" s="345" t="s">
        <v>95</v>
      </c>
      <c r="C54" s="345"/>
      <c r="D54" s="346" t="s">
        <v>337</v>
      </c>
      <c r="E54" s="345"/>
      <c r="F54" s="346" t="s">
        <v>284</v>
      </c>
      <c r="G54" s="460" t="s">
        <v>845</v>
      </c>
      <c r="H54" s="455" t="s">
        <v>980</v>
      </c>
      <c r="I54" s="461" t="s">
        <v>846</v>
      </c>
      <c r="J54" s="346" t="s">
        <v>341</v>
      </c>
      <c r="K54" s="346" t="s">
        <v>340</v>
      </c>
    </row>
    <row r="55" spans="1:11">
      <c r="C55" s="578" t="s">
        <v>344</v>
      </c>
      <c r="D55" s="344"/>
      <c r="E55" s="196"/>
      <c r="G55" s="628">
        <f>$G$10</f>
        <v>3</v>
      </c>
      <c r="H55" s="629">
        <f>$H$10</f>
        <v>4</v>
      </c>
      <c r="I55" s="630">
        <f>$I$10</f>
        <v>5</v>
      </c>
      <c r="K55" s="332" t="s">
        <v>343</v>
      </c>
    </row>
    <row r="56" spans="1:11">
      <c r="A56" s="333">
        <v>1</v>
      </c>
      <c r="B56" s="332" t="s">
        <v>14</v>
      </c>
      <c r="E56" s="196"/>
      <c r="G56" s="462"/>
      <c r="H56" s="463"/>
      <c r="I56" s="464"/>
    </row>
    <row r="57" spans="1:11">
      <c r="A57" s="333">
        <v>2</v>
      </c>
      <c r="C57" s="532" t="s">
        <v>14</v>
      </c>
      <c r="D57" s="729" t="s">
        <v>289</v>
      </c>
      <c r="E57" s="196"/>
      <c r="F57" s="793">
        <f>'[1]SCH B-2.1'!$I$195</f>
        <v>2799608</v>
      </c>
      <c r="G57" s="465">
        <f>F57-SUM(H57:I57)</f>
        <v>2799608</v>
      </c>
      <c r="H57" s="466">
        <f>ROUND(F57*VLOOKUP(D57,AllocTable_Functional,$H$10,FALSE),0)</f>
        <v>0</v>
      </c>
      <c r="I57" s="467">
        <f>ROUND(F57*VLOOKUP(D57,AllocTable_Functional,$I$10,FALSE),0)</f>
        <v>0</v>
      </c>
      <c r="J57" s="347">
        <f>SUM($G$57:$I$57)</f>
        <v>2799608</v>
      </c>
      <c r="K57" s="347">
        <f>F57-$J$57</f>
        <v>0</v>
      </c>
    </row>
    <row r="58" spans="1:11">
      <c r="A58" s="333">
        <v>3</v>
      </c>
      <c r="C58" s="359" t="s">
        <v>115</v>
      </c>
      <c r="D58" s="729" t="s">
        <v>289</v>
      </c>
      <c r="E58" s="196"/>
      <c r="F58" s="783">
        <v>0</v>
      </c>
      <c r="G58" s="465">
        <f>F58-SUM(H58:I58)</f>
        <v>0</v>
      </c>
      <c r="H58" s="466">
        <f>ROUND(F58*VLOOKUP(D58,AllocTable_Functional,$H$10,FALSE),0)</f>
        <v>0</v>
      </c>
      <c r="I58" s="467">
        <f>ROUND(F58*VLOOKUP(D58,AllocTable_Functional,$I$10,FALSE),0)</f>
        <v>0</v>
      </c>
      <c r="J58" s="347">
        <f>SUM($G$58:$I$58)</f>
        <v>0</v>
      </c>
      <c r="K58" s="347">
        <f>F58-$J$58</f>
        <v>0</v>
      </c>
    </row>
    <row r="59" spans="1:11">
      <c r="A59" s="333">
        <v>4</v>
      </c>
      <c r="C59" s="332" t="s">
        <v>111</v>
      </c>
      <c r="D59" s="729"/>
      <c r="E59" s="196"/>
      <c r="F59" s="348">
        <f>SUM(F57:F58)</f>
        <v>2799608</v>
      </c>
      <c r="G59" s="468">
        <f>SUM($G$57:$G$58)</f>
        <v>2799608</v>
      </c>
      <c r="H59" s="456">
        <f>SUM($H$57:$H$58)</f>
        <v>0</v>
      </c>
      <c r="I59" s="469">
        <f>SUM($I$57:$I$58)</f>
        <v>0</v>
      </c>
      <c r="J59" s="348">
        <f>SUM($J$57:$J$58)</f>
        <v>2799608</v>
      </c>
      <c r="K59" s="348">
        <f>SUM($K$57:$K$58)</f>
        <v>0</v>
      </c>
    </row>
    <row r="60" spans="1:11">
      <c r="A60" s="333">
        <v>5</v>
      </c>
      <c r="D60" s="729"/>
      <c r="E60" s="196"/>
      <c r="G60" s="462"/>
      <c r="H60" s="463"/>
      <c r="I60" s="464"/>
    </row>
    <row r="61" spans="1:11">
      <c r="A61" s="333">
        <v>6</v>
      </c>
      <c r="B61" s="332" t="s">
        <v>15</v>
      </c>
      <c r="D61" s="729"/>
      <c r="E61" s="196"/>
      <c r="G61" s="462"/>
      <c r="H61" s="463"/>
      <c r="I61" s="464"/>
    </row>
    <row r="62" spans="1:11">
      <c r="A62" s="333">
        <v>7</v>
      </c>
      <c r="C62" s="359" t="s">
        <v>15</v>
      </c>
      <c r="D62" s="729" t="s">
        <v>343</v>
      </c>
      <c r="E62" s="196"/>
      <c r="F62" s="477"/>
      <c r="G62" s="465"/>
      <c r="H62" s="466"/>
      <c r="I62" s="467"/>
      <c r="J62" s="347"/>
      <c r="K62" s="347"/>
    </row>
    <row r="63" spans="1:11">
      <c r="A63" s="333">
        <v>8</v>
      </c>
      <c r="C63" s="332" t="s">
        <v>112</v>
      </c>
      <c r="D63" s="729"/>
      <c r="E63" s="196"/>
      <c r="F63" s="348">
        <f>SUM(F62)</f>
        <v>0</v>
      </c>
      <c r="G63" s="468">
        <f>SUM($G$62)</f>
        <v>0</v>
      </c>
      <c r="H63" s="456">
        <f>SUM($H$62)</f>
        <v>0</v>
      </c>
      <c r="I63" s="469">
        <f>SUM($I$62)</f>
        <v>0</v>
      </c>
      <c r="J63" s="348">
        <f>SUM($J$62)</f>
        <v>0</v>
      </c>
      <c r="K63" s="348">
        <f>SUM($K$62)</f>
        <v>0</v>
      </c>
    </row>
    <row r="64" spans="1:11">
      <c r="A64" s="333">
        <v>9</v>
      </c>
      <c r="D64" s="729"/>
      <c r="E64" s="196"/>
      <c r="G64" s="462"/>
      <c r="H64" s="463"/>
      <c r="I64" s="464"/>
    </row>
    <row r="65" spans="1:11">
      <c r="A65" s="333">
        <v>10</v>
      </c>
      <c r="B65" s="332" t="s">
        <v>16</v>
      </c>
      <c r="D65" s="729"/>
      <c r="E65" s="196"/>
      <c r="F65" s="347">
        <f>F63+F59</f>
        <v>2799608</v>
      </c>
      <c r="G65" s="465">
        <f>$G$63+$G$59</f>
        <v>2799608</v>
      </c>
      <c r="H65" s="466">
        <f>$H$63+$H$59</f>
        <v>0</v>
      </c>
      <c r="I65" s="467">
        <f>$I$63+$I$59</f>
        <v>0</v>
      </c>
      <c r="J65" s="347">
        <f>$J$63+$J$59</f>
        <v>2799608</v>
      </c>
      <c r="K65" s="347">
        <f>$K$63+$K$59</f>
        <v>0</v>
      </c>
    </row>
    <row r="66" spans="1:11">
      <c r="A66" s="333">
        <v>11</v>
      </c>
      <c r="D66" s="729"/>
      <c r="E66" s="196"/>
      <c r="G66" s="462"/>
      <c r="H66" s="463"/>
      <c r="I66" s="464"/>
    </row>
    <row r="67" spans="1:11">
      <c r="A67" s="333">
        <v>12</v>
      </c>
      <c r="B67" s="332" t="s">
        <v>17</v>
      </c>
      <c r="D67" s="729"/>
      <c r="E67" s="196"/>
      <c r="G67" s="462"/>
      <c r="H67" s="463"/>
      <c r="I67" s="464"/>
    </row>
    <row r="68" spans="1:11">
      <c r="A68" s="333">
        <v>13</v>
      </c>
      <c r="C68" s="332" t="s">
        <v>393</v>
      </c>
      <c r="D68" s="729" t="s">
        <v>288</v>
      </c>
      <c r="E68" s="196"/>
      <c r="F68" s="793">
        <f>'[1]SCH B-2.1'!$I$227+'[1]SCH B-2.1'!$I$228</f>
        <v>8194914</v>
      </c>
      <c r="G68" s="465">
        <f t="shared" ref="G68:G77" si="9">F68-SUM(H68:I68)</f>
        <v>0</v>
      </c>
      <c r="H68" s="466">
        <f t="shared" ref="H68:H77" si="10">ROUND(F68*VLOOKUP(D68,AllocTable_Functional,$H$10,FALSE),0)</f>
        <v>0</v>
      </c>
      <c r="I68" s="467">
        <f t="shared" ref="I68:I77" si="11">ROUND(F68*VLOOKUP(D68,AllocTable_Functional,$I$10,FALSE),0)</f>
        <v>8194914</v>
      </c>
      <c r="J68" s="347">
        <f t="shared" ref="J68:J77" si="12">SUM(G68:I68)</f>
        <v>8194914</v>
      </c>
      <c r="K68" s="347">
        <f t="shared" ref="K68:K77" si="13">F68-J68</f>
        <v>0</v>
      </c>
    </row>
    <row r="69" spans="1:11">
      <c r="A69" s="333">
        <v>14</v>
      </c>
      <c r="C69" s="332" t="s">
        <v>410</v>
      </c>
      <c r="D69" s="729" t="s">
        <v>288</v>
      </c>
      <c r="E69" s="196"/>
      <c r="F69" s="793">
        <f>'[1]SCH B-2.1'!$I$229</f>
        <v>2419176</v>
      </c>
      <c r="G69" s="465">
        <f t="shared" si="9"/>
        <v>0</v>
      </c>
      <c r="H69" s="466">
        <f t="shared" si="10"/>
        <v>0</v>
      </c>
      <c r="I69" s="467">
        <f t="shared" si="11"/>
        <v>2419176</v>
      </c>
      <c r="J69" s="347">
        <f t="shared" si="12"/>
        <v>2419176</v>
      </c>
      <c r="K69" s="347">
        <f t="shared" si="13"/>
        <v>0</v>
      </c>
    </row>
    <row r="70" spans="1:11">
      <c r="A70" s="333">
        <v>15</v>
      </c>
      <c r="C70" s="332" t="s">
        <v>394</v>
      </c>
      <c r="D70" s="729" t="s">
        <v>296</v>
      </c>
      <c r="E70" s="196"/>
      <c r="F70" s="793">
        <f>'[1]SCH B-2.1'!$I$237+'[1]SCH B-2.1'!$I$238</f>
        <v>519875</v>
      </c>
      <c r="G70" s="465">
        <f t="shared" si="9"/>
        <v>0</v>
      </c>
      <c r="H70" s="466">
        <f t="shared" si="10"/>
        <v>0</v>
      </c>
      <c r="I70" s="467">
        <f t="shared" si="11"/>
        <v>519875</v>
      </c>
      <c r="J70" s="347">
        <f t="shared" si="12"/>
        <v>519875</v>
      </c>
      <c r="K70" s="347">
        <f t="shared" si="13"/>
        <v>0</v>
      </c>
    </row>
    <row r="71" spans="1:11">
      <c r="A71" s="333">
        <v>16</v>
      </c>
      <c r="C71" s="332" t="s">
        <v>395</v>
      </c>
      <c r="D71" s="729" t="s">
        <v>295</v>
      </c>
      <c r="E71" s="196"/>
      <c r="F71" s="793">
        <f>'[1]SCH B-2.1'!$I$223+'[1]SCH B-2.1'!$I$224+'[1]SCH B-2.1'!$I$225+'[1]SCH B-2.1'!$I$226</f>
        <v>283446655</v>
      </c>
      <c r="G71" s="465">
        <f t="shared" si="9"/>
        <v>0</v>
      </c>
      <c r="H71" s="466">
        <f t="shared" si="10"/>
        <v>0</v>
      </c>
      <c r="I71" s="467">
        <f t="shared" si="11"/>
        <v>283446655</v>
      </c>
      <c r="J71" s="347">
        <f t="shared" si="12"/>
        <v>283446655</v>
      </c>
      <c r="K71" s="347">
        <f t="shared" si="13"/>
        <v>0</v>
      </c>
    </row>
    <row r="72" spans="1:11">
      <c r="A72" s="333">
        <v>17</v>
      </c>
      <c r="C72" s="332" t="s">
        <v>396</v>
      </c>
      <c r="D72" s="729" t="s">
        <v>292</v>
      </c>
      <c r="E72" s="196"/>
      <c r="F72" s="793">
        <f>'[1]SCH B-2.1'!$I$230+'[1]SCH B-2.1'!$I$231+'[1]SCH B-2.1'!$I$232</f>
        <v>163028490</v>
      </c>
      <c r="G72" s="465">
        <f t="shared" si="9"/>
        <v>0</v>
      </c>
      <c r="H72" s="466">
        <f t="shared" si="10"/>
        <v>0</v>
      </c>
      <c r="I72" s="467">
        <f t="shared" si="11"/>
        <v>163028490</v>
      </c>
      <c r="J72" s="347">
        <f t="shared" si="12"/>
        <v>163028490</v>
      </c>
      <c r="K72" s="347">
        <f t="shared" si="13"/>
        <v>0</v>
      </c>
    </row>
    <row r="73" spans="1:11">
      <c r="A73" s="333">
        <v>18</v>
      </c>
      <c r="C73" s="332" t="s">
        <v>397</v>
      </c>
      <c r="D73" s="729" t="s">
        <v>294</v>
      </c>
      <c r="E73" s="196"/>
      <c r="F73" s="793">
        <f>'[1]SCH B-2.1'!$I$233+'[1]SCH B-2.1'!$I$234</f>
        <v>23257250</v>
      </c>
      <c r="G73" s="465">
        <f t="shared" si="9"/>
        <v>0</v>
      </c>
      <c r="H73" s="466">
        <f t="shared" si="10"/>
        <v>0</v>
      </c>
      <c r="I73" s="467">
        <f t="shared" si="11"/>
        <v>23257250</v>
      </c>
      <c r="J73" s="347">
        <f t="shared" si="12"/>
        <v>23257250</v>
      </c>
      <c r="K73" s="347">
        <f t="shared" si="13"/>
        <v>0</v>
      </c>
    </row>
    <row r="74" spans="1:11">
      <c r="A74" s="333">
        <v>19</v>
      </c>
      <c r="C74" s="332" t="s">
        <v>417</v>
      </c>
      <c r="D74" s="729" t="s">
        <v>288</v>
      </c>
      <c r="E74" s="196"/>
      <c r="F74" s="793">
        <f>'[1]SCH B-2.1'!$I$220+'[1]SCH B-2.1'!$I$221+'[1]SCH B-2.1'!$I$222</f>
        <v>1460393</v>
      </c>
      <c r="G74" s="465">
        <f t="shared" si="9"/>
        <v>0</v>
      </c>
      <c r="H74" s="466">
        <f t="shared" si="10"/>
        <v>0</v>
      </c>
      <c r="I74" s="467">
        <f t="shared" si="11"/>
        <v>1460393</v>
      </c>
      <c r="J74" s="347">
        <f t="shared" si="12"/>
        <v>1460393</v>
      </c>
      <c r="K74" s="347">
        <f t="shared" si="13"/>
        <v>0</v>
      </c>
    </row>
    <row r="75" spans="1:11">
      <c r="A75" s="333">
        <v>20</v>
      </c>
      <c r="C75" s="332" t="s">
        <v>398</v>
      </c>
      <c r="D75" s="729" t="s">
        <v>301</v>
      </c>
      <c r="E75" s="196"/>
      <c r="F75" s="793">
        <f>'[1]SCH B-2.1'!$I$235+'[1]SCH B-2.1'!$I$236</f>
        <v>12497082</v>
      </c>
      <c r="G75" s="465">
        <f t="shared" si="9"/>
        <v>0</v>
      </c>
      <c r="H75" s="466">
        <f t="shared" si="10"/>
        <v>0</v>
      </c>
      <c r="I75" s="467">
        <f t="shared" si="11"/>
        <v>12497082</v>
      </c>
      <c r="J75" s="347">
        <f t="shared" si="12"/>
        <v>12497082</v>
      </c>
      <c r="K75" s="347">
        <f t="shared" si="13"/>
        <v>0</v>
      </c>
    </row>
    <row r="76" spans="1:11">
      <c r="A76" s="333">
        <v>21</v>
      </c>
      <c r="C76" s="365" t="s">
        <v>416</v>
      </c>
      <c r="D76" s="729" t="s">
        <v>297</v>
      </c>
      <c r="E76" s="196"/>
      <c r="F76" s="793">
        <f>'[1]SCH B-2.1'!$I$239+'[1]SCH B-2.1'!$I$240</f>
        <v>49737</v>
      </c>
      <c r="G76" s="465">
        <f t="shared" si="9"/>
        <v>0</v>
      </c>
      <c r="H76" s="466">
        <f t="shared" si="10"/>
        <v>0</v>
      </c>
      <c r="I76" s="467">
        <f t="shared" si="11"/>
        <v>49737</v>
      </c>
      <c r="J76" s="347">
        <f t="shared" si="12"/>
        <v>49737</v>
      </c>
      <c r="K76" s="347">
        <f t="shared" si="13"/>
        <v>0</v>
      </c>
    </row>
    <row r="77" spans="1:11">
      <c r="A77" s="333">
        <v>22</v>
      </c>
      <c r="C77" s="332" t="s">
        <v>1295</v>
      </c>
      <c r="D77" s="729" t="s">
        <v>288</v>
      </c>
      <c r="E77" s="196"/>
      <c r="F77" s="794">
        <f>'[1]SCH B-2.1'!$I$241+'[1]SCH B-2.1'!$I$242</f>
        <v>53610236</v>
      </c>
      <c r="G77" s="465">
        <f t="shared" si="9"/>
        <v>0</v>
      </c>
      <c r="H77" s="466">
        <f t="shared" si="10"/>
        <v>0</v>
      </c>
      <c r="I77" s="467">
        <f t="shared" si="11"/>
        <v>53610236</v>
      </c>
      <c r="J77" s="347">
        <f t="shared" si="12"/>
        <v>53610236</v>
      </c>
      <c r="K77" s="347">
        <f t="shared" si="13"/>
        <v>0</v>
      </c>
    </row>
    <row r="78" spans="1:11">
      <c r="A78" s="333">
        <v>23</v>
      </c>
      <c r="C78" s="339" t="s">
        <v>113</v>
      </c>
      <c r="D78" s="729"/>
      <c r="E78" s="196"/>
      <c r="F78" s="348">
        <f t="shared" ref="F78:K78" si="14">SUM(F68:F77)</f>
        <v>548483808</v>
      </c>
      <c r="G78" s="468">
        <f t="shared" si="14"/>
        <v>0</v>
      </c>
      <c r="H78" s="456">
        <f t="shared" si="14"/>
        <v>0</v>
      </c>
      <c r="I78" s="469">
        <f t="shared" si="14"/>
        <v>548483808</v>
      </c>
      <c r="J78" s="348">
        <f t="shared" si="14"/>
        <v>548483808</v>
      </c>
      <c r="K78" s="348">
        <f t="shared" si="14"/>
        <v>0</v>
      </c>
    </row>
    <row r="79" spans="1:11">
      <c r="A79" s="333">
        <v>24</v>
      </c>
      <c r="D79" s="729"/>
      <c r="E79" s="196"/>
      <c r="G79" s="462"/>
      <c r="H79" s="463"/>
      <c r="I79" s="464"/>
    </row>
    <row r="80" spans="1:11">
      <c r="A80" s="333">
        <v>25</v>
      </c>
      <c r="B80" s="332" t="s">
        <v>18</v>
      </c>
      <c r="D80" s="729"/>
      <c r="E80" s="196"/>
      <c r="F80" s="347">
        <f>F78+F63</f>
        <v>548483808</v>
      </c>
      <c r="G80" s="465">
        <f>G78+$G$63</f>
        <v>0</v>
      </c>
      <c r="H80" s="466">
        <f>H78+$H$63</f>
        <v>0</v>
      </c>
      <c r="I80" s="467">
        <f>I78+$I$63</f>
        <v>548483808</v>
      </c>
      <c r="J80" s="347">
        <f>J78+$J$63</f>
        <v>548483808</v>
      </c>
      <c r="K80" s="347">
        <f>K78+$K$63</f>
        <v>0</v>
      </c>
    </row>
    <row r="81" spans="1:17">
      <c r="A81" s="333">
        <v>26</v>
      </c>
      <c r="B81" s="332" t="s">
        <v>19</v>
      </c>
      <c r="D81" s="729"/>
      <c r="E81" s="196"/>
      <c r="F81" s="347">
        <f t="shared" ref="F81:K81" si="15">F78+F65</f>
        <v>551283416</v>
      </c>
      <c r="G81" s="465">
        <f t="shared" si="15"/>
        <v>2799608</v>
      </c>
      <c r="H81" s="466">
        <f t="shared" si="15"/>
        <v>0</v>
      </c>
      <c r="I81" s="467">
        <f t="shared" si="15"/>
        <v>548483808</v>
      </c>
      <c r="J81" s="347">
        <f t="shared" si="15"/>
        <v>551283416</v>
      </c>
      <c r="K81" s="347">
        <f t="shared" si="15"/>
        <v>0</v>
      </c>
    </row>
    <row r="82" spans="1:17">
      <c r="A82" s="333">
        <v>27</v>
      </c>
      <c r="D82" s="729"/>
      <c r="E82" s="196"/>
      <c r="G82" s="462"/>
      <c r="H82" s="463"/>
      <c r="I82" s="464"/>
    </row>
    <row r="83" spans="1:17">
      <c r="A83" s="333">
        <v>28</v>
      </c>
      <c r="B83" s="332" t="s">
        <v>20</v>
      </c>
      <c r="D83" s="729"/>
      <c r="E83" s="196"/>
      <c r="G83" s="462"/>
      <c r="H83" s="463"/>
      <c r="I83" s="464"/>
    </row>
    <row r="84" spans="1:17">
      <c r="A84" s="333">
        <v>29</v>
      </c>
      <c r="C84" s="332" t="s">
        <v>14</v>
      </c>
      <c r="D84" s="729" t="s">
        <v>287</v>
      </c>
      <c r="E84" s="196"/>
      <c r="F84" s="479">
        <f>'WP FR-16(7)(v)-A&amp;G WP'!D12</f>
        <v>1418707</v>
      </c>
      <c r="G84" s="465">
        <f t="shared" ref="G84:G89" si="16">F84-SUM(H84:I84)</f>
        <v>1418707</v>
      </c>
      <c r="H84" s="466">
        <f t="shared" ref="H84:H89" si="17">ROUND(F84*VLOOKUP(D84,AllocTable_Functional,$H$10,FALSE),0)</f>
        <v>0</v>
      </c>
      <c r="I84" s="467">
        <f t="shared" ref="I84:I89" si="18">ROUND(F84*VLOOKUP(D84,AllocTable_Functional,$I$10,FALSE),0)</f>
        <v>0</v>
      </c>
      <c r="J84" s="347">
        <f t="shared" ref="J84:J89" si="19">SUM(G84:I84)</f>
        <v>1418707</v>
      </c>
      <c r="K84" s="347">
        <f t="shared" ref="K84:K89" si="20">F84-J84</f>
        <v>0</v>
      </c>
    </row>
    <row r="85" spans="1:17">
      <c r="A85" s="333">
        <v>30</v>
      </c>
      <c r="C85" s="332" t="s">
        <v>366</v>
      </c>
      <c r="D85" s="729" t="s">
        <v>323</v>
      </c>
      <c r="E85" s="196"/>
      <c r="F85" s="479">
        <f>'WP FR-16(7)(v)-A&amp;G WP'!D13</f>
        <v>1109764</v>
      </c>
      <c r="G85" s="465">
        <f t="shared" si="16"/>
        <v>1109764</v>
      </c>
      <c r="H85" s="466">
        <f t="shared" si="17"/>
        <v>0</v>
      </c>
      <c r="I85" s="467">
        <f t="shared" si="18"/>
        <v>0</v>
      </c>
      <c r="J85" s="347">
        <f t="shared" si="19"/>
        <v>1109764</v>
      </c>
      <c r="K85" s="347">
        <f t="shared" si="20"/>
        <v>0</v>
      </c>
    </row>
    <row r="86" spans="1:17">
      <c r="A86" s="333">
        <v>31</v>
      </c>
      <c r="C86" s="332" t="s">
        <v>17</v>
      </c>
      <c r="D86" s="729" t="s">
        <v>324</v>
      </c>
      <c r="E86" s="196"/>
      <c r="F86" s="479">
        <f>'WP FR-16(7)(v)-A&amp;G WP'!D15</f>
        <v>15031206</v>
      </c>
      <c r="G86" s="465">
        <f t="shared" si="16"/>
        <v>0</v>
      </c>
      <c r="H86" s="466">
        <f t="shared" si="17"/>
        <v>0</v>
      </c>
      <c r="I86" s="467">
        <f t="shared" si="18"/>
        <v>15031206</v>
      </c>
      <c r="J86" s="347">
        <f t="shared" si="19"/>
        <v>15031206</v>
      </c>
      <c r="K86" s="347">
        <f t="shared" si="20"/>
        <v>0</v>
      </c>
    </row>
    <row r="87" spans="1:17">
      <c r="A87" s="333">
        <v>32</v>
      </c>
      <c r="C87" s="332" t="s">
        <v>51</v>
      </c>
      <c r="D87" s="729" t="s">
        <v>1017</v>
      </c>
      <c r="E87" s="196"/>
      <c r="F87" s="479">
        <f>'WP FR-16(7)(v)-A&amp;G WP'!D16</f>
        <v>6350501</v>
      </c>
      <c r="G87" s="465">
        <f t="shared" si="16"/>
        <v>0</v>
      </c>
      <c r="H87" s="466">
        <f t="shared" si="17"/>
        <v>0</v>
      </c>
      <c r="I87" s="467">
        <f t="shared" si="18"/>
        <v>6350501</v>
      </c>
      <c r="J87" s="347">
        <f t="shared" si="19"/>
        <v>6350501</v>
      </c>
      <c r="K87" s="347">
        <f t="shared" si="20"/>
        <v>0</v>
      </c>
    </row>
    <row r="88" spans="1:17">
      <c r="A88" s="333">
        <v>33</v>
      </c>
      <c r="C88" s="332" t="s">
        <v>52</v>
      </c>
      <c r="D88" s="729" t="s">
        <v>1020</v>
      </c>
      <c r="E88" s="196"/>
      <c r="F88" s="479">
        <f>'WP FR-16(7)(v)-A&amp;G WP'!D17</f>
        <v>555712</v>
      </c>
      <c r="G88" s="465">
        <f t="shared" si="16"/>
        <v>0</v>
      </c>
      <c r="H88" s="466">
        <f t="shared" si="17"/>
        <v>0</v>
      </c>
      <c r="I88" s="467">
        <f t="shared" si="18"/>
        <v>555712</v>
      </c>
      <c r="J88" s="347">
        <f t="shared" si="19"/>
        <v>555712</v>
      </c>
      <c r="K88" s="347">
        <f t="shared" si="20"/>
        <v>0</v>
      </c>
    </row>
    <row r="89" spans="1:17">
      <c r="A89" s="333">
        <v>34</v>
      </c>
      <c r="C89" s="332" t="s">
        <v>53</v>
      </c>
      <c r="D89" s="729" t="s">
        <v>1018</v>
      </c>
      <c r="E89" s="196"/>
      <c r="F89" s="479">
        <f>'WP FR-16(7)(v)-A&amp;G WP'!D18</f>
        <v>0</v>
      </c>
      <c r="G89" s="465">
        <f t="shared" si="16"/>
        <v>0</v>
      </c>
      <c r="H89" s="466">
        <f t="shared" si="17"/>
        <v>0</v>
      </c>
      <c r="I89" s="467">
        <f t="shared" si="18"/>
        <v>0</v>
      </c>
      <c r="J89" s="347">
        <f t="shared" si="19"/>
        <v>0</v>
      </c>
      <c r="K89" s="347">
        <f t="shared" si="20"/>
        <v>0</v>
      </c>
    </row>
    <row r="90" spans="1:17">
      <c r="A90" s="333">
        <v>35</v>
      </c>
      <c r="C90" s="339" t="s">
        <v>114</v>
      </c>
      <c r="D90" s="729"/>
      <c r="E90" s="196"/>
      <c r="F90" s="480">
        <f t="shared" ref="F90:K90" si="21">SUM(F84:F89)</f>
        <v>24465890</v>
      </c>
      <c r="G90" s="468">
        <f t="shared" si="21"/>
        <v>2528471</v>
      </c>
      <c r="H90" s="456">
        <f t="shared" si="21"/>
        <v>0</v>
      </c>
      <c r="I90" s="469">
        <f t="shared" si="21"/>
        <v>21937419</v>
      </c>
      <c r="J90" s="348">
        <f t="shared" si="21"/>
        <v>24465890</v>
      </c>
      <c r="K90" s="348">
        <f t="shared" si="21"/>
        <v>0</v>
      </c>
    </row>
    <row r="91" spans="1:17">
      <c r="A91" s="333">
        <v>36</v>
      </c>
      <c r="D91" s="729"/>
      <c r="E91" s="196"/>
      <c r="G91" s="462"/>
      <c r="H91" s="463"/>
      <c r="I91" s="464"/>
      <c r="Q91" s="335"/>
    </row>
    <row r="92" spans="1:17">
      <c r="A92" s="333">
        <v>37</v>
      </c>
      <c r="B92" s="332" t="s">
        <v>21</v>
      </c>
      <c r="D92" s="729"/>
      <c r="E92" s="196"/>
      <c r="G92" s="462"/>
      <c r="H92" s="463"/>
      <c r="I92" s="464"/>
    </row>
    <row r="93" spans="1:17">
      <c r="A93" s="333">
        <v>38</v>
      </c>
      <c r="C93" s="332" t="s">
        <v>14</v>
      </c>
      <c r="D93" s="729" t="s">
        <v>287</v>
      </c>
      <c r="E93" s="196"/>
      <c r="F93" s="479">
        <f>'WP FR-16(7)(v)-A&amp;G WP'!F12</f>
        <v>746752</v>
      </c>
      <c r="G93" s="465">
        <f t="shared" ref="G93:G98" si="22">F93-SUM(H93:I93)</f>
        <v>746752</v>
      </c>
      <c r="H93" s="466">
        <f t="shared" ref="H93:H98" si="23">ROUND(F93*VLOOKUP(D93,AllocTable_Functional,$H$10,FALSE),0)</f>
        <v>0</v>
      </c>
      <c r="I93" s="467">
        <f t="shared" ref="I93:I98" si="24">ROUND(F93*VLOOKUP(D93,AllocTable_Functional,$I$10,FALSE),0)</f>
        <v>0</v>
      </c>
      <c r="J93" s="347">
        <f t="shared" ref="J93:J98" si="25">SUM(G93:I93)</f>
        <v>746752</v>
      </c>
      <c r="K93" s="347">
        <f t="shared" ref="K93:K98" si="26">F93-J93</f>
        <v>0</v>
      </c>
    </row>
    <row r="94" spans="1:17">
      <c r="A94" s="333">
        <v>39</v>
      </c>
      <c r="C94" s="332" t="s">
        <v>366</v>
      </c>
      <c r="D94" s="729" t="s">
        <v>323</v>
      </c>
      <c r="E94" s="196"/>
      <c r="F94" s="479">
        <f>'WP FR-16(7)(v)-A&amp;G WP'!F13</f>
        <v>584136</v>
      </c>
      <c r="G94" s="465">
        <f t="shared" si="22"/>
        <v>584136</v>
      </c>
      <c r="H94" s="466">
        <f t="shared" si="23"/>
        <v>0</v>
      </c>
      <c r="I94" s="467">
        <f t="shared" si="24"/>
        <v>0</v>
      </c>
      <c r="J94" s="347">
        <f t="shared" si="25"/>
        <v>584136</v>
      </c>
      <c r="K94" s="347">
        <f t="shared" si="26"/>
        <v>0</v>
      </c>
    </row>
    <row r="95" spans="1:17">
      <c r="A95" s="333">
        <v>40</v>
      </c>
      <c r="C95" s="332" t="s">
        <v>17</v>
      </c>
      <c r="D95" s="729" t="s">
        <v>324</v>
      </c>
      <c r="E95" s="196"/>
      <c r="F95" s="479">
        <f>'WP FR-16(7)(v)-A&amp;G WP'!F15</f>
        <v>7911837</v>
      </c>
      <c r="G95" s="465">
        <f t="shared" si="22"/>
        <v>0</v>
      </c>
      <c r="H95" s="466">
        <f t="shared" si="23"/>
        <v>0</v>
      </c>
      <c r="I95" s="467">
        <f t="shared" si="24"/>
        <v>7911837</v>
      </c>
      <c r="J95" s="347">
        <f t="shared" si="25"/>
        <v>7911837</v>
      </c>
      <c r="K95" s="347">
        <f t="shared" si="26"/>
        <v>0</v>
      </c>
    </row>
    <row r="96" spans="1:17">
      <c r="A96" s="333">
        <v>41</v>
      </c>
      <c r="C96" s="332" t="s">
        <v>51</v>
      </c>
      <c r="D96" s="729" t="s">
        <v>1017</v>
      </c>
      <c r="E96" s="196"/>
      <c r="F96" s="479">
        <f>'WP FR-16(7)(v)-A&amp;G WP'!F16</f>
        <v>3342655</v>
      </c>
      <c r="G96" s="465">
        <f t="shared" si="22"/>
        <v>0</v>
      </c>
      <c r="H96" s="466">
        <f t="shared" si="23"/>
        <v>0</v>
      </c>
      <c r="I96" s="467">
        <f t="shared" si="24"/>
        <v>3342655</v>
      </c>
      <c r="J96" s="347">
        <f t="shared" si="25"/>
        <v>3342655</v>
      </c>
      <c r="K96" s="347">
        <f t="shared" si="26"/>
        <v>0</v>
      </c>
    </row>
    <row r="97" spans="1:15">
      <c r="A97" s="333">
        <v>42</v>
      </c>
      <c r="C97" s="332" t="s">
        <v>52</v>
      </c>
      <c r="D97" s="729" t="s">
        <v>1020</v>
      </c>
      <c r="E97" s="196"/>
      <c r="F97" s="479">
        <f>'WP FR-16(7)(v)-A&amp;G WP'!F17</f>
        <v>292505</v>
      </c>
      <c r="G97" s="465">
        <f t="shared" si="22"/>
        <v>0</v>
      </c>
      <c r="H97" s="466">
        <f t="shared" si="23"/>
        <v>0</v>
      </c>
      <c r="I97" s="467">
        <f t="shared" si="24"/>
        <v>292505</v>
      </c>
      <c r="J97" s="347">
        <f t="shared" si="25"/>
        <v>292505</v>
      </c>
      <c r="K97" s="347">
        <f t="shared" si="26"/>
        <v>0</v>
      </c>
    </row>
    <row r="98" spans="1:15">
      <c r="A98" s="333">
        <v>43</v>
      </c>
      <c r="C98" s="365" t="s">
        <v>53</v>
      </c>
      <c r="D98" s="729" t="s">
        <v>1018</v>
      </c>
      <c r="E98" s="196"/>
      <c r="F98" s="479">
        <f>'WP FR-16(7)(v)-A&amp;G WP'!F18</f>
        <v>0</v>
      </c>
      <c r="G98" s="465">
        <f t="shared" si="22"/>
        <v>0</v>
      </c>
      <c r="H98" s="466">
        <f t="shared" si="23"/>
        <v>0</v>
      </c>
      <c r="I98" s="467">
        <f t="shared" si="24"/>
        <v>0</v>
      </c>
      <c r="J98" s="347">
        <f t="shared" si="25"/>
        <v>0</v>
      </c>
      <c r="K98" s="347">
        <f t="shared" si="26"/>
        <v>0</v>
      </c>
    </row>
    <row r="99" spans="1:15">
      <c r="A99" s="333">
        <v>44</v>
      </c>
      <c r="C99" s="339" t="s">
        <v>1213</v>
      </c>
      <c r="E99" s="196"/>
      <c r="F99" s="348">
        <f t="shared" ref="F99:K99" si="27">SUM(F93:F98)</f>
        <v>12877885</v>
      </c>
      <c r="G99" s="468">
        <f t="shared" si="27"/>
        <v>1330888</v>
      </c>
      <c r="H99" s="456">
        <f t="shared" si="27"/>
        <v>0</v>
      </c>
      <c r="I99" s="469">
        <f t="shared" si="27"/>
        <v>11546997</v>
      </c>
      <c r="J99" s="348">
        <f t="shared" si="27"/>
        <v>12877885</v>
      </c>
      <c r="K99" s="348">
        <f t="shared" si="27"/>
        <v>0</v>
      </c>
    </row>
    <row r="100" spans="1:15">
      <c r="A100" s="333">
        <v>45</v>
      </c>
      <c r="E100" s="196"/>
      <c r="G100" s="462"/>
      <c r="H100" s="463"/>
      <c r="I100" s="464"/>
    </row>
    <row r="101" spans="1:15">
      <c r="A101" s="333">
        <v>46</v>
      </c>
      <c r="B101" s="332" t="s">
        <v>95</v>
      </c>
      <c r="E101" s="196"/>
      <c r="F101" s="347">
        <f t="shared" ref="F101:K101" si="28">F81+F90+F99</f>
        <v>588627191</v>
      </c>
      <c r="G101" s="484">
        <f t="shared" si="28"/>
        <v>6658967</v>
      </c>
      <c r="H101" s="485">
        <f t="shared" si="28"/>
        <v>0</v>
      </c>
      <c r="I101" s="486">
        <f t="shared" si="28"/>
        <v>581968224</v>
      </c>
      <c r="J101" s="347">
        <f t="shared" si="28"/>
        <v>588627191</v>
      </c>
      <c r="K101" s="347">
        <f t="shared" si="28"/>
        <v>0</v>
      </c>
      <c r="M101" s="1035">
        <f>ROUND(G101/F101,4)</f>
        <v>1.1299999999999999E-2</v>
      </c>
      <c r="N101" s="1035">
        <f>ROUND(H101/F101,4)</f>
        <v>0</v>
      </c>
      <c r="O101" s="1035">
        <f>ROUND(I101/F101,4)</f>
        <v>0.98870000000000002</v>
      </c>
    </row>
    <row r="102" spans="1:15">
      <c r="B102" s="343"/>
      <c r="C102" s="196"/>
      <c r="D102" s="344"/>
      <c r="E102" s="196"/>
      <c r="F102" s="196"/>
      <c r="G102" s="196"/>
      <c r="H102" s="196"/>
      <c r="I102" s="196"/>
      <c r="J102" s="196"/>
      <c r="K102" s="196"/>
    </row>
    <row r="103" spans="1:15">
      <c r="A103" s="343" t="str">
        <f>co_name</f>
        <v>DUKE ENERGY KENTUCKY, INC.</v>
      </c>
      <c r="C103" s="196"/>
      <c r="D103" s="344"/>
      <c r="E103" s="196"/>
      <c r="F103" s="196"/>
      <c r="G103" s="196"/>
      <c r="H103" s="196"/>
      <c r="I103" s="196"/>
      <c r="J103" s="196" t="str">
        <f>$J$1</f>
        <v>FR-16(7)(v)-1</v>
      </c>
      <c r="K103" s="196"/>
    </row>
    <row r="104" spans="1:15">
      <c r="A104" s="343" t="str">
        <f>$A$2</f>
        <v>FUNCTIONAL GAS COST OF SERVICE</v>
      </c>
      <c r="C104" s="196"/>
      <c r="D104" s="344"/>
      <c r="E104" s="196"/>
      <c r="F104" s="196"/>
      <c r="G104" s="196"/>
      <c r="H104" s="196"/>
      <c r="I104" s="196"/>
      <c r="J104" s="196" t="str">
        <f>$J$2</f>
        <v>WITNESS RESPONSIBLE:</v>
      </c>
      <c r="K104" s="196"/>
    </row>
    <row r="105" spans="1:15">
      <c r="A105" s="343" t="str">
        <f>case_name</f>
        <v>CASE NO: 2018-00261</v>
      </c>
      <c r="C105" s="196"/>
      <c r="D105" s="344"/>
      <c r="E105" s="196"/>
      <c r="F105" s="196"/>
      <c r="G105" s="196"/>
      <c r="H105" s="196"/>
      <c r="I105" s="196"/>
      <c r="J105" s="196" t="str">
        <f>Witness</f>
        <v>JAMES E. ZIOLKOWSKI</v>
      </c>
      <c r="K105" s="196"/>
    </row>
    <row r="106" spans="1:15">
      <c r="A106" s="343" t="str">
        <f>data_filing</f>
        <v>DATA: 12 MONTH FORECASTED PERIOD</v>
      </c>
      <c r="C106" s="196"/>
      <c r="D106" s="344"/>
      <c r="E106" s="196"/>
      <c r="F106" s="196"/>
      <c r="G106" s="196"/>
      <c r="H106" s="196"/>
      <c r="I106" s="196"/>
      <c r="J106" s="196" t="str">
        <f>"PAGE "&amp;Pages-15&amp;" OF "&amp;Pages</f>
        <v>PAGE 3 OF 18</v>
      </c>
      <c r="K106" s="196"/>
    </row>
    <row r="107" spans="1:15">
      <c r="A107" s="343" t="str">
        <f>type</f>
        <v xml:space="preserve">TYPE OF FILING: "X" ORIGINAL   UPDATED    REVISED  </v>
      </c>
      <c r="C107" s="196"/>
      <c r="D107" s="344"/>
      <c r="E107" s="196"/>
      <c r="F107" s="196"/>
      <c r="G107" s="196"/>
      <c r="H107" s="196"/>
      <c r="I107" s="196"/>
      <c r="J107" s="196"/>
      <c r="K107" s="196"/>
    </row>
    <row r="108" spans="1:15">
      <c r="A108" s="343"/>
      <c r="C108" s="196"/>
      <c r="D108" s="344"/>
      <c r="E108" s="196"/>
      <c r="F108" s="196"/>
      <c r="G108" s="196"/>
      <c r="H108" s="196"/>
      <c r="I108" s="196"/>
      <c r="J108" s="196"/>
      <c r="K108" s="196"/>
    </row>
    <row r="109" spans="1:15">
      <c r="B109" s="343"/>
      <c r="C109" s="196"/>
      <c r="D109" s="344"/>
      <c r="E109" s="196"/>
      <c r="F109" s="196"/>
      <c r="G109" s="196"/>
      <c r="H109" s="196"/>
      <c r="I109" s="196"/>
      <c r="J109" s="196"/>
      <c r="K109" s="196"/>
    </row>
    <row r="110" spans="1:15">
      <c r="A110" s="344" t="s">
        <v>914</v>
      </c>
      <c r="B110" s="196"/>
      <c r="C110" s="196"/>
      <c r="D110" s="344"/>
      <c r="E110" s="196"/>
      <c r="F110" s="344" t="s">
        <v>229</v>
      </c>
      <c r="G110" s="473" t="s">
        <v>981</v>
      </c>
      <c r="H110" s="474"/>
      <c r="I110" s="475"/>
      <c r="J110" s="344" t="s">
        <v>229</v>
      </c>
      <c r="K110" s="344" t="s">
        <v>342</v>
      </c>
    </row>
    <row r="111" spans="1:15">
      <c r="A111" s="346" t="s">
        <v>915</v>
      </c>
      <c r="B111" s="345" t="s">
        <v>22</v>
      </c>
      <c r="C111" s="345"/>
      <c r="D111" s="346" t="s">
        <v>337</v>
      </c>
      <c r="E111" s="345"/>
      <c r="F111" s="346" t="s">
        <v>284</v>
      </c>
      <c r="G111" s="460" t="s">
        <v>845</v>
      </c>
      <c r="H111" s="455" t="s">
        <v>980</v>
      </c>
      <c r="I111" s="461" t="s">
        <v>846</v>
      </c>
      <c r="J111" s="346" t="s">
        <v>341</v>
      </c>
      <c r="K111" s="346" t="s">
        <v>340</v>
      </c>
    </row>
    <row r="112" spans="1:15">
      <c r="C112" s="578" t="s">
        <v>345</v>
      </c>
      <c r="D112" s="344"/>
      <c r="E112" s="196"/>
      <c r="G112" s="628">
        <f>$G$10</f>
        <v>3</v>
      </c>
      <c r="H112" s="629">
        <f>$H$10</f>
        <v>4</v>
      </c>
      <c r="I112" s="630">
        <f>$I$10</f>
        <v>5</v>
      </c>
    </row>
    <row r="113" spans="1:15">
      <c r="A113" s="333">
        <v>1</v>
      </c>
      <c r="B113" s="332" t="s">
        <v>14</v>
      </c>
      <c r="D113" s="344"/>
      <c r="E113" s="196"/>
      <c r="G113" s="462"/>
      <c r="H113" s="463"/>
      <c r="I113" s="464"/>
    </row>
    <row r="114" spans="1:15">
      <c r="A114" s="333">
        <v>2</v>
      </c>
      <c r="C114" s="365" t="s">
        <v>14</v>
      </c>
      <c r="D114" s="729" t="s">
        <v>289</v>
      </c>
      <c r="E114" s="196"/>
      <c r="F114" s="793">
        <f>'[1]SCH B-3'!$K$227</f>
        <v>1634598</v>
      </c>
      <c r="G114" s="465">
        <f>F114-SUM(H114:I114)</f>
        <v>1634598</v>
      </c>
      <c r="H114" s="466">
        <f>ROUND(F114*VLOOKUP(D114,AllocTable_Functional,$H$10,FALSE),0)</f>
        <v>0</v>
      </c>
      <c r="I114" s="467">
        <f>ROUND(F114*VLOOKUP(D114,AllocTable_Functional,$I$10,FALSE),0)</f>
        <v>0</v>
      </c>
      <c r="J114" s="347">
        <f>SUM(G114:I114)</f>
        <v>1634598</v>
      </c>
      <c r="K114" s="347">
        <f>F114-J114</f>
        <v>0</v>
      </c>
    </row>
    <row r="115" spans="1:15">
      <c r="A115" s="333">
        <v>3</v>
      </c>
      <c r="C115" s="339" t="s">
        <v>116</v>
      </c>
      <c r="D115" s="729"/>
      <c r="E115" s="196"/>
      <c r="F115" s="348">
        <f t="shared" ref="F115:K115" si="29">SUM(F114:F114)</f>
        <v>1634598</v>
      </c>
      <c r="G115" s="468">
        <f t="shared" si="29"/>
        <v>1634598</v>
      </c>
      <c r="H115" s="456">
        <f t="shared" si="29"/>
        <v>0</v>
      </c>
      <c r="I115" s="469">
        <f t="shared" si="29"/>
        <v>0</v>
      </c>
      <c r="J115" s="348">
        <f t="shared" si="29"/>
        <v>1634598</v>
      </c>
      <c r="K115" s="348">
        <f t="shared" si="29"/>
        <v>0</v>
      </c>
    </row>
    <row r="116" spans="1:15">
      <c r="A116" s="333">
        <v>4</v>
      </c>
      <c r="D116" s="729"/>
      <c r="E116" s="196"/>
      <c r="G116" s="462"/>
      <c r="H116" s="463"/>
      <c r="I116" s="464"/>
    </row>
    <row r="117" spans="1:15">
      <c r="A117" s="333">
        <v>5</v>
      </c>
      <c r="B117" s="332" t="s">
        <v>15</v>
      </c>
      <c r="D117" s="729"/>
      <c r="E117" s="196"/>
      <c r="G117" s="462"/>
      <c r="H117" s="463"/>
      <c r="I117" s="464"/>
    </row>
    <row r="118" spans="1:15">
      <c r="A118" s="333">
        <v>6</v>
      </c>
      <c r="C118" s="359" t="s">
        <v>15</v>
      </c>
      <c r="D118" s="729" t="s">
        <v>343</v>
      </c>
      <c r="E118" s="196"/>
      <c r="F118" s="477"/>
      <c r="G118" s="465"/>
      <c r="H118" s="466"/>
      <c r="I118" s="467"/>
      <c r="J118" s="347"/>
      <c r="K118" s="347"/>
    </row>
    <row r="119" spans="1:15">
      <c r="A119" s="333">
        <v>7</v>
      </c>
      <c r="C119" s="332" t="s">
        <v>117</v>
      </c>
      <c r="D119" s="729"/>
      <c r="E119" s="196"/>
      <c r="F119" s="348">
        <f t="shared" ref="F119:K119" si="30">SUM(F118:F118)</f>
        <v>0</v>
      </c>
      <c r="G119" s="468">
        <f t="shared" si="30"/>
        <v>0</v>
      </c>
      <c r="H119" s="456">
        <f t="shared" si="30"/>
        <v>0</v>
      </c>
      <c r="I119" s="469">
        <f t="shared" si="30"/>
        <v>0</v>
      </c>
      <c r="J119" s="348">
        <f t="shared" si="30"/>
        <v>0</v>
      </c>
      <c r="K119" s="348">
        <f t="shared" si="30"/>
        <v>0</v>
      </c>
    </row>
    <row r="120" spans="1:15">
      <c r="A120" s="333">
        <v>8</v>
      </c>
      <c r="D120" s="729"/>
      <c r="E120" s="196"/>
      <c r="G120" s="462"/>
      <c r="H120" s="463"/>
      <c r="I120" s="464"/>
    </row>
    <row r="121" spans="1:15">
      <c r="A121" s="333">
        <v>9</v>
      </c>
      <c r="B121" s="332" t="s">
        <v>17</v>
      </c>
      <c r="D121" s="729"/>
      <c r="E121" s="196"/>
      <c r="G121" s="462"/>
      <c r="H121" s="463"/>
      <c r="I121" s="464"/>
    </row>
    <row r="122" spans="1:15">
      <c r="A122" s="333">
        <v>10</v>
      </c>
      <c r="C122" s="332" t="s">
        <v>393</v>
      </c>
      <c r="D122" s="729" t="s">
        <v>288</v>
      </c>
      <c r="E122" s="196"/>
      <c r="F122" s="793">
        <f>'[1]SCH B-3'!$K$265+'[1]SCH B-3'!$K$266</f>
        <v>2957792</v>
      </c>
      <c r="G122" s="465">
        <f t="shared" ref="G122:G130" si="31">F122-SUM(H122:I122)</f>
        <v>0</v>
      </c>
      <c r="H122" s="466">
        <f t="shared" ref="H122:H130" si="32">ROUND(F122*VLOOKUP(D122,AllocTable_Functional,$H$10,FALSE),0)</f>
        <v>0</v>
      </c>
      <c r="I122" s="467">
        <f t="shared" ref="I122:I130" si="33">ROUND(F122*VLOOKUP(D122,AllocTable_Functional,$I$10,FALSE),0)</f>
        <v>2957792</v>
      </c>
      <c r="J122" s="347">
        <f t="shared" ref="J122:J130" si="34">SUM(G122:I122)</f>
        <v>2957792</v>
      </c>
      <c r="K122" s="347">
        <f t="shared" ref="K122:K130" si="35">F122-J122</f>
        <v>0</v>
      </c>
      <c r="M122" s="353"/>
      <c r="N122" s="353"/>
      <c r="O122" s="353"/>
    </row>
    <row r="123" spans="1:15">
      <c r="A123" s="333">
        <v>11</v>
      </c>
      <c r="C123" s="332" t="s">
        <v>410</v>
      </c>
      <c r="D123" s="729" t="s">
        <v>288</v>
      </c>
      <c r="E123" s="196"/>
      <c r="F123" s="793">
        <f>'[1]SCH B-3'!$K$267</f>
        <v>1110309</v>
      </c>
      <c r="G123" s="465">
        <f t="shared" si="31"/>
        <v>0</v>
      </c>
      <c r="H123" s="466">
        <f t="shared" si="32"/>
        <v>0</v>
      </c>
      <c r="I123" s="467">
        <f t="shared" si="33"/>
        <v>1110309</v>
      </c>
      <c r="J123" s="347">
        <f t="shared" si="34"/>
        <v>1110309</v>
      </c>
      <c r="K123" s="347">
        <f t="shared" si="35"/>
        <v>0</v>
      </c>
      <c r="M123" s="353"/>
      <c r="N123" s="353"/>
      <c r="O123" s="353"/>
    </row>
    <row r="124" spans="1:15">
      <c r="A124" s="333">
        <v>12</v>
      </c>
      <c r="C124" s="332" t="s">
        <v>394</v>
      </c>
      <c r="D124" s="729" t="s">
        <v>296</v>
      </c>
      <c r="E124" s="196"/>
      <c r="F124" s="793">
        <f>'[1]SCH B-3'!$K$275+'[1]SCH B-3'!$K$276</f>
        <v>498099</v>
      </c>
      <c r="G124" s="465">
        <f t="shared" si="31"/>
        <v>0</v>
      </c>
      <c r="H124" s="466">
        <f t="shared" si="32"/>
        <v>0</v>
      </c>
      <c r="I124" s="467">
        <f t="shared" si="33"/>
        <v>498099</v>
      </c>
      <c r="J124" s="347">
        <f t="shared" si="34"/>
        <v>498099</v>
      </c>
      <c r="K124" s="347">
        <f t="shared" si="35"/>
        <v>0</v>
      </c>
      <c r="M124" s="353"/>
      <c r="N124" s="353"/>
      <c r="O124" s="353"/>
    </row>
    <row r="125" spans="1:15">
      <c r="A125" s="333">
        <v>13</v>
      </c>
      <c r="C125" s="332" t="s">
        <v>395</v>
      </c>
      <c r="D125" s="729" t="s">
        <v>295</v>
      </c>
      <c r="E125" s="196"/>
      <c r="F125" s="793">
        <f>'[1]SCH B-3'!$K$261+'[1]SCH B-3'!$K$262+'[1]SCH B-3'!$K$263+'[1]SCH B-3'!$K$264+[1]SCH_D2.23!$J$27</f>
        <v>106766757</v>
      </c>
      <c r="G125" s="465">
        <f t="shared" si="31"/>
        <v>0</v>
      </c>
      <c r="H125" s="466">
        <f t="shared" si="32"/>
        <v>0</v>
      </c>
      <c r="I125" s="467">
        <f t="shared" si="33"/>
        <v>106766757</v>
      </c>
      <c r="J125" s="347">
        <f t="shared" si="34"/>
        <v>106766757</v>
      </c>
      <c r="K125" s="347">
        <f t="shared" si="35"/>
        <v>0</v>
      </c>
      <c r="M125" s="353"/>
      <c r="N125" s="353"/>
      <c r="O125" s="353"/>
    </row>
    <row r="126" spans="1:15">
      <c r="A126" s="333">
        <v>14</v>
      </c>
      <c r="C126" s="332" t="s">
        <v>396</v>
      </c>
      <c r="D126" s="729" t="s">
        <v>292</v>
      </c>
      <c r="E126" s="196"/>
      <c r="F126" s="793">
        <f>'[1]SCH B-3'!$K$268+'[1]SCH B-3'!$K$269+'[1]SCH B-3'!$K$270</f>
        <v>53771817</v>
      </c>
      <c r="G126" s="465">
        <f t="shared" si="31"/>
        <v>0</v>
      </c>
      <c r="H126" s="466">
        <f t="shared" si="32"/>
        <v>0</v>
      </c>
      <c r="I126" s="467">
        <f t="shared" si="33"/>
        <v>53771817</v>
      </c>
      <c r="J126" s="347">
        <f t="shared" si="34"/>
        <v>53771817</v>
      </c>
      <c r="K126" s="347">
        <f t="shared" si="35"/>
        <v>0</v>
      </c>
      <c r="M126" s="353"/>
      <c r="N126" s="353"/>
      <c r="O126" s="353"/>
    </row>
    <row r="127" spans="1:15">
      <c r="A127" s="333">
        <v>15</v>
      </c>
      <c r="C127" s="332" t="s">
        <v>397</v>
      </c>
      <c r="D127" s="729" t="s">
        <v>294</v>
      </c>
      <c r="E127" s="196"/>
      <c r="F127" s="793">
        <f>'[1]SCH B-3'!$K$271+'[1]SCH B-3'!$K$272</f>
        <v>-2918585</v>
      </c>
      <c r="G127" s="465">
        <f t="shared" si="31"/>
        <v>0</v>
      </c>
      <c r="H127" s="466">
        <f t="shared" si="32"/>
        <v>0</v>
      </c>
      <c r="I127" s="467">
        <f t="shared" si="33"/>
        <v>-2918585</v>
      </c>
      <c r="J127" s="347">
        <f t="shared" si="34"/>
        <v>-2918585</v>
      </c>
      <c r="K127" s="347">
        <f t="shared" si="35"/>
        <v>0</v>
      </c>
      <c r="M127" s="353"/>
      <c r="N127" s="353"/>
      <c r="O127" s="353"/>
    </row>
    <row r="128" spans="1:15">
      <c r="A128" s="333">
        <v>16</v>
      </c>
      <c r="C128" s="332" t="s">
        <v>411</v>
      </c>
      <c r="D128" s="729" t="s">
        <v>288</v>
      </c>
      <c r="E128" s="196"/>
      <c r="F128" s="793">
        <f>'[1]SCH B-3'!$K$258+'[1]SCH B-3'!$K$259+'[1]SCH B-3'!$K$260</f>
        <v>674357</v>
      </c>
      <c r="G128" s="465">
        <f t="shared" si="31"/>
        <v>0</v>
      </c>
      <c r="H128" s="466">
        <f t="shared" si="32"/>
        <v>0</v>
      </c>
      <c r="I128" s="467">
        <f t="shared" si="33"/>
        <v>674357</v>
      </c>
      <c r="J128" s="347">
        <f t="shared" si="34"/>
        <v>674357</v>
      </c>
      <c r="K128" s="347">
        <f t="shared" si="35"/>
        <v>0</v>
      </c>
      <c r="M128" s="353"/>
      <c r="N128" s="353"/>
      <c r="O128" s="353"/>
    </row>
    <row r="129" spans="1:15">
      <c r="A129" s="333">
        <v>17</v>
      </c>
      <c r="C129" s="332" t="s">
        <v>398</v>
      </c>
      <c r="D129" s="729" t="s">
        <v>301</v>
      </c>
      <c r="E129" s="196"/>
      <c r="F129" s="793">
        <f>'[1]SCH B-3'!$K$273+'[1]SCH B-3'!$K$274</f>
        <v>5133050</v>
      </c>
      <c r="G129" s="465">
        <f t="shared" si="31"/>
        <v>0</v>
      </c>
      <c r="H129" s="466">
        <f t="shared" si="32"/>
        <v>0</v>
      </c>
      <c r="I129" s="467">
        <f t="shared" si="33"/>
        <v>5133050</v>
      </c>
      <c r="J129" s="347">
        <f t="shared" si="34"/>
        <v>5133050</v>
      </c>
      <c r="K129" s="347">
        <f t="shared" si="35"/>
        <v>0</v>
      </c>
      <c r="M129" s="353"/>
      <c r="N129" s="353"/>
      <c r="O129" s="353"/>
    </row>
    <row r="130" spans="1:15">
      <c r="A130" s="333">
        <v>18</v>
      </c>
      <c r="C130" s="359" t="s">
        <v>416</v>
      </c>
      <c r="D130" s="729" t="s">
        <v>297</v>
      </c>
      <c r="E130" s="196"/>
      <c r="F130" s="793">
        <f>'[1]SCH B-3'!$K$277+'[1]SCH B-3'!$K$278+'[1]SCH B-3'!$K$279+'[1]SCH B-3'!$K$280+'[1]SCH B-3'!$K$281</f>
        <v>-2136531</v>
      </c>
      <c r="G130" s="465">
        <f t="shared" si="31"/>
        <v>0</v>
      </c>
      <c r="H130" s="466">
        <f t="shared" si="32"/>
        <v>0</v>
      </c>
      <c r="I130" s="467">
        <f t="shared" si="33"/>
        <v>-2136531</v>
      </c>
      <c r="J130" s="347">
        <f t="shared" si="34"/>
        <v>-2136531</v>
      </c>
      <c r="K130" s="347">
        <f t="shared" si="35"/>
        <v>0</v>
      </c>
      <c r="M130" s="353"/>
      <c r="N130" s="353"/>
      <c r="O130" s="353"/>
    </row>
    <row r="131" spans="1:15">
      <c r="A131" s="333">
        <v>19</v>
      </c>
      <c r="C131" s="332" t="s">
        <v>118</v>
      </c>
      <c r="D131" s="729"/>
      <c r="E131" s="196"/>
      <c r="F131" s="348">
        <f t="shared" ref="F131:K131" si="36">SUM(F121:F130)</f>
        <v>165857065</v>
      </c>
      <c r="G131" s="468">
        <f t="shared" si="36"/>
        <v>0</v>
      </c>
      <c r="H131" s="456">
        <f t="shared" si="36"/>
        <v>0</v>
      </c>
      <c r="I131" s="469">
        <f t="shared" si="36"/>
        <v>165857065</v>
      </c>
      <c r="J131" s="348">
        <f t="shared" si="36"/>
        <v>165857065</v>
      </c>
      <c r="K131" s="348">
        <f t="shared" si="36"/>
        <v>0</v>
      </c>
      <c r="M131" s="353"/>
      <c r="N131" s="353"/>
      <c r="O131" s="353"/>
    </row>
    <row r="132" spans="1:15">
      <c r="A132" s="333">
        <v>20</v>
      </c>
      <c r="D132" s="729"/>
      <c r="E132" s="196"/>
      <c r="G132" s="462"/>
      <c r="H132" s="463"/>
      <c r="I132" s="464"/>
      <c r="M132" s="353"/>
      <c r="N132" s="353"/>
      <c r="O132" s="353"/>
    </row>
    <row r="133" spans="1:15">
      <c r="A133" s="333">
        <v>21</v>
      </c>
      <c r="B133" s="332" t="s">
        <v>20</v>
      </c>
      <c r="D133" s="729"/>
      <c r="E133" s="196"/>
      <c r="G133" s="462"/>
      <c r="H133" s="463"/>
      <c r="I133" s="464"/>
      <c r="M133" s="353"/>
      <c r="N133" s="353"/>
      <c r="O133" s="353"/>
    </row>
    <row r="134" spans="1:15">
      <c r="A134" s="333">
        <v>22</v>
      </c>
      <c r="C134" s="332" t="s">
        <v>14</v>
      </c>
      <c r="D134" s="729" t="s">
        <v>287</v>
      </c>
      <c r="E134" s="196"/>
      <c r="F134" s="479">
        <f>'WP FR-16(7)(v)-A&amp;G WP'!E12</f>
        <v>546802</v>
      </c>
      <c r="G134" s="465">
        <f t="shared" ref="G134:G139" si="37">F134-SUM(H134:I134)</f>
        <v>546802</v>
      </c>
      <c r="H134" s="466">
        <f t="shared" ref="H134:H139" si="38">ROUND(F134*VLOOKUP(D134,AllocTable_Functional,$H$10,FALSE),0)</f>
        <v>0</v>
      </c>
      <c r="I134" s="467">
        <f t="shared" ref="I134:I139" si="39">ROUND(F134*VLOOKUP(D134,AllocTable_Functional,$I$10,FALSE),0)</f>
        <v>0</v>
      </c>
      <c r="J134" s="347">
        <f t="shared" ref="J134:J139" si="40">SUM(G134:I134)</f>
        <v>546802</v>
      </c>
      <c r="K134" s="347">
        <f t="shared" ref="K134:K139" si="41">F134-J134</f>
        <v>0</v>
      </c>
      <c r="M134" s="353"/>
      <c r="N134" s="353"/>
      <c r="O134" s="353"/>
    </row>
    <row r="135" spans="1:15">
      <c r="A135" s="333">
        <v>23</v>
      </c>
      <c r="C135" s="332" t="s">
        <v>366</v>
      </c>
      <c r="D135" s="729" t="s">
        <v>323</v>
      </c>
      <c r="E135" s="196"/>
      <c r="F135" s="479">
        <f>'WP FR-16(7)(v)-A&amp;G WP'!E13</f>
        <v>427728</v>
      </c>
      <c r="G135" s="465">
        <f t="shared" si="37"/>
        <v>427728</v>
      </c>
      <c r="H135" s="466">
        <f t="shared" si="38"/>
        <v>0</v>
      </c>
      <c r="I135" s="467">
        <f t="shared" si="39"/>
        <v>0</v>
      </c>
      <c r="J135" s="347">
        <f t="shared" si="40"/>
        <v>427728</v>
      </c>
      <c r="K135" s="347">
        <f t="shared" si="41"/>
        <v>0</v>
      </c>
      <c r="M135" s="353"/>
      <c r="N135" s="353"/>
      <c r="O135" s="353"/>
    </row>
    <row r="136" spans="1:15">
      <c r="A136" s="333">
        <v>24</v>
      </c>
      <c r="C136" s="332" t="s">
        <v>17</v>
      </c>
      <c r="D136" s="729" t="s">
        <v>324</v>
      </c>
      <c r="E136" s="196"/>
      <c r="F136" s="479">
        <f>'WP FR-16(7)(v)-A&amp;G WP'!E15</f>
        <v>5793367</v>
      </c>
      <c r="G136" s="465">
        <f t="shared" si="37"/>
        <v>0</v>
      </c>
      <c r="H136" s="466">
        <f t="shared" si="38"/>
        <v>0</v>
      </c>
      <c r="I136" s="467">
        <f t="shared" si="39"/>
        <v>5793367</v>
      </c>
      <c r="J136" s="347">
        <f t="shared" si="40"/>
        <v>5793367</v>
      </c>
      <c r="K136" s="347">
        <f t="shared" si="41"/>
        <v>0</v>
      </c>
      <c r="M136" s="353"/>
      <c r="N136" s="353"/>
      <c r="O136" s="353"/>
    </row>
    <row r="137" spans="1:15">
      <c r="A137" s="333">
        <v>25</v>
      </c>
      <c r="C137" s="332" t="s">
        <v>51</v>
      </c>
      <c r="D137" s="729" t="s">
        <v>1017</v>
      </c>
      <c r="E137" s="196"/>
      <c r="F137" s="479">
        <f>'WP FR-16(7)(v)-A&amp;G WP'!E16</f>
        <v>2447627</v>
      </c>
      <c r="G137" s="465">
        <f t="shared" si="37"/>
        <v>0</v>
      </c>
      <c r="H137" s="466">
        <f t="shared" si="38"/>
        <v>0</v>
      </c>
      <c r="I137" s="467">
        <f t="shared" si="39"/>
        <v>2447627</v>
      </c>
      <c r="J137" s="347">
        <f t="shared" si="40"/>
        <v>2447627</v>
      </c>
      <c r="K137" s="347">
        <f t="shared" si="41"/>
        <v>0</v>
      </c>
      <c r="M137" s="353"/>
      <c r="N137" s="353"/>
      <c r="O137" s="353"/>
    </row>
    <row r="138" spans="1:15">
      <c r="A138" s="333">
        <v>26</v>
      </c>
      <c r="C138" s="332" t="s">
        <v>52</v>
      </c>
      <c r="D138" s="729" t="s">
        <v>1020</v>
      </c>
      <c r="E138" s="196"/>
      <c r="F138" s="479">
        <f>'WP FR-16(7)(v)-A&amp;G WP'!E17</f>
        <v>214184</v>
      </c>
      <c r="G138" s="465">
        <f t="shared" si="37"/>
        <v>0</v>
      </c>
      <c r="H138" s="466">
        <f t="shared" si="38"/>
        <v>0</v>
      </c>
      <c r="I138" s="467">
        <f t="shared" si="39"/>
        <v>214184</v>
      </c>
      <c r="J138" s="347">
        <f t="shared" si="40"/>
        <v>214184</v>
      </c>
      <c r="K138" s="347">
        <f t="shared" si="41"/>
        <v>0</v>
      </c>
      <c r="M138" s="353"/>
      <c r="N138" s="353"/>
      <c r="O138" s="353"/>
    </row>
    <row r="139" spans="1:15">
      <c r="A139" s="333">
        <v>27</v>
      </c>
      <c r="C139" s="365" t="s">
        <v>53</v>
      </c>
      <c r="D139" s="729" t="s">
        <v>1018</v>
      </c>
      <c r="E139" s="196"/>
      <c r="F139" s="479">
        <f>'WP FR-16(7)(v)-A&amp;G WP'!E18</f>
        <v>0</v>
      </c>
      <c r="G139" s="465">
        <f t="shared" si="37"/>
        <v>0</v>
      </c>
      <c r="H139" s="466">
        <f t="shared" si="38"/>
        <v>0</v>
      </c>
      <c r="I139" s="467">
        <f t="shared" si="39"/>
        <v>0</v>
      </c>
      <c r="J139" s="347">
        <f t="shared" si="40"/>
        <v>0</v>
      </c>
      <c r="K139" s="347">
        <f t="shared" si="41"/>
        <v>0</v>
      </c>
      <c r="M139" s="353"/>
      <c r="N139" s="353"/>
      <c r="O139" s="353"/>
    </row>
    <row r="140" spans="1:15">
      <c r="A140" s="333">
        <v>28</v>
      </c>
      <c r="C140" s="339" t="s">
        <v>119</v>
      </c>
      <c r="D140" s="729"/>
      <c r="E140" s="196"/>
      <c r="F140" s="348">
        <f t="shared" ref="F140:K140" si="42">SUM(F133:F139)</f>
        <v>9429708</v>
      </c>
      <c r="G140" s="468">
        <f t="shared" si="42"/>
        <v>974530</v>
      </c>
      <c r="H140" s="456">
        <f t="shared" si="42"/>
        <v>0</v>
      </c>
      <c r="I140" s="469">
        <f t="shared" si="42"/>
        <v>8455178</v>
      </c>
      <c r="J140" s="348">
        <f t="shared" si="42"/>
        <v>9429708</v>
      </c>
      <c r="K140" s="348">
        <f t="shared" si="42"/>
        <v>0</v>
      </c>
      <c r="M140" s="353"/>
      <c r="N140" s="353"/>
      <c r="O140" s="353"/>
    </row>
    <row r="141" spans="1:15">
      <c r="A141" s="333">
        <v>29</v>
      </c>
      <c r="C141" s="365"/>
      <c r="D141" s="729"/>
      <c r="E141" s="196"/>
      <c r="G141" s="462"/>
      <c r="H141" s="463"/>
      <c r="I141" s="464"/>
      <c r="M141" s="353"/>
      <c r="N141" s="353"/>
      <c r="O141" s="353"/>
    </row>
    <row r="142" spans="1:15">
      <c r="A142" s="333">
        <v>30</v>
      </c>
      <c r="B142" s="332" t="s">
        <v>21</v>
      </c>
      <c r="C142" s="365"/>
      <c r="D142" s="729"/>
      <c r="E142" s="196"/>
      <c r="G142" s="462"/>
      <c r="H142" s="463"/>
      <c r="I142" s="464"/>
      <c r="M142" s="353"/>
      <c r="N142" s="353"/>
      <c r="O142" s="353"/>
    </row>
    <row r="143" spans="1:15">
      <c r="A143" s="333">
        <v>31</v>
      </c>
      <c r="C143" s="365" t="s">
        <v>14</v>
      </c>
      <c r="D143" s="729" t="s">
        <v>287</v>
      </c>
      <c r="E143" s="196"/>
      <c r="F143" s="479">
        <f>'WP FR-16(7)(v)-A&amp;G WP'!G12</f>
        <v>615843</v>
      </c>
      <c r="G143" s="465">
        <f t="shared" ref="G143:G148" si="43">F143-SUM(H143:I143)</f>
        <v>615843</v>
      </c>
      <c r="H143" s="466">
        <f t="shared" ref="H143:H148" si="44">ROUND(F143*VLOOKUP(D143,AllocTable_Functional,$H$10,FALSE),0)</f>
        <v>0</v>
      </c>
      <c r="I143" s="467">
        <f t="shared" ref="I143:I148" si="45">ROUND(F143*VLOOKUP(D143,AllocTable_Functional,$I$10,FALSE),0)</f>
        <v>0</v>
      </c>
      <c r="J143" s="347">
        <f t="shared" ref="J143:J148" si="46">SUM(G143:I143)</f>
        <v>615843</v>
      </c>
      <c r="K143" s="347">
        <f t="shared" ref="K143:K148" si="47">F143-J143</f>
        <v>0</v>
      </c>
      <c r="M143" s="353"/>
      <c r="N143" s="353"/>
      <c r="O143" s="353"/>
    </row>
    <row r="144" spans="1:15">
      <c r="A144" s="333">
        <v>32</v>
      </c>
      <c r="C144" s="365" t="s">
        <v>366</v>
      </c>
      <c r="D144" s="729" t="s">
        <v>323</v>
      </c>
      <c r="E144" s="196"/>
      <c r="F144" s="479">
        <f>'WP FR-16(7)(v)-A&amp;G WP'!G13</f>
        <v>481734</v>
      </c>
      <c r="G144" s="465">
        <f t="shared" si="43"/>
        <v>481734</v>
      </c>
      <c r="H144" s="466">
        <f t="shared" si="44"/>
        <v>0</v>
      </c>
      <c r="I144" s="467">
        <f t="shared" si="45"/>
        <v>0</v>
      </c>
      <c r="J144" s="347">
        <f t="shared" si="46"/>
        <v>481734</v>
      </c>
      <c r="K144" s="347">
        <f t="shared" si="47"/>
        <v>0</v>
      </c>
      <c r="M144" s="353"/>
      <c r="N144" s="353"/>
      <c r="O144" s="353"/>
    </row>
    <row r="145" spans="1:15">
      <c r="A145" s="333">
        <v>33</v>
      </c>
      <c r="C145" s="365" t="s">
        <v>17</v>
      </c>
      <c r="D145" s="729" t="s">
        <v>324</v>
      </c>
      <c r="E145" s="196"/>
      <c r="F145" s="479">
        <f>'WP FR-16(7)(v)-A&amp;G WP'!G15</f>
        <v>6524849</v>
      </c>
      <c r="G145" s="465">
        <f t="shared" si="43"/>
        <v>0</v>
      </c>
      <c r="H145" s="466">
        <f t="shared" si="44"/>
        <v>0</v>
      </c>
      <c r="I145" s="467">
        <f t="shared" si="45"/>
        <v>6524849</v>
      </c>
      <c r="J145" s="347">
        <f t="shared" si="46"/>
        <v>6524849</v>
      </c>
      <c r="K145" s="347">
        <f t="shared" si="47"/>
        <v>0</v>
      </c>
      <c r="M145" s="353"/>
      <c r="N145" s="353"/>
      <c r="O145" s="353"/>
    </row>
    <row r="146" spans="1:15">
      <c r="A146" s="333">
        <v>34</v>
      </c>
      <c r="C146" s="365" t="s">
        <v>51</v>
      </c>
      <c r="D146" s="729" t="s">
        <v>1017</v>
      </c>
      <c r="E146" s="196"/>
      <c r="F146" s="479">
        <f>'WP FR-16(7)(v)-A&amp;G WP'!G16</f>
        <v>2756669</v>
      </c>
      <c r="G146" s="465">
        <f t="shared" si="43"/>
        <v>0</v>
      </c>
      <c r="H146" s="466">
        <f t="shared" si="44"/>
        <v>0</v>
      </c>
      <c r="I146" s="467">
        <f t="shared" si="45"/>
        <v>2756669</v>
      </c>
      <c r="J146" s="347">
        <f t="shared" si="46"/>
        <v>2756669</v>
      </c>
      <c r="K146" s="347">
        <f t="shared" si="47"/>
        <v>0</v>
      </c>
      <c r="M146" s="353"/>
      <c r="N146" s="353"/>
      <c r="O146" s="353"/>
    </row>
    <row r="147" spans="1:15">
      <c r="A147" s="333">
        <v>35</v>
      </c>
      <c r="C147" s="365" t="s">
        <v>52</v>
      </c>
      <c r="D147" s="729" t="s">
        <v>1020</v>
      </c>
      <c r="E147" s="196"/>
      <c r="F147" s="479">
        <f>'WP FR-16(7)(v)-A&amp;G WP'!G17</f>
        <v>241227</v>
      </c>
      <c r="G147" s="465">
        <f t="shared" si="43"/>
        <v>0</v>
      </c>
      <c r="H147" s="466">
        <f t="shared" si="44"/>
        <v>0</v>
      </c>
      <c r="I147" s="467">
        <f t="shared" si="45"/>
        <v>241227</v>
      </c>
      <c r="J147" s="347">
        <f t="shared" si="46"/>
        <v>241227</v>
      </c>
      <c r="K147" s="347">
        <f t="shared" si="47"/>
        <v>0</v>
      </c>
      <c r="M147" s="353"/>
      <c r="N147" s="353"/>
      <c r="O147" s="353"/>
    </row>
    <row r="148" spans="1:15">
      <c r="A148" s="333">
        <v>36</v>
      </c>
      <c r="C148" s="365" t="s">
        <v>53</v>
      </c>
      <c r="D148" s="729" t="s">
        <v>1018</v>
      </c>
      <c r="E148" s="196"/>
      <c r="F148" s="479">
        <f>'WP FR-16(7)(v)-A&amp;G WP'!G18</f>
        <v>0</v>
      </c>
      <c r="G148" s="465">
        <f t="shared" si="43"/>
        <v>0</v>
      </c>
      <c r="H148" s="466">
        <f t="shared" si="44"/>
        <v>0</v>
      </c>
      <c r="I148" s="467">
        <f t="shared" si="45"/>
        <v>0</v>
      </c>
      <c r="J148" s="347">
        <f t="shared" si="46"/>
        <v>0</v>
      </c>
      <c r="K148" s="347">
        <f t="shared" si="47"/>
        <v>0</v>
      </c>
      <c r="M148" s="353"/>
      <c r="N148" s="353"/>
      <c r="O148" s="353"/>
    </row>
    <row r="149" spans="1:15">
      <c r="A149" s="333">
        <v>37</v>
      </c>
      <c r="C149" s="339" t="s">
        <v>120</v>
      </c>
      <c r="D149" s="729"/>
      <c r="E149" s="196"/>
      <c r="F149" s="348">
        <f>SUM(F143:F148)</f>
        <v>10620322</v>
      </c>
      <c r="G149" s="468">
        <f>SUM(G142:G148)</f>
        <v>1097577</v>
      </c>
      <c r="H149" s="456">
        <f>SUM(H142:H148)</f>
        <v>0</v>
      </c>
      <c r="I149" s="469">
        <f>SUM(I142:I148)</f>
        <v>9522745</v>
      </c>
      <c r="J149" s="348">
        <f>SUM(J142:J148)</f>
        <v>10620322</v>
      </c>
      <c r="K149" s="348">
        <f>SUM(K142:K148)</f>
        <v>0</v>
      </c>
    </row>
    <row r="150" spans="1:15">
      <c r="A150" s="333">
        <v>38</v>
      </c>
      <c r="D150" s="344"/>
      <c r="E150" s="196"/>
      <c r="G150" s="462"/>
      <c r="H150" s="463"/>
      <c r="I150" s="464"/>
    </row>
    <row r="151" spans="1:15">
      <c r="A151" s="333">
        <v>39</v>
      </c>
      <c r="B151" s="332" t="s">
        <v>23</v>
      </c>
      <c r="D151" s="344"/>
      <c r="E151" s="196"/>
      <c r="F151" s="347">
        <f t="shared" ref="F151:K151" si="48">F149+F140+F131+F119+F115</f>
        <v>187541693</v>
      </c>
      <c r="G151" s="484">
        <f t="shared" si="48"/>
        <v>3706705</v>
      </c>
      <c r="H151" s="485">
        <f t="shared" si="48"/>
        <v>0</v>
      </c>
      <c r="I151" s="486">
        <f t="shared" si="48"/>
        <v>183834988</v>
      </c>
      <c r="J151" s="347">
        <f t="shared" si="48"/>
        <v>187541693</v>
      </c>
      <c r="K151" s="347">
        <f t="shared" si="48"/>
        <v>0</v>
      </c>
      <c r="M151" s="1035">
        <f>ROUND(G151/F151,4)</f>
        <v>1.9800000000000002E-2</v>
      </c>
      <c r="N151" s="1035">
        <f>ROUND(H151/F151,4)</f>
        <v>0</v>
      </c>
      <c r="O151" s="1035">
        <f>ROUND(I151/F151,4)</f>
        <v>0.98019999999999996</v>
      </c>
    </row>
    <row r="152" spans="1:15">
      <c r="B152" s="343"/>
      <c r="C152" s="196"/>
      <c r="D152" s="344"/>
      <c r="E152" s="196"/>
      <c r="F152" s="196"/>
      <c r="G152" s="196"/>
      <c r="H152" s="196"/>
      <c r="I152" s="196"/>
      <c r="J152" s="196"/>
    </row>
    <row r="153" spans="1:15">
      <c r="A153" s="343" t="str">
        <f>co_name</f>
        <v>DUKE ENERGY KENTUCKY, INC.</v>
      </c>
      <c r="C153" s="196"/>
      <c r="D153" s="344"/>
      <c r="E153" s="196"/>
      <c r="F153" s="196"/>
      <c r="G153" s="196"/>
      <c r="H153" s="196"/>
      <c r="I153" s="196"/>
      <c r="J153" s="196" t="str">
        <f>$J$1</f>
        <v>FR-16(7)(v)-1</v>
      </c>
      <c r="K153" s="196"/>
    </row>
    <row r="154" spans="1:15">
      <c r="A154" s="343" t="str">
        <f>$A$2</f>
        <v>FUNCTIONAL GAS COST OF SERVICE</v>
      </c>
      <c r="C154" s="196"/>
      <c r="D154" s="344"/>
      <c r="E154" s="196"/>
      <c r="F154" s="196"/>
      <c r="G154" s="196"/>
      <c r="H154" s="196"/>
      <c r="I154" s="196"/>
      <c r="J154" s="196" t="str">
        <f>$J$2</f>
        <v>WITNESS RESPONSIBLE:</v>
      </c>
      <c r="K154" s="196"/>
    </row>
    <row r="155" spans="1:15">
      <c r="A155" s="343" t="str">
        <f>case_name</f>
        <v>CASE NO: 2018-00261</v>
      </c>
      <c r="C155" s="196"/>
      <c r="D155" s="344"/>
      <c r="E155" s="196"/>
      <c r="F155" s="196"/>
      <c r="G155" s="196"/>
      <c r="H155" s="196"/>
      <c r="I155" s="196"/>
      <c r="J155" s="196" t="str">
        <f>Witness</f>
        <v>JAMES E. ZIOLKOWSKI</v>
      </c>
      <c r="K155" s="196"/>
    </row>
    <row r="156" spans="1:15">
      <c r="A156" s="343" t="str">
        <f>data_filing</f>
        <v>DATA: 12 MONTH FORECASTED PERIOD</v>
      </c>
      <c r="C156" s="196"/>
      <c r="D156" s="344"/>
      <c r="E156" s="196"/>
      <c r="F156" s="196"/>
      <c r="G156" s="196"/>
      <c r="H156" s="196"/>
      <c r="I156" s="196"/>
      <c r="J156" s="196" t="str">
        <f>"PAGE "&amp;Pages-14&amp;" OF "&amp;Pages</f>
        <v>PAGE 4 OF 18</v>
      </c>
      <c r="K156" s="196"/>
    </row>
    <row r="157" spans="1:15">
      <c r="A157" s="343" t="str">
        <f>type</f>
        <v xml:space="preserve">TYPE OF FILING: "X" ORIGINAL   UPDATED    REVISED  </v>
      </c>
      <c r="C157" s="196"/>
      <c r="D157" s="344"/>
      <c r="E157" s="196"/>
      <c r="F157" s="196"/>
      <c r="G157" s="196"/>
      <c r="H157" s="196"/>
      <c r="I157" s="196"/>
      <c r="J157" s="196"/>
      <c r="K157" s="196"/>
    </row>
    <row r="158" spans="1:15">
      <c r="A158" s="343"/>
      <c r="C158" s="196"/>
      <c r="D158" s="344"/>
      <c r="E158" s="196"/>
      <c r="F158" s="196"/>
      <c r="G158" s="196"/>
      <c r="H158" s="196"/>
      <c r="I158" s="196"/>
      <c r="J158" s="196"/>
      <c r="K158" s="196"/>
    </row>
    <row r="159" spans="1:15">
      <c r="B159" s="343"/>
      <c r="C159" s="196"/>
      <c r="D159" s="344"/>
      <c r="E159" s="196"/>
      <c r="F159" s="196"/>
      <c r="G159" s="196"/>
      <c r="H159" s="196"/>
      <c r="I159" s="196"/>
      <c r="J159" s="196"/>
    </row>
    <row r="160" spans="1:15">
      <c r="A160" s="344" t="s">
        <v>914</v>
      </c>
      <c r="B160" s="196"/>
      <c r="C160" s="196"/>
      <c r="D160" s="344"/>
      <c r="E160" s="196"/>
      <c r="F160" s="344" t="s">
        <v>229</v>
      </c>
      <c r="G160" s="473" t="s">
        <v>981</v>
      </c>
      <c r="H160" s="474"/>
      <c r="I160" s="475"/>
      <c r="J160" s="344" t="s">
        <v>229</v>
      </c>
      <c r="K160" s="344" t="s">
        <v>342</v>
      </c>
    </row>
    <row r="161" spans="1:11">
      <c r="A161" s="346" t="s">
        <v>915</v>
      </c>
      <c r="B161" s="345" t="str">
        <f>"NET GAS PLANT"</f>
        <v>NET GAS PLANT</v>
      </c>
      <c r="C161" s="345"/>
      <c r="D161" s="346" t="s">
        <v>337</v>
      </c>
      <c r="E161" s="345"/>
      <c r="F161" s="346" t="s">
        <v>284</v>
      </c>
      <c r="G161" s="460" t="s">
        <v>845</v>
      </c>
      <c r="H161" s="455" t="s">
        <v>980</v>
      </c>
      <c r="I161" s="461" t="s">
        <v>846</v>
      </c>
      <c r="J161" s="346" t="s">
        <v>341</v>
      </c>
      <c r="K161" s="346" t="s">
        <v>340</v>
      </c>
    </row>
    <row r="162" spans="1:11">
      <c r="C162" s="578" t="s">
        <v>346</v>
      </c>
      <c r="D162" s="344"/>
      <c r="E162" s="196"/>
      <c r="G162" s="628">
        <f>$G$10</f>
        <v>3</v>
      </c>
      <c r="H162" s="629">
        <f>$H$10</f>
        <v>4</v>
      </c>
      <c r="I162" s="630">
        <f>$I$10</f>
        <v>5</v>
      </c>
    </row>
    <row r="163" spans="1:11">
      <c r="A163" s="333">
        <v>1</v>
      </c>
      <c r="B163" s="332" t="s">
        <v>14</v>
      </c>
      <c r="D163" s="344"/>
      <c r="E163" s="196"/>
      <c r="G163" s="462"/>
      <c r="H163" s="463"/>
      <c r="I163" s="464"/>
    </row>
    <row r="164" spans="1:11">
      <c r="A164" s="333">
        <v>2</v>
      </c>
      <c r="C164" s="332" t="s">
        <v>121</v>
      </c>
      <c r="D164" s="344"/>
      <c r="E164" s="196"/>
      <c r="F164" s="347">
        <f>F59</f>
        <v>2799608</v>
      </c>
      <c r="G164" s="465">
        <f>$G$59</f>
        <v>2799608</v>
      </c>
      <c r="H164" s="466">
        <f>$H$59</f>
        <v>0</v>
      </c>
      <c r="I164" s="467">
        <f>$I$59</f>
        <v>0</v>
      </c>
      <c r="J164" s="347">
        <f>$J$59</f>
        <v>2799608</v>
      </c>
      <c r="K164" s="347">
        <f>F164-J164</f>
        <v>0</v>
      </c>
    </row>
    <row r="165" spans="1:11">
      <c r="A165" s="333">
        <v>3</v>
      </c>
      <c r="C165" s="359" t="s">
        <v>122</v>
      </c>
      <c r="D165" s="344"/>
      <c r="E165" s="196"/>
      <c r="F165" s="347">
        <f>-F115</f>
        <v>-1634598</v>
      </c>
      <c r="G165" s="465">
        <f>-G115</f>
        <v>-1634598</v>
      </c>
      <c r="H165" s="466">
        <f>-H115</f>
        <v>0</v>
      </c>
      <c r="I165" s="467">
        <f>-I115</f>
        <v>0</v>
      </c>
      <c r="J165" s="347">
        <f>-J115</f>
        <v>-1634598</v>
      </c>
      <c r="K165" s="347">
        <f>F165-J165</f>
        <v>0</v>
      </c>
    </row>
    <row r="166" spans="1:11">
      <c r="A166" s="333">
        <v>4</v>
      </c>
      <c r="C166" s="332" t="s">
        <v>123</v>
      </c>
      <c r="D166" s="344"/>
      <c r="E166" s="196"/>
      <c r="F166" s="348">
        <f t="shared" ref="F166:K166" si="49">SUM(F164:F165)</f>
        <v>1165010</v>
      </c>
      <c r="G166" s="468">
        <f t="shared" si="49"/>
        <v>1165010</v>
      </c>
      <c r="H166" s="456">
        <f t="shared" si="49"/>
        <v>0</v>
      </c>
      <c r="I166" s="469">
        <f t="shared" si="49"/>
        <v>0</v>
      </c>
      <c r="J166" s="348">
        <f t="shared" si="49"/>
        <v>1165010</v>
      </c>
      <c r="K166" s="348">
        <f t="shared" si="49"/>
        <v>0</v>
      </c>
    </row>
    <row r="167" spans="1:11">
      <c r="A167" s="333">
        <v>5</v>
      </c>
      <c r="D167" s="344"/>
      <c r="E167" s="196"/>
      <c r="G167" s="462"/>
      <c r="H167" s="463"/>
      <c r="I167" s="464"/>
    </row>
    <row r="168" spans="1:11">
      <c r="A168" s="333">
        <v>6</v>
      </c>
      <c r="B168" s="359" t="s">
        <v>15</v>
      </c>
      <c r="C168" s="359"/>
      <c r="D168" s="344"/>
      <c r="E168" s="196"/>
      <c r="F168" s="347"/>
      <c r="G168" s="465"/>
      <c r="H168" s="466"/>
      <c r="I168" s="467"/>
      <c r="J168" s="347"/>
    </row>
    <row r="169" spans="1:11">
      <c r="A169" s="333">
        <v>7</v>
      </c>
      <c r="C169" s="332" t="s">
        <v>124</v>
      </c>
      <c r="D169" s="344"/>
      <c r="E169" s="196"/>
      <c r="F169" s="347">
        <f>F63</f>
        <v>0</v>
      </c>
      <c r="G169" s="465">
        <f>$G$63</f>
        <v>0</v>
      </c>
      <c r="H169" s="466">
        <f>$H$63</f>
        <v>0</v>
      </c>
      <c r="I169" s="467">
        <f>$I$63</f>
        <v>0</v>
      </c>
      <c r="J169" s="347">
        <f>$J$63</f>
        <v>0</v>
      </c>
      <c r="K169" s="347">
        <f>F169-J169</f>
        <v>0</v>
      </c>
    </row>
    <row r="170" spans="1:11">
      <c r="A170" s="333">
        <v>8</v>
      </c>
      <c r="C170" s="332" t="s">
        <v>117</v>
      </c>
      <c r="D170" s="344"/>
      <c r="E170" s="196"/>
      <c r="F170" s="347">
        <f>-F119</f>
        <v>0</v>
      </c>
      <c r="G170" s="465">
        <f>-G119</f>
        <v>0</v>
      </c>
      <c r="H170" s="466">
        <f>-H119</f>
        <v>0</v>
      </c>
      <c r="I170" s="467">
        <f>-I119</f>
        <v>0</v>
      </c>
      <c r="J170" s="347">
        <f>-J119</f>
        <v>0</v>
      </c>
      <c r="K170" s="347">
        <f>F170-J170</f>
        <v>0</v>
      </c>
    </row>
    <row r="171" spans="1:11">
      <c r="A171" s="333">
        <v>9</v>
      </c>
      <c r="C171" s="332" t="s">
        <v>125</v>
      </c>
      <c r="D171" s="344"/>
      <c r="E171" s="196"/>
      <c r="F171" s="348">
        <f t="shared" ref="F171:K171" si="50">SUM(F168:F170)</f>
        <v>0</v>
      </c>
      <c r="G171" s="468">
        <f t="shared" si="50"/>
        <v>0</v>
      </c>
      <c r="H171" s="456">
        <f t="shared" si="50"/>
        <v>0</v>
      </c>
      <c r="I171" s="469">
        <f t="shared" si="50"/>
        <v>0</v>
      </c>
      <c r="J171" s="348">
        <f t="shared" si="50"/>
        <v>0</v>
      </c>
      <c r="K171" s="348">
        <f t="shared" si="50"/>
        <v>0</v>
      </c>
    </row>
    <row r="172" spans="1:11">
      <c r="A172" s="333">
        <v>10</v>
      </c>
      <c r="D172" s="344"/>
      <c r="E172" s="196"/>
      <c r="G172" s="462"/>
      <c r="H172" s="463"/>
      <c r="I172" s="464"/>
    </row>
    <row r="173" spans="1:11">
      <c r="A173" s="333">
        <v>11</v>
      </c>
      <c r="B173" s="332" t="s">
        <v>17</v>
      </c>
      <c r="D173" s="344"/>
      <c r="E173" s="196"/>
      <c r="G173" s="462"/>
      <c r="H173" s="463"/>
      <c r="I173" s="464"/>
    </row>
    <row r="174" spans="1:11">
      <c r="A174" s="333">
        <v>12</v>
      </c>
      <c r="C174" s="332" t="s">
        <v>126</v>
      </c>
      <c r="D174" s="344"/>
      <c r="E174" s="196"/>
      <c r="F174" s="347">
        <f>F78</f>
        <v>548483808</v>
      </c>
      <c r="G174" s="465">
        <f>G78</f>
        <v>0</v>
      </c>
      <c r="H174" s="466">
        <f>H78</f>
        <v>0</v>
      </c>
      <c r="I174" s="467">
        <f>I78</f>
        <v>548483808</v>
      </c>
      <c r="J174" s="347">
        <f>J78</f>
        <v>548483808</v>
      </c>
      <c r="K174" s="347">
        <f>F174-J174</f>
        <v>0</v>
      </c>
    </row>
    <row r="175" spans="1:11">
      <c r="A175" s="333">
        <v>13</v>
      </c>
      <c r="C175" s="359" t="s">
        <v>127</v>
      </c>
      <c r="D175" s="344"/>
      <c r="E175" s="196"/>
      <c r="F175" s="347">
        <f>-F131</f>
        <v>-165857065</v>
      </c>
      <c r="G175" s="465">
        <f>-G131</f>
        <v>0</v>
      </c>
      <c r="H175" s="466">
        <f>-H131</f>
        <v>0</v>
      </c>
      <c r="I175" s="467">
        <f>-I131</f>
        <v>-165857065</v>
      </c>
      <c r="J175" s="347">
        <f>-J131</f>
        <v>-165857065</v>
      </c>
      <c r="K175" s="347">
        <f>F175-J175</f>
        <v>0</v>
      </c>
    </row>
    <row r="176" spans="1:11">
      <c r="A176" s="333">
        <v>14</v>
      </c>
      <c r="C176" s="332" t="s">
        <v>128</v>
      </c>
      <c r="D176" s="344"/>
      <c r="E176" s="196"/>
      <c r="F176" s="348">
        <f t="shared" ref="F176:K176" si="51">SUM(F173:F175)</f>
        <v>382626743</v>
      </c>
      <c r="G176" s="468">
        <f t="shared" si="51"/>
        <v>0</v>
      </c>
      <c r="H176" s="456">
        <f t="shared" si="51"/>
        <v>0</v>
      </c>
      <c r="I176" s="469">
        <f t="shared" si="51"/>
        <v>382626743</v>
      </c>
      <c r="J176" s="348">
        <f t="shared" si="51"/>
        <v>382626743</v>
      </c>
      <c r="K176" s="348">
        <f t="shared" si="51"/>
        <v>0</v>
      </c>
    </row>
    <row r="177" spans="1:15">
      <c r="A177" s="333">
        <v>15</v>
      </c>
      <c r="D177" s="344"/>
      <c r="E177" s="196"/>
      <c r="G177" s="462"/>
      <c r="H177" s="463"/>
      <c r="I177" s="464"/>
    </row>
    <row r="178" spans="1:15">
      <c r="A178" s="333">
        <v>16</v>
      </c>
      <c r="B178" s="332" t="s">
        <v>430</v>
      </c>
      <c r="D178" s="344"/>
      <c r="E178" s="196"/>
      <c r="F178" s="347">
        <f t="shared" ref="F178:K178" si="52">F176+F171+F166</f>
        <v>383791753</v>
      </c>
      <c r="G178" s="465">
        <f t="shared" si="52"/>
        <v>1165010</v>
      </c>
      <c r="H178" s="466">
        <f t="shared" si="52"/>
        <v>0</v>
      </c>
      <c r="I178" s="467">
        <f t="shared" si="52"/>
        <v>382626743</v>
      </c>
      <c r="J178" s="347">
        <f t="shared" si="52"/>
        <v>383791753</v>
      </c>
      <c r="K178" s="347">
        <f t="shared" si="52"/>
        <v>0</v>
      </c>
    </row>
    <row r="179" spans="1:15">
      <c r="A179" s="333">
        <v>17</v>
      </c>
      <c r="B179" s="332" t="s">
        <v>24</v>
      </c>
      <c r="D179" s="344"/>
      <c r="E179" s="196"/>
      <c r="F179" s="347">
        <f t="shared" ref="F179:K179" si="53">F176+F171</f>
        <v>382626743</v>
      </c>
      <c r="G179" s="465">
        <f t="shared" si="53"/>
        <v>0</v>
      </c>
      <c r="H179" s="466">
        <f t="shared" si="53"/>
        <v>0</v>
      </c>
      <c r="I179" s="467">
        <f t="shared" si="53"/>
        <v>382626743</v>
      </c>
      <c r="J179" s="347">
        <f t="shared" si="53"/>
        <v>382626743</v>
      </c>
      <c r="K179" s="347">
        <f t="shared" si="53"/>
        <v>0</v>
      </c>
    </row>
    <row r="180" spans="1:15">
      <c r="A180" s="333">
        <v>18</v>
      </c>
      <c r="D180" s="344"/>
      <c r="E180" s="196"/>
      <c r="G180" s="462"/>
      <c r="H180" s="463"/>
      <c r="I180" s="464"/>
    </row>
    <row r="181" spans="1:15">
      <c r="A181" s="333">
        <v>19</v>
      </c>
      <c r="B181" s="332" t="s">
        <v>20</v>
      </c>
      <c r="D181" s="344"/>
      <c r="E181" s="196"/>
      <c r="G181" s="462"/>
      <c r="H181" s="463"/>
      <c r="I181" s="464"/>
    </row>
    <row r="182" spans="1:15">
      <c r="A182" s="333">
        <v>20</v>
      </c>
      <c r="C182" s="332" t="s">
        <v>129</v>
      </c>
      <c r="D182" s="344"/>
      <c r="E182" s="196"/>
      <c r="F182" s="347">
        <f>F90</f>
        <v>24465890</v>
      </c>
      <c r="G182" s="465">
        <f>G90</f>
        <v>2528471</v>
      </c>
      <c r="H182" s="466">
        <f>H90</f>
        <v>0</v>
      </c>
      <c r="I182" s="467">
        <f>I90</f>
        <v>21937419</v>
      </c>
      <c r="J182" s="347">
        <f>J90</f>
        <v>24465890</v>
      </c>
      <c r="K182" s="347">
        <f>F182-J182</f>
        <v>0</v>
      </c>
    </row>
    <row r="183" spans="1:15">
      <c r="A183" s="333">
        <v>21</v>
      </c>
      <c r="C183" s="359" t="s">
        <v>130</v>
      </c>
      <c r="D183" s="344"/>
      <c r="E183" s="196"/>
      <c r="F183" s="347">
        <f>-F140</f>
        <v>-9429708</v>
      </c>
      <c r="G183" s="465">
        <f>-G140</f>
        <v>-974530</v>
      </c>
      <c r="H183" s="466">
        <f>-H140</f>
        <v>0</v>
      </c>
      <c r="I183" s="467">
        <f>-I140</f>
        <v>-8455178</v>
      </c>
      <c r="J183" s="347">
        <f>-J140</f>
        <v>-9429708</v>
      </c>
      <c r="K183" s="347">
        <f>F183-J183</f>
        <v>0</v>
      </c>
    </row>
    <row r="184" spans="1:15">
      <c r="A184" s="333">
        <v>22</v>
      </c>
      <c r="C184" s="332" t="s">
        <v>131</v>
      </c>
      <c r="D184" s="344"/>
      <c r="E184" s="196"/>
      <c r="F184" s="348">
        <f t="shared" ref="F184:K184" si="54">SUM(F181:F183)</f>
        <v>15036182</v>
      </c>
      <c r="G184" s="468">
        <f t="shared" si="54"/>
        <v>1553941</v>
      </c>
      <c r="H184" s="456">
        <f t="shared" si="54"/>
        <v>0</v>
      </c>
      <c r="I184" s="469">
        <f t="shared" si="54"/>
        <v>13482241</v>
      </c>
      <c r="J184" s="348">
        <f t="shared" si="54"/>
        <v>15036182</v>
      </c>
      <c r="K184" s="348">
        <f t="shared" si="54"/>
        <v>0</v>
      </c>
    </row>
    <row r="185" spans="1:15">
      <c r="A185" s="333">
        <v>23</v>
      </c>
      <c r="D185" s="344"/>
      <c r="E185" s="196"/>
      <c r="F185" s="347"/>
      <c r="G185" s="465"/>
      <c r="H185" s="466"/>
      <c r="I185" s="467"/>
      <c r="J185" s="347"/>
    </row>
    <row r="186" spans="1:15">
      <c r="A186" s="333">
        <v>24</v>
      </c>
      <c r="B186" s="332" t="s">
        <v>21</v>
      </c>
      <c r="D186" s="344"/>
      <c r="E186" s="196"/>
      <c r="F186" s="347"/>
      <c r="G186" s="465"/>
      <c r="H186" s="466"/>
      <c r="I186" s="467"/>
      <c r="J186" s="347"/>
    </row>
    <row r="187" spans="1:15">
      <c r="A187" s="333">
        <v>25</v>
      </c>
      <c r="C187" s="332" t="s">
        <v>132</v>
      </c>
      <c r="D187" s="344"/>
      <c r="E187" s="196"/>
      <c r="F187" s="347">
        <f>F99</f>
        <v>12877885</v>
      </c>
      <c r="G187" s="465">
        <f>G99</f>
        <v>1330888</v>
      </c>
      <c r="H187" s="466">
        <f>H99</f>
        <v>0</v>
      </c>
      <c r="I187" s="467">
        <f>I99</f>
        <v>11546997</v>
      </c>
      <c r="J187" s="347">
        <f>J99</f>
        <v>12877885</v>
      </c>
      <c r="K187" s="347">
        <f>F187-J187</f>
        <v>0</v>
      </c>
    </row>
    <row r="188" spans="1:15">
      <c r="A188" s="333">
        <v>26</v>
      </c>
      <c r="C188" s="359" t="s">
        <v>133</v>
      </c>
      <c r="D188" s="344"/>
      <c r="E188" s="196"/>
      <c r="F188" s="347">
        <f>-F149</f>
        <v>-10620322</v>
      </c>
      <c r="G188" s="465">
        <f>-G149</f>
        <v>-1097577</v>
      </c>
      <c r="H188" s="466">
        <f>-H149</f>
        <v>0</v>
      </c>
      <c r="I188" s="467">
        <f>-I149</f>
        <v>-9522745</v>
      </c>
      <c r="J188" s="347">
        <f>-J149</f>
        <v>-10620322</v>
      </c>
      <c r="K188" s="347">
        <f>F188-J188</f>
        <v>0</v>
      </c>
    </row>
    <row r="189" spans="1:15">
      <c r="A189" s="333">
        <v>27</v>
      </c>
      <c r="C189" s="332" t="s">
        <v>134</v>
      </c>
      <c r="D189" s="344"/>
      <c r="E189" s="196"/>
      <c r="F189" s="348">
        <f t="shared" ref="F189:K189" si="55">SUM(F186:F188)</f>
        <v>2257563</v>
      </c>
      <c r="G189" s="468">
        <f t="shared" si="55"/>
        <v>233311</v>
      </c>
      <c r="H189" s="456">
        <f t="shared" si="55"/>
        <v>0</v>
      </c>
      <c r="I189" s="469">
        <f t="shared" si="55"/>
        <v>2024252</v>
      </c>
      <c r="J189" s="348">
        <f t="shared" si="55"/>
        <v>2257563</v>
      </c>
      <c r="K189" s="348">
        <f t="shared" si="55"/>
        <v>0</v>
      </c>
    </row>
    <row r="190" spans="1:15">
      <c r="A190" s="333">
        <v>28</v>
      </c>
      <c r="D190" s="344"/>
      <c r="E190" s="196"/>
      <c r="F190" s="347"/>
      <c r="G190" s="465"/>
      <c r="H190" s="466"/>
      <c r="I190" s="467"/>
      <c r="J190" s="347"/>
      <c r="K190" s="347"/>
    </row>
    <row r="191" spans="1:15">
      <c r="A191" s="333">
        <v>29</v>
      </c>
      <c r="C191" s="332" t="str">
        <f>"NET GAS PLANT IN SERVICE"</f>
        <v>NET GAS PLANT IN SERVICE</v>
      </c>
      <c r="D191" s="344"/>
      <c r="E191" s="196"/>
      <c r="F191" s="347">
        <f t="shared" ref="F191:K191" si="56">F189+F184+F176+F171+F166</f>
        <v>401085498</v>
      </c>
      <c r="G191" s="484">
        <f t="shared" si="56"/>
        <v>2952262</v>
      </c>
      <c r="H191" s="485">
        <f t="shared" si="56"/>
        <v>0</v>
      </c>
      <c r="I191" s="486">
        <f t="shared" si="56"/>
        <v>398133236</v>
      </c>
      <c r="J191" s="347">
        <f t="shared" si="56"/>
        <v>401085498</v>
      </c>
      <c r="K191" s="347">
        <f t="shared" si="56"/>
        <v>0</v>
      </c>
      <c r="M191" s="1035">
        <f>ROUND(G191/F191,4)</f>
        <v>7.4000000000000003E-3</v>
      </c>
      <c r="N191" s="1035">
        <f>ROUND(H191/F191,4)</f>
        <v>0</v>
      </c>
      <c r="O191" s="1035">
        <f>ROUND(I191/F191,4)</f>
        <v>0.99260000000000004</v>
      </c>
    </row>
    <row r="192" spans="1:15">
      <c r="B192" s="343"/>
      <c r="C192" s="196"/>
      <c r="D192" s="344"/>
      <c r="E192" s="196"/>
      <c r="F192" s="196"/>
      <c r="G192" s="196"/>
      <c r="H192" s="196"/>
      <c r="I192" s="196"/>
      <c r="J192" s="196"/>
      <c r="K192" s="196"/>
    </row>
    <row r="193" spans="1:11">
      <c r="A193" s="343" t="str">
        <f>co_name</f>
        <v>DUKE ENERGY KENTUCKY, INC.</v>
      </c>
      <c r="C193" s="196"/>
      <c r="D193" s="344"/>
      <c r="E193" s="196"/>
      <c r="F193" s="196"/>
      <c r="G193" s="196"/>
      <c r="H193" s="196"/>
      <c r="I193" s="196"/>
      <c r="J193" s="196" t="str">
        <f>$J$1</f>
        <v>FR-16(7)(v)-1</v>
      </c>
      <c r="K193" s="196"/>
    </row>
    <row r="194" spans="1:11">
      <c r="A194" s="343" t="str">
        <f>$A$2</f>
        <v>FUNCTIONAL GAS COST OF SERVICE</v>
      </c>
      <c r="C194" s="196"/>
      <c r="D194" s="344"/>
      <c r="E194" s="196"/>
      <c r="F194" s="196"/>
      <c r="G194" s="196"/>
      <c r="H194" s="196"/>
      <c r="I194" s="196"/>
      <c r="J194" s="196" t="str">
        <f>$J$2</f>
        <v>WITNESS RESPONSIBLE:</v>
      </c>
      <c r="K194" s="196"/>
    </row>
    <row r="195" spans="1:11">
      <c r="A195" s="343" t="str">
        <f>case_name</f>
        <v>CASE NO: 2018-00261</v>
      </c>
      <c r="C195" s="196"/>
      <c r="D195" s="344"/>
      <c r="E195" s="196"/>
      <c r="F195" s="196"/>
      <c r="G195" s="196"/>
      <c r="H195" s="196"/>
      <c r="I195" s="196"/>
      <c r="J195" s="196" t="str">
        <f>Witness</f>
        <v>JAMES E. ZIOLKOWSKI</v>
      </c>
      <c r="K195" s="196"/>
    </row>
    <row r="196" spans="1:11">
      <c r="A196" s="343" t="str">
        <f>data_filing</f>
        <v>DATA: 12 MONTH FORECASTED PERIOD</v>
      </c>
      <c r="C196" s="196"/>
      <c r="D196" s="344"/>
      <c r="E196" s="196"/>
      <c r="F196" s="196"/>
      <c r="G196" s="196"/>
      <c r="H196" s="196"/>
      <c r="I196" s="196"/>
      <c r="J196" s="196" t="str">
        <f>"PAGE "&amp;Pages-13&amp;" OF "&amp;Pages</f>
        <v>PAGE 5 OF 18</v>
      </c>
      <c r="K196" s="196"/>
    </row>
    <row r="197" spans="1:11">
      <c r="A197" s="343" t="str">
        <f>type</f>
        <v xml:space="preserve">TYPE OF FILING: "X" ORIGINAL   UPDATED    REVISED  </v>
      </c>
      <c r="C197" s="196"/>
      <c r="D197" s="344"/>
      <c r="E197" s="196"/>
      <c r="F197" s="196"/>
      <c r="G197" s="196"/>
      <c r="H197" s="196"/>
      <c r="I197" s="196"/>
      <c r="J197" s="196"/>
      <c r="K197" s="196"/>
    </row>
    <row r="198" spans="1:11">
      <c r="B198" s="343"/>
      <c r="C198" s="196"/>
      <c r="D198" s="344"/>
      <c r="E198" s="196"/>
      <c r="F198" s="196"/>
      <c r="G198" s="196"/>
      <c r="H198" s="196"/>
      <c r="I198" s="196"/>
      <c r="J198" s="196"/>
      <c r="K198" s="196"/>
    </row>
    <row r="199" spans="1:11">
      <c r="B199" s="343"/>
      <c r="C199" s="196"/>
      <c r="D199" s="344"/>
      <c r="E199" s="196"/>
      <c r="F199" s="196"/>
      <c r="G199" s="196"/>
      <c r="H199" s="196"/>
      <c r="I199" s="196"/>
      <c r="J199" s="196"/>
      <c r="K199" s="196"/>
    </row>
    <row r="200" spans="1:11">
      <c r="A200" s="344" t="s">
        <v>914</v>
      </c>
      <c r="B200" s="196"/>
      <c r="C200" s="196"/>
      <c r="D200" s="344"/>
      <c r="E200" s="196"/>
      <c r="F200" s="344" t="s">
        <v>229</v>
      </c>
      <c r="G200" s="473" t="s">
        <v>981</v>
      </c>
      <c r="H200" s="474"/>
      <c r="I200" s="475"/>
      <c r="J200" s="344" t="s">
        <v>229</v>
      </c>
      <c r="K200" s="344" t="s">
        <v>342</v>
      </c>
    </row>
    <row r="201" spans="1:11">
      <c r="A201" s="346" t="s">
        <v>915</v>
      </c>
      <c r="B201" s="345" t="s">
        <v>953</v>
      </c>
      <c r="C201" s="345"/>
      <c r="D201" s="346" t="s">
        <v>337</v>
      </c>
      <c r="E201" s="345"/>
      <c r="F201" s="346" t="s">
        <v>284</v>
      </c>
      <c r="G201" s="460" t="s">
        <v>845</v>
      </c>
      <c r="H201" s="455" t="s">
        <v>980</v>
      </c>
      <c r="I201" s="461" t="s">
        <v>846</v>
      </c>
      <c r="J201" s="346" t="s">
        <v>341</v>
      </c>
      <c r="K201" s="346" t="s">
        <v>340</v>
      </c>
    </row>
    <row r="202" spans="1:11">
      <c r="C202" s="578" t="s">
        <v>347</v>
      </c>
      <c r="D202" s="344"/>
      <c r="E202" s="196"/>
      <c r="G202" s="628">
        <f>$G$10</f>
        <v>3</v>
      </c>
      <c r="H202" s="629">
        <f>$H$10</f>
        <v>4</v>
      </c>
      <c r="I202" s="630">
        <f>$I$10</f>
        <v>5</v>
      </c>
    </row>
    <row r="203" spans="1:11">
      <c r="A203" s="333">
        <v>1</v>
      </c>
      <c r="B203" s="332" t="s">
        <v>26</v>
      </c>
      <c r="D203" s="344"/>
      <c r="E203" s="196"/>
      <c r="G203" s="462"/>
      <c r="H203" s="463"/>
      <c r="I203" s="464"/>
    </row>
    <row r="204" spans="1:11">
      <c r="A204" s="333">
        <v>2</v>
      </c>
      <c r="B204" s="332" t="s">
        <v>823</v>
      </c>
      <c r="D204" s="344"/>
      <c r="E204" s="196"/>
      <c r="G204" s="462"/>
      <c r="H204" s="463"/>
      <c r="I204" s="464"/>
    </row>
    <row r="205" spans="1:11">
      <c r="A205" s="333">
        <v>3</v>
      </c>
      <c r="B205" s="332" t="s">
        <v>27</v>
      </c>
      <c r="D205" s="344"/>
      <c r="E205" s="196"/>
      <c r="G205" s="462"/>
      <c r="H205" s="463"/>
      <c r="I205" s="464"/>
    </row>
    <row r="206" spans="1:11">
      <c r="A206" s="333">
        <v>4</v>
      </c>
      <c r="C206" s="332" t="s">
        <v>135</v>
      </c>
      <c r="D206" s="730" t="s">
        <v>315</v>
      </c>
      <c r="E206" s="332" t="s">
        <v>343</v>
      </c>
      <c r="F206" s="1043">
        <f>-'[1]WPB-6''s'!$R$114-[1]SCH_B6!$N$78</f>
        <v>52815985</v>
      </c>
      <c r="G206" s="465">
        <f t="shared" ref="G206:G214" si="57">F206-SUM(H206:I206)</f>
        <v>388726</v>
      </c>
      <c r="H206" s="466">
        <f t="shared" ref="H206:H214" si="58">ROUND(F206*VLOOKUP(D206,AllocTable_Functional,$H$10,FALSE),0)</f>
        <v>0</v>
      </c>
      <c r="I206" s="467">
        <f t="shared" ref="I206:I214" si="59">ROUND(F206*VLOOKUP(D206,AllocTable_Functional,$I$10,FALSE),0)</f>
        <v>52427259</v>
      </c>
      <c r="J206" s="347">
        <f t="shared" ref="J206:J214" si="60">SUM(G206:I206)</f>
        <v>52815985</v>
      </c>
      <c r="K206" s="347">
        <f t="shared" ref="K206:K214" si="61">F206-J206</f>
        <v>0</v>
      </c>
    </row>
    <row r="207" spans="1:11">
      <c r="A207" s="333">
        <v>5</v>
      </c>
      <c r="C207" s="332" t="s">
        <v>1189</v>
      </c>
      <c r="D207" s="731" t="s">
        <v>294</v>
      </c>
      <c r="E207" s="332" t="s">
        <v>343</v>
      </c>
      <c r="F207" s="793">
        <v>1689651</v>
      </c>
      <c r="G207" s="465">
        <f t="shared" si="57"/>
        <v>0</v>
      </c>
      <c r="H207" s="466">
        <f t="shared" si="58"/>
        <v>0</v>
      </c>
      <c r="I207" s="467">
        <f t="shared" si="59"/>
        <v>1689651</v>
      </c>
      <c r="J207" s="347">
        <f t="shared" si="60"/>
        <v>1689651</v>
      </c>
      <c r="K207" s="347">
        <f t="shared" si="61"/>
        <v>0</v>
      </c>
    </row>
    <row r="208" spans="1:11">
      <c r="A208" s="333">
        <v>6</v>
      </c>
      <c r="C208" s="332" t="s">
        <v>136</v>
      </c>
      <c r="D208" s="730" t="s">
        <v>312</v>
      </c>
      <c r="E208" s="332" t="s">
        <v>343</v>
      </c>
      <c r="F208" s="793">
        <v>-185094</v>
      </c>
      <c r="G208" s="465">
        <f t="shared" si="57"/>
        <v>0</v>
      </c>
      <c r="H208" s="466">
        <f t="shared" si="58"/>
        <v>0</v>
      </c>
      <c r="I208" s="467">
        <f t="shared" si="59"/>
        <v>-185094</v>
      </c>
      <c r="J208" s="347">
        <f t="shared" si="60"/>
        <v>-185094</v>
      </c>
      <c r="K208" s="347">
        <f t="shared" si="61"/>
        <v>0</v>
      </c>
    </row>
    <row r="209" spans="1:11">
      <c r="A209" s="333">
        <v>7</v>
      </c>
      <c r="C209" s="332" t="s">
        <v>137</v>
      </c>
      <c r="D209" s="730" t="s">
        <v>315</v>
      </c>
      <c r="E209" s="332" t="s">
        <v>343</v>
      </c>
      <c r="F209" s="793">
        <v>-939111</v>
      </c>
      <c r="G209" s="465">
        <f t="shared" si="57"/>
        <v>-6912</v>
      </c>
      <c r="H209" s="466">
        <f t="shared" si="58"/>
        <v>0</v>
      </c>
      <c r="I209" s="467">
        <f t="shared" si="59"/>
        <v>-932199</v>
      </c>
      <c r="J209" s="347">
        <f t="shared" si="60"/>
        <v>-939111</v>
      </c>
      <c r="K209" s="347">
        <f t="shared" si="61"/>
        <v>0</v>
      </c>
    </row>
    <row r="210" spans="1:11">
      <c r="A210" s="333">
        <v>8</v>
      </c>
      <c r="C210" s="332" t="s">
        <v>1170</v>
      </c>
      <c r="D210" s="730" t="s">
        <v>315</v>
      </c>
      <c r="E210" s="332" t="s">
        <v>343</v>
      </c>
      <c r="F210" s="793">
        <v>253203</v>
      </c>
      <c r="G210" s="465">
        <f t="shared" si="57"/>
        <v>1864</v>
      </c>
      <c r="H210" s="466">
        <f t="shared" si="58"/>
        <v>0</v>
      </c>
      <c r="I210" s="467">
        <f t="shared" si="59"/>
        <v>251339</v>
      </c>
      <c r="J210" s="347">
        <f t="shared" si="60"/>
        <v>253203</v>
      </c>
      <c r="K210" s="347">
        <f t="shared" si="61"/>
        <v>0</v>
      </c>
    </row>
    <row r="211" spans="1:11">
      <c r="A211" s="333">
        <v>9</v>
      </c>
      <c r="C211" s="332" t="s">
        <v>1160</v>
      </c>
      <c r="D211" s="731" t="s">
        <v>315</v>
      </c>
      <c r="E211" s="332" t="s">
        <v>343</v>
      </c>
      <c r="F211" s="793">
        <v>0</v>
      </c>
      <c r="G211" s="465">
        <f t="shared" si="57"/>
        <v>0</v>
      </c>
      <c r="H211" s="466">
        <f t="shared" si="58"/>
        <v>0</v>
      </c>
      <c r="I211" s="467">
        <f t="shared" si="59"/>
        <v>0</v>
      </c>
      <c r="J211" s="347">
        <f t="shared" si="60"/>
        <v>0</v>
      </c>
      <c r="K211" s="347">
        <f t="shared" si="61"/>
        <v>0</v>
      </c>
    </row>
    <row r="212" spans="1:11">
      <c r="A212" s="333">
        <v>10</v>
      </c>
      <c r="C212" s="332" t="s">
        <v>518</v>
      </c>
      <c r="D212" s="731" t="s">
        <v>1015</v>
      </c>
      <c r="E212" s="332" t="s">
        <v>343</v>
      </c>
      <c r="F212" s="793">
        <v>-536983</v>
      </c>
      <c r="G212" s="465">
        <f t="shared" si="57"/>
        <v>-55497</v>
      </c>
      <c r="H212" s="466">
        <f t="shared" si="58"/>
        <v>0</v>
      </c>
      <c r="I212" s="467">
        <f t="shared" si="59"/>
        <v>-481486</v>
      </c>
      <c r="J212" s="347">
        <f t="shared" si="60"/>
        <v>-536983</v>
      </c>
      <c r="K212" s="347">
        <f t="shared" si="61"/>
        <v>0</v>
      </c>
    </row>
    <row r="213" spans="1:11">
      <c r="A213" s="333">
        <v>11</v>
      </c>
      <c r="C213" s="332" t="s">
        <v>519</v>
      </c>
      <c r="D213" s="731" t="s">
        <v>315</v>
      </c>
      <c r="E213" s="332" t="s">
        <v>343</v>
      </c>
      <c r="F213" s="793">
        <v>0</v>
      </c>
      <c r="G213" s="465">
        <f t="shared" si="57"/>
        <v>0</v>
      </c>
      <c r="H213" s="466">
        <f t="shared" si="58"/>
        <v>0</v>
      </c>
      <c r="I213" s="467">
        <f t="shared" si="59"/>
        <v>0</v>
      </c>
      <c r="J213" s="347">
        <f t="shared" si="60"/>
        <v>0</v>
      </c>
      <c r="K213" s="347">
        <f t="shared" si="61"/>
        <v>0</v>
      </c>
    </row>
    <row r="214" spans="1:11">
      <c r="A214" s="333">
        <v>12</v>
      </c>
      <c r="C214" s="365" t="s">
        <v>1161</v>
      </c>
      <c r="D214" s="730" t="s">
        <v>1015</v>
      </c>
      <c r="F214" s="793">
        <f>-'[1]WPB-6''s'!$R$113-SUM(F207:F213)+'[1]WPB-6''s'!$R$119-'[1]WPB-6''s'!$R$121</f>
        <v>9455126.8575342465</v>
      </c>
      <c r="G214" s="465">
        <f t="shared" si="57"/>
        <v>977187.85753424652</v>
      </c>
      <c r="H214" s="466">
        <f t="shared" si="58"/>
        <v>0</v>
      </c>
      <c r="I214" s="467">
        <f t="shared" si="59"/>
        <v>8477939</v>
      </c>
      <c r="J214" s="347">
        <f t="shared" si="60"/>
        <v>9455126.8575342465</v>
      </c>
      <c r="K214" s="347">
        <f t="shared" si="61"/>
        <v>0</v>
      </c>
    </row>
    <row r="215" spans="1:11">
      <c r="A215" s="333">
        <v>13</v>
      </c>
      <c r="C215" s="339" t="s">
        <v>138</v>
      </c>
      <c r="D215" s="729"/>
      <c r="F215" s="348">
        <f t="shared" ref="F215:K215" si="62">SUM(F206:F214)</f>
        <v>62552777.857534245</v>
      </c>
      <c r="G215" s="468">
        <f t="shared" si="62"/>
        <v>1305368.8575342465</v>
      </c>
      <c r="H215" s="456">
        <f t="shared" si="62"/>
        <v>0</v>
      </c>
      <c r="I215" s="469">
        <f t="shared" si="62"/>
        <v>61247409</v>
      </c>
      <c r="J215" s="348">
        <f t="shared" si="62"/>
        <v>62552777.857534245</v>
      </c>
      <c r="K215" s="348">
        <f t="shared" si="62"/>
        <v>0</v>
      </c>
    </row>
    <row r="216" spans="1:11">
      <c r="A216" s="333">
        <v>14</v>
      </c>
      <c r="D216" s="729"/>
      <c r="E216" s="196"/>
      <c r="G216" s="462"/>
      <c r="H216" s="463"/>
      <c r="I216" s="464"/>
    </row>
    <row r="217" spans="1:11">
      <c r="A217" s="333">
        <v>15</v>
      </c>
      <c r="B217" s="332" t="s">
        <v>28</v>
      </c>
      <c r="D217" s="729"/>
      <c r="E217" s="196"/>
      <c r="G217" s="462"/>
      <c r="H217" s="463"/>
      <c r="I217" s="464"/>
    </row>
    <row r="218" spans="1:11">
      <c r="A218" s="333">
        <v>16</v>
      </c>
      <c r="C218" s="332" t="s">
        <v>1438</v>
      </c>
      <c r="D218" s="731" t="s">
        <v>294</v>
      </c>
      <c r="F218" s="793"/>
      <c r="G218" s="465">
        <f t="shared" ref="G218:G228" si="63">F218-SUM(H218:I218)</f>
        <v>0</v>
      </c>
      <c r="H218" s="466">
        <f t="shared" ref="H218:H228" si="64">ROUND(F218*VLOOKUP(D218,AllocTable_Functional,$H$10,FALSE),0)</f>
        <v>0</v>
      </c>
      <c r="I218" s="467">
        <f t="shared" ref="I218:I228" si="65">ROUND(F218*VLOOKUP(D218,AllocTable_Functional,$I$10,FALSE),0)</f>
        <v>0</v>
      </c>
      <c r="J218" s="347">
        <f t="shared" ref="J218:J228" si="66">SUM(G218:I218)</f>
        <v>0</v>
      </c>
      <c r="K218" s="347">
        <f t="shared" ref="K218:K228" si="67">F218-J218</f>
        <v>0</v>
      </c>
    </row>
    <row r="219" spans="1:11">
      <c r="A219" s="333">
        <v>17</v>
      </c>
      <c r="C219" s="332" t="s">
        <v>1438</v>
      </c>
      <c r="D219" s="731" t="s">
        <v>294</v>
      </c>
      <c r="F219" s="793"/>
      <c r="G219" s="465">
        <f t="shared" si="63"/>
        <v>0</v>
      </c>
      <c r="H219" s="466">
        <f t="shared" si="64"/>
        <v>0</v>
      </c>
      <c r="I219" s="467">
        <f t="shared" si="65"/>
        <v>0</v>
      </c>
      <c r="J219" s="347">
        <f t="shared" si="66"/>
        <v>0</v>
      </c>
      <c r="K219" s="347">
        <f t="shared" si="67"/>
        <v>0</v>
      </c>
    </row>
    <row r="220" spans="1:11">
      <c r="A220" s="333">
        <v>18</v>
      </c>
      <c r="C220" s="332" t="s">
        <v>1437</v>
      </c>
      <c r="D220" s="731" t="s">
        <v>1015</v>
      </c>
      <c r="F220" s="794">
        <f>-'[1]WPB-6''s'!$R$116</f>
        <v>20028</v>
      </c>
      <c r="G220" s="465">
        <f t="shared" si="63"/>
        <v>2070</v>
      </c>
      <c r="H220" s="466">
        <f t="shared" si="64"/>
        <v>0</v>
      </c>
      <c r="I220" s="467">
        <f t="shared" si="65"/>
        <v>17958</v>
      </c>
      <c r="J220" s="347">
        <f t="shared" si="66"/>
        <v>20028</v>
      </c>
      <c r="K220" s="347">
        <f t="shared" si="67"/>
        <v>0</v>
      </c>
    </row>
    <row r="221" spans="1:11">
      <c r="A221" s="333">
        <v>19</v>
      </c>
      <c r="C221" s="332" t="s">
        <v>1163</v>
      </c>
      <c r="D221" s="731" t="s">
        <v>315</v>
      </c>
      <c r="F221" s="793"/>
      <c r="G221" s="465">
        <f t="shared" si="63"/>
        <v>0</v>
      </c>
      <c r="H221" s="466">
        <f t="shared" si="64"/>
        <v>0</v>
      </c>
      <c r="I221" s="467">
        <f t="shared" si="65"/>
        <v>0</v>
      </c>
      <c r="J221" s="347">
        <f t="shared" si="66"/>
        <v>0</v>
      </c>
      <c r="K221" s="347">
        <f t="shared" si="67"/>
        <v>0</v>
      </c>
    </row>
    <row r="222" spans="1:11">
      <c r="A222" s="333">
        <v>20</v>
      </c>
      <c r="C222" s="332" t="s">
        <v>520</v>
      </c>
      <c r="D222" s="731" t="s">
        <v>298</v>
      </c>
      <c r="F222" s="793"/>
      <c r="G222" s="465">
        <f t="shared" si="63"/>
        <v>0</v>
      </c>
      <c r="H222" s="466">
        <f t="shared" si="64"/>
        <v>0</v>
      </c>
      <c r="I222" s="467">
        <f t="shared" si="65"/>
        <v>0</v>
      </c>
      <c r="J222" s="347">
        <f t="shared" si="66"/>
        <v>0</v>
      </c>
      <c r="K222" s="347">
        <f t="shared" si="67"/>
        <v>0</v>
      </c>
    </row>
    <row r="223" spans="1:11">
      <c r="A223" s="333">
        <v>21</v>
      </c>
      <c r="C223" s="332" t="s">
        <v>521</v>
      </c>
      <c r="D223" s="731" t="s">
        <v>315</v>
      </c>
      <c r="F223" s="793"/>
      <c r="G223" s="465">
        <f t="shared" si="63"/>
        <v>0</v>
      </c>
      <c r="H223" s="466">
        <f t="shared" si="64"/>
        <v>0</v>
      </c>
      <c r="I223" s="467">
        <f t="shared" si="65"/>
        <v>0</v>
      </c>
      <c r="J223" s="347">
        <f t="shared" si="66"/>
        <v>0</v>
      </c>
      <c r="K223" s="347">
        <f t="shared" si="67"/>
        <v>0</v>
      </c>
    </row>
    <row r="224" spans="1:11">
      <c r="A224" s="333">
        <v>22</v>
      </c>
      <c r="C224" s="332" t="s">
        <v>371</v>
      </c>
      <c r="D224" s="730" t="s">
        <v>315</v>
      </c>
      <c r="F224" s="793">
        <v>17095</v>
      </c>
      <c r="G224" s="465">
        <f t="shared" si="63"/>
        <v>126</v>
      </c>
      <c r="H224" s="466">
        <f t="shared" si="64"/>
        <v>0</v>
      </c>
      <c r="I224" s="467">
        <f t="shared" si="65"/>
        <v>16969</v>
      </c>
      <c r="J224" s="347">
        <f t="shared" si="66"/>
        <v>17095</v>
      </c>
      <c r="K224" s="347">
        <f t="shared" si="67"/>
        <v>0</v>
      </c>
    </row>
    <row r="225" spans="1:11">
      <c r="A225" s="333">
        <v>23</v>
      </c>
      <c r="C225" s="332" t="s">
        <v>1162</v>
      </c>
      <c r="D225" s="731" t="s">
        <v>1015</v>
      </c>
      <c r="F225" s="793">
        <v>91771</v>
      </c>
      <c r="G225" s="465">
        <f t="shared" si="63"/>
        <v>9485</v>
      </c>
      <c r="H225" s="466">
        <f t="shared" si="64"/>
        <v>0</v>
      </c>
      <c r="I225" s="467">
        <f t="shared" si="65"/>
        <v>82286</v>
      </c>
      <c r="J225" s="347">
        <f t="shared" si="66"/>
        <v>91771</v>
      </c>
      <c r="K225" s="347">
        <f t="shared" si="67"/>
        <v>0</v>
      </c>
    </row>
    <row r="226" spans="1:11">
      <c r="A226" s="333">
        <v>24</v>
      </c>
      <c r="C226" s="353" t="s">
        <v>1187</v>
      </c>
      <c r="D226" s="731" t="s">
        <v>1015</v>
      </c>
      <c r="F226" s="793">
        <v>-25088</v>
      </c>
      <c r="G226" s="465">
        <f t="shared" si="63"/>
        <v>-2593</v>
      </c>
      <c r="H226" s="466">
        <f t="shared" si="64"/>
        <v>0</v>
      </c>
      <c r="I226" s="467">
        <f t="shared" si="65"/>
        <v>-22495</v>
      </c>
      <c r="J226" s="347">
        <f>SUM(G226:I226)</f>
        <v>-25088</v>
      </c>
      <c r="K226" s="347">
        <f>F226-J226</f>
        <v>0</v>
      </c>
    </row>
    <row r="227" spans="1:11">
      <c r="A227" s="333">
        <v>25</v>
      </c>
      <c r="C227" s="332" t="s">
        <v>1165</v>
      </c>
      <c r="D227" s="731" t="s">
        <v>1015</v>
      </c>
      <c r="F227" s="793">
        <v>1603339</v>
      </c>
      <c r="G227" s="465">
        <f t="shared" si="63"/>
        <v>165705</v>
      </c>
      <c r="H227" s="466">
        <f t="shared" si="64"/>
        <v>0</v>
      </c>
      <c r="I227" s="467">
        <f t="shared" si="65"/>
        <v>1437634</v>
      </c>
      <c r="J227" s="347">
        <f>SUM(G227:I227)</f>
        <v>1603339</v>
      </c>
      <c r="K227" s="347">
        <f>F227-J227</f>
        <v>0</v>
      </c>
    </row>
    <row r="228" spans="1:11">
      <c r="A228" s="333">
        <v>26</v>
      </c>
      <c r="C228" s="365" t="s">
        <v>1161</v>
      </c>
      <c r="D228" s="730" t="s">
        <v>382</v>
      </c>
      <c r="F228" s="793">
        <f>-'[1]WPB-6''s'!$R$115+SUM(F218:F219)-SUM(F221:F227)</f>
        <v>722522</v>
      </c>
      <c r="G228" s="465">
        <f t="shared" si="63"/>
        <v>0</v>
      </c>
      <c r="H228" s="466">
        <f t="shared" si="64"/>
        <v>0</v>
      </c>
      <c r="I228" s="467">
        <f t="shared" si="65"/>
        <v>722522</v>
      </c>
      <c r="J228" s="347">
        <f t="shared" si="66"/>
        <v>722522</v>
      </c>
      <c r="K228" s="347">
        <f t="shared" si="67"/>
        <v>0</v>
      </c>
    </row>
    <row r="229" spans="1:11">
      <c r="A229" s="333">
        <v>27</v>
      </c>
      <c r="C229" s="339" t="s">
        <v>139</v>
      </c>
      <c r="D229" s="729"/>
      <c r="F229" s="762">
        <f t="shared" ref="F229" si="68">SUM(F217:F228)</f>
        <v>2429667</v>
      </c>
      <c r="G229" s="468">
        <f t="shared" ref="G229:K229" si="69">SUM(G217:G228)</f>
        <v>174793</v>
      </c>
      <c r="H229" s="456">
        <f t="shared" si="69"/>
        <v>0</v>
      </c>
      <c r="I229" s="469">
        <f t="shared" si="69"/>
        <v>2254874</v>
      </c>
      <c r="J229" s="348">
        <f t="shared" si="69"/>
        <v>2429667</v>
      </c>
      <c r="K229" s="348">
        <f t="shared" si="69"/>
        <v>0</v>
      </c>
    </row>
    <row r="230" spans="1:11">
      <c r="A230" s="333">
        <v>28</v>
      </c>
      <c r="D230" s="729"/>
      <c r="E230" s="196"/>
      <c r="G230" s="462"/>
      <c r="H230" s="463"/>
      <c r="I230" s="464"/>
    </row>
    <row r="231" spans="1:11">
      <c r="A231" s="333">
        <v>29</v>
      </c>
      <c r="B231" s="353" t="s">
        <v>824</v>
      </c>
      <c r="C231" s="353"/>
      <c r="D231" s="729"/>
      <c r="E231" s="196"/>
      <c r="G231" s="462"/>
      <c r="H231" s="463"/>
      <c r="I231" s="464"/>
    </row>
    <row r="232" spans="1:11">
      <c r="A232" s="333">
        <v>30</v>
      </c>
      <c r="C232" s="332" t="s">
        <v>399</v>
      </c>
      <c r="D232" s="729" t="s">
        <v>312</v>
      </c>
      <c r="E232" s="196"/>
      <c r="F232" s="793">
        <f>-[1]SCH_B1!$I$32</f>
        <v>1579329</v>
      </c>
      <c r="G232" s="465">
        <f>F232-SUM(H232:I232)</f>
        <v>0</v>
      </c>
      <c r="H232" s="466">
        <f>ROUND(F232*VLOOKUP(D232,AllocTable_Functional,$H$10,FALSE),0)</f>
        <v>0</v>
      </c>
      <c r="I232" s="467">
        <f>ROUND(F232*VLOOKUP(D232,AllocTable_Functional,$I$10,FALSE),0)</f>
        <v>1579329</v>
      </c>
      <c r="J232" s="347">
        <f>SUM(G232:I232)</f>
        <v>1579329</v>
      </c>
      <c r="K232" s="347">
        <f>F232-J232</f>
        <v>0</v>
      </c>
    </row>
    <row r="233" spans="1:11">
      <c r="A233" s="333">
        <v>31</v>
      </c>
      <c r="C233" s="332" t="s">
        <v>403</v>
      </c>
      <c r="D233" s="729" t="s">
        <v>312</v>
      </c>
      <c r="E233" s="196"/>
      <c r="F233" s="783"/>
      <c r="G233" s="465">
        <f>F233-SUM(H233:I233)</f>
        <v>0</v>
      </c>
      <c r="H233" s="466">
        <f>ROUND(F233*VLOOKUP(D233,AllocTable_Functional,$H$10,FALSE),0)</f>
        <v>0</v>
      </c>
      <c r="I233" s="467">
        <f>ROUND(F233*VLOOKUP(D233,AllocTable_Functional,$I$10,FALSE),0)</f>
        <v>0</v>
      </c>
      <c r="J233" s="347">
        <f>SUM(G233:I233)</f>
        <v>0</v>
      </c>
      <c r="K233" s="347">
        <f>F233-J233</f>
        <v>0</v>
      </c>
    </row>
    <row r="234" spans="1:11">
      <c r="A234" s="333">
        <v>32</v>
      </c>
      <c r="C234" s="332" t="s">
        <v>142</v>
      </c>
      <c r="D234" s="729" t="s">
        <v>1015</v>
      </c>
      <c r="E234" s="196"/>
      <c r="F234" s="793"/>
      <c r="G234" s="465">
        <f>F234-SUM(H234:I234)</f>
        <v>0</v>
      </c>
      <c r="H234" s="466">
        <f>ROUND(F234*VLOOKUP(D234,AllocTable_Functional,$H$10,FALSE),0)</f>
        <v>0</v>
      </c>
      <c r="I234" s="467">
        <f>ROUND(F234*VLOOKUP(D234,AllocTable_Functional,$I$10,FALSE),0)</f>
        <v>0</v>
      </c>
      <c r="J234" s="347">
        <f>SUM(G234:I234)</f>
        <v>0</v>
      </c>
      <c r="K234" s="347">
        <f>F234-J234</f>
        <v>0</v>
      </c>
    </row>
    <row r="235" spans="1:11">
      <c r="A235" s="333">
        <v>33</v>
      </c>
      <c r="C235" s="365" t="s">
        <v>1444</v>
      </c>
      <c r="D235" s="729" t="s">
        <v>315</v>
      </c>
      <c r="E235" s="196"/>
      <c r="F235" s="793">
        <f>-[1]SCH_B6!$P$80</f>
        <v>31320215</v>
      </c>
      <c r="G235" s="465">
        <f>F235-SUM(H235:I235)</f>
        <v>230517</v>
      </c>
      <c r="H235" s="466">
        <f>ROUND(F235*VLOOKUP(D235,AllocTable_Functional,$H$10,FALSE),0)</f>
        <v>0</v>
      </c>
      <c r="I235" s="467">
        <f>ROUND(F235*VLOOKUP(D235,AllocTable_Functional,$I$10,FALSE),0)</f>
        <v>31089698</v>
      </c>
      <c r="J235" s="347">
        <f>SUM(G235:I235)</f>
        <v>31320215</v>
      </c>
      <c r="K235" s="347">
        <f>F235-J235</f>
        <v>0</v>
      </c>
    </row>
    <row r="236" spans="1:11">
      <c r="A236" s="333">
        <v>34</v>
      </c>
      <c r="C236" s="339" t="s">
        <v>140</v>
      </c>
      <c r="D236" s="344"/>
      <c r="E236" s="196"/>
      <c r="F236" s="348">
        <f t="shared" ref="F236:K236" si="70">SUM(F231:F235)</f>
        <v>32899544</v>
      </c>
      <c r="G236" s="468">
        <f t="shared" si="70"/>
        <v>230517</v>
      </c>
      <c r="H236" s="456">
        <f t="shared" si="70"/>
        <v>0</v>
      </c>
      <c r="I236" s="469">
        <f t="shared" si="70"/>
        <v>32669027</v>
      </c>
      <c r="J236" s="348">
        <f t="shared" si="70"/>
        <v>32899544</v>
      </c>
      <c r="K236" s="348">
        <f t="shared" si="70"/>
        <v>0</v>
      </c>
    </row>
    <row r="237" spans="1:11">
      <c r="A237" s="333">
        <v>35</v>
      </c>
      <c r="D237" s="344"/>
      <c r="E237" s="196"/>
      <c r="G237" s="462"/>
      <c r="H237" s="463"/>
      <c r="I237" s="464"/>
    </row>
    <row r="238" spans="1:11">
      <c r="A238" s="333">
        <v>36</v>
      </c>
      <c r="B238" s="332" t="s">
        <v>828</v>
      </c>
      <c r="D238" s="344"/>
      <c r="E238" s="196"/>
      <c r="F238" s="347">
        <f t="shared" ref="F238:K238" si="71">F236+F229+F215</f>
        <v>97881988.857534245</v>
      </c>
      <c r="G238" s="484">
        <f t="shared" si="71"/>
        <v>1710678.8575342465</v>
      </c>
      <c r="H238" s="485">
        <f t="shared" si="71"/>
        <v>0</v>
      </c>
      <c r="I238" s="486">
        <f t="shared" si="71"/>
        <v>96171310</v>
      </c>
      <c r="J238" s="347">
        <f t="shared" si="71"/>
        <v>97881988.857534245</v>
      </c>
      <c r="K238" s="347">
        <f t="shared" si="71"/>
        <v>0</v>
      </c>
    </row>
    <row r="239" spans="1:11">
      <c r="B239" s="343"/>
      <c r="C239" s="196"/>
      <c r="D239" s="344"/>
      <c r="E239" s="196"/>
      <c r="F239" s="196"/>
      <c r="G239" s="196"/>
      <c r="H239" s="196"/>
      <c r="I239" s="196"/>
      <c r="J239" s="196"/>
      <c r="K239" s="196"/>
    </row>
    <row r="240" spans="1:11">
      <c r="A240" s="343" t="str">
        <f>co_name</f>
        <v>DUKE ENERGY KENTUCKY, INC.</v>
      </c>
      <c r="C240" s="196"/>
      <c r="D240" s="344"/>
      <c r="E240" s="196"/>
      <c r="F240" s="196"/>
      <c r="G240" s="196"/>
      <c r="H240" s="196"/>
      <c r="I240" s="196"/>
      <c r="J240" s="196" t="str">
        <f>$J$1</f>
        <v>FR-16(7)(v)-1</v>
      </c>
      <c r="K240" s="196"/>
    </row>
    <row r="241" spans="1:11">
      <c r="A241" s="343" t="str">
        <f>$A$2</f>
        <v>FUNCTIONAL GAS COST OF SERVICE</v>
      </c>
      <c r="C241" s="196"/>
      <c r="D241" s="344"/>
      <c r="E241" s="196"/>
      <c r="F241" s="196"/>
      <c r="G241" s="196"/>
      <c r="H241" s="196"/>
      <c r="I241" s="196"/>
      <c r="J241" s="196" t="str">
        <f>$J$2</f>
        <v>WITNESS RESPONSIBLE:</v>
      </c>
      <c r="K241" s="196"/>
    </row>
    <row r="242" spans="1:11">
      <c r="A242" s="343" t="str">
        <f>case_name</f>
        <v>CASE NO: 2018-00261</v>
      </c>
      <c r="C242" s="196"/>
      <c r="D242" s="344"/>
      <c r="E242" s="196"/>
      <c r="F242" s="196"/>
      <c r="G242" s="196"/>
      <c r="H242" s="196"/>
      <c r="I242" s="196"/>
      <c r="J242" s="196" t="str">
        <f>Witness</f>
        <v>JAMES E. ZIOLKOWSKI</v>
      </c>
      <c r="K242" s="196"/>
    </row>
    <row r="243" spans="1:11">
      <c r="A243" s="343" t="str">
        <f>data_filing</f>
        <v>DATA: 12 MONTH FORECASTED PERIOD</v>
      </c>
      <c r="C243" s="196"/>
      <c r="D243" s="344"/>
      <c r="E243" s="196"/>
      <c r="F243" s="196"/>
      <c r="G243" s="196"/>
      <c r="H243" s="196"/>
      <c r="I243" s="196"/>
      <c r="J243" s="196" t="str">
        <f>"PAGE "&amp;Pages-12&amp;" OF "&amp;Pages</f>
        <v>PAGE 6 OF 18</v>
      </c>
      <c r="K243" s="196"/>
    </row>
    <row r="244" spans="1:11">
      <c r="A244" s="343" t="str">
        <f>type</f>
        <v xml:space="preserve">TYPE OF FILING: "X" ORIGINAL   UPDATED    REVISED  </v>
      </c>
      <c r="C244" s="196"/>
      <c r="D244" s="344"/>
      <c r="E244" s="196"/>
      <c r="F244" s="196"/>
      <c r="G244" s="196"/>
      <c r="H244" s="196"/>
      <c r="I244" s="196"/>
      <c r="J244" s="196"/>
      <c r="K244" s="196"/>
    </row>
    <row r="245" spans="1:11">
      <c r="B245" s="343"/>
      <c r="C245" s="196"/>
      <c r="D245" s="344"/>
      <c r="E245" s="196"/>
      <c r="F245" s="196"/>
      <c r="G245" s="196"/>
      <c r="H245" s="196"/>
      <c r="I245" s="196"/>
      <c r="J245" s="196"/>
      <c r="K245" s="196"/>
    </row>
    <row r="246" spans="1:11">
      <c r="B246" s="343"/>
      <c r="C246" s="196"/>
      <c r="D246" s="344"/>
      <c r="E246" s="196"/>
      <c r="F246" s="196"/>
      <c r="G246" s="196"/>
      <c r="H246" s="196"/>
      <c r="I246" s="196"/>
      <c r="J246" s="196"/>
      <c r="K246" s="196"/>
    </row>
    <row r="247" spans="1:11">
      <c r="A247" s="344" t="s">
        <v>914</v>
      </c>
      <c r="B247" s="196"/>
      <c r="C247" s="196"/>
      <c r="D247" s="344"/>
      <c r="E247" s="196"/>
      <c r="F247" s="344" t="s">
        <v>229</v>
      </c>
      <c r="G247" s="473" t="s">
        <v>981</v>
      </c>
      <c r="H247" s="474"/>
      <c r="I247" s="475"/>
      <c r="J247" s="344" t="s">
        <v>229</v>
      </c>
      <c r="K247" s="344" t="s">
        <v>342</v>
      </c>
    </row>
    <row r="248" spans="1:11">
      <c r="A248" s="346" t="s">
        <v>915</v>
      </c>
      <c r="B248" s="345" t="s">
        <v>954</v>
      </c>
      <c r="C248" s="345"/>
      <c r="D248" s="346" t="s">
        <v>337</v>
      </c>
      <c r="E248" s="345"/>
      <c r="F248" s="346" t="s">
        <v>284</v>
      </c>
      <c r="G248" s="460" t="s">
        <v>845</v>
      </c>
      <c r="H248" s="455" t="s">
        <v>980</v>
      </c>
      <c r="I248" s="461" t="s">
        <v>846</v>
      </c>
      <c r="J248" s="346" t="s">
        <v>341</v>
      </c>
      <c r="K248" s="346" t="s">
        <v>340</v>
      </c>
    </row>
    <row r="249" spans="1:11">
      <c r="C249" s="578" t="s">
        <v>558</v>
      </c>
      <c r="D249" s="344"/>
      <c r="E249" s="196"/>
      <c r="G249" s="628">
        <f>$G$10</f>
        <v>3</v>
      </c>
      <c r="H249" s="629">
        <f>$H$10</f>
        <v>4</v>
      </c>
      <c r="I249" s="630">
        <f>$I$10</f>
        <v>5</v>
      </c>
    </row>
    <row r="250" spans="1:11">
      <c r="A250" s="333">
        <v>1</v>
      </c>
      <c r="B250" s="332" t="s">
        <v>826</v>
      </c>
      <c r="D250" s="344"/>
      <c r="E250" s="196"/>
      <c r="G250" s="462"/>
      <c r="H250" s="463"/>
      <c r="I250" s="464"/>
    </row>
    <row r="251" spans="1:11">
      <c r="A251" s="333">
        <v>2</v>
      </c>
      <c r="B251" s="332" t="s">
        <v>29</v>
      </c>
      <c r="D251" s="344"/>
      <c r="E251" s="196"/>
      <c r="G251" s="462"/>
      <c r="H251" s="463"/>
      <c r="I251" s="464"/>
    </row>
    <row r="252" spans="1:11">
      <c r="A252" s="333">
        <v>3</v>
      </c>
      <c r="C252" s="332" t="s">
        <v>141</v>
      </c>
      <c r="D252" s="730" t="s">
        <v>382</v>
      </c>
      <c r="F252" s="793">
        <v>3828</v>
      </c>
      <c r="G252" s="465">
        <f t="shared" ref="G252:G274" si="72">F252-SUM(H252:I252)</f>
        <v>0</v>
      </c>
      <c r="H252" s="466">
        <f t="shared" ref="H252:H274" si="73">ROUND(F252*VLOOKUP(D252,AllocTable_Functional,$H$10,FALSE),0)</f>
        <v>0</v>
      </c>
      <c r="I252" s="467">
        <f t="shared" ref="I252:I274" si="74">ROUND(F252*VLOOKUP(D252,AllocTable_Functional,$I$10,FALSE),0)</f>
        <v>3828</v>
      </c>
      <c r="J252" s="347">
        <f t="shared" ref="J252:J274" si="75">SUM(G252:I252)</f>
        <v>3828</v>
      </c>
      <c r="K252" s="347">
        <f t="shared" ref="K252:K274" si="76">F252-J252</f>
        <v>0</v>
      </c>
    </row>
    <row r="253" spans="1:11">
      <c r="A253" s="333">
        <v>4</v>
      </c>
      <c r="C253" s="332" t="s">
        <v>522</v>
      </c>
      <c r="D253" s="731" t="s">
        <v>379</v>
      </c>
      <c r="F253" s="793">
        <v>40128</v>
      </c>
      <c r="G253" s="465">
        <f t="shared" si="72"/>
        <v>40128</v>
      </c>
      <c r="H253" s="466">
        <f t="shared" si="73"/>
        <v>0</v>
      </c>
      <c r="I253" s="467">
        <f t="shared" si="74"/>
        <v>0</v>
      </c>
      <c r="J253" s="347">
        <f t="shared" si="75"/>
        <v>40128</v>
      </c>
      <c r="K253" s="347">
        <f t="shared" si="76"/>
        <v>0</v>
      </c>
    </row>
    <row r="254" spans="1:11">
      <c r="A254" s="333">
        <v>5</v>
      </c>
      <c r="C254" s="332" t="s">
        <v>1441</v>
      </c>
      <c r="D254" s="731" t="s">
        <v>379</v>
      </c>
      <c r="F254" s="793">
        <v>727162</v>
      </c>
      <c r="G254" s="465">
        <f t="shared" si="72"/>
        <v>727162</v>
      </c>
      <c r="H254" s="466">
        <f t="shared" si="73"/>
        <v>0</v>
      </c>
      <c r="I254" s="467">
        <f t="shared" si="74"/>
        <v>0</v>
      </c>
      <c r="J254" s="347">
        <f t="shared" si="75"/>
        <v>727162</v>
      </c>
      <c r="K254" s="347">
        <f t="shared" si="76"/>
        <v>0</v>
      </c>
    </row>
    <row r="255" spans="1:11">
      <c r="A255" s="333">
        <v>6</v>
      </c>
      <c r="C255" s="353" t="s">
        <v>523</v>
      </c>
      <c r="D255" s="731" t="s">
        <v>379</v>
      </c>
      <c r="E255" s="353"/>
      <c r="F255" s="793">
        <v>88650</v>
      </c>
      <c r="G255" s="465">
        <f t="shared" si="72"/>
        <v>88650</v>
      </c>
      <c r="H255" s="466">
        <f t="shared" si="73"/>
        <v>0</v>
      </c>
      <c r="I255" s="467">
        <f t="shared" si="74"/>
        <v>0</v>
      </c>
      <c r="J255" s="347">
        <f t="shared" si="75"/>
        <v>88650</v>
      </c>
      <c r="K255" s="347">
        <f t="shared" si="76"/>
        <v>0</v>
      </c>
    </row>
    <row r="256" spans="1:11">
      <c r="A256" s="333">
        <v>7</v>
      </c>
      <c r="C256" s="332" t="s">
        <v>517</v>
      </c>
      <c r="D256" s="731" t="s">
        <v>294</v>
      </c>
      <c r="F256" s="793">
        <v>37579</v>
      </c>
      <c r="G256" s="465">
        <f t="shared" si="72"/>
        <v>0</v>
      </c>
      <c r="H256" s="466">
        <f t="shared" si="73"/>
        <v>0</v>
      </c>
      <c r="I256" s="467">
        <f t="shared" si="74"/>
        <v>37579</v>
      </c>
      <c r="J256" s="347">
        <f t="shared" si="75"/>
        <v>37579</v>
      </c>
      <c r="K256" s="347">
        <f t="shared" si="76"/>
        <v>0</v>
      </c>
    </row>
    <row r="257" spans="1:11">
      <c r="A257" s="333">
        <v>8</v>
      </c>
      <c r="C257" s="332" t="s">
        <v>524</v>
      </c>
      <c r="D257" s="731" t="s">
        <v>315</v>
      </c>
      <c r="F257" s="793">
        <v>-1833</v>
      </c>
      <c r="G257" s="465">
        <f t="shared" si="72"/>
        <v>-13</v>
      </c>
      <c r="H257" s="466">
        <f t="shared" si="73"/>
        <v>0</v>
      </c>
      <c r="I257" s="467">
        <f t="shared" si="74"/>
        <v>-1820</v>
      </c>
      <c r="J257" s="347">
        <f t="shared" si="75"/>
        <v>-1833</v>
      </c>
      <c r="K257" s="347">
        <f t="shared" si="76"/>
        <v>0</v>
      </c>
    </row>
    <row r="258" spans="1:11">
      <c r="A258" s="333">
        <v>9</v>
      </c>
      <c r="C258" s="332" t="s">
        <v>521</v>
      </c>
      <c r="D258" s="731" t="s">
        <v>315</v>
      </c>
      <c r="F258" s="793"/>
      <c r="G258" s="465">
        <f t="shared" si="72"/>
        <v>0</v>
      </c>
      <c r="H258" s="466">
        <f t="shared" si="73"/>
        <v>0</v>
      </c>
      <c r="I258" s="467">
        <f t="shared" si="74"/>
        <v>0</v>
      </c>
      <c r="J258" s="347">
        <f t="shared" si="75"/>
        <v>0</v>
      </c>
      <c r="K258" s="347">
        <f t="shared" si="76"/>
        <v>0</v>
      </c>
    </row>
    <row r="259" spans="1:11">
      <c r="A259" s="333">
        <v>10</v>
      </c>
      <c r="C259" s="332" t="s">
        <v>525</v>
      </c>
      <c r="D259" s="731" t="s">
        <v>1015</v>
      </c>
      <c r="F259" s="793">
        <v>184414</v>
      </c>
      <c r="G259" s="465">
        <f t="shared" si="72"/>
        <v>19059</v>
      </c>
      <c r="H259" s="466">
        <f t="shared" si="73"/>
        <v>0</v>
      </c>
      <c r="I259" s="467">
        <f t="shared" si="74"/>
        <v>165355</v>
      </c>
      <c r="J259" s="347">
        <f t="shared" si="75"/>
        <v>184414</v>
      </c>
      <c r="K259" s="347">
        <f t="shared" si="76"/>
        <v>0</v>
      </c>
    </row>
    <row r="260" spans="1:11">
      <c r="A260" s="333">
        <v>11</v>
      </c>
      <c r="C260" s="332" t="s">
        <v>526</v>
      </c>
      <c r="D260" s="731" t="s">
        <v>1015</v>
      </c>
      <c r="F260" s="793"/>
      <c r="G260" s="465">
        <f t="shared" si="72"/>
        <v>0</v>
      </c>
      <c r="H260" s="466">
        <f t="shared" si="73"/>
        <v>0</v>
      </c>
      <c r="I260" s="467">
        <f t="shared" si="74"/>
        <v>0</v>
      </c>
      <c r="J260" s="347">
        <f t="shared" si="75"/>
        <v>0</v>
      </c>
      <c r="K260" s="347">
        <f t="shared" si="76"/>
        <v>0</v>
      </c>
    </row>
    <row r="261" spans="1:11">
      <c r="A261" s="333">
        <v>12</v>
      </c>
      <c r="C261" s="332" t="s">
        <v>527</v>
      </c>
      <c r="D261" s="731" t="s">
        <v>1015</v>
      </c>
      <c r="F261" s="793"/>
      <c r="G261" s="465">
        <f t="shared" si="72"/>
        <v>0</v>
      </c>
      <c r="H261" s="466">
        <f t="shared" si="73"/>
        <v>0</v>
      </c>
      <c r="I261" s="467">
        <f t="shared" si="74"/>
        <v>0</v>
      </c>
      <c r="J261" s="347">
        <f t="shared" si="75"/>
        <v>0</v>
      </c>
      <c r="K261" s="347">
        <f t="shared" si="76"/>
        <v>0</v>
      </c>
    </row>
    <row r="262" spans="1:11">
      <c r="A262" s="333">
        <v>13</v>
      </c>
      <c r="C262" s="332" t="s">
        <v>528</v>
      </c>
      <c r="D262" s="731" t="s">
        <v>1015</v>
      </c>
      <c r="F262" s="793">
        <v>43984</v>
      </c>
      <c r="G262" s="465">
        <f t="shared" si="72"/>
        <v>4546</v>
      </c>
      <c r="H262" s="466">
        <f t="shared" si="73"/>
        <v>0</v>
      </c>
      <c r="I262" s="467">
        <f t="shared" si="74"/>
        <v>39438</v>
      </c>
      <c r="J262" s="347">
        <f t="shared" si="75"/>
        <v>43984</v>
      </c>
      <c r="K262" s="347">
        <f t="shared" si="76"/>
        <v>0</v>
      </c>
    </row>
    <row r="263" spans="1:11">
      <c r="A263" s="333">
        <v>14</v>
      </c>
      <c r="C263" s="332" t="s">
        <v>1440</v>
      </c>
      <c r="D263" s="731" t="s">
        <v>1015</v>
      </c>
      <c r="F263" s="793">
        <v>302668</v>
      </c>
      <c r="G263" s="465">
        <f t="shared" si="72"/>
        <v>31281</v>
      </c>
      <c r="H263" s="466">
        <f t="shared" si="73"/>
        <v>0</v>
      </c>
      <c r="I263" s="467">
        <f t="shared" si="74"/>
        <v>271387</v>
      </c>
      <c r="J263" s="347">
        <f t="shared" si="75"/>
        <v>302668</v>
      </c>
      <c r="K263" s="347">
        <f t="shared" si="76"/>
        <v>0</v>
      </c>
    </row>
    <row r="264" spans="1:11">
      <c r="A264" s="333">
        <v>15</v>
      </c>
      <c r="C264" s="332" t="s">
        <v>531</v>
      </c>
      <c r="D264" s="731" t="s">
        <v>1015</v>
      </c>
      <c r="F264" s="793"/>
      <c r="G264" s="465">
        <f t="shared" si="72"/>
        <v>0</v>
      </c>
      <c r="H264" s="466">
        <f t="shared" si="73"/>
        <v>0</v>
      </c>
      <c r="I264" s="467">
        <f t="shared" si="74"/>
        <v>0</v>
      </c>
      <c r="J264" s="347">
        <f t="shared" si="75"/>
        <v>0</v>
      </c>
      <c r="K264" s="347">
        <f t="shared" si="76"/>
        <v>0</v>
      </c>
    </row>
    <row r="265" spans="1:11">
      <c r="A265" s="333">
        <v>16</v>
      </c>
      <c r="C265" s="332" t="s">
        <v>1188</v>
      </c>
      <c r="D265" s="731" t="s">
        <v>1015</v>
      </c>
      <c r="F265" s="793"/>
      <c r="G265" s="465">
        <f t="shared" si="72"/>
        <v>0</v>
      </c>
      <c r="H265" s="466">
        <f t="shared" si="73"/>
        <v>0</v>
      </c>
      <c r="I265" s="467">
        <f t="shared" si="74"/>
        <v>0</v>
      </c>
      <c r="J265" s="347">
        <f t="shared" si="75"/>
        <v>0</v>
      </c>
      <c r="K265" s="347">
        <f t="shared" si="76"/>
        <v>0</v>
      </c>
    </row>
    <row r="266" spans="1:11">
      <c r="A266" s="333">
        <v>17</v>
      </c>
      <c r="C266" s="332" t="s">
        <v>1439</v>
      </c>
      <c r="D266" s="731" t="s">
        <v>1015</v>
      </c>
      <c r="F266" s="793">
        <v>187434</v>
      </c>
      <c r="G266" s="465">
        <f t="shared" si="72"/>
        <v>19371</v>
      </c>
      <c r="H266" s="466">
        <f t="shared" si="73"/>
        <v>0</v>
      </c>
      <c r="I266" s="467">
        <f t="shared" si="74"/>
        <v>168063</v>
      </c>
      <c r="J266" s="347">
        <f t="shared" si="75"/>
        <v>187434</v>
      </c>
      <c r="K266" s="347">
        <f t="shared" si="76"/>
        <v>0</v>
      </c>
    </row>
    <row r="267" spans="1:11">
      <c r="A267" s="333">
        <v>18</v>
      </c>
      <c r="C267" s="332" t="s">
        <v>374</v>
      </c>
      <c r="D267" s="731" t="s">
        <v>311</v>
      </c>
      <c r="F267" s="793"/>
      <c r="G267" s="465">
        <f t="shared" si="72"/>
        <v>0</v>
      </c>
      <c r="H267" s="466">
        <f t="shared" si="73"/>
        <v>0</v>
      </c>
      <c r="I267" s="467">
        <f t="shared" si="74"/>
        <v>0</v>
      </c>
      <c r="J267" s="347">
        <f t="shared" si="75"/>
        <v>0</v>
      </c>
      <c r="K267" s="347">
        <f t="shared" si="76"/>
        <v>0</v>
      </c>
    </row>
    <row r="268" spans="1:11">
      <c r="A268" s="333">
        <v>19</v>
      </c>
      <c r="C268" s="353" t="s">
        <v>529</v>
      </c>
      <c r="D268" s="731" t="s">
        <v>311</v>
      </c>
      <c r="E268" s="353"/>
      <c r="F268" s="793"/>
      <c r="G268" s="465">
        <f t="shared" si="72"/>
        <v>0</v>
      </c>
      <c r="H268" s="466">
        <f t="shared" si="73"/>
        <v>0</v>
      </c>
      <c r="I268" s="467">
        <f t="shared" si="74"/>
        <v>0</v>
      </c>
      <c r="J268" s="347">
        <f t="shared" si="75"/>
        <v>0</v>
      </c>
      <c r="K268" s="347">
        <f t="shared" si="76"/>
        <v>0</v>
      </c>
    </row>
    <row r="269" spans="1:11">
      <c r="A269" s="333">
        <v>20</v>
      </c>
      <c r="C269" s="489" t="s">
        <v>530</v>
      </c>
      <c r="D269" s="731" t="s">
        <v>1015</v>
      </c>
      <c r="F269" s="793"/>
      <c r="G269" s="465">
        <f t="shared" si="72"/>
        <v>0</v>
      </c>
      <c r="H269" s="466">
        <f t="shared" si="73"/>
        <v>0</v>
      </c>
      <c r="I269" s="467">
        <f t="shared" si="74"/>
        <v>0</v>
      </c>
      <c r="J269" s="347">
        <f t="shared" si="75"/>
        <v>0</v>
      </c>
      <c r="K269" s="347">
        <f t="shared" si="76"/>
        <v>0</v>
      </c>
    </row>
    <row r="270" spans="1:11">
      <c r="A270" s="333">
        <v>21</v>
      </c>
      <c r="C270" s="332" t="s">
        <v>1163</v>
      </c>
      <c r="D270" s="731" t="s">
        <v>315</v>
      </c>
      <c r="F270" s="793">
        <v>159230</v>
      </c>
      <c r="G270" s="465">
        <f t="shared" si="72"/>
        <v>1172</v>
      </c>
      <c r="H270" s="466">
        <f t="shared" si="73"/>
        <v>0</v>
      </c>
      <c r="I270" s="467">
        <f t="shared" si="74"/>
        <v>158058</v>
      </c>
      <c r="J270" s="347">
        <f t="shared" si="75"/>
        <v>159230</v>
      </c>
      <c r="K270" s="347">
        <f t="shared" si="76"/>
        <v>0</v>
      </c>
    </row>
    <row r="271" spans="1:11">
      <c r="A271" s="333">
        <v>22</v>
      </c>
      <c r="C271" s="332" t="s">
        <v>532</v>
      </c>
      <c r="D271" s="731" t="s">
        <v>306</v>
      </c>
      <c r="F271" s="793">
        <v>163904</v>
      </c>
      <c r="G271" s="465">
        <f t="shared" si="72"/>
        <v>16939</v>
      </c>
      <c r="H271" s="466">
        <f t="shared" si="73"/>
        <v>0</v>
      </c>
      <c r="I271" s="467">
        <f t="shared" si="74"/>
        <v>146965</v>
      </c>
      <c r="J271" s="347">
        <f t="shared" si="75"/>
        <v>163904</v>
      </c>
      <c r="K271" s="347">
        <f t="shared" si="76"/>
        <v>0</v>
      </c>
    </row>
    <row r="272" spans="1:11">
      <c r="A272" s="333">
        <v>23</v>
      </c>
      <c r="C272" s="332" t="s">
        <v>1164</v>
      </c>
      <c r="D272" s="731" t="s">
        <v>294</v>
      </c>
      <c r="F272" s="793"/>
      <c r="G272" s="465">
        <f t="shared" si="72"/>
        <v>0</v>
      </c>
      <c r="H272" s="466">
        <f t="shared" si="73"/>
        <v>0</v>
      </c>
      <c r="I272" s="467">
        <f t="shared" si="74"/>
        <v>0</v>
      </c>
      <c r="J272" s="347">
        <f t="shared" si="75"/>
        <v>0</v>
      </c>
      <c r="K272" s="347">
        <f t="shared" si="76"/>
        <v>0</v>
      </c>
    </row>
    <row r="273" spans="1:11">
      <c r="A273" s="333">
        <v>24</v>
      </c>
      <c r="C273" s="332" t="s">
        <v>372</v>
      </c>
      <c r="D273" s="731" t="s">
        <v>312</v>
      </c>
      <c r="F273" s="793"/>
      <c r="G273" s="465">
        <f t="shared" si="72"/>
        <v>0</v>
      </c>
      <c r="H273" s="466">
        <f t="shared" si="73"/>
        <v>0</v>
      </c>
      <c r="I273" s="467">
        <f t="shared" si="74"/>
        <v>0</v>
      </c>
      <c r="J273" s="347">
        <f t="shared" si="75"/>
        <v>0</v>
      </c>
      <c r="K273" s="347">
        <f t="shared" si="76"/>
        <v>0</v>
      </c>
    </row>
    <row r="274" spans="1:11">
      <c r="A274" s="333">
        <v>25</v>
      </c>
      <c r="C274" s="359" t="s">
        <v>340</v>
      </c>
      <c r="D274" s="730" t="s">
        <v>1015</v>
      </c>
      <c r="F274" s="793">
        <f>'[1]WPB-6''s'!$R$111-SUM(F252:F273)</f>
        <v>379414</v>
      </c>
      <c r="G274" s="465">
        <f t="shared" si="72"/>
        <v>39212</v>
      </c>
      <c r="H274" s="466">
        <f t="shared" si="73"/>
        <v>0</v>
      </c>
      <c r="I274" s="467">
        <f t="shared" si="74"/>
        <v>340202</v>
      </c>
      <c r="J274" s="347">
        <f t="shared" si="75"/>
        <v>379414</v>
      </c>
      <c r="K274" s="347">
        <f t="shared" si="76"/>
        <v>0</v>
      </c>
    </row>
    <row r="275" spans="1:11">
      <c r="A275" s="333">
        <v>26</v>
      </c>
      <c r="C275" s="332" t="s">
        <v>143</v>
      </c>
      <c r="D275" s="729"/>
      <c r="F275" s="762">
        <f t="shared" ref="F275" si="77">SUM(F251:F274)</f>
        <v>2316562</v>
      </c>
      <c r="G275" s="468">
        <f t="shared" ref="G275:K275" si="78">SUM(G251:G274)</f>
        <v>987507</v>
      </c>
      <c r="H275" s="456">
        <f t="shared" si="78"/>
        <v>0</v>
      </c>
      <c r="I275" s="469">
        <f t="shared" si="78"/>
        <v>1329055</v>
      </c>
      <c r="J275" s="348">
        <f t="shared" si="78"/>
        <v>2316562</v>
      </c>
      <c r="K275" s="348">
        <f t="shared" si="78"/>
        <v>0</v>
      </c>
    </row>
    <row r="276" spans="1:11">
      <c r="A276" s="333">
        <v>27</v>
      </c>
      <c r="D276" s="729"/>
      <c r="E276" s="196"/>
      <c r="G276" s="462"/>
      <c r="H276" s="463"/>
      <c r="I276" s="464"/>
    </row>
    <row r="277" spans="1:11">
      <c r="A277" s="333">
        <v>28</v>
      </c>
      <c r="B277" s="332" t="s">
        <v>30</v>
      </c>
      <c r="D277" s="729"/>
      <c r="E277" s="196"/>
      <c r="G277" s="462"/>
      <c r="H277" s="463"/>
      <c r="I277" s="464"/>
    </row>
    <row r="278" spans="1:11">
      <c r="A278" s="333">
        <v>29</v>
      </c>
      <c r="C278" s="365" t="s">
        <v>1171</v>
      </c>
      <c r="D278" s="731" t="s">
        <v>312</v>
      </c>
      <c r="F278" s="793">
        <v>0</v>
      </c>
      <c r="G278" s="465">
        <f>F278-SUM(H278:I278)</f>
        <v>0</v>
      </c>
      <c r="H278" s="466">
        <f>ROUND(F278*VLOOKUP(D278,AllocTable_Functional,$H$10,FALSE),0)</f>
        <v>0</v>
      </c>
      <c r="I278" s="467">
        <f>ROUND(F278*VLOOKUP(D278,AllocTable_Functional,$I$10,FALSE),0)</f>
        <v>0</v>
      </c>
      <c r="J278" s="347">
        <f>SUM(G278:I278)</f>
        <v>0</v>
      </c>
      <c r="K278" s="347">
        <f>F278-J278</f>
        <v>0</v>
      </c>
    </row>
    <row r="279" spans="1:11">
      <c r="A279" s="333">
        <v>30</v>
      </c>
      <c r="C279" s="332" t="s">
        <v>1445</v>
      </c>
      <c r="D279" s="730" t="s">
        <v>315</v>
      </c>
      <c r="F279" s="783">
        <f>-[1]SCH_D1!$AA$312-[1]SCH_D1!$AA$317</f>
        <v>-270298</v>
      </c>
      <c r="G279" s="465">
        <f>F279-SUM(H279:I279)</f>
        <v>-1989</v>
      </c>
      <c r="H279" s="466">
        <f>ROUND(F279*VLOOKUP(D279,AllocTable_Functional,$H$10,FALSE),0)</f>
        <v>0</v>
      </c>
      <c r="I279" s="467">
        <f>ROUND(F279*VLOOKUP(D279,AllocTable_Functional,$I$10,FALSE),0)</f>
        <v>-268309</v>
      </c>
      <c r="J279" s="347">
        <f>SUM(G279:I279)</f>
        <v>-270298</v>
      </c>
      <c r="K279" s="347">
        <f>F279-J279</f>
        <v>0</v>
      </c>
    </row>
    <row r="280" spans="1:11">
      <c r="A280" s="333">
        <v>31</v>
      </c>
      <c r="C280" s="332" t="s">
        <v>1446</v>
      </c>
      <c r="D280" s="730" t="s">
        <v>379</v>
      </c>
      <c r="F280" s="783">
        <f>-[1]SCH_D1!$AC$312-[1]SCH_D1!$AC$317</f>
        <v>-20077</v>
      </c>
      <c r="G280" s="465">
        <f>F280-SUM(H280:I280)</f>
        <v>-20077</v>
      </c>
      <c r="H280" s="466">
        <f>ROUND(F280*VLOOKUP(D280,AllocTable_Functional,$H$10,FALSE),0)</f>
        <v>0</v>
      </c>
      <c r="I280" s="467">
        <f>ROUND(F280*VLOOKUP(D280,AllocTable_Functional,$I$10,FALSE),0)</f>
        <v>0</v>
      </c>
      <c r="J280" s="347">
        <f>SUM(G280:I280)</f>
        <v>-20077</v>
      </c>
      <c r="K280" s="347">
        <f>F280-J280</f>
        <v>0</v>
      </c>
    </row>
    <row r="281" spans="1:11">
      <c r="A281" s="333">
        <v>32</v>
      </c>
      <c r="C281" s="339" t="s">
        <v>144</v>
      </c>
      <c r="D281" s="344"/>
      <c r="F281" s="348">
        <f>SUM(F278:F280)</f>
        <v>-290375</v>
      </c>
      <c r="G281" s="468">
        <f>SUM(G277:G280)</f>
        <v>-22066</v>
      </c>
      <c r="H281" s="456">
        <f>SUM(H277:H280)</f>
        <v>0</v>
      </c>
      <c r="I281" s="469">
        <f>SUM(I277:I280)</f>
        <v>-268309</v>
      </c>
      <c r="J281" s="348">
        <f>SUM(J277:J280)</f>
        <v>-290375</v>
      </c>
      <c r="K281" s="348">
        <f>SUM(K277:K280)</f>
        <v>0</v>
      </c>
    </row>
    <row r="282" spans="1:11">
      <c r="A282" s="333">
        <v>33</v>
      </c>
      <c r="D282" s="344"/>
      <c r="F282" s="335" t="s">
        <v>343</v>
      </c>
      <c r="G282" s="462"/>
      <c r="H282" s="463"/>
      <c r="I282" s="464"/>
    </row>
    <row r="283" spans="1:11">
      <c r="A283" s="333">
        <v>34</v>
      </c>
      <c r="B283" s="332" t="s">
        <v>825</v>
      </c>
      <c r="D283" s="344"/>
      <c r="F283" s="347">
        <f t="shared" ref="F283:K283" si="79">F275+F281</f>
        <v>2026187</v>
      </c>
      <c r="G283" s="484">
        <f t="shared" si="79"/>
        <v>965441</v>
      </c>
      <c r="H283" s="485">
        <f t="shared" si="79"/>
        <v>0</v>
      </c>
      <c r="I283" s="486">
        <f t="shared" si="79"/>
        <v>1060746</v>
      </c>
      <c r="J283" s="347">
        <f t="shared" si="79"/>
        <v>2026187</v>
      </c>
      <c r="K283" s="347">
        <f t="shared" si="79"/>
        <v>0</v>
      </c>
    </row>
    <row r="284" spans="1:11">
      <c r="B284" s="343"/>
      <c r="C284" s="196"/>
      <c r="D284" s="344"/>
      <c r="E284" s="196"/>
      <c r="F284" s="196"/>
      <c r="G284" s="196"/>
      <c r="H284" s="196"/>
      <c r="I284" s="196"/>
      <c r="J284" s="196"/>
      <c r="K284" s="196"/>
    </row>
    <row r="285" spans="1:11">
      <c r="A285" s="343" t="str">
        <f>co_name</f>
        <v>DUKE ENERGY KENTUCKY, INC.</v>
      </c>
      <c r="C285" s="196"/>
      <c r="D285" s="344"/>
      <c r="E285" s="196"/>
      <c r="F285" s="196"/>
      <c r="G285" s="196"/>
      <c r="H285" s="196"/>
      <c r="I285" s="196"/>
      <c r="J285" s="196" t="str">
        <f>$J$1</f>
        <v>FR-16(7)(v)-1</v>
      </c>
      <c r="K285" s="196"/>
    </row>
    <row r="286" spans="1:11">
      <c r="A286" s="343" t="str">
        <f>$A$2</f>
        <v>FUNCTIONAL GAS COST OF SERVICE</v>
      </c>
      <c r="C286" s="196"/>
      <c r="D286" s="344"/>
      <c r="E286" s="196"/>
      <c r="F286" s="196"/>
      <c r="G286" s="196"/>
      <c r="H286" s="196"/>
      <c r="I286" s="196"/>
      <c r="J286" s="196" t="str">
        <f>$J$2</f>
        <v>WITNESS RESPONSIBLE:</v>
      </c>
      <c r="K286" s="196"/>
    </row>
    <row r="287" spans="1:11">
      <c r="A287" s="343" t="str">
        <f>case_name</f>
        <v>CASE NO: 2018-00261</v>
      </c>
      <c r="C287" s="196"/>
      <c r="D287" s="344"/>
      <c r="E287" s="196"/>
      <c r="F287" s="196"/>
      <c r="G287" s="196"/>
      <c r="H287" s="196"/>
      <c r="I287" s="196"/>
      <c r="J287" s="196" t="str">
        <f>Witness</f>
        <v>JAMES E. ZIOLKOWSKI</v>
      </c>
      <c r="K287" s="196"/>
    </row>
    <row r="288" spans="1:11">
      <c r="A288" s="343" t="str">
        <f>data_filing</f>
        <v>DATA: 12 MONTH FORECASTED PERIOD</v>
      </c>
      <c r="C288" s="196"/>
      <c r="D288" s="344"/>
      <c r="E288" s="196"/>
      <c r="F288" s="196"/>
      <c r="G288" s="196"/>
      <c r="H288" s="196"/>
      <c r="I288" s="196"/>
      <c r="J288" s="196" t="str">
        <f>"PAGE "&amp;Pages-11&amp;" OF "&amp;Pages</f>
        <v>PAGE 7 OF 18</v>
      </c>
      <c r="K288" s="196"/>
    </row>
    <row r="289" spans="1:13">
      <c r="A289" s="343" t="str">
        <f>type</f>
        <v xml:space="preserve">TYPE OF FILING: "X" ORIGINAL   UPDATED    REVISED  </v>
      </c>
      <c r="C289" s="196"/>
      <c r="D289" s="344"/>
      <c r="E289" s="196"/>
      <c r="F289" s="196"/>
      <c r="G289" s="196"/>
      <c r="H289" s="196"/>
      <c r="I289" s="196"/>
      <c r="J289" s="196"/>
      <c r="K289" s="196"/>
    </row>
    <row r="290" spans="1:13">
      <c r="B290" s="343"/>
      <c r="C290" s="196"/>
      <c r="D290" s="344"/>
      <c r="E290" s="196"/>
      <c r="F290" s="196"/>
      <c r="G290" s="196"/>
      <c r="H290" s="196"/>
      <c r="I290" s="196"/>
      <c r="J290" s="196"/>
      <c r="K290" s="196"/>
    </row>
    <row r="291" spans="1:13">
      <c r="B291" s="343"/>
      <c r="C291" s="196"/>
      <c r="D291" s="344"/>
      <c r="E291" s="196"/>
      <c r="F291" s="196"/>
      <c r="G291" s="196"/>
      <c r="H291" s="196"/>
      <c r="I291" s="196"/>
      <c r="J291" s="196"/>
      <c r="K291" s="196"/>
    </row>
    <row r="292" spans="1:13">
      <c r="A292" s="344" t="s">
        <v>914</v>
      </c>
      <c r="B292" s="196"/>
      <c r="C292" s="196"/>
      <c r="D292" s="344"/>
      <c r="E292" s="196"/>
      <c r="F292" s="344" t="s">
        <v>229</v>
      </c>
      <c r="G292" s="473" t="s">
        <v>981</v>
      </c>
      <c r="H292" s="474"/>
      <c r="I292" s="475"/>
      <c r="J292" s="344" t="s">
        <v>229</v>
      </c>
      <c r="K292" s="344" t="s">
        <v>342</v>
      </c>
    </row>
    <row r="293" spans="1:13">
      <c r="A293" s="346" t="s">
        <v>915</v>
      </c>
      <c r="B293" s="345" t="s">
        <v>32</v>
      </c>
      <c r="C293" s="345"/>
      <c r="D293" s="346" t="s">
        <v>337</v>
      </c>
      <c r="E293" s="345"/>
      <c r="F293" s="346" t="s">
        <v>284</v>
      </c>
      <c r="G293" s="460" t="s">
        <v>845</v>
      </c>
      <c r="H293" s="455" t="s">
        <v>980</v>
      </c>
      <c r="I293" s="461" t="s">
        <v>846</v>
      </c>
      <c r="J293" s="346" t="s">
        <v>341</v>
      </c>
      <c r="K293" s="346" t="s">
        <v>340</v>
      </c>
    </row>
    <row r="294" spans="1:13">
      <c r="C294" s="578" t="s">
        <v>559</v>
      </c>
      <c r="D294" s="344"/>
      <c r="E294" s="490"/>
      <c r="F294" s="491"/>
      <c r="G294" s="628">
        <f>$G$10</f>
        <v>3</v>
      </c>
      <c r="H294" s="629">
        <f>$H$10</f>
        <v>4</v>
      </c>
      <c r="I294" s="630">
        <f>$I$10</f>
        <v>5</v>
      </c>
      <c r="J294" s="490"/>
      <c r="K294" s="490"/>
    </row>
    <row r="295" spans="1:13">
      <c r="C295" s="578"/>
      <c r="D295" s="344"/>
      <c r="E295" s="490"/>
      <c r="F295" s="491"/>
      <c r="G295" s="628"/>
      <c r="H295" s="629"/>
      <c r="I295" s="630"/>
      <c r="J295" s="490"/>
      <c r="K295" s="490"/>
    </row>
    <row r="296" spans="1:13">
      <c r="A296" s="333">
        <v>1</v>
      </c>
      <c r="B296" s="332" t="s">
        <v>31</v>
      </c>
      <c r="D296" s="344"/>
      <c r="E296" s="196"/>
      <c r="F296" s="347">
        <f t="shared" ref="F296:K296" si="80">F191-F238+F283</f>
        <v>305229696.14246577</v>
      </c>
      <c r="G296" s="465">
        <f>G191-G238+G283</f>
        <v>2207024.1424657535</v>
      </c>
      <c r="H296" s="466">
        <f t="shared" si="80"/>
        <v>0</v>
      </c>
      <c r="I296" s="467">
        <f t="shared" si="80"/>
        <v>303022672</v>
      </c>
      <c r="J296" s="347">
        <f t="shared" si="80"/>
        <v>305229696.14246577</v>
      </c>
      <c r="K296" s="347">
        <f t="shared" si="80"/>
        <v>0</v>
      </c>
      <c r="M296" s="335"/>
    </row>
    <row r="297" spans="1:13">
      <c r="A297" s="333">
        <v>2</v>
      </c>
      <c r="D297" s="344"/>
      <c r="E297" s="196"/>
      <c r="G297" s="462"/>
      <c r="H297" s="463"/>
      <c r="I297" s="464"/>
    </row>
    <row r="298" spans="1:13">
      <c r="A298" s="333">
        <v>3</v>
      </c>
      <c r="B298" s="332" t="s">
        <v>32</v>
      </c>
      <c r="D298" s="344"/>
      <c r="E298" s="196"/>
      <c r="G298" s="462"/>
      <c r="H298" s="463"/>
      <c r="I298" s="464"/>
    </row>
    <row r="299" spans="1:13">
      <c r="A299" s="333">
        <v>4</v>
      </c>
      <c r="D299" s="344"/>
      <c r="E299" s="196"/>
      <c r="G299" s="462"/>
      <c r="H299" s="463"/>
      <c r="I299" s="464"/>
    </row>
    <row r="300" spans="1:13">
      <c r="A300" s="333">
        <v>5</v>
      </c>
      <c r="B300" s="332" t="s">
        <v>33</v>
      </c>
      <c r="D300" s="344"/>
      <c r="E300" s="196"/>
      <c r="G300" s="462"/>
      <c r="H300" s="463"/>
      <c r="I300" s="464"/>
    </row>
    <row r="301" spans="1:13">
      <c r="A301" s="333">
        <v>6</v>
      </c>
      <c r="C301" s="332" t="s">
        <v>145</v>
      </c>
      <c r="D301" s="729" t="s">
        <v>290</v>
      </c>
      <c r="E301" s="196"/>
      <c r="F301" s="783">
        <f>[1]SCH_B5s!$O$29</f>
        <v>1284114</v>
      </c>
      <c r="G301" s="465">
        <f>F301-SUM(H301:I301)</f>
        <v>1284114</v>
      </c>
      <c r="H301" s="466">
        <f>ROUND(F301*VLOOKUP(D301,AllocTable_Functional,$H$10,FALSE),0)</f>
        <v>0</v>
      </c>
      <c r="I301" s="467">
        <f>ROUND(F301*VLOOKUP(D301,AllocTable_Functional,$I$10,FALSE),0)</f>
        <v>0</v>
      </c>
      <c r="J301" s="347">
        <f>SUM(G301:I301)</f>
        <v>1284114</v>
      </c>
      <c r="K301" s="347">
        <f>F301-J301</f>
        <v>0</v>
      </c>
      <c r="M301" s="335"/>
    </row>
    <row r="302" spans="1:13">
      <c r="A302" s="333">
        <v>7</v>
      </c>
      <c r="C302" s="359" t="s">
        <v>146</v>
      </c>
      <c r="D302" s="729" t="s">
        <v>315</v>
      </c>
      <c r="E302" s="196"/>
      <c r="F302" s="783">
        <f>[1]SCH_B5s!$O$35</f>
        <v>1143072</v>
      </c>
      <c r="G302" s="465">
        <f>F302-SUM(H302:I302)</f>
        <v>8413</v>
      </c>
      <c r="H302" s="466">
        <f>ROUND(F302*VLOOKUP(D302,AllocTable_Functional,$H$10,FALSE),0)</f>
        <v>0</v>
      </c>
      <c r="I302" s="467">
        <f>ROUND(F302*VLOOKUP(D302,AllocTable_Functional,$I$10,FALSE),0)</f>
        <v>1134659</v>
      </c>
      <c r="J302" s="347">
        <f>SUM(G302:I302)</f>
        <v>1143072</v>
      </c>
      <c r="K302" s="347">
        <f>F302-J302</f>
        <v>0</v>
      </c>
      <c r="M302" s="335"/>
    </row>
    <row r="303" spans="1:13">
      <c r="A303" s="333">
        <v>8</v>
      </c>
      <c r="C303" s="332" t="s">
        <v>147</v>
      </c>
      <c r="D303" s="729"/>
      <c r="E303" s="196"/>
      <c r="F303" s="348">
        <f t="shared" ref="F303:K303" si="81">SUM(F300:F302)</f>
        <v>2427186</v>
      </c>
      <c r="G303" s="1153">
        <f t="shared" si="81"/>
        <v>1292527</v>
      </c>
      <c r="H303" s="1154">
        <f t="shared" si="81"/>
        <v>0</v>
      </c>
      <c r="I303" s="1155">
        <f t="shared" si="81"/>
        <v>1134659</v>
      </c>
      <c r="J303" s="348">
        <f t="shared" si="81"/>
        <v>2427186</v>
      </c>
      <c r="K303" s="348">
        <f t="shared" si="81"/>
        <v>0</v>
      </c>
    </row>
    <row r="304" spans="1:13">
      <c r="A304" s="333">
        <v>9</v>
      </c>
      <c r="B304" s="332" t="s">
        <v>34</v>
      </c>
      <c r="D304" s="729"/>
      <c r="E304" s="196"/>
      <c r="F304" s="347">
        <f t="shared" ref="F304:K304" si="82">F303</f>
        <v>2427186</v>
      </c>
      <c r="G304" s="465">
        <f t="shared" si="82"/>
        <v>1292527</v>
      </c>
      <c r="H304" s="466">
        <f t="shared" si="82"/>
        <v>0</v>
      </c>
      <c r="I304" s="467">
        <f t="shared" si="82"/>
        <v>1134659</v>
      </c>
      <c r="J304" s="347">
        <f t="shared" si="82"/>
        <v>2427186</v>
      </c>
      <c r="K304" s="347">
        <f t="shared" si="82"/>
        <v>0</v>
      </c>
    </row>
    <row r="305" spans="1:13">
      <c r="A305" s="333">
        <v>10</v>
      </c>
      <c r="D305" s="729"/>
      <c r="E305" s="196"/>
      <c r="G305" s="462"/>
      <c r="H305" s="463"/>
      <c r="I305" s="464"/>
    </row>
    <row r="306" spans="1:13">
      <c r="A306" s="333">
        <v>11</v>
      </c>
      <c r="B306" s="332" t="s">
        <v>35</v>
      </c>
      <c r="D306" s="729"/>
      <c r="E306" s="196"/>
      <c r="G306" s="462"/>
      <c r="H306" s="463"/>
      <c r="I306" s="464"/>
    </row>
    <row r="307" spans="1:13">
      <c r="A307" s="333">
        <v>12</v>
      </c>
      <c r="C307" s="332" t="s">
        <v>400</v>
      </c>
      <c r="D307" s="729" t="s">
        <v>325</v>
      </c>
      <c r="E307" s="196"/>
      <c r="F307" s="782">
        <f>[1]SCH_B5s!$O$37</f>
        <v>37742</v>
      </c>
      <c r="G307" s="465">
        <f>F307-SUM(H307:I307)</f>
        <v>23723</v>
      </c>
      <c r="H307" s="466">
        <f>ROUND(F307*VLOOKUP(D307,AllocTable_Functional,$H$10,FALSE),0)</f>
        <v>0</v>
      </c>
      <c r="I307" s="467">
        <f>ROUND(F307*VLOOKUP(D307,AllocTable_Functional,$I$10,FALSE),0)</f>
        <v>14019</v>
      </c>
      <c r="J307" s="347">
        <f>SUM(G307:I307)</f>
        <v>37742</v>
      </c>
      <c r="K307" s="347">
        <f>F307-J307</f>
        <v>0</v>
      </c>
    </row>
    <row r="308" spans="1:13">
      <c r="A308" s="333">
        <v>13</v>
      </c>
      <c r="C308" s="332" t="s">
        <v>401</v>
      </c>
      <c r="D308" s="729" t="s">
        <v>325</v>
      </c>
      <c r="E308" s="196"/>
      <c r="F308" s="782">
        <v>0</v>
      </c>
      <c r="G308" s="465">
        <f>F308-SUM(H308:I308)</f>
        <v>0</v>
      </c>
      <c r="H308" s="466">
        <f>ROUND(F308*VLOOKUP(D308,AllocTable_Functional,$H$10,FALSE),0)</f>
        <v>0</v>
      </c>
      <c r="I308" s="467">
        <f>ROUND(F308*VLOOKUP(D308,AllocTable_Functional,$I$10,FALSE),0)</f>
        <v>0</v>
      </c>
      <c r="J308" s="347">
        <f>SUM(G308:I308)</f>
        <v>0</v>
      </c>
      <c r="K308" s="347">
        <f>F308-J308</f>
        <v>0</v>
      </c>
    </row>
    <row r="309" spans="1:13">
      <c r="A309" s="333">
        <v>14</v>
      </c>
      <c r="C309" s="332" t="s">
        <v>404</v>
      </c>
      <c r="D309" s="732" t="s">
        <v>290</v>
      </c>
      <c r="E309" s="196"/>
      <c r="F309" s="782">
        <v>0</v>
      </c>
      <c r="G309" s="465">
        <f>F309-SUM(H309:I309)</f>
        <v>0</v>
      </c>
      <c r="H309" s="466">
        <f>ROUND(F309*VLOOKUP(D309,AllocTable_Functional,$H$10,FALSE),0)</f>
        <v>0</v>
      </c>
      <c r="I309" s="467">
        <f>ROUND(F309*VLOOKUP(D309,AllocTable_Functional,$I$10,FALSE),0)</f>
        <v>0</v>
      </c>
      <c r="J309" s="347">
        <f>SUM(G309:I309)</f>
        <v>0</v>
      </c>
      <c r="K309" s="347">
        <f>F309-J309</f>
        <v>0</v>
      </c>
    </row>
    <row r="310" spans="1:13">
      <c r="A310" s="333">
        <v>15</v>
      </c>
      <c r="C310" s="339" t="s">
        <v>148</v>
      </c>
      <c r="D310" s="732"/>
      <c r="E310" s="196"/>
      <c r="F310" s="579">
        <f t="shared" ref="F310:K310" si="83">SUM(F306:F309)</f>
        <v>37742</v>
      </c>
      <c r="G310" s="784">
        <f t="shared" si="83"/>
        <v>23723</v>
      </c>
      <c r="H310" s="1156">
        <f t="shared" si="83"/>
        <v>0</v>
      </c>
      <c r="I310" s="1157">
        <f t="shared" si="83"/>
        <v>14019</v>
      </c>
      <c r="J310" s="579">
        <f t="shared" si="83"/>
        <v>37742</v>
      </c>
      <c r="K310" s="579">
        <f t="shared" si="83"/>
        <v>0</v>
      </c>
    </row>
    <row r="311" spans="1:13">
      <c r="A311" s="333">
        <v>16</v>
      </c>
      <c r="D311" s="729"/>
      <c r="E311" s="196"/>
      <c r="G311" s="462"/>
      <c r="H311" s="463"/>
      <c r="I311" s="464"/>
    </row>
    <row r="312" spans="1:13">
      <c r="A312" s="333">
        <v>17</v>
      </c>
      <c r="B312" s="332" t="s">
        <v>36</v>
      </c>
      <c r="D312" s="729"/>
      <c r="E312" s="196"/>
      <c r="F312" s="615">
        <f>IF(WorkingCap="No",[1]SCH_B5s!$O$17,ROUND((F433-F348-F353)/8,0))</f>
        <v>3021735</v>
      </c>
      <c r="G312" s="465">
        <f>IF(WorkingCap="No",0,ROUND((G433-G348-G353)/8,0))</f>
        <v>212325</v>
      </c>
      <c r="H312" s="466">
        <f>IF(WorkingCap="No",0,ROUND((H433-H348-H353)/8,0))</f>
        <v>0</v>
      </c>
      <c r="I312" s="467">
        <f>IF(WorkingCap="No",0,F312-G312)</f>
        <v>2809410</v>
      </c>
      <c r="J312" s="347">
        <f>SUM(G312:I312)</f>
        <v>3021735</v>
      </c>
      <c r="K312" s="347">
        <f>F312-J312</f>
        <v>0</v>
      </c>
    </row>
    <row r="313" spans="1:13">
      <c r="A313" s="333">
        <v>18</v>
      </c>
      <c r="B313" s="332" t="s">
        <v>37</v>
      </c>
      <c r="D313" s="729"/>
      <c r="E313" s="196"/>
      <c r="F313" s="347">
        <f t="shared" ref="F313:K313" si="84">F312</f>
        <v>3021735</v>
      </c>
      <c r="G313" s="465">
        <f t="shared" si="84"/>
        <v>212325</v>
      </c>
      <c r="H313" s="466">
        <f t="shared" si="84"/>
        <v>0</v>
      </c>
      <c r="I313" s="467">
        <f t="shared" si="84"/>
        <v>2809410</v>
      </c>
      <c r="J313" s="347">
        <f t="shared" si="84"/>
        <v>3021735</v>
      </c>
      <c r="K313" s="347">
        <f t="shared" si="84"/>
        <v>0</v>
      </c>
    </row>
    <row r="314" spans="1:13">
      <c r="A314" s="333">
        <v>19</v>
      </c>
      <c r="D314" s="729"/>
      <c r="E314" s="196"/>
      <c r="G314" s="462"/>
      <c r="H314" s="463"/>
      <c r="I314" s="464"/>
    </row>
    <row r="315" spans="1:13">
      <c r="A315" s="333">
        <v>20</v>
      </c>
      <c r="B315" s="332" t="s">
        <v>38</v>
      </c>
      <c r="D315" s="729"/>
      <c r="E315" s="196"/>
      <c r="G315" s="462"/>
      <c r="H315" s="463"/>
      <c r="I315" s="464"/>
    </row>
    <row r="316" spans="1:13">
      <c r="A316" s="333">
        <v>21</v>
      </c>
      <c r="C316" s="353" t="s">
        <v>149</v>
      </c>
      <c r="D316" s="732" t="s">
        <v>290</v>
      </c>
      <c r="E316" s="196"/>
      <c r="F316" s="793">
        <f>[1]SCH_B5s!$O$31</f>
        <v>2958880</v>
      </c>
      <c r="G316" s="465">
        <f>F316-SUM(H316:I316)</f>
        <v>2958880</v>
      </c>
      <c r="H316" s="466">
        <f>ROUND(F316*VLOOKUP(D316,AllocTable_Functional,$H$10,FALSE),0)</f>
        <v>0</v>
      </c>
      <c r="I316" s="467">
        <f>ROUND(F316*VLOOKUP(D316,AllocTable_Functional,$I$10,FALSE),0)</f>
        <v>0</v>
      </c>
      <c r="J316" s="347">
        <f>SUM(G316:I316)</f>
        <v>2958880</v>
      </c>
      <c r="K316" s="347">
        <f>F316-J316</f>
        <v>0</v>
      </c>
      <c r="M316" s="335"/>
    </row>
    <row r="317" spans="1:13">
      <c r="A317" s="333">
        <v>22</v>
      </c>
      <c r="C317" s="353" t="s">
        <v>402</v>
      </c>
      <c r="D317" s="732" t="s">
        <v>382</v>
      </c>
      <c r="E317" s="342"/>
      <c r="F317" s="783">
        <v>0</v>
      </c>
      <c r="G317" s="465">
        <f>F317-SUM(H317:I317)</f>
        <v>0</v>
      </c>
      <c r="H317" s="466">
        <f>ROUND(F317*VLOOKUP(D317,AllocTable_Functional,$H$10,FALSE),0)</f>
        <v>0</v>
      </c>
      <c r="I317" s="467">
        <f>ROUND(F317*VLOOKUP(D317,AllocTable_Functional,$I$10,FALSE),0)</f>
        <v>0</v>
      </c>
      <c r="J317" s="347">
        <f>SUM(G317:I317)</f>
        <v>0</v>
      </c>
      <c r="K317" s="347">
        <f>F317-J317</f>
        <v>0</v>
      </c>
      <c r="M317" s="335"/>
    </row>
    <row r="318" spans="1:13">
      <c r="A318" s="333">
        <v>23</v>
      </c>
      <c r="C318" s="511" t="s">
        <v>1171</v>
      </c>
      <c r="D318" s="732" t="s">
        <v>312</v>
      </c>
      <c r="E318" s="342"/>
      <c r="F318" s="783">
        <v>0</v>
      </c>
      <c r="G318" s="465">
        <f>F318-SUM(H318:I318)</f>
        <v>0</v>
      </c>
      <c r="H318" s="466">
        <f>ROUND(F318*VLOOKUP(D318,AllocTable_Functional,$H$10,FALSE),0)</f>
        <v>0</v>
      </c>
      <c r="I318" s="467">
        <f>ROUND(F318*VLOOKUP(D318,AllocTable_Functional,$I$10,FALSE),0)</f>
        <v>0</v>
      </c>
      <c r="J318" s="347">
        <f>SUM(G318:I318)</f>
        <v>0</v>
      </c>
      <c r="K318" s="347">
        <f>F318-J318</f>
        <v>0</v>
      </c>
      <c r="M318" s="335"/>
    </row>
    <row r="319" spans="1:13">
      <c r="A319" s="333">
        <v>24</v>
      </c>
      <c r="C319" s="332" t="s">
        <v>150</v>
      </c>
      <c r="D319" s="729"/>
      <c r="E319" s="196"/>
      <c r="F319" s="348">
        <f t="shared" ref="F319:K319" si="85">SUM(F315:F318)</f>
        <v>2958880</v>
      </c>
      <c r="G319" s="1153">
        <f t="shared" si="85"/>
        <v>2958880</v>
      </c>
      <c r="H319" s="1154">
        <f t="shared" si="85"/>
        <v>0</v>
      </c>
      <c r="I319" s="1155">
        <f t="shared" si="85"/>
        <v>0</v>
      </c>
      <c r="J319" s="348">
        <f t="shared" si="85"/>
        <v>2958880</v>
      </c>
      <c r="K319" s="348">
        <f t="shared" si="85"/>
        <v>0</v>
      </c>
      <c r="M319" s="335"/>
    </row>
    <row r="320" spans="1:13">
      <c r="A320" s="333">
        <v>25</v>
      </c>
      <c r="D320" s="729"/>
      <c r="E320" s="196"/>
      <c r="G320" s="462"/>
      <c r="H320" s="463"/>
      <c r="I320" s="464"/>
      <c r="M320" s="335"/>
    </row>
    <row r="321" spans="1:13">
      <c r="A321" s="333">
        <v>26</v>
      </c>
      <c r="B321" s="332" t="s">
        <v>39</v>
      </c>
      <c r="D321" s="729"/>
      <c r="E321" s="196"/>
      <c r="F321" s="347">
        <f t="shared" ref="F321:K321" si="86">F304+F310+F313+F319</f>
        <v>8445543</v>
      </c>
      <c r="G321" s="465">
        <f t="shared" si="86"/>
        <v>4487455</v>
      </c>
      <c r="H321" s="466">
        <f t="shared" si="86"/>
        <v>0</v>
      </c>
      <c r="I321" s="467">
        <f t="shared" si="86"/>
        <v>3958088</v>
      </c>
      <c r="J321" s="347">
        <f t="shared" si="86"/>
        <v>8445543</v>
      </c>
      <c r="K321" s="347">
        <f t="shared" si="86"/>
        <v>0</v>
      </c>
      <c r="M321" s="335"/>
    </row>
    <row r="322" spans="1:13">
      <c r="A322" s="333">
        <v>27</v>
      </c>
      <c r="B322" s="332" t="s">
        <v>40</v>
      </c>
      <c r="D322" s="729"/>
      <c r="E322" s="196"/>
      <c r="G322" s="462"/>
      <c r="H322" s="463"/>
      <c r="I322" s="464"/>
      <c r="M322" s="335"/>
    </row>
    <row r="323" spans="1:13">
      <c r="A323" s="333">
        <v>28</v>
      </c>
      <c r="C323" s="332" t="s">
        <v>827</v>
      </c>
      <c r="D323" s="344"/>
      <c r="E323" s="196"/>
      <c r="F323" s="347">
        <f t="shared" ref="F323:K323" si="87">-F238</f>
        <v>-97881988.857534245</v>
      </c>
      <c r="G323" s="465">
        <f t="shared" si="87"/>
        <v>-1710678.8575342465</v>
      </c>
      <c r="H323" s="466">
        <f t="shared" si="87"/>
        <v>0</v>
      </c>
      <c r="I323" s="467">
        <f t="shared" si="87"/>
        <v>-96171310</v>
      </c>
      <c r="J323" s="347">
        <f t="shared" si="87"/>
        <v>-97881988.857534245</v>
      </c>
      <c r="K323" s="347">
        <f t="shared" si="87"/>
        <v>0</v>
      </c>
      <c r="M323" s="335"/>
    </row>
    <row r="324" spans="1:13">
      <c r="A324" s="333">
        <v>29</v>
      </c>
      <c r="C324" s="332" t="s">
        <v>825</v>
      </c>
      <c r="D324" s="344"/>
      <c r="E324" s="196"/>
      <c r="F324" s="347">
        <f t="shared" ref="F324:K324" si="88">F283</f>
        <v>2026187</v>
      </c>
      <c r="G324" s="465">
        <f t="shared" si="88"/>
        <v>965441</v>
      </c>
      <c r="H324" s="466">
        <f t="shared" si="88"/>
        <v>0</v>
      </c>
      <c r="I324" s="467">
        <f t="shared" si="88"/>
        <v>1060746</v>
      </c>
      <c r="J324" s="347">
        <f t="shared" si="88"/>
        <v>2026187</v>
      </c>
      <c r="K324" s="347">
        <f t="shared" si="88"/>
        <v>0</v>
      </c>
      <c r="M324" s="335"/>
    </row>
    <row r="325" spans="1:13">
      <c r="A325" s="333">
        <v>30</v>
      </c>
      <c r="C325" s="359" t="s">
        <v>39</v>
      </c>
      <c r="D325" s="344"/>
      <c r="E325" s="196"/>
      <c r="F325" s="347">
        <f t="shared" ref="F325:K325" si="89">F321</f>
        <v>8445543</v>
      </c>
      <c r="G325" s="465">
        <f t="shared" si="89"/>
        <v>4487455</v>
      </c>
      <c r="H325" s="466">
        <f t="shared" si="89"/>
        <v>0</v>
      </c>
      <c r="I325" s="467">
        <f t="shared" si="89"/>
        <v>3958088</v>
      </c>
      <c r="J325" s="347">
        <f t="shared" si="89"/>
        <v>8445543</v>
      </c>
      <c r="K325" s="347">
        <f t="shared" si="89"/>
        <v>0</v>
      </c>
      <c r="M325" s="335"/>
    </row>
    <row r="326" spans="1:13">
      <c r="A326" s="333">
        <v>31</v>
      </c>
      <c r="C326" s="332" t="s">
        <v>151</v>
      </c>
      <c r="D326" s="344"/>
      <c r="E326" s="196"/>
      <c r="F326" s="348">
        <f t="shared" ref="F326:K326" si="90">SUM(F322:F325)</f>
        <v>-87410258.857534245</v>
      </c>
      <c r="G326" s="1153">
        <f t="shared" si="90"/>
        <v>3742217.1424657535</v>
      </c>
      <c r="H326" s="1154">
        <f t="shared" si="90"/>
        <v>0</v>
      </c>
      <c r="I326" s="1155">
        <f t="shared" si="90"/>
        <v>-91152476</v>
      </c>
      <c r="J326" s="348">
        <f t="shared" si="90"/>
        <v>-87410258.857534245</v>
      </c>
      <c r="K326" s="348">
        <f t="shared" si="90"/>
        <v>0</v>
      </c>
      <c r="M326" s="335"/>
    </row>
    <row r="327" spans="1:13">
      <c r="A327" s="333">
        <v>32</v>
      </c>
      <c r="D327" s="344"/>
      <c r="E327" s="196"/>
      <c r="G327" s="462"/>
      <c r="H327" s="463"/>
      <c r="I327" s="464"/>
      <c r="M327" s="335"/>
    </row>
    <row r="328" spans="1:13">
      <c r="A328" s="333">
        <v>33</v>
      </c>
      <c r="B328" s="332" t="s">
        <v>41</v>
      </c>
      <c r="D328" s="344"/>
      <c r="E328" s="196"/>
      <c r="G328" s="462"/>
      <c r="H328" s="463"/>
      <c r="I328" s="464"/>
      <c r="M328" s="335"/>
    </row>
    <row r="329" spans="1:13">
      <c r="A329" s="333">
        <v>34</v>
      </c>
      <c r="C329" s="332" t="s">
        <v>369</v>
      </c>
      <c r="D329" s="344"/>
      <c r="E329" s="196"/>
      <c r="F329" s="347">
        <f t="shared" ref="F329:K329" si="91">F191</f>
        <v>401085498</v>
      </c>
      <c r="G329" s="465">
        <f t="shared" si="91"/>
        <v>2952262</v>
      </c>
      <c r="H329" s="466">
        <f t="shared" si="91"/>
        <v>0</v>
      </c>
      <c r="I329" s="467">
        <f t="shared" si="91"/>
        <v>398133236</v>
      </c>
      <c r="J329" s="347">
        <f t="shared" si="91"/>
        <v>401085498</v>
      </c>
      <c r="K329" s="347">
        <f t="shared" si="91"/>
        <v>0</v>
      </c>
      <c r="M329" s="335"/>
    </row>
    <row r="330" spans="1:13">
      <c r="A330" s="333">
        <v>35</v>
      </c>
      <c r="C330" s="359" t="s">
        <v>152</v>
      </c>
      <c r="D330" s="344"/>
      <c r="E330" s="196"/>
      <c r="F330" s="347">
        <f t="shared" ref="F330:K330" si="92">F326</f>
        <v>-87410258.857534245</v>
      </c>
      <c r="G330" s="465">
        <f t="shared" si="92"/>
        <v>3742217.1424657535</v>
      </c>
      <c r="H330" s="466">
        <f t="shared" si="92"/>
        <v>0</v>
      </c>
      <c r="I330" s="467">
        <f t="shared" si="92"/>
        <v>-91152476</v>
      </c>
      <c r="J330" s="347">
        <f t="shared" si="92"/>
        <v>-87410258.857534245</v>
      </c>
      <c r="K330" s="347">
        <f t="shared" si="92"/>
        <v>0</v>
      </c>
      <c r="M330" s="335"/>
    </row>
    <row r="331" spans="1:13">
      <c r="A331" s="333">
        <v>36</v>
      </c>
      <c r="C331" s="332" t="s">
        <v>153</v>
      </c>
      <c r="D331" s="344"/>
      <c r="E331" s="196"/>
      <c r="F331" s="348">
        <f t="shared" ref="F331:K331" si="93">SUM(F328:F330)</f>
        <v>313675239.14246577</v>
      </c>
      <c r="G331" s="1153">
        <f t="shared" si="93"/>
        <v>6694479.1424657535</v>
      </c>
      <c r="H331" s="1154">
        <f t="shared" si="93"/>
        <v>0</v>
      </c>
      <c r="I331" s="1155">
        <f t="shared" si="93"/>
        <v>306980760</v>
      </c>
      <c r="J331" s="348">
        <f t="shared" si="93"/>
        <v>313675239.14246577</v>
      </c>
      <c r="K331" s="348">
        <f t="shared" si="93"/>
        <v>0</v>
      </c>
      <c r="M331" s="335"/>
    </row>
    <row r="332" spans="1:13">
      <c r="A332" s="333">
        <v>37</v>
      </c>
      <c r="D332" s="344"/>
      <c r="E332" s="196"/>
      <c r="G332" s="462"/>
      <c r="H332" s="463"/>
      <c r="I332" s="464"/>
      <c r="M332" s="335"/>
    </row>
    <row r="333" spans="1:13">
      <c r="A333" s="333">
        <v>38</v>
      </c>
      <c r="B333" s="332" t="s">
        <v>42</v>
      </c>
      <c r="D333" s="344"/>
      <c r="E333" s="196"/>
      <c r="F333" s="350">
        <f>$F$688</f>
        <v>7.1809999999999999E-2</v>
      </c>
      <c r="G333" s="1281">
        <f>F688</f>
        <v>7.1809999999999999E-2</v>
      </c>
      <c r="H333" s="1282">
        <f>F688</f>
        <v>7.1809999999999999E-2</v>
      </c>
      <c r="I333" s="1283">
        <f>F688</f>
        <v>7.1809999999999999E-2</v>
      </c>
      <c r="J333" s="350">
        <f>F688</f>
        <v>7.1809999999999999E-2</v>
      </c>
      <c r="K333" s="350">
        <f>F688</f>
        <v>7.1809999999999999E-2</v>
      </c>
    </row>
    <row r="334" spans="1:13">
      <c r="A334" s="333">
        <v>39</v>
      </c>
      <c r="B334" s="332" t="s">
        <v>43</v>
      </c>
      <c r="D334" s="344"/>
      <c r="E334" s="196"/>
      <c r="F334" s="347">
        <f>ROUND(F333*F331,0)</f>
        <v>22525019</v>
      </c>
      <c r="G334" s="484">
        <f>F334-SUM(H334:I334)</f>
        <v>480731</v>
      </c>
      <c r="H334" s="495">
        <f>ROUND(H331*H333,0)</f>
        <v>0</v>
      </c>
      <c r="I334" s="496">
        <f>ROUND(I331*I333,0)</f>
        <v>22044288</v>
      </c>
      <c r="J334" s="347">
        <f>SUM(G334:I334)</f>
        <v>22525019</v>
      </c>
      <c r="K334" s="347">
        <f>F334-J334</f>
        <v>0</v>
      </c>
    </row>
    <row r="335" spans="1:13">
      <c r="B335" s="343"/>
      <c r="C335" s="196"/>
      <c r="D335" s="344"/>
      <c r="E335" s="196"/>
      <c r="F335" s="196"/>
      <c r="G335" s="196"/>
      <c r="H335" s="196"/>
      <c r="I335" s="196"/>
      <c r="J335" s="196"/>
      <c r="K335" s="196"/>
    </row>
    <row r="336" spans="1:13">
      <c r="A336" s="343" t="str">
        <f>co_name</f>
        <v>DUKE ENERGY KENTUCKY, INC.</v>
      </c>
      <c r="C336" s="196"/>
      <c r="D336" s="344"/>
      <c r="E336" s="196"/>
      <c r="F336" s="196"/>
      <c r="G336" s="196"/>
      <c r="H336" s="196"/>
      <c r="I336" s="196"/>
      <c r="J336" s="196" t="str">
        <f>$J$1</f>
        <v>FR-16(7)(v)-1</v>
      </c>
      <c r="K336" s="196"/>
    </row>
    <row r="337" spans="1:11">
      <c r="A337" s="343" t="str">
        <f>$A$2</f>
        <v>FUNCTIONAL GAS COST OF SERVICE</v>
      </c>
      <c r="C337" s="196"/>
      <c r="D337" s="344"/>
      <c r="E337" s="196"/>
      <c r="F337" s="196"/>
      <c r="G337" s="1497"/>
      <c r="H337" s="196"/>
      <c r="I337" s="196"/>
      <c r="J337" s="196" t="str">
        <f>$J$2</f>
        <v>WITNESS RESPONSIBLE:</v>
      </c>
      <c r="K337" s="196"/>
    </row>
    <row r="338" spans="1:11">
      <c r="A338" s="343" t="str">
        <f>case_name</f>
        <v>CASE NO: 2018-00261</v>
      </c>
      <c r="C338" s="196"/>
      <c r="D338" s="344"/>
      <c r="E338" s="196"/>
      <c r="F338" s="196"/>
      <c r="G338" s="196"/>
      <c r="H338" s="196"/>
      <c r="I338" s="196"/>
      <c r="J338" s="196" t="str">
        <f>Witness</f>
        <v>JAMES E. ZIOLKOWSKI</v>
      </c>
      <c r="K338" s="196"/>
    </row>
    <row r="339" spans="1:11">
      <c r="A339" s="343" t="str">
        <f>data_filing</f>
        <v>DATA: 12 MONTH FORECASTED PERIOD</v>
      </c>
      <c r="C339" s="196"/>
      <c r="D339" s="344"/>
      <c r="E339" s="196"/>
      <c r="F339" s="196"/>
      <c r="G339" s="196"/>
      <c r="H339" s="196"/>
      <c r="I339" s="196"/>
      <c r="J339" s="196" t="str">
        <f>"PAGE "&amp;Pages-10&amp;" OF "&amp;Pages</f>
        <v>PAGE 8 OF 18</v>
      </c>
      <c r="K339" s="196"/>
    </row>
    <row r="340" spans="1:11">
      <c r="A340" s="343" t="str">
        <f>type</f>
        <v xml:space="preserve">TYPE OF FILING: "X" ORIGINAL   UPDATED    REVISED  </v>
      </c>
      <c r="C340" s="196"/>
      <c r="D340" s="344"/>
      <c r="E340" s="196"/>
      <c r="F340" s="196"/>
      <c r="G340" s="196"/>
      <c r="H340" s="196"/>
      <c r="I340" s="196"/>
      <c r="J340" s="196"/>
      <c r="K340" s="196"/>
    </row>
    <row r="341" spans="1:11">
      <c r="B341" s="343"/>
      <c r="C341" s="196"/>
      <c r="D341" s="344"/>
      <c r="E341" s="196"/>
      <c r="F341" s="196"/>
      <c r="G341" s="196"/>
      <c r="H341" s="196"/>
      <c r="I341" s="196"/>
      <c r="J341" s="196"/>
      <c r="K341" s="196"/>
    </row>
    <row r="342" spans="1:11">
      <c r="B342" s="343"/>
      <c r="C342" s="196"/>
      <c r="D342" s="344"/>
      <c r="E342" s="196"/>
      <c r="F342" s="196"/>
      <c r="G342" s="196"/>
      <c r="H342" s="196"/>
      <c r="I342" s="196"/>
      <c r="J342" s="196"/>
      <c r="K342" s="196"/>
    </row>
    <row r="343" spans="1:11">
      <c r="A343" s="344" t="s">
        <v>914</v>
      </c>
      <c r="B343" s="196"/>
      <c r="C343" s="196"/>
      <c r="D343" s="344"/>
      <c r="E343" s="196"/>
      <c r="F343" s="344" t="s">
        <v>229</v>
      </c>
      <c r="G343" s="473" t="s">
        <v>981</v>
      </c>
      <c r="H343" s="474"/>
      <c r="I343" s="475"/>
      <c r="J343" s="344" t="s">
        <v>229</v>
      </c>
      <c r="K343" s="344" t="s">
        <v>342</v>
      </c>
    </row>
    <row r="344" spans="1:11">
      <c r="A344" s="346" t="s">
        <v>915</v>
      </c>
      <c r="B344" s="345" t="s">
        <v>44</v>
      </c>
      <c r="C344" s="345"/>
      <c r="D344" s="346" t="s">
        <v>337</v>
      </c>
      <c r="E344" s="345"/>
      <c r="F344" s="346" t="s">
        <v>284</v>
      </c>
      <c r="G344" s="460" t="s">
        <v>845</v>
      </c>
      <c r="H344" s="455" t="s">
        <v>980</v>
      </c>
      <c r="I344" s="461" t="s">
        <v>846</v>
      </c>
      <c r="J344" s="346" t="s">
        <v>341</v>
      </c>
      <c r="K344" s="346" t="s">
        <v>340</v>
      </c>
    </row>
    <row r="345" spans="1:11">
      <c r="C345" s="578" t="s">
        <v>348</v>
      </c>
      <c r="D345" s="344"/>
      <c r="E345" s="196"/>
      <c r="G345" s="628">
        <f>$G$10</f>
        <v>3</v>
      </c>
      <c r="H345" s="629">
        <f>$H$10</f>
        <v>4</v>
      </c>
      <c r="I345" s="630">
        <f>$I$10</f>
        <v>5</v>
      </c>
    </row>
    <row r="346" spans="1:11">
      <c r="A346" s="333">
        <v>1</v>
      </c>
      <c r="B346" s="332" t="s">
        <v>45</v>
      </c>
      <c r="D346" s="344"/>
      <c r="E346" s="196"/>
      <c r="G346" s="462"/>
      <c r="H346" s="463"/>
      <c r="I346" s="464"/>
    </row>
    <row r="347" spans="1:11">
      <c r="A347" s="333">
        <v>2</v>
      </c>
      <c r="B347" s="332" t="s">
        <v>46</v>
      </c>
      <c r="D347" s="344"/>
      <c r="E347" s="196"/>
      <c r="G347" s="462"/>
      <c r="H347" s="463"/>
      <c r="I347" s="464"/>
    </row>
    <row r="348" spans="1:11">
      <c r="A348" s="333">
        <v>3</v>
      </c>
      <c r="C348" s="332" t="s">
        <v>426</v>
      </c>
      <c r="D348" s="729" t="s">
        <v>290</v>
      </c>
      <c r="E348" s="196"/>
      <c r="F348" s="793">
        <f>[1]SCH_C2!$N$30</f>
        <v>36334092</v>
      </c>
      <c r="G348" s="465">
        <f>F348-SUM(H348:I348)</f>
        <v>36334092</v>
      </c>
      <c r="H348" s="466">
        <f>ROUND(F348*VLOOKUP(D348,AllocTable_Functional,$H$10,FALSE),0)</f>
        <v>0</v>
      </c>
      <c r="I348" s="467">
        <f>ROUND(F348*VLOOKUP(D348,AllocTable_Functional,$I$10,FALSE),0)</f>
        <v>0</v>
      </c>
      <c r="J348" s="347">
        <f>SUM(G348:I348)</f>
        <v>36334092</v>
      </c>
      <c r="K348" s="347">
        <f>F348-J348</f>
        <v>0</v>
      </c>
    </row>
    <row r="349" spans="1:11">
      <c r="A349" s="333">
        <v>4</v>
      </c>
      <c r="C349" s="359" t="s">
        <v>431</v>
      </c>
      <c r="D349" s="729" t="s">
        <v>379</v>
      </c>
      <c r="E349" s="196"/>
      <c r="F349" s="793">
        <f>[1]SCH_C2!$N$26+[1]SCH_C2!$N$25</f>
        <v>972828</v>
      </c>
      <c r="G349" s="465">
        <f>F349-SUM(H349:I349)</f>
        <v>972828</v>
      </c>
      <c r="H349" s="466">
        <f>ROUND(F349*VLOOKUP(D349,AllocTable_Functional,$H$10,FALSE),0)</f>
        <v>0</v>
      </c>
      <c r="I349" s="467">
        <f>ROUND(F349*VLOOKUP(D349,AllocTable_Functional,$I$10,FALSE),0)</f>
        <v>0</v>
      </c>
      <c r="J349" s="347">
        <f>SUM(G349:I349)</f>
        <v>972828</v>
      </c>
      <c r="K349" s="347">
        <f>F349-J349</f>
        <v>0</v>
      </c>
    </row>
    <row r="350" spans="1:11">
      <c r="A350" s="333">
        <v>5</v>
      </c>
      <c r="C350" s="332" t="s">
        <v>432</v>
      </c>
      <c r="D350" s="729"/>
      <c r="E350" s="196"/>
      <c r="F350" s="348">
        <f t="shared" ref="F350:K350" si="94">SUM(F348:F349)</f>
        <v>37306920</v>
      </c>
      <c r="G350" s="468">
        <f t="shared" si="94"/>
        <v>37306920</v>
      </c>
      <c r="H350" s="456">
        <f t="shared" si="94"/>
        <v>0</v>
      </c>
      <c r="I350" s="469">
        <f t="shared" si="94"/>
        <v>0</v>
      </c>
      <c r="J350" s="348">
        <f t="shared" si="94"/>
        <v>37306920</v>
      </c>
      <c r="K350" s="348">
        <f t="shared" si="94"/>
        <v>0</v>
      </c>
    </row>
    <row r="351" spans="1:11">
      <c r="A351" s="333">
        <v>6</v>
      </c>
      <c r="D351" s="729"/>
      <c r="E351" s="196"/>
      <c r="F351" s="335"/>
      <c r="G351" s="462"/>
      <c r="H351" s="463"/>
      <c r="I351" s="464"/>
    </row>
    <row r="352" spans="1:11">
      <c r="A352" s="333">
        <v>7</v>
      </c>
      <c r="B352" s="359" t="s">
        <v>47</v>
      </c>
      <c r="C352" s="359"/>
      <c r="D352" s="729"/>
      <c r="E352" s="196"/>
      <c r="F352" s="347"/>
      <c r="G352" s="465"/>
      <c r="H352" s="466"/>
      <c r="I352" s="467"/>
      <c r="J352" s="347"/>
      <c r="K352" s="347"/>
    </row>
    <row r="353" spans="1:20">
      <c r="A353" s="333">
        <v>8</v>
      </c>
      <c r="C353" s="332" t="s">
        <v>154</v>
      </c>
      <c r="D353" s="729" t="s">
        <v>290</v>
      </c>
      <c r="E353" s="196"/>
      <c r="F353" s="783">
        <v>0</v>
      </c>
      <c r="G353" s="465">
        <f>F353-SUM(H353:I353)</f>
        <v>0</v>
      </c>
      <c r="H353" s="466">
        <f>ROUND(F353*VLOOKUP(D353,AllocTable_Functional,$H$10,FALSE),0)</f>
        <v>0</v>
      </c>
      <c r="I353" s="467">
        <f>ROUND(F353*VLOOKUP(D353,AllocTable_Functional,$I$10,FALSE),0)</f>
        <v>0</v>
      </c>
      <c r="J353" s="347">
        <f>SUM(G353:I353)</f>
        <v>0</v>
      </c>
      <c r="K353" s="347">
        <f>F353-J353</f>
        <v>0</v>
      </c>
    </row>
    <row r="354" spans="1:20">
      <c r="A354" s="333">
        <v>9</v>
      </c>
      <c r="C354" s="332" t="s">
        <v>155</v>
      </c>
      <c r="D354" s="729"/>
      <c r="E354" s="196"/>
      <c r="F354" s="348">
        <f t="shared" ref="F354:K354" si="95">SUM(F352:F353)</f>
        <v>0</v>
      </c>
      <c r="G354" s="468">
        <f t="shared" si="95"/>
        <v>0</v>
      </c>
      <c r="H354" s="456">
        <f t="shared" si="95"/>
        <v>0</v>
      </c>
      <c r="I354" s="469">
        <f t="shared" si="95"/>
        <v>0</v>
      </c>
      <c r="J354" s="348">
        <f t="shared" si="95"/>
        <v>0</v>
      </c>
      <c r="K354" s="348">
        <f t="shared" si="95"/>
        <v>0</v>
      </c>
    </row>
    <row r="355" spans="1:20">
      <c r="A355" s="333">
        <v>10</v>
      </c>
      <c r="D355" s="729"/>
      <c r="E355" s="196"/>
      <c r="F355" s="335"/>
      <c r="G355" s="462"/>
      <c r="H355" s="463"/>
      <c r="I355" s="464"/>
    </row>
    <row r="356" spans="1:20">
      <c r="A356" s="333">
        <v>11</v>
      </c>
      <c r="B356" s="332" t="s">
        <v>1010</v>
      </c>
      <c r="D356" s="729"/>
      <c r="E356" s="196"/>
      <c r="F356" s="335"/>
      <c r="G356" s="462"/>
      <c r="H356" s="463"/>
      <c r="I356" s="464"/>
    </row>
    <row r="357" spans="1:20">
      <c r="A357" s="333">
        <v>12</v>
      </c>
      <c r="C357" s="359" t="s">
        <v>156</v>
      </c>
      <c r="D357" s="729" t="s">
        <v>287</v>
      </c>
      <c r="E357" s="196"/>
      <c r="F357" s="793">
        <v>0</v>
      </c>
      <c r="G357" s="465">
        <f>F357-SUM(H357:I357)</f>
        <v>0</v>
      </c>
      <c r="H357" s="466">
        <f>ROUND(F357*VLOOKUP(D357,AllocTable_Functional,$H$10,FALSE),0)</f>
        <v>0</v>
      </c>
      <c r="I357" s="467">
        <f>ROUND(F357*VLOOKUP(D357,AllocTable_Functional,$I$10,FALSE),0)</f>
        <v>0</v>
      </c>
      <c r="J357" s="347">
        <f>SUM(G357:I357)</f>
        <v>0</v>
      </c>
      <c r="K357" s="347">
        <f>F357-J357</f>
        <v>0</v>
      </c>
    </row>
    <row r="358" spans="1:20">
      <c r="A358" s="333">
        <v>13</v>
      </c>
      <c r="C358" s="332" t="s">
        <v>427</v>
      </c>
      <c r="D358" s="729"/>
      <c r="E358" s="196"/>
      <c r="F358" s="348">
        <f t="shared" ref="F358:K358" si="96">SUM(F356:F357)</f>
        <v>0</v>
      </c>
      <c r="G358" s="468">
        <f t="shared" si="96"/>
        <v>0</v>
      </c>
      <c r="H358" s="456">
        <f t="shared" si="96"/>
        <v>0</v>
      </c>
      <c r="I358" s="469">
        <f t="shared" si="96"/>
        <v>0</v>
      </c>
      <c r="J358" s="348">
        <f t="shared" si="96"/>
        <v>0</v>
      </c>
      <c r="K358" s="348">
        <f t="shared" si="96"/>
        <v>0</v>
      </c>
    </row>
    <row r="359" spans="1:20">
      <c r="A359" s="333">
        <v>14</v>
      </c>
      <c r="D359" s="729"/>
      <c r="E359" s="196"/>
      <c r="F359" s="347"/>
      <c r="G359" s="465"/>
      <c r="H359" s="466"/>
      <c r="I359" s="467"/>
      <c r="J359" s="347"/>
      <c r="K359" s="347"/>
    </row>
    <row r="360" spans="1:20">
      <c r="A360" s="333">
        <v>15</v>
      </c>
      <c r="B360" s="332" t="s">
        <v>48</v>
      </c>
      <c r="D360" s="729"/>
      <c r="E360" s="196" t="s">
        <v>343</v>
      </c>
      <c r="F360" s="347">
        <f t="shared" ref="F360:K360" si="97">F358+F354+F350</f>
        <v>37306920</v>
      </c>
      <c r="G360" s="465">
        <f t="shared" si="97"/>
        <v>37306920</v>
      </c>
      <c r="H360" s="466">
        <f t="shared" si="97"/>
        <v>0</v>
      </c>
      <c r="I360" s="467">
        <f t="shared" si="97"/>
        <v>0</v>
      </c>
      <c r="J360" s="347">
        <f t="shared" si="97"/>
        <v>37306920</v>
      </c>
      <c r="K360" s="347">
        <f t="shared" si="97"/>
        <v>0</v>
      </c>
    </row>
    <row r="361" spans="1:20">
      <c r="A361" s="333">
        <v>16</v>
      </c>
      <c r="D361" s="729"/>
      <c r="E361" s="196"/>
      <c r="F361" s="335"/>
      <c r="G361" s="462"/>
      <c r="H361" s="463"/>
      <c r="I361" s="464"/>
    </row>
    <row r="362" spans="1:20">
      <c r="A362" s="333">
        <v>17</v>
      </c>
      <c r="B362" s="332" t="s">
        <v>49</v>
      </c>
      <c r="D362" s="729"/>
      <c r="E362" s="196"/>
      <c r="F362" s="335"/>
      <c r="G362" s="462"/>
      <c r="H362" s="463"/>
      <c r="I362" s="464"/>
    </row>
    <row r="363" spans="1:20">
      <c r="A363" s="333">
        <v>18</v>
      </c>
      <c r="C363" s="359" t="s">
        <v>49</v>
      </c>
      <c r="D363" s="729" t="s">
        <v>343</v>
      </c>
      <c r="E363" s="196"/>
      <c r="F363" s="477"/>
      <c r="G363" s="465"/>
      <c r="H363" s="466"/>
      <c r="I363" s="467"/>
      <c r="J363" s="347"/>
      <c r="K363" s="347"/>
    </row>
    <row r="364" spans="1:20">
      <c r="A364" s="333">
        <v>19</v>
      </c>
      <c r="C364" s="332" t="s">
        <v>157</v>
      </c>
      <c r="D364" s="729"/>
      <c r="E364" s="196"/>
      <c r="F364" s="348">
        <f t="shared" ref="F364:K364" si="98">SUM(F363)</f>
        <v>0</v>
      </c>
      <c r="G364" s="468">
        <f t="shared" si="98"/>
        <v>0</v>
      </c>
      <c r="H364" s="456">
        <f t="shared" si="98"/>
        <v>0</v>
      </c>
      <c r="I364" s="469">
        <f t="shared" si="98"/>
        <v>0</v>
      </c>
      <c r="J364" s="348">
        <f t="shared" si="98"/>
        <v>0</v>
      </c>
      <c r="K364" s="348">
        <f t="shared" si="98"/>
        <v>0</v>
      </c>
    </row>
    <row r="365" spans="1:20">
      <c r="A365" s="333">
        <v>20</v>
      </c>
      <c r="D365" s="729"/>
      <c r="E365" s="196"/>
      <c r="F365" s="335"/>
      <c r="G365" s="462"/>
      <c r="H365" s="463"/>
      <c r="I365" s="464"/>
      <c r="M365" s="353"/>
      <c r="N365" s="353"/>
      <c r="O365" s="353"/>
      <c r="P365" s="353"/>
      <c r="Q365" s="353"/>
      <c r="R365" s="353"/>
      <c r="S365" s="353"/>
      <c r="T365" s="353"/>
    </row>
    <row r="366" spans="1:20">
      <c r="A366" s="333">
        <v>21</v>
      </c>
      <c r="B366" s="332" t="s">
        <v>50</v>
      </c>
      <c r="D366" s="729"/>
      <c r="E366" s="196"/>
      <c r="F366" s="335"/>
      <c r="G366" s="462"/>
      <c r="H366" s="463"/>
      <c r="I366" s="464"/>
      <c r="M366" s="353"/>
      <c r="N366" s="353"/>
      <c r="O366" s="353"/>
      <c r="P366" s="353"/>
      <c r="Q366" s="353"/>
      <c r="R366" s="353"/>
      <c r="S366" s="353"/>
      <c r="T366" s="353"/>
    </row>
    <row r="367" spans="1:20">
      <c r="A367" s="333">
        <v>22</v>
      </c>
      <c r="C367" s="332" t="s">
        <v>386</v>
      </c>
      <c r="D367" s="732" t="s">
        <v>288</v>
      </c>
      <c r="E367" s="342"/>
      <c r="F367" s="783">
        <f>'[1]SCH_C2.1 - Forecasted Period'!$J$136</f>
        <v>185332</v>
      </c>
      <c r="G367" s="465">
        <f t="shared" ref="G367:G377" si="99">F367-SUM(H367:I367)</f>
        <v>0</v>
      </c>
      <c r="H367" s="466">
        <f t="shared" ref="H367:H377" si="100">ROUND(F367*VLOOKUP(D367,AllocTable_Functional,$H$10,FALSE),0)</f>
        <v>0</v>
      </c>
      <c r="I367" s="467">
        <f t="shared" ref="I367:I377" si="101">ROUND(F367*VLOOKUP(D367,AllocTable_Functional,$I$10,FALSE),0)</f>
        <v>185332</v>
      </c>
      <c r="J367" s="347">
        <f t="shared" ref="J367:J377" si="102">SUM(G367:I367)</f>
        <v>185332</v>
      </c>
      <c r="K367" s="347">
        <f t="shared" ref="K367:K377" si="103">F367-J367</f>
        <v>0</v>
      </c>
      <c r="M367" s="353"/>
      <c r="N367" s="353"/>
      <c r="O367" s="353"/>
      <c r="P367" s="353"/>
      <c r="Q367" s="353"/>
      <c r="R367" s="353"/>
      <c r="S367" s="353"/>
      <c r="T367" s="353"/>
    </row>
    <row r="368" spans="1:20">
      <c r="A368" s="333">
        <v>23</v>
      </c>
      <c r="C368" s="332" t="s">
        <v>158</v>
      </c>
      <c r="D368" s="729" t="s">
        <v>298</v>
      </c>
      <c r="E368" s="196"/>
      <c r="F368" s="783">
        <f>'[1]SCH_C2.1 - Forecasted Period'!$J$137</f>
        <v>2548186</v>
      </c>
      <c r="G368" s="465">
        <f t="shared" si="99"/>
        <v>0</v>
      </c>
      <c r="H368" s="466">
        <f t="shared" si="100"/>
        <v>0</v>
      </c>
      <c r="I368" s="467">
        <f t="shared" si="101"/>
        <v>2548186</v>
      </c>
      <c r="J368" s="347">
        <f t="shared" si="102"/>
        <v>2548186</v>
      </c>
      <c r="K368" s="347">
        <f t="shared" si="103"/>
        <v>0</v>
      </c>
      <c r="M368" s="353"/>
      <c r="N368" s="353"/>
      <c r="O368" s="353"/>
      <c r="P368" s="353"/>
      <c r="Q368" s="353"/>
      <c r="R368" s="353"/>
      <c r="S368" s="353"/>
      <c r="T368" s="353"/>
    </row>
    <row r="369" spans="1:20">
      <c r="A369" s="333">
        <v>24</v>
      </c>
      <c r="C369" s="332" t="s">
        <v>387</v>
      </c>
      <c r="D369" s="729" t="s">
        <v>288</v>
      </c>
      <c r="E369" s="196"/>
      <c r="F369" s="783">
        <f>'[1]SCH_C2.1 - Forecasted Period'!$J$138+'[1]SCH_C2.1 - Forecasted Period'!$J$148</f>
        <v>66190</v>
      </c>
      <c r="G369" s="465">
        <f t="shared" si="99"/>
        <v>0</v>
      </c>
      <c r="H369" s="466">
        <f t="shared" si="100"/>
        <v>0</v>
      </c>
      <c r="I369" s="467">
        <f t="shared" si="101"/>
        <v>66190</v>
      </c>
      <c r="J369" s="347">
        <f t="shared" si="102"/>
        <v>66190</v>
      </c>
      <c r="K369" s="347">
        <f t="shared" si="103"/>
        <v>0</v>
      </c>
      <c r="M369" s="353"/>
      <c r="N369" s="353"/>
      <c r="O369" s="353"/>
      <c r="P369" s="353"/>
      <c r="Q369" s="353"/>
      <c r="R369" s="353"/>
      <c r="S369" s="353"/>
      <c r="T369" s="353"/>
    </row>
    <row r="370" spans="1:20">
      <c r="A370" s="333">
        <v>25</v>
      </c>
      <c r="C370" s="332" t="s">
        <v>159</v>
      </c>
      <c r="D370" s="729" t="s">
        <v>295</v>
      </c>
      <c r="E370" s="196"/>
      <c r="F370" s="783">
        <f>'[1]SCH_C2.1 - Forecasted Period'!$J$141</f>
        <v>1353005</v>
      </c>
      <c r="G370" s="465">
        <f t="shared" si="99"/>
        <v>0</v>
      </c>
      <c r="H370" s="466">
        <f t="shared" si="100"/>
        <v>0</v>
      </c>
      <c r="I370" s="467">
        <f t="shared" si="101"/>
        <v>1353005</v>
      </c>
      <c r="J370" s="347">
        <f t="shared" si="102"/>
        <v>1353005</v>
      </c>
      <c r="K370" s="347">
        <f t="shared" si="103"/>
        <v>0</v>
      </c>
      <c r="M370" s="353"/>
      <c r="N370" s="353"/>
      <c r="O370" s="353"/>
      <c r="P370" s="353"/>
      <c r="Q370" s="353"/>
      <c r="R370" s="353"/>
      <c r="S370" s="353"/>
      <c r="T370" s="353"/>
    </row>
    <row r="371" spans="1:20">
      <c r="A371" s="333">
        <v>26</v>
      </c>
      <c r="C371" s="332" t="s">
        <v>160</v>
      </c>
      <c r="D371" s="729" t="s">
        <v>299</v>
      </c>
      <c r="E371" s="196"/>
      <c r="F371" s="783">
        <f>'[1]SCH_C2.1 - Forecasted Period'!$J$140+'[1]SCH_C2.1 - Forecasted Period'!$J$150</f>
        <v>2583784</v>
      </c>
      <c r="G371" s="465">
        <f t="shared" si="99"/>
        <v>0</v>
      </c>
      <c r="H371" s="466">
        <f t="shared" si="100"/>
        <v>0</v>
      </c>
      <c r="I371" s="467">
        <f t="shared" si="101"/>
        <v>2583784</v>
      </c>
      <c r="J371" s="347">
        <f t="shared" si="102"/>
        <v>2583784</v>
      </c>
      <c r="K371" s="347">
        <f t="shared" si="103"/>
        <v>0</v>
      </c>
      <c r="M371" s="353"/>
      <c r="N371" s="353"/>
      <c r="O371" s="353"/>
      <c r="P371" s="353"/>
      <c r="Q371" s="353"/>
      <c r="R371" s="353"/>
      <c r="S371" s="353"/>
      <c r="T371" s="353"/>
    </row>
    <row r="372" spans="1:20">
      <c r="A372" s="333">
        <v>27</v>
      </c>
      <c r="C372" s="332" t="s">
        <v>161</v>
      </c>
      <c r="D372" s="729" t="s">
        <v>295</v>
      </c>
      <c r="E372" s="196"/>
      <c r="F372" s="783">
        <f>'[1]SCH_C2.1 - Forecasted Period'!$J$147</f>
        <v>2158350</v>
      </c>
      <c r="G372" s="465">
        <f t="shared" si="99"/>
        <v>0</v>
      </c>
      <c r="H372" s="466">
        <f t="shared" si="100"/>
        <v>0</v>
      </c>
      <c r="I372" s="467">
        <f t="shared" si="101"/>
        <v>2158350</v>
      </c>
      <c r="J372" s="347">
        <f t="shared" si="102"/>
        <v>2158350</v>
      </c>
      <c r="K372" s="347">
        <f t="shared" si="103"/>
        <v>0</v>
      </c>
      <c r="M372" s="353"/>
      <c r="N372" s="353"/>
      <c r="O372" s="353"/>
      <c r="P372" s="353"/>
      <c r="Q372" s="353"/>
      <c r="R372" s="353"/>
      <c r="S372" s="353"/>
      <c r="T372" s="353"/>
    </row>
    <row r="373" spans="1:20">
      <c r="A373" s="333">
        <v>28</v>
      </c>
      <c r="C373" s="332" t="s">
        <v>162</v>
      </c>
      <c r="D373" s="729" t="s">
        <v>292</v>
      </c>
      <c r="E373" s="196"/>
      <c r="F373" s="783">
        <f>'[1]SCH_C2.1 - Forecasted Period'!$J$149</f>
        <v>596174</v>
      </c>
      <c r="G373" s="465">
        <f t="shared" si="99"/>
        <v>0</v>
      </c>
      <c r="H373" s="466">
        <f t="shared" si="100"/>
        <v>0</v>
      </c>
      <c r="I373" s="467">
        <f t="shared" si="101"/>
        <v>596174</v>
      </c>
      <c r="J373" s="347">
        <f t="shared" si="102"/>
        <v>596174</v>
      </c>
      <c r="K373" s="347">
        <f t="shared" si="103"/>
        <v>0</v>
      </c>
      <c r="M373" s="1327"/>
      <c r="N373" s="353"/>
      <c r="O373" s="353"/>
      <c r="P373" s="353"/>
      <c r="Q373" s="353"/>
      <c r="R373" s="353"/>
      <c r="S373" s="353"/>
      <c r="T373" s="353"/>
    </row>
    <row r="374" spans="1:20">
      <c r="A374" s="333">
        <v>29</v>
      </c>
      <c r="C374" s="332" t="s">
        <v>388</v>
      </c>
      <c r="D374" s="734" t="s">
        <v>312</v>
      </c>
      <c r="E374" s="196"/>
      <c r="F374" s="783">
        <v>0</v>
      </c>
      <c r="G374" s="465">
        <f t="shared" si="99"/>
        <v>0</v>
      </c>
      <c r="H374" s="466">
        <f t="shared" si="100"/>
        <v>0</v>
      </c>
      <c r="I374" s="467">
        <f t="shared" si="101"/>
        <v>0</v>
      </c>
      <c r="J374" s="347">
        <f t="shared" si="102"/>
        <v>0</v>
      </c>
      <c r="K374" s="347">
        <f t="shared" si="103"/>
        <v>0</v>
      </c>
      <c r="M374" s="353"/>
      <c r="N374" s="353"/>
      <c r="O374" s="353"/>
      <c r="P374" s="353"/>
      <c r="Q374" s="353"/>
      <c r="R374" s="353"/>
      <c r="S374" s="353"/>
      <c r="T374" s="353"/>
    </row>
    <row r="375" spans="1:20">
      <c r="A375" s="333">
        <v>30</v>
      </c>
      <c r="C375" s="332" t="s">
        <v>1449</v>
      </c>
      <c r="D375" s="729" t="s">
        <v>296</v>
      </c>
      <c r="E375" s="196"/>
      <c r="F375" s="783">
        <v>-102870</v>
      </c>
      <c r="G375" s="465">
        <f t="shared" si="99"/>
        <v>0</v>
      </c>
      <c r="H375" s="466">
        <f t="shared" si="100"/>
        <v>0</v>
      </c>
      <c r="I375" s="467">
        <f t="shared" si="101"/>
        <v>-102870</v>
      </c>
      <c r="J375" s="347">
        <f t="shared" si="102"/>
        <v>-102870</v>
      </c>
      <c r="K375" s="347">
        <f t="shared" si="103"/>
        <v>0</v>
      </c>
      <c r="M375" s="353"/>
      <c r="N375" s="353"/>
      <c r="O375" s="353"/>
      <c r="P375" s="353"/>
      <c r="Q375" s="353"/>
      <c r="R375" s="353"/>
      <c r="S375" s="353"/>
      <c r="T375" s="353"/>
    </row>
    <row r="376" spans="1:20">
      <c r="A376" s="333">
        <v>31</v>
      </c>
      <c r="C376" s="332" t="s">
        <v>1448</v>
      </c>
      <c r="D376" s="729" t="s">
        <v>288</v>
      </c>
      <c r="E376" s="196"/>
      <c r="F376" s="783">
        <v>1065488</v>
      </c>
      <c r="G376" s="465">
        <f t="shared" si="99"/>
        <v>0</v>
      </c>
      <c r="H376" s="466">
        <f t="shared" si="100"/>
        <v>0</v>
      </c>
      <c r="I376" s="467">
        <f t="shared" si="101"/>
        <v>1065488</v>
      </c>
      <c r="J376" s="347">
        <f t="shared" si="102"/>
        <v>1065488</v>
      </c>
      <c r="K376" s="347">
        <f t="shared" si="103"/>
        <v>0</v>
      </c>
      <c r="M376" s="353"/>
      <c r="N376" s="353"/>
      <c r="O376" s="353"/>
      <c r="P376" s="353"/>
      <c r="Q376" s="353"/>
      <c r="R376" s="353"/>
      <c r="S376" s="353"/>
      <c r="T376" s="353"/>
    </row>
    <row r="377" spans="1:20">
      <c r="A377" s="333">
        <v>32</v>
      </c>
      <c r="C377" s="359" t="s">
        <v>1181</v>
      </c>
      <c r="D377" s="729" t="s">
        <v>295</v>
      </c>
      <c r="E377" s="196"/>
      <c r="F377" s="783">
        <f>'[1]SCH_C2.1 - Forecasted Period'!$J$142+'[1]SCH_C2.1 - Forecasted Period'!$J$151</f>
        <v>2451456</v>
      </c>
      <c r="G377" s="465">
        <f t="shared" si="99"/>
        <v>0</v>
      </c>
      <c r="H377" s="466">
        <f t="shared" si="100"/>
        <v>0</v>
      </c>
      <c r="I377" s="467">
        <f t="shared" si="101"/>
        <v>2451456</v>
      </c>
      <c r="J377" s="347">
        <f t="shared" si="102"/>
        <v>2451456</v>
      </c>
      <c r="K377" s="347">
        <f t="shared" si="103"/>
        <v>0</v>
      </c>
      <c r="M377" s="353"/>
      <c r="N377" s="353"/>
      <c r="O377" s="353"/>
      <c r="P377" s="353"/>
      <c r="Q377" s="353"/>
      <c r="R377" s="353"/>
      <c r="S377" s="353"/>
      <c r="T377" s="353"/>
    </row>
    <row r="378" spans="1:20">
      <c r="A378" s="333">
        <v>33</v>
      </c>
      <c r="C378" s="332" t="s">
        <v>163</v>
      </c>
      <c r="D378" s="729"/>
      <c r="E378" s="196" t="s">
        <v>343</v>
      </c>
      <c r="F378" s="348">
        <f t="shared" ref="F378:K378" si="104">SUM(F366:F377)</f>
        <v>12905095</v>
      </c>
      <c r="G378" s="468">
        <f t="shared" si="104"/>
        <v>0</v>
      </c>
      <c r="H378" s="456">
        <f t="shared" si="104"/>
        <v>0</v>
      </c>
      <c r="I378" s="469">
        <f t="shared" si="104"/>
        <v>12905095</v>
      </c>
      <c r="J378" s="348">
        <f t="shared" si="104"/>
        <v>12905095</v>
      </c>
      <c r="K378" s="348">
        <f t="shared" si="104"/>
        <v>0</v>
      </c>
      <c r="M378" s="353"/>
      <c r="N378" s="353"/>
      <c r="O378" s="353"/>
      <c r="P378" s="353"/>
      <c r="Q378" s="353"/>
      <c r="R378" s="353"/>
      <c r="S378" s="353"/>
      <c r="T378" s="353"/>
    </row>
    <row r="379" spans="1:20">
      <c r="A379" s="333">
        <v>34</v>
      </c>
      <c r="C379" s="332" t="s">
        <v>343</v>
      </c>
      <c r="D379" s="729"/>
      <c r="E379" s="196"/>
      <c r="G379" s="462"/>
      <c r="H379" s="463"/>
      <c r="I379" s="464"/>
      <c r="M379" s="353"/>
      <c r="N379" s="353"/>
      <c r="O379" s="353"/>
      <c r="P379" s="353"/>
      <c r="Q379" s="353"/>
      <c r="R379" s="353"/>
      <c r="S379" s="353"/>
      <c r="T379" s="353"/>
    </row>
    <row r="380" spans="1:20">
      <c r="A380" s="333">
        <v>35</v>
      </c>
      <c r="B380" s="332" t="s">
        <v>51</v>
      </c>
      <c r="D380" s="729"/>
      <c r="E380" s="196"/>
      <c r="F380" s="332" t="s">
        <v>343</v>
      </c>
      <c r="G380" s="462"/>
      <c r="H380" s="463"/>
      <c r="I380" s="464"/>
      <c r="M380" s="353"/>
      <c r="N380" s="353"/>
      <c r="O380" s="353"/>
      <c r="P380" s="353"/>
      <c r="Q380" s="353"/>
      <c r="R380" s="353"/>
      <c r="S380" s="353"/>
      <c r="T380" s="353"/>
    </row>
    <row r="381" spans="1:20">
      <c r="A381" s="333">
        <v>36</v>
      </c>
      <c r="C381" s="332" t="s">
        <v>389</v>
      </c>
      <c r="D381" s="729" t="s">
        <v>293</v>
      </c>
      <c r="E381" s="196"/>
      <c r="F381" s="783">
        <f>'[1]SCH_C2.1 - Forecasted Period'!$J$173</f>
        <v>185894</v>
      </c>
      <c r="G381" s="465">
        <f t="shared" ref="G381:G388" si="105">F381-SUM(H381:I381)</f>
        <v>0</v>
      </c>
      <c r="H381" s="466">
        <f t="shared" ref="H381:H388" si="106">ROUND(F381*VLOOKUP(D381,AllocTable_Functional,$H$10,FALSE),0)</f>
        <v>0</v>
      </c>
      <c r="I381" s="467">
        <f t="shared" ref="I381:I388" si="107">ROUND(F381*VLOOKUP(D381,AllocTable_Functional,$I$10,FALSE),0)</f>
        <v>185894</v>
      </c>
      <c r="J381" s="347">
        <f t="shared" ref="J381:J388" si="108">SUM(G381:I381)</f>
        <v>185894</v>
      </c>
      <c r="K381" s="347">
        <f t="shared" ref="K381:K388" si="109">F381-J381</f>
        <v>0</v>
      </c>
      <c r="M381" s="353"/>
      <c r="N381" s="353"/>
      <c r="O381" s="353"/>
      <c r="P381" s="353"/>
      <c r="Q381" s="353"/>
      <c r="R381" s="353"/>
      <c r="S381" s="353"/>
      <c r="T381" s="353"/>
    </row>
    <row r="382" spans="1:20">
      <c r="A382" s="333">
        <v>37</v>
      </c>
      <c r="C382" s="332" t="s">
        <v>390</v>
      </c>
      <c r="D382" s="729" t="s">
        <v>293</v>
      </c>
      <c r="E382" s="196"/>
      <c r="F382" s="783">
        <f>'[1]SCH_C2.1 - Forecasted Period'!$J$174</f>
        <v>15923</v>
      </c>
      <c r="G382" s="465">
        <f t="shared" si="105"/>
        <v>0</v>
      </c>
      <c r="H382" s="466">
        <f t="shared" si="106"/>
        <v>0</v>
      </c>
      <c r="I382" s="467">
        <f t="shared" si="107"/>
        <v>15923</v>
      </c>
      <c r="J382" s="347">
        <f t="shared" si="108"/>
        <v>15923</v>
      </c>
      <c r="K382" s="347">
        <f t="shared" si="109"/>
        <v>0</v>
      </c>
      <c r="M382" s="353"/>
      <c r="N382" s="353"/>
      <c r="O382" s="353"/>
      <c r="P382" s="353"/>
      <c r="Q382" s="353"/>
      <c r="R382" s="353"/>
      <c r="S382" s="353"/>
      <c r="T382" s="353"/>
    </row>
    <row r="383" spans="1:20">
      <c r="A383" s="333">
        <v>38</v>
      </c>
      <c r="C383" s="332" t="s">
        <v>415</v>
      </c>
      <c r="D383" s="729" t="s">
        <v>293</v>
      </c>
      <c r="E383" s="196"/>
      <c r="F383" s="783">
        <f>'[1]SCH_C2.1 - Forecasted Period'!$J$175</f>
        <v>2595599</v>
      </c>
      <c r="G383" s="465">
        <f t="shared" si="105"/>
        <v>0</v>
      </c>
      <c r="H383" s="466">
        <f t="shared" si="106"/>
        <v>0</v>
      </c>
      <c r="I383" s="467">
        <f t="shared" si="107"/>
        <v>2595599</v>
      </c>
      <c r="J383" s="347">
        <f t="shared" si="108"/>
        <v>2595599</v>
      </c>
      <c r="K383" s="347">
        <f t="shared" si="109"/>
        <v>0</v>
      </c>
      <c r="M383" s="353"/>
      <c r="N383" s="353"/>
      <c r="O383" s="353"/>
      <c r="P383" s="353"/>
      <c r="Q383" s="353"/>
      <c r="R383" s="353"/>
      <c r="S383" s="353"/>
      <c r="T383" s="353"/>
    </row>
    <row r="384" spans="1:20">
      <c r="A384" s="333">
        <v>39</v>
      </c>
      <c r="C384" s="332" t="s">
        <v>373</v>
      </c>
      <c r="D384" s="729" t="s">
        <v>382</v>
      </c>
      <c r="E384" s="196"/>
      <c r="F384" s="783">
        <f>'[1]SCH_C2.1 - Forecasted Period'!$J$176+[1]SCH_D1!$W$231+[1]SCH_D1!$Y$296</f>
        <v>-229924</v>
      </c>
      <c r="G384" s="465">
        <f t="shared" si="105"/>
        <v>0</v>
      </c>
      <c r="H384" s="466">
        <f t="shared" si="106"/>
        <v>0</v>
      </c>
      <c r="I384" s="467">
        <f t="shared" si="107"/>
        <v>-229924</v>
      </c>
      <c r="J384" s="347">
        <f t="shared" si="108"/>
        <v>-229924</v>
      </c>
      <c r="K384" s="347">
        <f t="shared" si="109"/>
        <v>0</v>
      </c>
      <c r="M384" s="353"/>
      <c r="N384" s="353"/>
      <c r="O384" s="353"/>
      <c r="P384" s="353"/>
      <c r="Q384" s="353"/>
      <c r="R384" s="353"/>
      <c r="S384" s="353"/>
      <c r="T384" s="353"/>
    </row>
    <row r="385" spans="1:20">
      <c r="A385" s="333">
        <v>40</v>
      </c>
      <c r="C385" s="332" t="s">
        <v>1450</v>
      </c>
      <c r="D385" s="729" t="s">
        <v>382</v>
      </c>
      <c r="E385" s="196"/>
      <c r="F385" s="783">
        <f>'[1]WPC-2e - Adj Summary'!$K$15</f>
        <v>0</v>
      </c>
      <c r="G385" s="465">
        <f t="shared" si="105"/>
        <v>0</v>
      </c>
      <c r="H385" s="466">
        <f t="shared" si="106"/>
        <v>0</v>
      </c>
      <c r="I385" s="467">
        <f t="shared" si="107"/>
        <v>0</v>
      </c>
      <c r="J385" s="347">
        <f t="shared" si="108"/>
        <v>0</v>
      </c>
      <c r="K385" s="347">
        <f t="shared" si="109"/>
        <v>0</v>
      </c>
      <c r="M385" s="353"/>
      <c r="N385" s="353"/>
      <c r="O385" s="353"/>
      <c r="P385" s="353"/>
      <c r="Q385" s="353"/>
      <c r="R385" s="353"/>
      <c r="S385" s="353"/>
      <c r="T385" s="353"/>
    </row>
    <row r="386" spans="1:20">
      <c r="A386" s="333">
        <v>41</v>
      </c>
      <c r="C386" s="332" t="s">
        <v>1442</v>
      </c>
      <c r="D386" s="729" t="s">
        <v>382</v>
      </c>
      <c r="E386" s="196"/>
      <c r="F386" s="783">
        <f>'[1]SCH_C2.1 - Forecasted Period'!$J$177</f>
        <v>105421</v>
      </c>
      <c r="G386" s="465">
        <f t="shared" si="105"/>
        <v>0</v>
      </c>
      <c r="H386" s="466">
        <f t="shared" si="106"/>
        <v>0</v>
      </c>
      <c r="I386" s="467">
        <f t="shared" si="107"/>
        <v>105421</v>
      </c>
      <c r="J386" s="347">
        <f t="shared" si="108"/>
        <v>105421</v>
      </c>
      <c r="K386" s="347">
        <f t="shared" si="109"/>
        <v>0</v>
      </c>
      <c r="M386" s="353"/>
      <c r="N386" s="353"/>
      <c r="O386" s="353"/>
      <c r="P386" s="353"/>
      <c r="Q386" s="353"/>
      <c r="R386" s="353"/>
      <c r="S386" s="353"/>
      <c r="T386" s="353"/>
    </row>
    <row r="387" spans="1:20">
      <c r="A387" s="333">
        <v>42</v>
      </c>
      <c r="C387" s="332" t="s">
        <v>1182</v>
      </c>
      <c r="D387" s="729" t="s">
        <v>293</v>
      </c>
      <c r="E387" s="196"/>
      <c r="F387" s="783">
        <v>0</v>
      </c>
      <c r="G387" s="465">
        <f t="shared" si="105"/>
        <v>0</v>
      </c>
      <c r="H387" s="466">
        <f t="shared" si="106"/>
        <v>0</v>
      </c>
      <c r="I387" s="467">
        <f t="shared" si="107"/>
        <v>0</v>
      </c>
      <c r="J387" s="347">
        <f t="shared" si="108"/>
        <v>0</v>
      </c>
      <c r="K387" s="347">
        <f t="shared" si="109"/>
        <v>0</v>
      </c>
      <c r="M387" s="353"/>
      <c r="N387" s="353"/>
      <c r="O387" s="353"/>
      <c r="P387" s="353"/>
      <c r="Q387" s="353"/>
      <c r="R387" s="353"/>
      <c r="S387" s="353"/>
      <c r="T387" s="353"/>
    </row>
    <row r="388" spans="1:20">
      <c r="A388" s="333">
        <v>43</v>
      </c>
      <c r="C388" s="359" t="s">
        <v>429</v>
      </c>
      <c r="D388" s="729" t="s">
        <v>382</v>
      </c>
      <c r="E388" s="196"/>
      <c r="F388" s="1041">
        <v>0</v>
      </c>
      <c r="G388" s="465">
        <f t="shared" si="105"/>
        <v>0</v>
      </c>
      <c r="H388" s="466">
        <f t="shared" si="106"/>
        <v>0</v>
      </c>
      <c r="I388" s="467">
        <f t="shared" si="107"/>
        <v>0</v>
      </c>
      <c r="J388" s="347">
        <f t="shared" si="108"/>
        <v>0</v>
      </c>
      <c r="K388" s="347">
        <f t="shared" si="109"/>
        <v>0</v>
      </c>
      <c r="M388" s="353"/>
      <c r="N388" s="353"/>
      <c r="O388" s="353"/>
      <c r="P388" s="353"/>
      <c r="Q388" s="353"/>
      <c r="R388" s="353"/>
      <c r="S388" s="353"/>
      <c r="T388" s="353"/>
    </row>
    <row r="389" spans="1:20">
      <c r="A389" s="333">
        <v>44</v>
      </c>
      <c r="C389" s="332" t="s">
        <v>164</v>
      </c>
      <c r="D389" s="344"/>
      <c r="E389" s="196" t="s">
        <v>343</v>
      </c>
      <c r="F389" s="348">
        <f t="shared" ref="F389:K389" si="110">SUM(F380:F388)</f>
        <v>2672913</v>
      </c>
      <c r="G389" s="498">
        <f t="shared" si="110"/>
        <v>0</v>
      </c>
      <c r="H389" s="499">
        <f t="shared" si="110"/>
        <v>0</v>
      </c>
      <c r="I389" s="500">
        <f t="shared" si="110"/>
        <v>2672913</v>
      </c>
      <c r="J389" s="348">
        <f t="shared" si="110"/>
        <v>2672913</v>
      </c>
      <c r="K389" s="348">
        <f t="shared" si="110"/>
        <v>0</v>
      </c>
      <c r="M389" s="353"/>
      <c r="N389" s="353"/>
      <c r="O389" s="353"/>
      <c r="P389" s="353"/>
      <c r="Q389" s="353"/>
      <c r="R389" s="353"/>
      <c r="S389" s="353"/>
      <c r="T389" s="353"/>
    </row>
    <row r="390" spans="1:20">
      <c r="B390" s="343"/>
      <c r="C390" s="196"/>
      <c r="D390" s="344"/>
      <c r="E390" s="196"/>
      <c r="F390" s="196"/>
      <c r="G390" s="196"/>
      <c r="H390" s="196"/>
      <c r="I390" s="196"/>
      <c r="J390" s="196"/>
      <c r="K390" s="196"/>
      <c r="M390" s="353"/>
      <c r="N390" s="353"/>
      <c r="O390" s="353"/>
      <c r="P390" s="353"/>
      <c r="Q390" s="353"/>
      <c r="R390" s="353"/>
      <c r="S390" s="353"/>
      <c r="T390" s="353"/>
    </row>
    <row r="391" spans="1:20">
      <c r="A391" s="343" t="str">
        <f>co_name</f>
        <v>DUKE ENERGY KENTUCKY, INC.</v>
      </c>
      <c r="C391" s="196"/>
      <c r="D391" s="344"/>
      <c r="E391" s="196"/>
      <c r="F391" s="196"/>
      <c r="G391" s="196"/>
      <c r="H391" s="196"/>
      <c r="I391" s="196"/>
      <c r="J391" s="196" t="str">
        <f>$J$1</f>
        <v>FR-16(7)(v)-1</v>
      </c>
      <c r="K391" s="196"/>
      <c r="M391" s="353"/>
      <c r="N391" s="353"/>
      <c r="O391" s="353"/>
      <c r="P391" s="353"/>
      <c r="Q391" s="353"/>
      <c r="R391" s="353"/>
      <c r="S391" s="353"/>
      <c r="T391" s="353"/>
    </row>
    <row r="392" spans="1:20">
      <c r="A392" s="343" t="str">
        <f>$A$2</f>
        <v>FUNCTIONAL GAS COST OF SERVICE</v>
      </c>
      <c r="C392" s="196"/>
      <c r="D392" s="344"/>
      <c r="E392" s="196"/>
      <c r="F392" s="196"/>
      <c r="G392" s="196"/>
      <c r="H392" s="196"/>
      <c r="I392" s="196"/>
      <c r="J392" s="196" t="str">
        <f>$J$2</f>
        <v>WITNESS RESPONSIBLE:</v>
      </c>
      <c r="K392" s="196"/>
      <c r="M392" s="353"/>
      <c r="N392" s="353"/>
      <c r="O392" s="353"/>
      <c r="P392" s="353"/>
      <c r="Q392" s="353"/>
      <c r="R392" s="353"/>
      <c r="S392" s="353"/>
      <c r="T392" s="353"/>
    </row>
    <row r="393" spans="1:20">
      <c r="A393" s="343" t="str">
        <f>case_name</f>
        <v>CASE NO: 2018-00261</v>
      </c>
      <c r="C393" s="196"/>
      <c r="D393" s="344"/>
      <c r="E393" s="196"/>
      <c r="F393" s="196"/>
      <c r="G393" s="196"/>
      <c r="H393" s="196"/>
      <c r="I393" s="196"/>
      <c r="J393" s="196" t="str">
        <f>Witness</f>
        <v>JAMES E. ZIOLKOWSKI</v>
      </c>
      <c r="K393" s="196"/>
    </row>
    <row r="394" spans="1:20">
      <c r="A394" s="343" t="str">
        <f>data_filing</f>
        <v>DATA: 12 MONTH FORECASTED PERIOD</v>
      </c>
      <c r="C394" s="196"/>
      <c r="D394" s="344"/>
      <c r="E394" s="196"/>
      <c r="F394" s="196"/>
      <c r="G394" s="196"/>
      <c r="H394" s="196"/>
      <c r="I394" s="196"/>
      <c r="J394" s="196" t="str">
        <f>"PAGE "&amp;Pages-9&amp;" OF "&amp;Pages</f>
        <v>PAGE 9 OF 18</v>
      </c>
      <c r="K394" s="196"/>
    </row>
    <row r="395" spans="1:20">
      <c r="A395" s="343" t="str">
        <f>type</f>
        <v xml:space="preserve">TYPE OF FILING: "X" ORIGINAL   UPDATED    REVISED  </v>
      </c>
      <c r="C395" s="196"/>
      <c r="D395" s="344"/>
      <c r="E395" s="196"/>
      <c r="F395" s="196"/>
      <c r="G395" s="196"/>
      <c r="H395" s="196"/>
      <c r="I395" s="196"/>
      <c r="J395" s="196"/>
      <c r="K395" s="196"/>
    </row>
    <row r="396" spans="1:20">
      <c r="B396" s="343"/>
      <c r="C396" s="196"/>
      <c r="D396" s="344"/>
      <c r="E396" s="196"/>
      <c r="F396" s="196"/>
      <c r="G396" s="196"/>
      <c r="H396" s="196"/>
      <c r="I396" s="196"/>
      <c r="J396" s="196"/>
      <c r="K396" s="196"/>
    </row>
    <row r="397" spans="1:20">
      <c r="B397" s="343"/>
      <c r="C397" s="196"/>
      <c r="D397" s="344"/>
      <c r="E397" s="196"/>
      <c r="F397" s="196"/>
      <c r="G397" s="196"/>
      <c r="H397" s="196"/>
      <c r="I397" s="196"/>
      <c r="J397" s="196"/>
      <c r="K397" s="196"/>
    </row>
    <row r="398" spans="1:20">
      <c r="A398" s="344" t="s">
        <v>914</v>
      </c>
      <c r="B398" s="196"/>
      <c r="C398" s="196"/>
      <c r="D398" s="344"/>
      <c r="E398" s="196"/>
      <c r="F398" s="344" t="s">
        <v>229</v>
      </c>
      <c r="G398" s="473" t="s">
        <v>981</v>
      </c>
      <c r="H398" s="474"/>
      <c r="I398" s="475"/>
      <c r="J398" s="344" t="s">
        <v>229</v>
      </c>
      <c r="K398" s="344" t="s">
        <v>342</v>
      </c>
    </row>
    <row r="399" spans="1:20">
      <c r="A399" s="346" t="s">
        <v>915</v>
      </c>
      <c r="B399" s="345" t="s">
        <v>44</v>
      </c>
      <c r="C399" s="345"/>
      <c r="D399" s="346" t="s">
        <v>337</v>
      </c>
      <c r="E399" s="345"/>
      <c r="F399" s="346" t="s">
        <v>284</v>
      </c>
      <c r="G399" s="460" t="s">
        <v>845</v>
      </c>
      <c r="H399" s="455" t="s">
        <v>980</v>
      </c>
      <c r="I399" s="461" t="s">
        <v>846</v>
      </c>
      <c r="J399" s="346" t="s">
        <v>341</v>
      </c>
      <c r="K399" s="346" t="s">
        <v>340</v>
      </c>
    </row>
    <row r="400" spans="1:20">
      <c r="C400" s="578" t="s">
        <v>560</v>
      </c>
      <c r="D400" s="344"/>
      <c r="E400" s="196"/>
      <c r="G400" s="628">
        <f>$G$10</f>
        <v>3</v>
      </c>
      <c r="H400" s="629">
        <f>$H$10</f>
        <v>4</v>
      </c>
      <c r="I400" s="630">
        <f>$I$10</f>
        <v>5</v>
      </c>
    </row>
    <row r="401" spans="1:11">
      <c r="A401" s="333">
        <v>1</v>
      </c>
      <c r="B401" s="332" t="s">
        <v>52</v>
      </c>
      <c r="D401" s="344"/>
      <c r="E401" s="196"/>
      <c r="G401" s="462"/>
      <c r="H401" s="463"/>
      <c r="I401" s="464"/>
    </row>
    <row r="402" spans="1:11">
      <c r="A402" s="333">
        <v>2</v>
      </c>
      <c r="C402" s="359" t="s">
        <v>165</v>
      </c>
      <c r="D402" s="729" t="s">
        <v>1037</v>
      </c>
      <c r="E402" s="196"/>
      <c r="F402" s="793">
        <f>[1]SCH_C2!$N$36</f>
        <v>406241</v>
      </c>
      <c r="G402" s="465">
        <f>F402-SUM(H402:I402)</f>
        <v>0</v>
      </c>
      <c r="H402" s="466">
        <f>ROUND(F402*VLOOKUP(D402,AllocTable_Functional,$H$10,FALSE),0)</f>
        <v>0</v>
      </c>
      <c r="I402" s="467">
        <f>ROUND(F402*VLOOKUP(D402,AllocTable_Functional,$I$10,FALSE),0)</f>
        <v>406241</v>
      </c>
      <c r="J402" s="347">
        <f>SUM(G402:I402)</f>
        <v>406241</v>
      </c>
      <c r="K402" s="347">
        <f>F402-J402</f>
        <v>0</v>
      </c>
    </row>
    <row r="403" spans="1:11">
      <c r="A403" s="333">
        <v>3</v>
      </c>
      <c r="C403" s="332" t="s">
        <v>166</v>
      </c>
      <c r="D403" s="729"/>
      <c r="E403" s="196" t="s">
        <v>343</v>
      </c>
      <c r="F403" s="348">
        <f t="shared" ref="F403:K403" si="111">SUM(F402:F402)</f>
        <v>406241</v>
      </c>
      <c r="G403" s="468">
        <f t="shared" si="111"/>
        <v>0</v>
      </c>
      <c r="H403" s="456">
        <f t="shared" si="111"/>
        <v>0</v>
      </c>
      <c r="I403" s="469">
        <f t="shared" si="111"/>
        <v>406241</v>
      </c>
      <c r="J403" s="348">
        <f t="shared" si="111"/>
        <v>406241</v>
      </c>
      <c r="K403" s="348">
        <f t="shared" si="111"/>
        <v>0</v>
      </c>
    </row>
    <row r="404" spans="1:11">
      <c r="A404" s="333">
        <v>4</v>
      </c>
      <c r="D404" s="729"/>
      <c r="E404" s="196"/>
      <c r="F404" s="347"/>
      <c r="G404" s="465"/>
      <c r="H404" s="466"/>
      <c r="I404" s="467"/>
      <c r="J404" s="347"/>
      <c r="K404" s="347"/>
    </row>
    <row r="405" spans="1:11">
      <c r="A405" s="333">
        <v>5</v>
      </c>
      <c r="B405" s="332" t="s">
        <v>53</v>
      </c>
      <c r="D405" s="729"/>
      <c r="E405" s="196"/>
      <c r="F405" s="347"/>
      <c r="G405" s="465"/>
      <c r="H405" s="466"/>
      <c r="I405" s="467"/>
      <c r="J405" s="347"/>
      <c r="K405" s="347"/>
    </row>
    <row r="406" spans="1:11">
      <c r="A406" s="333">
        <v>6</v>
      </c>
      <c r="C406" s="359" t="s">
        <v>167</v>
      </c>
      <c r="D406" s="729" t="s">
        <v>1038</v>
      </c>
      <c r="E406" s="196" t="s">
        <v>343</v>
      </c>
      <c r="F406" s="793">
        <f>[1]SCH_C2!$N$37</f>
        <v>194128</v>
      </c>
      <c r="G406" s="465">
        <f>F406-SUM(H406:I406)</f>
        <v>0</v>
      </c>
      <c r="H406" s="466">
        <f>ROUND(F406*VLOOKUP(D406,AllocTable_Functional,$H$10,FALSE),0)</f>
        <v>0</v>
      </c>
      <c r="I406" s="467">
        <f>ROUND(F406*VLOOKUP(D406,AllocTable_Functional,$I$10,FALSE),0)</f>
        <v>194128</v>
      </c>
      <c r="J406" s="347">
        <f>SUM(G406:I406)</f>
        <v>194128</v>
      </c>
      <c r="K406" s="347">
        <f>F406-J406</f>
        <v>0</v>
      </c>
    </row>
    <row r="407" spans="1:11">
      <c r="A407" s="333">
        <v>7</v>
      </c>
      <c r="C407" s="332" t="s">
        <v>168</v>
      </c>
      <c r="D407" s="729"/>
      <c r="E407" s="196" t="s">
        <v>343</v>
      </c>
      <c r="F407" s="348">
        <f t="shared" ref="F407:K407" si="112">SUM(F405:F406)</f>
        <v>194128</v>
      </c>
      <c r="G407" s="468">
        <f t="shared" si="112"/>
        <v>0</v>
      </c>
      <c r="H407" s="456">
        <f t="shared" si="112"/>
        <v>0</v>
      </c>
      <c r="I407" s="469">
        <f t="shared" si="112"/>
        <v>194128</v>
      </c>
      <c r="J407" s="348">
        <f t="shared" si="112"/>
        <v>194128</v>
      </c>
      <c r="K407" s="348">
        <f t="shared" si="112"/>
        <v>0</v>
      </c>
    </row>
    <row r="408" spans="1:11">
      <c r="A408" s="333">
        <v>8</v>
      </c>
      <c r="D408" s="729"/>
      <c r="E408" s="196"/>
      <c r="F408" s="335"/>
      <c r="G408" s="462"/>
      <c r="H408" s="463"/>
      <c r="I408" s="464"/>
    </row>
    <row r="409" spans="1:11">
      <c r="A409" s="333">
        <v>9</v>
      </c>
      <c r="B409" s="332" t="s">
        <v>54</v>
      </c>
      <c r="D409" s="729"/>
      <c r="E409" s="196"/>
      <c r="F409" s="335"/>
      <c r="G409" s="462"/>
      <c r="H409" s="463"/>
      <c r="I409" s="464"/>
    </row>
    <row r="410" spans="1:11">
      <c r="A410" s="333">
        <v>10</v>
      </c>
      <c r="C410" s="332" t="s">
        <v>425</v>
      </c>
      <c r="D410" s="729" t="s">
        <v>323</v>
      </c>
      <c r="E410" s="196"/>
      <c r="F410" s="479">
        <f>'WP FR-16(7)(v)-A&amp;G WP'!H12</f>
        <v>403815</v>
      </c>
      <c r="G410" s="465">
        <f t="shared" ref="G410:G415" si="113">F410-SUM(H410:I410)</f>
        <v>403815</v>
      </c>
      <c r="H410" s="466">
        <f t="shared" ref="H410:H415" si="114">ROUND(F410*VLOOKUP(D410,AllocTable_Functional,$H$10,FALSE),0)</f>
        <v>0</v>
      </c>
      <c r="I410" s="467">
        <f t="shared" ref="I410:I415" si="115">ROUND(F410*VLOOKUP(D410,AllocTable_Functional,$I$10,FALSE),0)</f>
        <v>0</v>
      </c>
      <c r="J410" s="347">
        <f t="shared" ref="J410:J415" si="116">SUM(G410:I410)</f>
        <v>403815</v>
      </c>
      <c r="K410" s="347">
        <f t="shared" ref="K410:K415" si="117">F410-J410</f>
        <v>0</v>
      </c>
    </row>
    <row r="411" spans="1:11">
      <c r="A411" s="333">
        <v>11</v>
      </c>
      <c r="C411" s="332" t="s">
        <v>366</v>
      </c>
      <c r="D411" s="729" t="s">
        <v>290</v>
      </c>
      <c r="E411" s="196"/>
      <c r="F411" s="479">
        <f>'WP FR-16(7)(v)-A&amp;G WP'!H13</f>
        <v>315879</v>
      </c>
      <c r="G411" s="465">
        <f t="shared" si="113"/>
        <v>315879</v>
      </c>
      <c r="H411" s="466">
        <f t="shared" si="114"/>
        <v>0</v>
      </c>
      <c r="I411" s="467">
        <f t="shared" si="115"/>
        <v>0</v>
      </c>
      <c r="J411" s="347">
        <f t="shared" si="116"/>
        <v>315879</v>
      </c>
      <c r="K411" s="347">
        <f t="shared" si="117"/>
        <v>0</v>
      </c>
    </row>
    <row r="412" spans="1:11">
      <c r="A412" s="333">
        <v>12</v>
      </c>
      <c r="C412" s="332" t="s">
        <v>17</v>
      </c>
      <c r="D412" s="729" t="s">
        <v>324</v>
      </c>
      <c r="E412" s="196"/>
      <c r="F412" s="479">
        <f>'WP FR-16(7)(v)-A&amp;G WP'!H15</f>
        <v>4278422</v>
      </c>
      <c r="G412" s="465">
        <f t="shared" si="113"/>
        <v>0</v>
      </c>
      <c r="H412" s="466">
        <f t="shared" si="114"/>
        <v>0</v>
      </c>
      <c r="I412" s="467">
        <f t="shared" si="115"/>
        <v>4278422</v>
      </c>
      <c r="J412" s="347">
        <f t="shared" si="116"/>
        <v>4278422</v>
      </c>
      <c r="K412" s="347">
        <f t="shared" si="117"/>
        <v>0</v>
      </c>
    </row>
    <row r="413" spans="1:11">
      <c r="A413" s="333">
        <v>13</v>
      </c>
      <c r="C413" s="332" t="s">
        <v>51</v>
      </c>
      <c r="D413" s="729" t="s">
        <v>1017</v>
      </c>
      <c r="E413" s="196"/>
      <c r="F413" s="479">
        <f>'WP FR-16(7)(v)-A&amp;G WP'!H16</f>
        <v>1807581</v>
      </c>
      <c r="G413" s="465">
        <f t="shared" si="113"/>
        <v>0</v>
      </c>
      <c r="H413" s="466">
        <f t="shared" si="114"/>
        <v>0</v>
      </c>
      <c r="I413" s="467">
        <f t="shared" si="115"/>
        <v>1807581</v>
      </c>
      <c r="J413" s="347">
        <f t="shared" si="116"/>
        <v>1807581</v>
      </c>
      <c r="K413" s="347">
        <f t="shared" si="117"/>
        <v>0</v>
      </c>
    </row>
    <row r="414" spans="1:11">
      <c r="A414" s="333">
        <v>14</v>
      </c>
      <c r="C414" s="332" t="s">
        <v>52</v>
      </c>
      <c r="D414" s="729" t="s">
        <v>1020</v>
      </c>
      <c r="E414" s="196"/>
      <c r="F414" s="479">
        <f>'WP FR-16(7)(v)-A&amp;G WP'!H17</f>
        <v>158176</v>
      </c>
      <c r="G414" s="465">
        <f t="shared" si="113"/>
        <v>0</v>
      </c>
      <c r="H414" s="466">
        <f t="shared" si="114"/>
        <v>0</v>
      </c>
      <c r="I414" s="467">
        <f t="shared" si="115"/>
        <v>158176</v>
      </c>
      <c r="J414" s="347">
        <f t="shared" si="116"/>
        <v>158176</v>
      </c>
      <c r="K414" s="347">
        <f t="shared" si="117"/>
        <v>0</v>
      </c>
    </row>
    <row r="415" spans="1:11">
      <c r="A415" s="333">
        <v>15</v>
      </c>
      <c r="C415" s="359" t="s">
        <v>53</v>
      </c>
      <c r="D415" s="729" t="s">
        <v>1018</v>
      </c>
      <c r="E415" s="196"/>
      <c r="F415" s="501">
        <f>'WP FR-16(7)(v)-A&amp;G WP'!H18</f>
        <v>0</v>
      </c>
      <c r="G415" s="465">
        <f t="shared" si="113"/>
        <v>0</v>
      </c>
      <c r="H415" s="466">
        <f t="shared" si="114"/>
        <v>0</v>
      </c>
      <c r="I415" s="467">
        <f t="shared" si="115"/>
        <v>0</v>
      </c>
      <c r="J415" s="502">
        <f t="shared" si="116"/>
        <v>0</v>
      </c>
      <c r="K415" s="502">
        <f t="shared" si="117"/>
        <v>0</v>
      </c>
    </row>
    <row r="416" spans="1:11">
      <c r="A416" s="333">
        <v>16</v>
      </c>
      <c r="C416" s="332" t="s">
        <v>368</v>
      </c>
      <c r="D416" s="729" t="s">
        <v>343</v>
      </c>
      <c r="E416" s="196"/>
      <c r="F416" s="503">
        <f t="shared" ref="F416:K416" si="118">SUM(F410:F415)</f>
        <v>6963873</v>
      </c>
      <c r="G416" s="508">
        <f t="shared" si="118"/>
        <v>719694</v>
      </c>
      <c r="H416" s="504">
        <f t="shared" si="118"/>
        <v>0</v>
      </c>
      <c r="I416" s="509">
        <f t="shared" si="118"/>
        <v>6244179</v>
      </c>
      <c r="J416" s="477">
        <f t="shared" si="118"/>
        <v>6963873</v>
      </c>
      <c r="K416" s="477">
        <f t="shared" si="118"/>
        <v>0</v>
      </c>
    </row>
    <row r="417" spans="1:11">
      <c r="A417" s="333">
        <v>17</v>
      </c>
      <c r="C417" s="332" t="s">
        <v>422</v>
      </c>
      <c r="D417" s="729" t="s">
        <v>1015</v>
      </c>
      <c r="E417" s="196"/>
      <c r="F417" s="793">
        <f>[1]SCH_D1!$Y$234</f>
        <v>115100</v>
      </c>
      <c r="G417" s="465">
        <f t="shared" ref="G417:G430" si="119">F417-SUM(H417:I417)</f>
        <v>11896</v>
      </c>
      <c r="H417" s="466">
        <f t="shared" ref="H417:H430" si="120">ROUND(F417*VLOOKUP(D417,AllocTable_Functional,$H$10,FALSE),0)</f>
        <v>0</v>
      </c>
      <c r="I417" s="467">
        <f t="shared" ref="I417:I430" si="121">ROUND(F417*VLOOKUP(D417,AllocTable_Functional,$I$10,FALSE),0)</f>
        <v>103204</v>
      </c>
      <c r="J417" s="347">
        <f t="shared" ref="J417:J430" si="122">SUM(G417:I417)</f>
        <v>115100</v>
      </c>
      <c r="K417" s="347">
        <f t="shared" ref="K417:K430" si="123">F417-J417</f>
        <v>0</v>
      </c>
    </row>
    <row r="418" spans="1:11">
      <c r="A418" s="333">
        <v>18</v>
      </c>
      <c r="C418" s="332" t="s">
        <v>1451</v>
      </c>
      <c r="D418" s="729" t="s">
        <v>1015</v>
      </c>
      <c r="E418" s="196"/>
      <c r="F418" s="793">
        <f>[1]SCH_D1!$U$364</f>
        <v>-277270</v>
      </c>
      <c r="G418" s="465">
        <f t="shared" si="119"/>
        <v>-28656</v>
      </c>
      <c r="H418" s="466">
        <f t="shared" si="120"/>
        <v>0</v>
      </c>
      <c r="I418" s="467">
        <f t="shared" si="121"/>
        <v>-248614</v>
      </c>
      <c r="J418" s="347">
        <f t="shared" si="122"/>
        <v>-277270</v>
      </c>
      <c r="K418" s="347">
        <f t="shared" si="123"/>
        <v>0</v>
      </c>
    </row>
    <row r="419" spans="1:11">
      <c r="A419" s="333">
        <v>19</v>
      </c>
      <c r="C419" s="332" t="s">
        <v>1443</v>
      </c>
      <c r="D419" s="729" t="s">
        <v>1015</v>
      </c>
      <c r="E419" s="196"/>
      <c r="F419" s="793">
        <f>[1]SCH_D1!$Y$299</f>
        <v>-322075</v>
      </c>
      <c r="G419" s="465">
        <f t="shared" si="119"/>
        <v>-33286</v>
      </c>
      <c r="H419" s="466">
        <f t="shared" si="120"/>
        <v>0</v>
      </c>
      <c r="I419" s="467">
        <f t="shared" si="121"/>
        <v>-288789</v>
      </c>
      <c r="J419" s="347">
        <f t="shared" si="122"/>
        <v>-322075</v>
      </c>
      <c r="K419" s="347">
        <f t="shared" si="123"/>
        <v>0</v>
      </c>
    </row>
    <row r="420" spans="1:11">
      <c r="A420" s="333">
        <v>20</v>
      </c>
      <c r="C420" s="332" t="s">
        <v>533</v>
      </c>
      <c r="D420" s="729" t="s">
        <v>315</v>
      </c>
      <c r="E420" s="196"/>
      <c r="F420" s="793">
        <v>0</v>
      </c>
      <c r="G420" s="465">
        <f t="shared" si="119"/>
        <v>0</v>
      </c>
      <c r="H420" s="466">
        <f t="shared" si="120"/>
        <v>0</v>
      </c>
      <c r="I420" s="467">
        <f t="shared" si="121"/>
        <v>0</v>
      </c>
      <c r="J420" s="347">
        <f t="shared" si="122"/>
        <v>0</v>
      </c>
      <c r="K420" s="347">
        <f t="shared" si="123"/>
        <v>0</v>
      </c>
    </row>
    <row r="421" spans="1:11">
      <c r="A421" s="333">
        <v>21</v>
      </c>
      <c r="C421" s="332" t="s">
        <v>1158</v>
      </c>
      <c r="D421" s="729" t="s">
        <v>1015</v>
      </c>
      <c r="E421" s="196"/>
      <c r="F421" s="793">
        <f>[1]SCH_C2!$N$39</f>
        <v>543043</v>
      </c>
      <c r="G421" s="465">
        <f t="shared" si="119"/>
        <v>56123</v>
      </c>
      <c r="H421" s="466">
        <f t="shared" si="120"/>
        <v>0</v>
      </c>
      <c r="I421" s="467">
        <f t="shared" si="121"/>
        <v>486920</v>
      </c>
      <c r="J421" s="347">
        <f t="shared" si="122"/>
        <v>543043</v>
      </c>
      <c r="K421" s="347">
        <f t="shared" si="123"/>
        <v>0</v>
      </c>
    </row>
    <row r="422" spans="1:11">
      <c r="A422" s="333">
        <v>22</v>
      </c>
      <c r="C422" s="332" t="s">
        <v>420</v>
      </c>
      <c r="D422" s="733" t="s">
        <v>1015</v>
      </c>
      <c r="E422" s="196"/>
      <c r="F422" s="793"/>
      <c r="G422" s="465">
        <f t="shared" si="119"/>
        <v>0</v>
      </c>
      <c r="H422" s="466">
        <f t="shared" si="120"/>
        <v>0</v>
      </c>
      <c r="I422" s="467">
        <f t="shared" si="121"/>
        <v>0</v>
      </c>
      <c r="J422" s="347">
        <f t="shared" si="122"/>
        <v>0</v>
      </c>
      <c r="K422" s="347">
        <f t="shared" si="123"/>
        <v>0</v>
      </c>
    </row>
    <row r="423" spans="1:11">
      <c r="A423" s="333">
        <v>23</v>
      </c>
      <c r="C423" s="332" t="s">
        <v>421</v>
      </c>
      <c r="D423" s="733" t="s">
        <v>1015</v>
      </c>
      <c r="E423" s="196"/>
      <c r="F423" s="793"/>
      <c r="G423" s="465">
        <f t="shared" si="119"/>
        <v>0</v>
      </c>
      <c r="H423" s="466">
        <f t="shared" si="120"/>
        <v>0</v>
      </c>
      <c r="I423" s="467">
        <f t="shared" si="121"/>
        <v>0</v>
      </c>
      <c r="J423" s="347">
        <f t="shared" si="122"/>
        <v>0</v>
      </c>
      <c r="K423" s="347">
        <f t="shared" si="123"/>
        <v>0</v>
      </c>
    </row>
    <row r="424" spans="1:11">
      <c r="A424" s="333">
        <v>24</v>
      </c>
      <c r="C424" s="332" t="s">
        <v>1156</v>
      </c>
      <c r="D424" s="733" t="s">
        <v>1015</v>
      </c>
      <c r="E424" s="196"/>
      <c r="F424" s="793"/>
      <c r="G424" s="465">
        <f t="shared" si="119"/>
        <v>0</v>
      </c>
      <c r="H424" s="466">
        <f t="shared" si="120"/>
        <v>0</v>
      </c>
      <c r="I424" s="467">
        <f t="shared" si="121"/>
        <v>0</v>
      </c>
      <c r="J424" s="347">
        <f t="shared" ref="J424:J429" si="124">SUM(G424:I424)</f>
        <v>0</v>
      </c>
      <c r="K424" s="347">
        <f t="shared" ref="K424:K429" si="125">F424-J424</f>
        <v>0</v>
      </c>
    </row>
    <row r="425" spans="1:11">
      <c r="A425" s="333">
        <v>25</v>
      </c>
      <c r="C425" s="332" t="s">
        <v>1157</v>
      </c>
      <c r="D425" s="733" t="s">
        <v>1015</v>
      </c>
      <c r="E425" s="196"/>
      <c r="F425" s="793"/>
      <c r="G425" s="465">
        <f t="shared" si="119"/>
        <v>0</v>
      </c>
      <c r="H425" s="466">
        <f t="shared" si="120"/>
        <v>0</v>
      </c>
      <c r="I425" s="467">
        <f t="shared" si="121"/>
        <v>0</v>
      </c>
      <c r="J425" s="347">
        <f t="shared" si="124"/>
        <v>0</v>
      </c>
      <c r="K425" s="347">
        <f t="shared" si="125"/>
        <v>0</v>
      </c>
    </row>
    <row r="426" spans="1:11">
      <c r="A426" s="333">
        <v>26</v>
      </c>
      <c r="C426" s="332" t="s">
        <v>1166</v>
      </c>
      <c r="D426" s="733" t="s">
        <v>294</v>
      </c>
      <c r="E426" s="196"/>
      <c r="F426" s="793"/>
      <c r="G426" s="465">
        <f t="shared" si="119"/>
        <v>0</v>
      </c>
      <c r="H426" s="466">
        <f t="shared" si="120"/>
        <v>0</v>
      </c>
      <c r="I426" s="467">
        <f t="shared" si="121"/>
        <v>0</v>
      </c>
      <c r="J426" s="347">
        <f t="shared" si="124"/>
        <v>0</v>
      </c>
      <c r="K426" s="347">
        <f t="shared" si="125"/>
        <v>0</v>
      </c>
    </row>
    <row r="427" spans="1:11">
      <c r="A427" s="333">
        <v>27</v>
      </c>
      <c r="C427" s="332" t="s">
        <v>1167</v>
      </c>
      <c r="D427" s="733" t="s">
        <v>294</v>
      </c>
      <c r="E427" s="196"/>
      <c r="F427" s="793"/>
      <c r="G427" s="465">
        <f t="shared" si="119"/>
        <v>0</v>
      </c>
      <c r="H427" s="466">
        <f t="shared" si="120"/>
        <v>0</v>
      </c>
      <c r="I427" s="467">
        <f t="shared" si="121"/>
        <v>0</v>
      </c>
      <c r="J427" s="347">
        <f t="shared" si="124"/>
        <v>0</v>
      </c>
      <c r="K427" s="347">
        <f t="shared" si="125"/>
        <v>0</v>
      </c>
    </row>
    <row r="428" spans="1:11">
      <c r="A428" s="333">
        <v>28</v>
      </c>
      <c r="C428" s="332" t="s">
        <v>1168</v>
      </c>
      <c r="D428" s="733" t="s">
        <v>1015</v>
      </c>
      <c r="E428" s="196"/>
      <c r="F428" s="793"/>
      <c r="G428" s="465">
        <f t="shared" si="119"/>
        <v>0</v>
      </c>
      <c r="H428" s="466">
        <f t="shared" si="120"/>
        <v>0</v>
      </c>
      <c r="I428" s="467">
        <f t="shared" si="121"/>
        <v>0</v>
      </c>
      <c r="J428" s="347">
        <f t="shared" si="124"/>
        <v>0</v>
      </c>
      <c r="K428" s="347">
        <f t="shared" si="125"/>
        <v>0</v>
      </c>
    </row>
    <row r="429" spans="1:11">
      <c r="A429" s="333">
        <v>29</v>
      </c>
      <c r="C429" s="332" t="s">
        <v>1169</v>
      </c>
      <c r="D429" s="729" t="s">
        <v>315</v>
      </c>
      <c r="E429" s="196"/>
      <c r="F429" s="793">
        <v>0</v>
      </c>
      <c r="G429" s="465">
        <f t="shared" si="119"/>
        <v>0</v>
      </c>
      <c r="H429" s="466">
        <f t="shared" si="120"/>
        <v>0</v>
      </c>
      <c r="I429" s="467">
        <f t="shared" si="121"/>
        <v>0</v>
      </c>
      <c r="J429" s="347">
        <f t="shared" si="124"/>
        <v>0</v>
      </c>
      <c r="K429" s="347">
        <f t="shared" si="125"/>
        <v>0</v>
      </c>
    </row>
    <row r="430" spans="1:11">
      <c r="A430" s="333">
        <v>30</v>
      </c>
      <c r="C430" s="359" t="s">
        <v>1159</v>
      </c>
      <c r="D430" s="732" t="s">
        <v>315</v>
      </c>
      <c r="E430" s="196"/>
      <c r="F430" s="793"/>
      <c r="G430" s="465">
        <f t="shared" si="119"/>
        <v>0</v>
      </c>
      <c r="H430" s="466">
        <f t="shared" si="120"/>
        <v>0</v>
      </c>
      <c r="I430" s="467">
        <f t="shared" si="121"/>
        <v>0</v>
      </c>
      <c r="J430" s="347">
        <f t="shared" si="122"/>
        <v>0</v>
      </c>
      <c r="K430" s="347">
        <f t="shared" si="123"/>
        <v>0</v>
      </c>
    </row>
    <row r="431" spans="1:11">
      <c r="A431" s="333">
        <v>31</v>
      </c>
      <c r="C431" s="332" t="s">
        <v>169</v>
      </c>
      <c r="D431" s="344"/>
      <c r="E431" s="196" t="s">
        <v>343</v>
      </c>
      <c r="F431" s="348">
        <f t="shared" ref="F431:K431" si="126">SUM(F416:F430)</f>
        <v>7022671</v>
      </c>
      <c r="G431" s="468">
        <f t="shared" si="126"/>
        <v>725771</v>
      </c>
      <c r="H431" s="456">
        <f t="shared" si="126"/>
        <v>0</v>
      </c>
      <c r="I431" s="469">
        <f t="shared" si="126"/>
        <v>6296900</v>
      </c>
      <c r="J431" s="348">
        <f t="shared" si="126"/>
        <v>7022671</v>
      </c>
      <c r="K431" s="348">
        <f t="shared" si="126"/>
        <v>0</v>
      </c>
    </row>
    <row r="432" spans="1:11">
      <c r="A432" s="333">
        <v>32</v>
      </c>
      <c r="D432" s="344"/>
      <c r="E432" s="196"/>
      <c r="F432" s="335"/>
      <c r="G432" s="465"/>
      <c r="H432" s="466"/>
      <c r="I432" s="467"/>
      <c r="J432" s="347"/>
      <c r="K432" s="347"/>
    </row>
    <row r="433" spans="1:11">
      <c r="A433" s="333">
        <v>33</v>
      </c>
      <c r="C433" s="332" t="s">
        <v>170</v>
      </c>
      <c r="D433" s="344"/>
      <c r="E433" s="196"/>
      <c r="F433" s="347">
        <f t="shared" ref="F433:K433" si="127">F431+F407+F403+F389+F378+F364+F360</f>
        <v>60507968</v>
      </c>
      <c r="G433" s="484">
        <f t="shared" si="127"/>
        <v>38032691</v>
      </c>
      <c r="H433" s="485">
        <f t="shared" si="127"/>
        <v>0</v>
      </c>
      <c r="I433" s="486">
        <f t="shared" si="127"/>
        <v>22475277</v>
      </c>
      <c r="J433" s="347">
        <f t="shared" si="127"/>
        <v>60507968</v>
      </c>
      <c r="K433" s="347">
        <f t="shared" si="127"/>
        <v>0</v>
      </c>
    </row>
    <row r="434" spans="1:11">
      <c r="B434" s="343"/>
      <c r="C434" s="196"/>
      <c r="D434" s="344"/>
      <c r="E434" s="196"/>
      <c r="F434" s="196"/>
      <c r="G434" s="196"/>
      <c r="H434" s="196"/>
      <c r="I434" s="196"/>
      <c r="J434" s="196"/>
      <c r="K434" s="196"/>
    </row>
    <row r="435" spans="1:11">
      <c r="A435" s="343" t="str">
        <f>co_name</f>
        <v>DUKE ENERGY KENTUCKY, INC.</v>
      </c>
      <c r="C435" s="196"/>
      <c r="D435" s="344"/>
      <c r="E435" s="196"/>
      <c r="F435" s="196"/>
      <c r="G435" s="196"/>
      <c r="H435" s="196"/>
      <c r="I435" s="196"/>
      <c r="J435" s="196" t="str">
        <f>$J$1</f>
        <v>FR-16(7)(v)-1</v>
      </c>
      <c r="K435" s="196"/>
    </row>
    <row r="436" spans="1:11">
      <c r="A436" s="343" t="str">
        <f>$A$2</f>
        <v>FUNCTIONAL GAS COST OF SERVICE</v>
      </c>
      <c r="C436" s="196"/>
      <c r="D436" s="344"/>
      <c r="E436" s="196"/>
      <c r="F436" s="196"/>
      <c r="G436" s="196"/>
      <c r="H436" s="196"/>
      <c r="I436" s="196"/>
      <c r="J436" s="196" t="str">
        <f>$J$2</f>
        <v>WITNESS RESPONSIBLE:</v>
      </c>
      <c r="K436" s="196"/>
    </row>
    <row r="437" spans="1:11">
      <c r="A437" s="343" t="str">
        <f>case_name</f>
        <v>CASE NO: 2018-00261</v>
      </c>
      <c r="C437" s="196"/>
      <c r="D437" s="344"/>
      <c r="E437" s="196"/>
      <c r="F437" s="196"/>
      <c r="G437" s="196"/>
      <c r="H437" s="196"/>
      <c r="I437" s="196"/>
      <c r="J437" s="196" t="str">
        <f>Witness</f>
        <v>JAMES E. ZIOLKOWSKI</v>
      </c>
      <c r="K437" s="196"/>
    </row>
    <row r="438" spans="1:11">
      <c r="A438" s="343" t="str">
        <f>data_filing</f>
        <v>DATA: 12 MONTH FORECASTED PERIOD</v>
      </c>
      <c r="C438" s="196"/>
      <c r="D438" s="344"/>
      <c r="E438" s="196"/>
      <c r="F438" s="196"/>
      <c r="G438" s="196"/>
      <c r="H438" s="196"/>
      <c r="I438" s="196"/>
      <c r="J438" s="196" t="str">
        <f>"PAGE "&amp;Pages-8&amp;" OF "&amp;Pages</f>
        <v>PAGE 10 OF 18</v>
      </c>
      <c r="K438" s="196"/>
    </row>
    <row r="439" spans="1:11">
      <c r="A439" s="343" t="str">
        <f>type</f>
        <v xml:space="preserve">TYPE OF FILING: "X" ORIGINAL   UPDATED    REVISED  </v>
      </c>
      <c r="C439" s="196"/>
      <c r="D439" s="344"/>
      <c r="E439" s="196"/>
      <c r="F439" s="196"/>
      <c r="G439" s="196"/>
      <c r="H439" s="196"/>
      <c r="I439" s="196"/>
      <c r="J439" s="196"/>
      <c r="K439" s="196"/>
    </row>
    <row r="440" spans="1:11">
      <c r="B440" s="343"/>
      <c r="C440" s="196"/>
      <c r="D440" s="344"/>
      <c r="E440" s="196"/>
      <c r="F440" s="196"/>
      <c r="G440" s="196"/>
      <c r="H440" s="196"/>
      <c r="I440" s="196"/>
      <c r="J440" s="196"/>
      <c r="K440" s="196"/>
    </row>
    <row r="441" spans="1:11">
      <c r="B441" s="343"/>
      <c r="C441" s="196"/>
      <c r="D441" s="344"/>
      <c r="E441" s="196"/>
      <c r="F441" s="196"/>
      <c r="G441" s="196"/>
      <c r="H441" s="196"/>
      <c r="I441" s="196"/>
      <c r="J441" s="196"/>
      <c r="K441" s="196"/>
    </row>
    <row r="442" spans="1:11">
      <c r="A442" s="344" t="s">
        <v>914</v>
      </c>
      <c r="B442" s="196"/>
      <c r="C442" s="196"/>
      <c r="D442" s="344"/>
      <c r="E442" s="196"/>
      <c r="F442" s="344" t="s">
        <v>229</v>
      </c>
      <c r="G442" s="473" t="s">
        <v>981</v>
      </c>
      <c r="H442" s="474"/>
      <c r="I442" s="475"/>
      <c r="J442" s="344" t="s">
        <v>229</v>
      </c>
      <c r="K442" s="344" t="s">
        <v>342</v>
      </c>
    </row>
    <row r="443" spans="1:11">
      <c r="A443" s="346" t="s">
        <v>915</v>
      </c>
      <c r="B443" s="345" t="s">
        <v>55</v>
      </c>
      <c r="C443" s="345"/>
      <c r="D443" s="346" t="s">
        <v>337</v>
      </c>
      <c r="E443" s="345"/>
      <c r="F443" s="346" t="s">
        <v>284</v>
      </c>
      <c r="G443" s="460" t="s">
        <v>845</v>
      </c>
      <c r="H443" s="455" t="s">
        <v>980</v>
      </c>
      <c r="I443" s="461" t="s">
        <v>846</v>
      </c>
      <c r="J443" s="346" t="s">
        <v>341</v>
      </c>
      <c r="K443" s="346" t="s">
        <v>340</v>
      </c>
    </row>
    <row r="444" spans="1:11">
      <c r="C444" s="578" t="s">
        <v>349</v>
      </c>
      <c r="D444" s="344"/>
      <c r="E444" s="196"/>
      <c r="F444" s="510"/>
      <c r="G444" s="628">
        <f>$G$10</f>
        <v>3</v>
      </c>
      <c r="H444" s="629">
        <f>$H$10</f>
        <v>4</v>
      </c>
      <c r="I444" s="630">
        <f>$I$10</f>
        <v>5</v>
      </c>
      <c r="J444" s="510"/>
      <c r="K444" s="510"/>
    </row>
    <row r="445" spans="1:11">
      <c r="A445" s="333">
        <v>1</v>
      </c>
      <c r="B445" s="353" t="s">
        <v>56</v>
      </c>
      <c r="C445" s="353"/>
      <c r="D445" s="344"/>
      <c r="E445" s="196"/>
      <c r="G445" s="462"/>
      <c r="H445" s="463"/>
      <c r="I445" s="464"/>
    </row>
    <row r="446" spans="1:11">
      <c r="A446" s="333">
        <v>2</v>
      </c>
      <c r="B446" s="353"/>
      <c r="C446" s="511" t="s">
        <v>56</v>
      </c>
      <c r="D446" s="729" t="s">
        <v>311</v>
      </c>
      <c r="E446" s="196"/>
      <c r="F446" s="793">
        <f>[1]SCH_D2.23!$U$50+[1]SCH_D2.23!$U$53</f>
        <v>217881</v>
      </c>
      <c r="G446" s="465">
        <f>F446-SUM(H446:I446)</f>
        <v>217881</v>
      </c>
      <c r="H446" s="466">
        <f>ROUND(F446*VLOOKUP(D446,AllocTable_Functional,$H$10,FALSE),0)</f>
        <v>0</v>
      </c>
      <c r="I446" s="467">
        <f>ROUND(F446*VLOOKUP(D446,AllocTable_Functional,$I$10,FALSE),0)</f>
        <v>0</v>
      </c>
      <c r="J446" s="347">
        <f>SUM(G446:I446)</f>
        <v>217881</v>
      </c>
      <c r="K446" s="347">
        <f>F446-J446</f>
        <v>0</v>
      </c>
    </row>
    <row r="447" spans="1:11">
      <c r="A447" s="333">
        <v>3</v>
      </c>
      <c r="B447" s="353"/>
      <c r="C447" s="353" t="s">
        <v>171</v>
      </c>
      <c r="D447" s="729"/>
      <c r="E447" s="196"/>
      <c r="F447" s="348">
        <f t="shared" ref="F447:K447" si="128">SUM(F446:F446)</f>
        <v>217881</v>
      </c>
      <c r="G447" s="468">
        <f t="shared" si="128"/>
        <v>217881</v>
      </c>
      <c r="H447" s="456">
        <f t="shared" si="128"/>
        <v>0</v>
      </c>
      <c r="I447" s="469">
        <f t="shared" si="128"/>
        <v>0</v>
      </c>
      <c r="J447" s="348">
        <f t="shared" si="128"/>
        <v>217881</v>
      </c>
      <c r="K447" s="348">
        <f t="shared" si="128"/>
        <v>0</v>
      </c>
    </row>
    <row r="448" spans="1:11">
      <c r="A448" s="333">
        <v>4</v>
      </c>
      <c r="B448" s="353"/>
      <c r="C448" s="353"/>
      <c r="D448" s="729"/>
      <c r="E448" s="196"/>
      <c r="F448" s="1291"/>
      <c r="G448" s="462"/>
      <c r="H448" s="463"/>
      <c r="I448" s="464"/>
    </row>
    <row r="449" spans="1:11">
      <c r="A449" s="333">
        <v>5</v>
      </c>
      <c r="B449" s="511" t="s">
        <v>57</v>
      </c>
      <c r="C449" s="511"/>
      <c r="D449" s="729"/>
      <c r="E449" s="196"/>
      <c r="F449" s="349"/>
      <c r="G449" s="465"/>
      <c r="H449" s="466"/>
      <c r="I449" s="467"/>
      <c r="J449" s="347"/>
      <c r="K449" s="347"/>
    </row>
    <row r="450" spans="1:11">
      <c r="A450" s="333">
        <v>6</v>
      </c>
      <c r="B450" s="353"/>
      <c r="C450" s="353" t="s">
        <v>172</v>
      </c>
      <c r="D450" s="729"/>
      <c r="E450" s="196"/>
      <c r="F450" s="348">
        <f t="shared" ref="F450:K450" si="129">SUM(F449)</f>
        <v>0</v>
      </c>
      <c r="G450" s="468">
        <f t="shared" si="129"/>
        <v>0</v>
      </c>
      <c r="H450" s="456">
        <f t="shared" si="129"/>
        <v>0</v>
      </c>
      <c r="I450" s="469">
        <f t="shared" si="129"/>
        <v>0</v>
      </c>
      <c r="J450" s="348">
        <f t="shared" si="129"/>
        <v>0</v>
      </c>
      <c r="K450" s="348">
        <f t="shared" si="129"/>
        <v>0</v>
      </c>
    </row>
    <row r="451" spans="1:11">
      <c r="A451" s="333">
        <v>7</v>
      </c>
      <c r="B451" s="353"/>
      <c r="C451" s="353"/>
      <c r="D451" s="729"/>
      <c r="E451" s="196"/>
      <c r="F451" s="1291"/>
      <c r="G451" s="462"/>
      <c r="H451" s="463"/>
      <c r="I451" s="464"/>
    </row>
    <row r="452" spans="1:11">
      <c r="A452" s="333">
        <v>8</v>
      </c>
      <c r="B452" s="353" t="s">
        <v>58</v>
      </c>
      <c r="C452" s="353"/>
      <c r="D452" s="729"/>
      <c r="E452" s="196"/>
      <c r="F452" s="1291"/>
      <c r="G452" s="462"/>
      <c r="H452" s="463"/>
      <c r="I452" s="464"/>
    </row>
    <row r="453" spans="1:11">
      <c r="A453" s="333">
        <v>9</v>
      </c>
      <c r="B453" s="353"/>
      <c r="C453" s="511" t="s">
        <v>58</v>
      </c>
      <c r="D453" s="729" t="s">
        <v>312</v>
      </c>
      <c r="E453" s="196"/>
      <c r="F453" s="793">
        <f>[1]SCH_D2.23!$V$50+[1]SCH_D2.23!$V$53</f>
        <v>12074876</v>
      </c>
      <c r="G453" s="465">
        <f>F453-SUM(H453:I453)</f>
        <v>0</v>
      </c>
      <c r="H453" s="466">
        <f>ROUND(F453*VLOOKUP(D453,AllocTable_Functional,$H$10,FALSE),0)</f>
        <v>0</v>
      </c>
      <c r="I453" s="467">
        <f>ROUND(F453*VLOOKUP(D453,AllocTable_Functional,$I$10,FALSE),0)</f>
        <v>12074876</v>
      </c>
      <c r="J453" s="347">
        <f>SUM(G453:I453)</f>
        <v>12074876</v>
      </c>
      <c r="K453" s="347">
        <f>F453-J453</f>
        <v>0</v>
      </c>
    </row>
    <row r="454" spans="1:11">
      <c r="A454" s="333">
        <v>10</v>
      </c>
      <c r="B454" s="353"/>
      <c r="C454" s="353" t="s">
        <v>173</v>
      </c>
      <c r="D454" s="729"/>
      <c r="E454" s="196"/>
      <c r="F454" s="348">
        <f t="shared" ref="F454:K454" si="130">SUM(F453:F453)</f>
        <v>12074876</v>
      </c>
      <c r="G454" s="468">
        <f t="shared" si="130"/>
        <v>0</v>
      </c>
      <c r="H454" s="456">
        <f t="shared" si="130"/>
        <v>0</v>
      </c>
      <c r="I454" s="469">
        <f t="shared" si="130"/>
        <v>12074876</v>
      </c>
      <c r="J454" s="348">
        <f t="shared" si="130"/>
        <v>12074876</v>
      </c>
      <c r="K454" s="348">
        <f t="shared" si="130"/>
        <v>0</v>
      </c>
    </row>
    <row r="455" spans="1:11">
      <c r="A455" s="333">
        <v>11</v>
      </c>
      <c r="B455" s="353"/>
      <c r="C455" s="353"/>
      <c r="D455" s="729"/>
      <c r="E455" s="196"/>
      <c r="F455" s="1291" t="s">
        <v>343</v>
      </c>
      <c r="G455" s="462"/>
      <c r="H455" s="463"/>
      <c r="I455" s="464"/>
    </row>
    <row r="456" spans="1:11">
      <c r="A456" s="333">
        <v>12</v>
      </c>
      <c r="B456" s="353" t="s">
        <v>59</v>
      </c>
      <c r="C456" s="353"/>
      <c r="D456" s="729"/>
      <c r="E456" s="196"/>
      <c r="F456" s="1291"/>
      <c r="G456" s="462"/>
      <c r="H456" s="463"/>
      <c r="I456" s="464"/>
    </row>
    <row r="457" spans="1:11">
      <c r="A457" s="333">
        <v>13</v>
      </c>
      <c r="B457" s="353"/>
      <c r="C457" s="511" t="s">
        <v>59</v>
      </c>
      <c r="D457" s="729" t="s">
        <v>313</v>
      </c>
      <c r="E457" s="196"/>
      <c r="F457" s="793">
        <f>[1]SCH_D2.23!$W$50+[1]SCH_D2.23!$W$53</f>
        <v>2195008</v>
      </c>
      <c r="G457" s="465">
        <f>F457-SUM(H457:I457)</f>
        <v>226854</v>
      </c>
      <c r="H457" s="466">
        <f>ROUND(F457*VLOOKUP(D457,AllocTable_Functional,$H$10,FALSE),0)</f>
        <v>0</v>
      </c>
      <c r="I457" s="467">
        <f>ROUND(F457*VLOOKUP(D457,AllocTable_Functional,$I$10,FALSE),0)</f>
        <v>1968154</v>
      </c>
      <c r="J457" s="347">
        <f>SUM(G457:I457)</f>
        <v>2195008</v>
      </c>
      <c r="K457" s="347">
        <f>F457-J457</f>
        <v>0</v>
      </c>
    </row>
    <row r="458" spans="1:11">
      <c r="A458" s="333">
        <v>14</v>
      </c>
      <c r="B458" s="353"/>
      <c r="C458" s="353" t="s">
        <v>174</v>
      </c>
      <c r="D458" s="729"/>
      <c r="E458" s="196"/>
      <c r="F458" s="348">
        <f t="shared" ref="F458:K458" si="131">SUM(F457:F457)</f>
        <v>2195008</v>
      </c>
      <c r="G458" s="468">
        <f t="shared" si="131"/>
        <v>226854</v>
      </c>
      <c r="H458" s="456">
        <f t="shared" si="131"/>
        <v>0</v>
      </c>
      <c r="I458" s="469">
        <f t="shared" si="131"/>
        <v>1968154</v>
      </c>
      <c r="J458" s="348">
        <f t="shared" si="131"/>
        <v>2195008</v>
      </c>
      <c r="K458" s="348">
        <f t="shared" si="131"/>
        <v>0</v>
      </c>
    </row>
    <row r="459" spans="1:11">
      <c r="A459" s="333">
        <v>15</v>
      </c>
      <c r="B459" s="353"/>
      <c r="C459" s="353"/>
      <c r="D459" s="729"/>
      <c r="E459" s="196"/>
      <c r="F459" s="1291"/>
      <c r="G459" s="462"/>
      <c r="H459" s="463"/>
      <c r="I459" s="464"/>
    </row>
    <row r="460" spans="1:11">
      <c r="A460" s="333">
        <v>16</v>
      </c>
      <c r="B460" s="353" t="s">
        <v>60</v>
      </c>
      <c r="C460" s="353"/>
      <c r="D460" s="729"/>
      <c r="E460" s="196"/>
      <c r="F460" s="476"/>
      <c r="G460" s="465"/>
      <c r="H460" s="466"/>
      <c r="I460" s="467"/>
      <c r="J460" s="347"/>
      <c r="K460" s="347"/>
    </row>
    <row r="461" spans="1:11">
      <c r="A461" s="333">
        <v>17</v>
      </c>
      <c r="B461" s="353"/>
      <c r="C461" s="511" t="s">
        <v>175</v>
      </c>
      <c r="D461" s="732" t="s">
        <v>314</v>
      </c>
      <c r="E461" s="196"/>
      <c r="F461" s="793">
        <f>[1]SCH_D2.23!$X$53</f>
        <v>127427.06759999999</v>
      </c>
      <c r="G461" s="465">
        <f>F461-SUM(H461:I461)</f>
        <v>13170.067599999995</v>
      </c>
      <c r="H461" s="466">
        <f>ROUND(F461*VLOOKUP(D461,AllocTable_Functional,$H$10,FALSE),0)</f>
        <v>0</v>
      </c>
      <c r="I461" s="467">
        <f>ROUND(F461*VLOOKUP(D461,AllocTable_Functional,$I$10,FALSE),0)</f>
        <v>114257</v>
      </c>
      <c r="J461" s="347">
        <f>SUM(G461:I461)</f>
        <v>127427.06759999999</v>
      </c>
      <c r="K461" s="347">
        <f>F461-J461</f>
        <v>0</v>
      </c>
    </row>
    <row r="462" spans="1:11">
      <c r="A462" s="333">
        <v>18</v>
      </c>
      <c r="B462" s="353"/>
      <c r="C462" s="353" t="s">
        <v>176</v>
      </c>
      <c r="D462" s="729"/>
      <c r="E462" s="196"/>
      <c r="F462" s="348">
        <f t="shared" ref="F462:K462" si="132">SUM(F461:F461)</f>
        <v>127427.06759999999</v>
      </c>
      <c r="G462" s="468">
        <f t="shared" si="132"/>
        <v>13170.067599999995</v>
      </c>
      <c r="H462" s="456">
        <f t="shared" si="132"/>
        <v>0</v>
      </c>
      <c r="I462" s="469">
        <f t="shared" si="132"/>
        <v>114257</v>
      </c>
      <c r="J462" s="348">
        <f t="shared" si="132"/>
        <v>127427.06759999999</v>
      </c>
      <c r="K462" s="348">
        <f t="shared" si="132"/>
        <v>0</v>
      </c>
    </row>
    <row r="463" spans="1:11">
      <c r="A463" s="333">
        <v>19</v>
      </c>
      <c r="B463" s="353"/>
      <c r="C463" s="353"/>
      <c r="D463" s="729"/>
      <c r="E463" s="196"/>
      <c r="G463" s="462"/>
      <c r="H463" s="463"/>
      <c r="I463" s="464"/>
    </row>
    <row r="464" spans="1:11">
      <c r="A464" s="333">
        <v>20</v>
      </c>
      <c r="B464" s="353"/>
      <c r="C464" s="353"/>
      <c r="D464" s="344"/>
      <c r="E464" s="196"/>
      <c r="G464" s="462"/>
      <c r="H464" s="463"/>
      <c r="I464" s="464"/>
    </row>
    <row r="465" spans="1:12">
      <c r="A465" s="333">
        <v>21</v>
      </c>
      <c r="B465" s="353" t="s">
        <v>61</v>
      </c>
      <c r="C465" s="353"/>
      <c r="D465" s="344"/>
      <c r="E465" s="332" t="s">
        <v>343</v>
      </c>
      <c r="F465" s="347">
        <f t="shared" ref="F465:K465" si="133">F462+F458+F454+F450+F447</f>
        <v>14615192.067600001</v>
      </c>
      <c r="G465" s="484">
        <f t="shared" si="133"/>
        <v>457905.06760000001</v>
      </c>
      <c r="H465" s="485">
        <f t="shared" si="133"/>
        <v>0</v>
      </c>
      <c r="I465" s="486">
        <f t="shared" si="133"/>
        <v>14157287</v>
      </c>
      <c r="J465" s="347">
        <f t="shared" si="133"/>
        <v>14615192.067600001</v>
      </c>
      <c r="K465" s="347">
        <f t="shared" si="133"/>
        <v>0</v>
      </c>
    </row>
    <row r="466" spans="1:12">
      <c r="B466" s="343"/>
      <c r="C466" s="196"/>
      <c r="D466" s="344"/>
      <c r="E466" s="196"/>
      <c r="F466" s="196"/>
      <c r="G466" s="196"/>
      <c r="H466" s="196"/>
      <c r="I466" s="196"/>
      <c r="J466" s="196"/>
      <c r="K466" s="196"/>
    </row>
    <row r="467" spans="1:12">
      <c r="A467" s="343" t="str">
        <f>co_name</f>
        <v>DUKE ENERGY KENTUCKY, INC.</v>
      </c>
      <c r="C467" s="196"/>
      <c r="D467" s="344"/>
      <c r="E467" s="196"/>
      <c r="F467" s="196"/>
      <c r="G467" s="196"/>
      <c r="H467" s="196"/>
      <c r="I467" s="196"/>
      <c r="J467" s="196" t="str">
        <f>$J$1</f>
        <v>FR-16(7)(v)-1</v>
      </c>
      <c r="K467" s="196"/>
    </row>
    <row r="468" spans="1:12">
      <c r="A468" s="343" t="str">
        <f>$A$2</f>
        <v>FUNCTIONAL GAS COST OF SERVICE</v>
      </c>
      <c r="C468" s="196"/>
      <c r="D468" s="344"/>
      <c r="E468" s="196"/>
      <c r="F468" s="196"/>
      <c r="G468" s="196"/>
      <c r="H468" s="196"/>
      <c r="I468" s="196"/>
      <c r="J468" s="196" t="str">
        <f>$J$2</f>
        <v>WITNESS RESPONSIBLE:</v>
      </c>
      <c r="K468" s="196"/>
    </row>
    <row r="469" spans="1:12">
      <c r="A469" s="343" t="str">
        <f>case_name</f>
        <v>CASE NO: 2018-00261</v>
      </c>
      <c r="C469" s="196"/>
      <c r="D469" s="344"/>
      <c r="E469" s="196"/>
      <c r="F469" s="196"/>
      <c r="G469" s="196"/>
      <c r="H469" s="196"/>
      <c r="I469" s="196"/>
      <c r="J469" s="196" t="str">
        <f>Witness</f>
        <v>JAMES E. ZIOLKOWSKI</v>
      </c>
      <c r="K469" s="196"/>
    </row>
    <row r="470" spans="1:12">
      <c r="A470" s="343" t="str">
        <f>data_filing</f>
        <v>DATA: 12 MONTH FORECASTED PERIOD</v>
      </c>
      <c r="C470" s="196"/>
      <c r="D470" s="344"/>
      <c r="E470" s="196"/>
      <c r="F470" s="196"/>
      <c r="G470" s="196"/>
      <c r="H470" s="196"/>
      <c r="I470" s="196"/>
      <c r="J470" s="196" t="str">
        <f>"PAGE "&amp;Pages-7&amp;" OF "&amp;Pages</f>
        <v>PAGE 11 OF 18</v>
      </c>
      <c r="K470" s="196"/>
    </row>
    <row r="471" spans="1:12">
      <c r="A471" s="343" t="str">
        <f>type</f>
        <v xml:space="preserve">TYPE OF FILING: "X" ORIGINAL   UPDATED    REVISED  </v>
      </c>
      <c r="C471" s="196"/>
      <c r="D471" s="344"/>
      <c r="E471" s="196"/>
      <c r="F471" s="196"/>
      <c r="G471" s="196"/>
      <c r="H471" s="196"/>
      <c r="I471" s="196"/>
      <c r="J471" s="196"/>
      <c r="K471" s="196"/>
    </row>
    <row r="472" spans="1:12">
      <c r="B472" s="343"/>
      <c r="C472" s="196"/>
      <c r="D472" s="344"/>
      <c r="E472" s="196"/>
      <c r="F472" s="196"/>
      <c r="G472" s="196"/>
      <c r="H472" s="196"/>
      <c r="I472" s="196"/>
      <c r="J472" s="196"/>
      <c r="K472" s="196"/>
    </row>
    <row r="473" spans="1:12">
      <c r="B473" s="343"/>
      <c r="C473" s="196"/>
      <c r="D473" s="344"/>
      <c r="E473" s="196"/>
      <c r="F473" s="196"/>
      <c r="G473" s="196"/>
      <c r="H473" s="196"/>
      <c r="I473" s="196"/>
      <c r="J473" s="196"/>
      <c r="K473" s="196"/>
    </row>
    <row r="474" spans="1:12">
      <c r="A474" s="344" t="s">
        <v>914</v>
      </c>
      <c r="B474" s="196"/>
      <c r="C474" s="196"/>
      <c r="D474" s="344"/>
      <c r="E474" s="196"/>
      <c r="F474" s="344" t="s">
        <v>229</v>
      </c>
      <c r="G474" s="473" t="s">
        <v>981</v>
      </c>
      <c r="H474" s="474"/>
      <c r="I474" s="475"/>
      <c r="J474" s="344" t="s">
        <v>229</v>
      </c>
      <c r="K474" s="344" t="s">
        <v>342</v>
      </c>
    </row>
    <row r="475" spans="1:12">
      <c r="A475" s="346" t="s">
        <v>915</v>
      </c>
      <c r="B475" s="345" t="s">
        <v>62</v>
      </c>
      <c r="C475" s="345"/>
      <c r="D475" s="346" t="s">
        <v>337</v>
      </c>
      <c r="E475" s="345"/>
      <c r="F475" s="346" t="s">
        <v>284</v>
      </c>
      <c r="G475" s="460" t="s">
        <v>845</v>
      </c>
      <c r="H475" s="455" t="s">
        <v>980</v>
      </c>
      <c r="I475" s="461" t="s">
        <v>846</v>
      </c>
      <c r="J475" s="346" t="s">
        <v>341</v>
      </c>
      <c r="K475" s="346" t="s">
        <v>340</v>
      </c>
      <c r="L475" s="365"/>
    </row>
    <row r="476" spans="1:12">
      <c r="C476" s="578" t="s">
        <v>350</v>
      </c>
      <c r="D476" s="344"/>
      <c r="E476" s="196"/>
      <c r="F476" s="510"/>
      <c r="G476" s="628">
        <f>$G$10</f>
        <v>3</v>
      </c>
      <c r="H476" s="629">
        <f>$H$10</f>
        <v>4</v>
      </c>
      <c r="I476" s="630">
        <f>$I$10</f>
        <v>5</v>
      </c>
      <c r="J476" s="510"/>
      <c r="K476" s="510"/>
    </row>
    <row r="477" spans="1:12">
      <c r="A477" s="333">
        <v>1</v>
      </c>
      <c r="B477" s="332" t="s">
        <v>63</v>
      </c>
      <c r="D477" s="344"/>
      <c r="E477" s="196"/>
      <c r="G477" s="462"/>
      <c r="H477" s="463"/>
      <c r="I477" s="464"/>
    </row>
    <row r="478" spans="1:12">
      <c r="A478" s="333">
        <v>2</v>
      </c>
      <c r="B478" s="332" t="s">
        <v>64</v>
      </c>
      <c r="D478" s="344"/>
      <c r="E478" s="196"/>
      <c r="G478" s="462"/>
      <c r="H478" s="463"/>
      <c r="I478" s="464"/>
    </row>
    <row r="479" spans="1:12">
      <c r="A479" s="333">
        <v>3</v>
      </c>
      <c r="C479" s="332" t="s">
        <v>177</v>
      </c>
      <c r="D479" s="729" t="s">
        <v>315</v>
      </c>
      <c r="E479" s="196"/>
      <c r="F479" s="794">
        <f>'[1]SCH_C2.1 - Forecasted Period'!$J$275+'[1]SCH_C2.1 - Forecasted Period'!$J$277+[1]SCH_D1!$AE$242</f>
        <v>3388723</v>
      </c>
      <c r="G479" s="465">
        <f>F479-SUM(H479:I479)</f>
        <v>24941</v>
      </c>
      <c r="H479" s="466">
        <f>ROUND(F479*VLOOKUP(D479,AllocTable_Functional,$H$10,FALSE),0)</f>
        <v>0</v>
      </c>
      <c r="I479" s="467">
        <f>ROUND(F479*VLOOKUP(D479,AllocTable_Functional,$I$10,FALSE),0)</f>
        <v>3363782</v>
      </c>
      <c r="J479" s="347">
        <f>SUM($G$479:$I$479)</f>
        <v>3388723</v>
      </c>
      <c r="K479" s="347">
        <f>F479-$J$479</f>
        <v>0</v>
      </c>
    </row>
    <row r="480" spans="1:12">
      <c r="A480" s="333">
        <v>4</v>
      </c>
      <c r="C480" s="359" t="s">
        <v>178</v>
      </c>
      <c r="D480" s="729" t="s">
        <v>315</v>
      </c>
      <c r="E480" s="196" t="s">
        <v>343</v>
      </c>
      <c r="F480" s="793">
        <v>0</v>
      </c>
      <c r="G480" s="465">
        <f>F480-SUM(H480:I480)</f>
        <v>0</v>
      </c>
      <c r="H480" s="466">
        <f>ROUND(F480*VLOOKUP(D480,AllocTable_Functional,$H$10,FALSE),0)</f>
        <v>0</v>
      </c>
      <c r="I480" s="467">
        <f>ROUND(F480*VLOOKUP(D480,AllocTable_Functional,$I$10,FALSE),0)</f>
        <v>0</v>
      </c>
      <c r="J480" s="347">
        <f>SUM($G$480:$I$480)</f>
        <v>0</v>
      </c>
      <c r="K480" s="347">
        <f>F480-$J$480</f>
        <v>0</v>
      </c>
    </row>
    <row r="481" spans="1:11">
      <c r="A481" s="333">
        <v>5</v>
      </c>
      <c r="C481" s="332" t="s">
        <v>1252</v>
      </c>
      <c r="D481" s="729"/>
      <c r="E481" s="196"/>
      <c r="F481" s="348">
        <f>SUM(F479:F480)</f>
        <v>3388723</v>
      </c>
      <c r="G481" s="468">
        <f>SUM($G$479:$G$480)</f>
        <v>24941</v>
      </c>
      <c r="H481" s="456">
        <f>SUM($H$479:$H$480)</f>
        <v>0</v>
      </c>
      <c r="I481" s="469">
        <f>SUM($I$479:$I$480)</f>
        <v>3363782</v>
      </c>
      <c r="J481" s="348">
        <f>SUM($J$479:$J$480)</f>
        <v>3388723</v>
      </c>
      <c r="K481" s="348">
        <f>SUM($K$479:$K$480)</f>
        <v>0</v>
      </c>
    </row>
    <row r="482" spans="1:11">
      <c r="A482" s="333">
        <v>6</v>
      </c>
      <c r="D482" s="729"/>
      <c r="E482" s="196"/>
      <c r="F482" s="1291"/>
      <c r="G482" s="462"/>
      <c r="H482" s="463"/>
      <c r="I482" s="464"/>
    </row>
    <row r="483" spans="1:11">
      <c r="A483" s="333">
        <v>7</v>
      </c>
      <c r="B483" s="332" t="s">
        <v>65</v>
      </c>
      <c r="D483" s="729"/>
      <c r="E483" s="196"/>
      <c r="F483" s="1291"/>
      <c r="G483" s="462"/>
      <c r="H483" s="463"/>
      <c r="I483" s="464"/>
    </row>
    <row r="484" spans="1:11">
      <c r="A484" s="333">
        <v>8</v>
      </c>
      <c r="C484" s="332" t="s">
        <v>179</v>
      </c>
      <c r="D484" s="729" t="s">
        <v>1015</v>
      </c>
      <c r="E484" s="196"/>
      <c r="F484" s="794">
        <f>'[1]SCH_C2.1 - Forecasted Period'!$J$282</f>
        <v>708964</v>
      </c>
      <c r="G484" s="465">
        <f>F484-SUM(H484:I484)</f>
        <v>73271</v>
      </c>
      <c r="H484" s="466">
        <f>ROUND(F484*VLOOKUP(D484,AllocTable_Functional,$H$10,FALSE),0)</f>
        <v>0</v>
      </c>
      <c r="I484" s="467">
        <f>ROUND(F484*VLOOKUP(D484,AllocTable_Functional,$I$10,FALSE),0)</f>
        <v>635693</v>
      </c>
      <c r="J484" s="347">
        <f>SUM($G$484:$I$484)</f>
        <v>708964</v>
      </c>
      <c r="K484" s="347">
        <f>F484-$J$484</f>
        <v>0</v>
      </c>
    </row>
    <row r="485" spans="1:11">
      <c r="A485" s="333">
        <v>9</v>
      </c>
      <c r="C485" s="332" t="s">
        <v>391</v>
      </c>
      <c r="D485" s="729" t="s">
        <v>1015</v>
      </c>
      <c r="E485" s="196"/>
      <c r="F485" s="793">
        <v>0</v>
      </c>
      <c r="G485" s="465">
        <f>F485-SUM(H485:I485)</f>
        <v>0</v>
      </c>
      <c r="H485" s="466">
        <f>ROUND(F485*VLOOKUP(D485,AllocTable_Functional,$H$10,FALSE),0)</f>
        <v>0</v>
      </c>
      <c r="I485" s="467">
        <f>ROUND(F485*VLOOKUP(D485,AllocTable_Functional,$I$10,FALSE),0)</f>
        <v>0</v>
      </c>
      <c r="J485" s="347">
        <f>SUM($G$485:$I$485)</f>
        <v>0</v>
      </c>
      <c r="K485" s="347">
        <f>F485-$J$485</f>
        <v>0</v>
      </c>
    </row>
    <row r="486" spans="1:11">
      <c r="A486" s="333">
        <v>10</v>
      </c>
      <c r="C486" s="332" t="s">
        <v>535</v>
      </c>
      <c r="D486" s="732" t="s">
        <v>325</v>
      </c>
      <c r="E486" s="196"/>
      <c r="F486" s="793">
        <v>0</v>
      </c>
      <c r="G486" s="465">
        <f>F486-SUM(H486:I486)</f>
        <v>0</v>
      </c>
      <c r="H486" s="466">
        <f>ROUND(F486*VLOOKUP(D486,AllocTable_Functional,$H$10,FALSE),0)</f>
        <v>0</v>
      </c>
      <c r="I486" s="467">
        <f>ROUND(F486*VLOOKUP(D486,AllocTable_Functional,$I$10,FALSE),0)</f>
        <v>0</v>
      </c>
      <c r="J486" s="347">
        <f>SUM($G$486:$I$486)</f>
        <v>0</v>
      </c>
      <c r="K486" s="347">
        <f>F486-$J$486</f>
        <v>0</v>
      </c>
    </row>
    <row r="487" spans="1:11">
      <c r="A487" s="333">
        <v>11</v>
      </c>
      <c r="C487" s="359" t="s">
        <v>536</v>
      </c>
      <c r="D487" s="732" t="s">
        <v>325</v>
      </c>
      <c r="E487" s="196"/>
      <c r="F487" s="793">
        <v>0</v>
      </c>
      <c r="G487" s="465">
        <f>F487-SUM(H487:I487)</f>
        <v>0</v>
      </c>
      <c r="H487" s="466">
        <f>ROUND(F487*VLOOKUP(D487,AllocTable_Functional,$H$10,FALSE),0)</f>
        <v>0</v>
      </c>
      <c r="I487" s="467">
        <f>ROUND(F487*VLOOKUP(D487,AllocTable_Functional,$I$10,FALSE),0)</f>
        <v>0</v>
      </c>
      <c r="J487" s="347">
        <f>SUM($G$487:$I$487)</f>
        <v>0</v>
      </c>
      <c r="K487" s="347">
        <f>F487-$J$487</f>
        <v>0</v>
      </c>
    </row>
    <row r="488" spans="1:11">
      <c r="A488" s="333">
        <v>12</v>
      </c>
      <c r="C488" s="332" t="s">
        <v>180</v>
      </c>
      <c r="D488" s="732"/>
      <c r="E488" s="196"/>
      <c r="F488" s="348">
        <f>SUM(F484:F487)</f>
        <v>708964</v>
      </c>
      <c r="G488" s="468">
        <f>SUM($G$484:$G$487)</f>
        <v>73271</v>
      </c>
      <c r="H488" s="456">
        <f>SUM($H$484:$H$487)</f>
        <v>0</v>
      </c>
      <c r="I488" s="469">
        <f>SUM($I$484:$I$487)</f>
        <v>635693</v>
      </c>
      <c r="J488" s="348">
        <f>SUM($J$484:$J$487)</f>
        <v>708964</v>
      </c>
      <c r="K488" s="348">
        <f>SUM($K$484:$K$487)</f>
        <v>0</v>
      </c>
    </row>
    <row r="489" spans="1:11">
      <c r="A489" s="333">
        <v>13</v>
      </c>
      <c r="D489" s="732"/>
      <c r="E489" s="196"/>
      <c r="F489" s="1291"/>
      <c r="G489" s="462"/>
      <c r="H489" s="463"/>
      <c r="I489" s="464"/>
    </row>
    <row r="490" spans="1:11">
      <c r="A490" s="333">
        <v>14</v>
      </c>
      <c r="B490" s="332" t="s">
        <v>66</v>
      </c>
      <c r="D490" s="732"/>
      <c r="E490" s="196"/>
      <c r="F490" s="1291"/>
      <c r="G490" s="462"/>
      <c r="H490" s="463"/>
      <c r="I490" s="464"/>
    </row>
    <row r="491" spans="1:11">
      <c r="A491" s="333">
        <v>15</v>
      </c>
      <c r="C491" s="652" t="s">
        <v>1494</v>
      </c>
      <c r="D491" s="775" t="s">
        <v>1015</v>
      </c>
      <c r="E491" s="196"/>
      <c r="F491" s="1489">
        <f>[1]SCH_C1!$G$22</f>
        <v>21084</v>
      </c>
      <c r="G491" s="465">
        <f>F491-SUM(H491:I491)</f>
        <v>2179</v>
      </c>
      <c r="H491" s="466">
        <f>ROUND(F491*VLOOKUP(D491,AllocTable_Functional,$H$10,FALSE),0)</f>
        <v>0</v>
      </c>
      <c r="I491" s="467">
        <f>ROUND(F491*VLOOKUP(D491,AllocTable_Functional,$I$10,FALSE),0)</f>
        <v>18905</v>
      </c>
      <c r="J491" s="347">
        <f>SUM($G$491:$I$491)</f>
        <v>21084</v>
      </c>
      <c r="K491" s="347">
        <f>F491-$J$491</f>
        <v>0</v>
      </c>
    </row>
    <row r="492" spans="1:11">
      <c r="A492" s="333">
        <v>16</v>
      </c>
      <c r="C492" s="359" t="s">
        <v>1171</v>
      </c>
      <c r="D492" s="775" t="str">
        <f>D491</f>
        <v>AG39</v>
      </c>
      <c r="E492" s="196"/>
      <c r="F492" s="1040">
        <v>0</v>
      </c>
      <c r="G492" s="465">
        <f>F492-SUM(H492:I492)</f>
        <v>0</v>
      </c>
      <c r="H492" s="466">
        <f>ROUND(F492*VLOOKUP(D492,AllocTable_Functional,$H$10,FALSE),0)</f>
        <v>0</v>
      </c>
      <c r="I492" s="467">
        <f>ROUND(F492*VLOOKUP(D492,AllocTable_Functional,$I$10,FALSE),0)</f>
        <v>0</v>
      </c>
      <c r="J492" s="347">
        <f>SUM($G$492:$I$492)</f>
        <v>0</v>
      </c>
      <c r="K492" s="347">
        <f>F492-$J$492</f>
        <v>0</v>
      </c>
    </row>
    <row r="493" spans="1:11">
      <c r="A493" s="333">
        <v>17</v>
      </c>
      <c r="C493" s="332" t="s">
        <v>181</v>
      </c>
      <c r="D493" s="732"/>
      <c r="E493" s="196"/>
      <c r="F493" s="480">
        <f>SUM(F491:F492)</f>
        <v>21084</v>
      </c>
      <c r="G493" s="468">
        <f>SUM($G$491:$G$492)</f>
        <v>2179</v>
      </c>
      <c r="H493" s="456">
        <f>SUM($H$491:$H$492)</f>
        <v>0</v>
      </c>
      <c r="I493" s="469">
        <f>SUM($I$491:$I$492)</f>
        <v>18905</v>
      </c>
      <c r="J493" s="348">
        <f>SUM($J$491:$J$492)</f>
        <v>21084</v>
      </c>
      <c r="K493" s="348">
        <f>SUM($K$491:$K$492)</f>
        <v>0</v>
      </c>
    </row>
    <row r="494" spans="1:11">
      <c r="A494" s="333">
        <v>18</v>
      </c>
      <c r="D494" s="344"/>
      <c r="E494" s="196"/>
      <c r="F494" s="335"/>
      <c r="G494" s="462"/>
      <c r="H494" s="463"/>
      <c r="I494" s="464"/>
    </row>
    <row r="495" spans="1:11">
      <c r="A495" s="333">
        <v>19</v>
      </c>
      <c r="B495" s="332" t="s">
        <v>67</v>
      </c>
      <c r="D495" s="344"/>
      <c r="E495" s="196" t="s">
        <v>343</v>
      </c>
      <c r="F495" s="347">
        <f>F488+F481+F493</f>
        <v>4118771</v>
      </c>
      <c r="G495" s="465">
        <f>$G$488+$G$481+$G$493</f>
        <v>100391</v>
      </c>
      <c r="H495" s="466">
        <f>$H$488+$H$481+$H$493</f>
        <v>0</v>
      </c>
      <c r="I495" s="467">
        <f>$I$488+$I$481+$I$493</f>
        <v>4018380</v>
      </c>
      <c r="J495" s="347">
        <f>$J$488+$J$481+$J$493</f>
        <v>4118771</v>
      </c>
      <c r="K495" s="347">
        <f>$K$488+$K$481+$K$493</f>
        <v>0</v>
      </c>
    </row>
    <row r="496" spans="1:11">
      <c r="A496" s="333">
        <v>20</v>
      </c>
      <c r="D496" s="344"/>
      <c r="E496" s="196"/>
      <c r="G496" s="462"/>
      <c r="H496" s="463"/>
      <c r="I496" s="464"/>
    </row>
    <row r="497" spans="1:11">
      <c r="A497" s="333">
        <v>21</v>
      </c>
      <c r="B497" s="332" t="s">
        <v>40</v>
      </c>
      <c r="D497" s="344"/>
      <c r="E497" s="196"/>
      <c r="G497" s="462"/>
      <c r="H497" s="463"/>
      <c r="I497" s="464"/>
    </row>
    <row r="498" spans="1:11">
      <c r="A498" s="333">
        <v>22</v>
      </c>
      <c r="C498" s="332" t="s">
        <v>182</v>
      </c>
      <c r="D498" s="344"/>
      <c r="E498" s="196"/>
      <c r="F498" s="347">
        <f t="shared" ref="F498:K498" si="134">F433</f>
        <v>60507968</v>
      </c>
      <c r="G498" s="465">
        <f t="shared" si="134"/>
        <v>38032691</v>
      </c>
      <c r="H498" s="466">
        <f t="shared" si="134"/>
        <v>0</v>
      </c>
      <c r="I498" s="467">
        <f t="shared" si="134"/>
        <v>22475277</v>
      </c>
      <c r="J498" s="347">
        <f t="shared" si="134"/>
        <v>60507968</v>
      </c>
      <c r="K498" s="347">
        <f t="shared" si="134"/>
        <v>0</v>
      </c>
    </row>
    <row r="499" spans="1:11">
      <c r="A499" s="333">
        <v>23</v>
      </c>
      <c r="C499" s="332" t="s">
        <v>61</v>
      </c>
      <c r="D499" s="344"/>
      <c r="E499" s="196"/>
      <c r="F499" s="347">
        <f t="shared" ref="F499:K499" si="135">F465</f>
        <v>14615192.067600001</v>
      </c>
      <c r="G499" s="465">
        <f t="shared" si="135"/>
        <v>457905.06760000001</v>
      </c>
      <c r="H499" s="466">
        <f t="shared" si="135"/>
        <v>0</v>
      </c>
      <c r="I499" s="467">
        <f t="shared" si="135"/>
        <v>14157287</v>
      </c>
      <c r="J499" s="347">
        <f t="shared" si="135"/>
        <v>14615192.067600001</v>
      </c>
      <c r="K499" s="347">
        <f t="shared" si="135"/>
        <v>0</v>
      </c>
    </row>
    <row r="500" spans="1:11">
      <c r="A500" s="333">
        <v>24</v>
      </c>
      <c r="C500" s="359" t="s">
        <v>67</v>
      </c>
      <c r="D500" s="344"/>
      <c r="E500" s="196"/>
      <c r="F500" s="347">
        <f>F495</f>
        <v>4118771</v>
      </c>
      <c r="G500" s="465">
        <f>$G$495</f>
        <v>100391</v>
      </c>
      <c r="H500" s="466">
        <f>$H$495</f>
        <v>0</v>
      </c>
      <c r="I500" s="467">
        <f>$I$495</f>
        <v>4018380</v>
      </c>
      <c r="J500" s="347">
        <f>$J$495</f>
        <v>4118771</v>
      </c>
      <c r="K500" s="347">
        <f>K238</f>
        <v>0</v>
      </c>
    </row>
    <row r="501" spans="1:11">
      <c r="A501" s="333">
        <v>25</v>
      </c>
      <c r="C501" s="332" t="s">
        <v>1032</v>
      </c>
      <c r="D501" s="344"/>
      <c r="E501" s="196"/>
      <c r="F501" s="348">
        <f>SUM(F498:F500)</f>
        <v>79241931.067599997</v>
      </c>
      <c r="G501" s="498">
        <f>SUM($G$498:$G$500)</f>
        <v>38590987.067599997</v>
      </c>
      <c r="H501" s="499">
        <f>SUM($H$498:$H$500)</f>
        <v>0</v>
      </c>
      <c r="I501" s="500">
        <f>SUM($I$498:$I$500)</f>
        <v>40650944</v>
      </c>
      <c r="J501" s="348">
        <f>SUM($J$498:$J$500)</f>
        <v>79241931.067599997</v>
      </c>
      <c r="K501" s="348">
        <f>SUM($K$498:$K$500)</f>
        <v>0</v>
      </c>
    </row>
    <row r="502" spans="1:11">
      <c r="B502" s="343"/>
      <c r="C502" s="196"/>
      <c r="D502" s="344"/>
      <c r="E502" s="196"/>
      <c r="F502" s="196"/>
      <c r="G502" s="196"/>
      <c r="H502" s="196"/>
      <c r="I502" s="196"/>
      <c r="J502" s="196"/>
      <c r="K502" s="196"/>
    </row>
    <row r="503" spans="1:11">
      <c r="A503" s="343" t="str">
        <f>co_name</f>
        <v>DUKE ENERGY KENTUCKY, INC.</v>
      </c>
      <c r="C503" s="196"/>
      <c r="D503" s="344"/>
      <c r="E503" s="196"/>
      <c r="F503" s="196"/>
      <c r="G503" s="196"/>
      <c r="H503" s="196"/>
      <c r="I503" s="196"/>
      <c r="J503" s="196" t="str">
        <f>$J$1</f>
        <v>FR-16(7)(v)-1</v>
      </c>
      <c r="K503" s="196"/>
    </row>
    <row r="504" spans="1:11">
      <c r="A504" s="343" t="str">
        <f>$A$2</f>
        <v>FUNCTIONAL GAS COST OF SERVICE</v>
      </c>
      <c r="C504" s="196"/>
      <c r="D504" s="344"/>
      <c r="E504" s="196"/>
      <c r="F504" s="196"/>
      <c r="G504" s="196"/>
      <c r="H504" s="196"/>
      <c r="I504" s="196"/>
      <c r="J504" s="196" t="str">
        <f>$J$2</f>
        <v>WITNESS RESPONSIBLE:</v>
      </c>
      <c r="K504" s="196"/>
    </row>
    <row r="505" spans="1:11">
      <c r="A505" s="343" t="str">
        <f>case_name</f>
        <v>CASE NO: 2018-00261</v>
      </c>
      <c r="C505" s="196"/>
      <c r="D505" s="344"/>
      <c r="E505" s="196"/>
      <c r="F505" s="196"/>
      <c r="G505" s="196"/>
      <c r="H505" s="196"/>
      <c r="I505" s="196"/>
      <c r="J505" s="196" t="str">
        <f>Witness</f>
        <v>JAMES E. ZIOLKOWSKI</v>
      </c>
      <c r="K505" s="196"/>
    </row>
    <row r="506" spans="1:11">
      <c r="A506" s="343" t="str">
        <f>data_filing</f>
        <v>DATA: 12 MONTH FORECASTED PERIOD</v>
      </c>
      <c r="C506" s="196"/>
      <c r="D506" s="344"/>
      <c r="E506" s="196"/>
      <c r="F506" s="196"/>
      <c r="G506" s="196"/>
      <c r="H506" s="196"/>
      <c r="I506" s="196"/>
      <c r="J506" s="196" t="str">
        <f>"PAGE "&amp;Pages-6&amp;" OF "&amp;Pages</f>
        <v>PAGE 12 OF 18</v>
      </c>
      <c r="K506" s="196"/>
    </row>
    <row r="507" spans="1:11">
      <c r="A507" s="343" t="str">
        <f>type</f>
        <v xml:space="preserve">TYPE OF FILING: "X" ORIGINAL   UPDATED    REVISED  </v>
      </c>
      <c r="C507" s="196"/>
      <c r="D507" s="344"/>
      <c r="E507" s="196"/>
      <c r="F507" s="196"/>
      <c r="G507" s="196"/>
      <c r="H507" s="196"/>
      <c r="I507" s="196"/>
      <c r="J507" s="196"/>
      <c r="K507" s="196"/>
    </row>
    <row r="508" spans="1:11">
      <c r="B508" s="343"/>
      <c r="C508" s="196"/>
      <c r="D508" s="344"/>
      <c r="E508" s="196"/>
      <c r="F508" s="196"/>
      <c r="G508" s="196"/>
      <c r="H508" s="196"/>
      <c r="I508" s="196"/>
      <c r="J508" s="196"/>
      <c r="K508" s="196"/>
    </row>
    <row r="509" spans="1:11">
      <c r="B509" s="343"/>
      <c r="C509" s="196"/>
      <c r="D509" s="344"/>
      <c r="E509" s="196"/>
      <c r="F509" s="196"/>
      <c r="G509" s="196"/>
      <c r="H509" s="196"/>
      <c r="I509" s="196"/>
      <c r="J509" s="196"/>
      <c r="K509" s="196"/>
    </row>
    <row r="510" spans="1:11">
      <c r="A510" s="344" t="s">
        <v>914</v>
      </c>
      <c r="B510" s="196"/>
      <c r="C510" s="196"/>
      <c r="D510" s="344"/>
      <c r="E510" s="196"/>
      <c r="F510" s="344" t="s">
        <v>229</v>
      </c>
      <c r="G510" s="473" t="s">
        <v>981</v>
      </c>
      <c r="H510" s="474"/>
      <c r="I510" s="475"/>
      <c r="J510" s="344" t="s">
        <v>229</v>
      </c>
      <c r="K510" s="344" t="s">
        <v>342</v>
      </c>
    </row>
    <row r="511" spans="1:11">
      <c r="A511" s="346" t="s">
        <v>915</v>
      </c>
      <c r="B511" s="345" t="s">
        <v>1452</v>
      </c>
      <c r="C511" s="345"/>
      <c r="D511" s="346" t="s">
        <v>337</v>
      </c>
      <c r="E511" s="345"/>
      <c r="F511" s="346" t="s">
        <v>284</v>
      </c>
      <c r="G511" s="460" t="s">
        <v>845</v>
      </c>
      <c r="H511" s="455" t="s">
        <v>980</v>
      </c>
      <c r="I511" s="461" t="s">
        <v>846</v>
      </c>
      <c r="J511" s="346" t="s">
        <v>341</v>
      </c>
      <c r="K511" s="346" t="s">
        <v>340</v>
      </c>
    </row>
    <row r="512" spans="1:11">
      <c r="C512" s="578" t="s">
        <v>351</v>
      </c>
      <c r="D512" s="344"/>
      <c r="E512" s="196"/>
      <c r="G512" s="628">
        <f>$G$10</f>
        <v>3</v>
      </c>
      <c r="H512" s="629">
        <f>$H$10</f>
        <v>4</v>
      </c>
      <c r="I512" s="630">
        <f>$I$10</f>
        <v>5</v>
      </c>
    </row>
    <row r="513" spans="1:11">
      <c r="A513" s="333">
        <v>1</v>
      </c>
      <c r="B513" s="332" t="s">
        <v>69</v>
      </c>
      <c r="D513" s="344"/>
      <c r="E513" s="196"/>
      <c r="G513" s="462"/>
      <c r="H513" s="463"/>
      <c r="I513" s="464"/>
    </row>
    <row r="514" spans="1:11">
      <c r="A514" s="333">
        <v>2</v>
      </c>
      <c r="B514" s="332" t="s">
        <v>70</v>
      </c>
      <c r="D514" s="344"/>
      <c r="E514" s="196"/>
      <c r="F514" s="332" t="s">
        <v>343</v>
      </c>
      <c r="G514" s="462"/>
      <c r="H514" s="463"/>
      <c r="I514" s="464"/>
    </row>
    <row r="515" spans="1:11">
      <c r="A515" s="333">
        <v>3</v>
      </c>
      <c r="C515" s="359" t="s">
        <v>183</v>
      </c>
      <c r="D515" s="729" t="s">
        <v>322</v>
      </c>
      <c r="E515" s="196"/>
      <c r="F515" s="794">
        <f>-[1]SCH_E1!$Q$22</f>
        <v>6761503</v>
      </c>
      <c r="G515" s="465">
        <f>F515-SUM(H515:I515)</f>
        <v>144290</v>
      </c>
      <c r="H515" s="466">
        <f>ROUND(F515*VLOOKUP(D515,AllocTable_Functional,$H$10,FALSE),0)</f>
        <v>0</v>
      </c>
      <c r="I515" s="467">
        <f>ROUND(F515*VLOOKUP(D515,AllocTable_Functional,$I$10,FALSE),0)</f>
        <v>6617213</v>
      </c>
      <c r="J515" s="347">
        <f>SUM($G$515:$I$515)</f>
        <v>6761503</v>
      </c>
      <c r="K515" s="347">
        <f>F515-$J$515</f>
        <v>0</v>
      </c>
    </row>
    <row r="516" spans="1:11">
      <c r="A516" s="333">
        <v>4</v>
      </c>
      <c r="C516" s="332" t="s">
        <v>184</v>
      </c>
      <c r="D516" s="729"/>
      <c r="E516" s="196"/>
      <c r="F516" s="348">
        <f>F515</f>
        <v>6761503</v>
      </c>
      <c r="G516" s="468">
        <f>$G$515</f>
        <v>144290</v>
      </c>
      <c r="H516" s="456">
        <f>$H$515</f>
        <v>0</v>
      </c>
      <c r="I516" s="469">
        <f>$I$515</f>
        <v>6617213</v>
      </c>
      <c r="J516" s="348">
        <f>$J$515</f>
        <v>6761503</v>
      </c>
      <c r="K516" s="348">
        <f>$K$515</f>
        <v>0</v>
      </c>
    </row>
    <row r="517" spans="1:11">
      <c r="A517" s="333">
        <v>5</v>
      </c>
      <c r="D517" s="729"/>
      <c r="E517" s="196"/>
      <c r="F517" s="1291"/>
      <c r="G517" s="462"/>
      <c r="H517" s="463"/>
      <c r="I517" s="464"/>
    </row>
    <row r="518" spans="1:11">
      <c r="A518" s="333">
        <v>6</v>
      </c>
      <c r="B518" s="332" t="s">
        <v>71</v>
      </c>
      <c r="D518" s="729"/>
      <c r="E518" s="196"/>
      <c r="F518" s="1291"/>
      <c r="G518" s="462"/>
      <c r="H518" s="463"/>
      <c r="I518" s="464"/>
    </row>
    <row r="519" spans="1:11">
      <c r="A519" s="333">
        <v>7</v>
      </c>
      <c r="C519" s="332" t="s">
        <v>185</v>
      </c>
      <c r="D519" s="729" t="s">
        <v>330</v>
      </c>
      <c r="E519" s="196"/>
      <c r="F519" s="794">
        <f>-[1]SCH_E1!$Q$28</f>
        <v>6466130</v>
      </c>
      <c r="G519" s="465">
        <f>F519-SUM(H519:I519)</f>
        <v>202584</v>
      </c>
      <c r="H519" s="466">
        <f>ROUND(F519*VLOOKUP(D519,AllocTable_Functional,$H$10,FALSE),0)</f>
        <v>0</v>
      </c>
      <c r="I519" s="467">
        <f>ROUND(F519*VLOOKUP(D519,AllocTable_Functional,$I$10,FALSE),0)</f>
        <v>6263546</v>
      </c>
      <c r="J519" s="347">
        <f>SUM($G$519:$I$519)</f>
        <v>6466130</v>
      </c>
      <c r="K519" s="347">
        <f>F519-$J$519</f>
        <v>0</v>
      </c>
    </row>
    <row r="520" spans="1:11">
      <c r="A520" s="333">
        <v>8</v>
      </c>
      <c r="C520" s="332" t="s">
        <v>538</v>
      </c>
      <c r="D520" s="729" t="s">
        <v>1015</v>
      </c>
      <c r="E520" s="196"/>
      <c r="F520" s="794">
        <f>-[1]SCH_E1!$Q$24</f>
        <v>-99651</v>
      </c>
      <c r="G520" s="465">
        <f>F520-SUM(H520:I520)</f>
        <v>-10299</v>
      </c>
      <c r="H520" s="466">
        <f>ROUND(F520*VLOOKUP(D520,AllocTable_Functional,$H$10,FALSE),0)</f>
        <v>0</v>
      </c>
      <c r="I520" s="467">
        <f>ROUND(F520*VLOOKUP(D520,AllocTable_Functional,$I$10,FALSE),0)</f>
        <v>-89352</v>
      </c>
      <c r="J520" s="347">
        <f>SUM($G$520:$I$520)</f>
        <v>-99651</v>
      </c>
      <c r="K520" s="347">
        <f>F520-$J$520</f>
        <v>0</v>
      </c>
    </row>
    <row r="521" spans="1:11">
      <c r="A521" s="333">
        <v>9</v>
      </c>
      <c r="C521" s="359" t="s">
        <v>537</v>
      </c>
      <c r="D521" s="729" t="s">
        <v>330</v>
      </c>
      <c r="E521" s="196"/>
      <c r="F521" s="794">
        <f>-[1]SCH_E1!$Q$32</f>
        <v>234549</v>
      </c>
      <c r="G521" s="465">
        <f>F521-SUM(H521:I521)</f>
        <v>7348</v>
      </c>
      <c r="H521" s="466">
        <f>ROUND(F521*VLOOKUP(D521,AllocTable_Functional,$H$10,FALSE),0)</f>
        <v>0</v>
      </c>
      <c r="I521" s="467">
        <f>ROUND(F521*VLOOKUP(D521,AllocTable_Functional,$I$10,FALSE),0)</f>
        <v>227201</v>
      </c>
      <c r="J521" s="347">
        <f>SUM($G$521:$I$521)</f>
        <v>234549</v>
      </c>
      <c r="K521" s="347">
        <f>F521-$J$521</f>
        <v>0</v>
      </c>
    </row>
    <row r="522" spans="1:11">
      <c r="A522" s="333">
        <v>10</v>
      </c>
      <c r="C522" s="332" t="s">
        <v>186</v>
      </c>
      <c r="D522" s="729"/>
      <c r="E522" s="196"/>
      <c r="F522" s="348">
        <f>SUM(F519:F521)</f>
        <v>6601028</v>
      </c>
      <c r="G522" s="468">
        <f>SUM($G$519:$G$521)</f>
        <v>199633</v>
      </c>
      <c r="H522" s="456">
        <f>SUM($H$519:$H$521)</f>
        <v>0</v>
      </c>
      <c r="I522" s="469">
        <f>SUM($I$519:$I$521)</f>
        <v>6401395</v>
      </c>
      <c r="J522" s="348">
        <f>SUM($J$519:$J$521)</f>
        <v>6601028</v>
      </c>
      <c r="K522" s="480">
        <f>SUM($K$519:$K$521)</f>
        <v>0</v>
      </c>
    </row>
    <row r="523" spans="1:11">
      <c r="A523" s="333">
        <v>11</v>
      </c>
      <c r="D523" s="729"/>
      <c r="E523" s="196"/>
      <c r="F523" s="1291"/>
      <c r="G523" s="462"/>
      <c r="H523" s="463"/>
      <c r="I523" s="464"/>
    </row>
    <row r="524" spans="1:11">
      <c r="A524" s="333">
        <v>12</v>
      </c>
      <c r="B524" s="332" t="s">
        <v>72</v>
      </c>
      <c r="D524" s="729"/>
      <c r="E524" s="196"/>
      <c r="F524" s="349">
        <f>F522+F516</f>
        <v>13362531</v>
      </c>
      <c r="G524" s="465">
        <f>$G$522+$G$516</f>
        <v>343923</v>
      </c>
      <c r="H524" s="466">
        <f>$H$522+$H$516</f>
        <v>0</v>
      </c>
      <c r="I524" s="467">
        <f>$I$522+$I$516</f>
        <v>13018608</v>
      </c>
      <c r="J524" s="347">
        <f>$J$522+$J$516</f>
        <v>13362531</v>
      </c>
      <c r="K524" s="347">
        <f>$K$522+$K$516</f>
        <v>0</v>
      </c>
    </row>
    <row r="525" spans="1:11">
      <c r="A525" s="333">
        <v>13</v>
      </c>
      <c r="D525" s="729"/>
      <c r="E525" s="196"/>
      <c r="F525" s="1291"/>
      <c r="G525" s="462"/>
      <c r="H525" s="463"/>
      <c r="I525" s="464"/>
    </row>
    <row r="526" spans="1:11">
      <c r="A526" s="333">
        <v>14</v>
      </c>
      <c r="B526" s="340" t="s">
        <v>544</v>
      </c>
      <c r="D526" s="729"/>
      <c r="E526" s="196"/>
      <c r="F526" s="1291"/>
      <c r="G526" s="462"/>
      <c r="H526" s="463"/>
      <c r="I526" s="464"/>
    </row>
    <row r="527" spans="1:11">
      <c r="A527" s="333">
        <v>15</v>
      </c>
      <c r="C527" s="332" t="s">
        <v>539</v>
      </c>
      <c r="D527" s="729" t="s">
        <v>325</v>
      </c>
      <c r="E527" s="196"/>
      <c r="F527" s="794">
        <f>[1]SCH_E1!$Q$117</f>
        <v>1277969</v>
      </c>
      <c r="G527" s="465">
        <f>ROUND(F527*VLOOKUP(D527,AllocTable_Functional,$G$10,FALSE),0)</f>
        <v>803280</v>
      </c>
      <c r="H527" s="466">
        <f>ROUND(F527*VLOOKUP(D527,AllocTable_Functional,$H$10,FALSE),0)</f>
        <v>0</v>
      </c>
      <c r="I527" s="467">
        <f>ROUND(F527*VLOOKUP(D527,AllocTable_Functional,$I$10,FALSE),0)</f>
        <v>474689</v>
      </c>
      <c r="J527" s="347">
        <f>SUM($G$527:$I$527)</f>
        <v>1277969</v>
      </c>
      <c r="K527" s="347">
        <f>F527-$J$527</f>
        <v>0</v>
      </c>
    </row>
    <row r="528" spans="1:11">
      <c r="A528" s="333">
        <v>16</v>
      </c>
      <c r="C528" s="332" t="s">
        <v>392</v>
      </c>
      <c r="D528" s="729" t="s">
        <v>1015</v>
      </c>
      <c r="E528" s="196"/>
      <c r="F528" s="793">
        <v>0</v>
      </c>
      <c r="G528" s="465">
        <f>ROUND(F528*VLOOKUP(D528,AllocTable_Functional,$G$10,FALSE),0)</f>
        <v>0</v>
      </c>
      <c r="H528" s="466">
        <f>ROUND(F528*VLOOKUP(D528,AllocTable_Functional,$H$10,FALSE),0)</f>
        <v>0</v>
      </c>
      <c r="I528" s="467">
        <f>ROUND(F528*VLOOKUP(D528,AllocTable_Functional,$I$10,FALSE),0)</f>
        <v>0</v>
      </c>
      <c r="J528" s="347">
        <f>SUM($G$528:$I$528)</f>
        <v>0</v>
      </c>
      <c r="K528" s="347">
        <f>F528-$J$528</f>
        <v>0</v>
      </c>
    </row>
    <row r="529" spans="1:11">
      <c r="A529" s="333">
        <v>17</v>
      </c>
      <c r="C529" s="618" t="s">
        <v>543</v>
      </c>
      <c r="D529" s="733" t="s">
        <v>330</v>
      </c>
      <c r="E529" s="454"/>
      <c r="F529" s="1026">
        <v>0</v>
      </c>
      <c r="G529" s="465">
        <f>ROUND(F529*VLOOKUP(D529,AllocTable_Functional,$G$10,FALSE),0)</f>
        <v>0</v>
      </c>
      <c r="H529" s="466">
        <f>ROUND(F529*VLOOKUP(D529,AllocTable_Functional,$H$10,FALSE),0)</f>
        <v>0</v>
      </c>
      <c r="I529" s="467">
        <f>ROUND(F529*VLOOKUP(D529,AllocTable_Functional,$I$10,FALSE),0)</f>
        <v>0</v>
      </c>
      <c r="J529" s="347">
        <f>SUM($G$529:$I$529)</f>
        <v>0</v>
      </c>
      <c r="K529" s="347">
        <f>F529-$J$529</f>
        <v>0</v>
      </c>
    </row>
    <row r="530" spans="1:11">
      <c r="A530" s="333">
        <v>18</v>
      </c>
      <c r="C530" s="332" t="s">
        <v>542</v>
      </c>
      <c r="D530" s="729" t="s">
        <v>287</v>
      </c>
      <c r="E530" s="196"/>
      <c r="F530" s="794">
        <f>[1]SCH_E1!$Q$118</f>
        <v>-16534</v>
      </c>
      <c r="G530" s="465">
        <f>ROUND(F530*VLOOKUP(D530,AllocTable_Functional,$G$10,FALSE),0)</f>
        <v>-16534</v>
      </c>
      <c r="H530" s="466">
        <f>ROUND(F530*VLOOKUP(D530,AllocTable_Functional,$H$10,FALSE),0)</f>
        <v>0</v>
      </c>
      <c r="I530" s="467">
        <f>ROUND(F530*VLOOKUP(D530,AllocTable_Functional,$I$10,FALSE),0)</f>
        <v>0</v>
      </c>
      <c r="J530" s="347">
        <f>SUM($G$530:$I$530)</f>
        <v>-16534</v>
      </c>
      <c r="K530" s="347">
        <f>F530-$J$530</f>
        <v>0</v>
      </c>
    </row>
    <row r="531" spans="1:11">
      <c r="A531" s="333">
        <v>19</v>
      </c>
      <c r="C531" s="359" t="s">
        <v>1495</v>
      </c>
      <c r="D531" s="729" t="s">
        <v>1015</v>
      </c>
      <c r="E531" s="196"/>
      <c r="F531" s="794">
        <f>[1]SCH_E1!$Q$119</f>
        <v>-585952</v>
      </c>
      <c r="G531" s="465">
        <f>ROUND(F531*VLOOKUP(D531,AllocTable_Functional,$G$10,FALSE),0)</f>
        <v>-60558</v>
      </c>
      <c r="H531" s="466">
        <f>ROUND(F531*VLOOKUP(D531,AllocTable_Functional,$H$10,FALSE),0)</f>
        <v>0</v>
      </c>
      <c r="I531" s="467">
        <f>ROUND(F531*VLOOKUP(D531,AllocTable_Functional,$I$10,FALSE),0)</f>
        <v>-525394</v>
      </c>
      <c r="J531" s="347">
        <f>SUM($G$531:$I$531)</f>
        <v>-585952</v>
      </c>
      <c r="K531" s="347">
        <f>F531-$J$531</f>
        <v>0</v>
      </c>
    </row>
    <row r="532" spans="1:11">
      <c r="A532" s="333">
        <v>20</v>
      </c>
      <c r="C532" s="332" t="s">
        <v>546</v>
      </c>
      <c r="D532" s="729"/>
      <c r="E532" s="196"/>
      <c r="F532" s="348">
        <f>SUM(F527:F531)</f>
        <v>675483</v>
      </c>
      <c r="G532" s="468">
        <f>SUM($G$527:$G$531)</f>
        <v>726188</v>
      </c>
      <c r="H532" s="456">
        <f>SUM($H$527:$H$531)</f>
        <v>0</v>
      </c>
      <c r="I532" s="469">
        <f>SUM($I$527:$I$531)</f>
        <v>-50705</v>
      </c>
      <c r="J532" s="348">
        <f>SUM($J$527:$J$531)</f>
        <v>675483</v>
      </c>
      <c r="K532" s="480">
        <f>SUM($K$527:$K$531)</f>
        <v>0</v>
      </c>
    </row>
    <row r="533" spans="1:11">
      <c r="A533" s="333">
        <v>21</v>
      </c>
      <c r="D533" s="729"/>
      <c r="E533" s="196"/>
      <c r="F533" s="353"/>
      <c r="G533" s="462"/>
      <c r="H533" s="463"/>
      <c r="I533" s="464"/>
    </row>
    <row r="534" spans="1:11">
      <c r="A534" s="333">
        <v>22</v>
      </c>
      <c r="B534" s="332" t="s">
        <v>419</v>
      </c>
      <c r="D534" s="729"/>
      <c r="E534" s="196"/>
      <c r="F534" s="353"/>
      <c r="G534" s="462"/>
      <c r="H534" s="463"/>
      <c r="I534" s="464"/>
    </row>
    <row r="535" spans="1:11">
      <c r="A535" s="333">
        <v>23</v>
      </c>
      <c r="C535" s="359" t="s">
        <v>187</v>
      </c>
      <c r="D535" s="729" t="s">
        <v>315</v>
      </c>
      <c r="E535" s="196"/>
      <c r="F535" s="1490">
        <f>-[1]SCH_E1!$Q$123</f>
        <v>66055</v>
      </c>
      <c r="G535" s="465">
        <f>ROUND(F535*VLOOKUP(D535,AllocTable_Functional,$G$10,FALSE),0)</f>
        <v>486</v>
      </c>
      <c r="H535" s="466">
        <f>ROUND(F535*VLOOKUP(D535,AllocTable_Functional,$H$10,FALSE),0)</f>
        <v>0</v>
      </c>
      <c r="I535" s="467">
        <f>ROUND(F535*VLOOKUP(D535,AllocTable_Functional,$I$10,FALSE),0)</f>
        <v>65569</v>
      </c>
      <c r="J535" s="512">
        <f>SUM($G$535:$I$535)</f>
        <v>66055</v>
      </c>
      <c r="K535" s="512">
        <f>F535-$J$535</f>
        <v>0</v>
      </c>
    </row>
    <row r="536" spans="1:11">
      <c r="A536" s="333">
        <v>24</v>
      </c>
      <c r="C536" s="332" t="s">
        <v>413</v>
      </c>
      <c r="D536" s="344"/>
      <c r="E536" s="196"/>
      <c r="F536" s="348">
        <f>SUM(F535:F535)</f>
        <v>66055</v>
      </c>
      <c r="G536" s="468">
        <f>SUM($G$535:$G$535)</f>
        <v>486</v>
      </c>
      <c r="H536" s="456">
        <f>SUM($H$535:$H$535)</f>
        <v>0</v>
      </c>
      <c r="I536" s="469">
        <f>SUM($I$535:$I$535)</f>
        <v>65569</v>
      </c>
      <c r="J536" s="348">
        <f>SUM($J$535:$J$535)</f>
        <v>66055</v>
      </c>
      <c r="K536" s="480">
        <f>SUM($K$535:$K$535)</f>
        <v>0</v>
      </c>
    </row>
    <row r="537" spans="1:11">
      <c r="A537" s="333">
        <v>25</v>
      </c>
      <c r="D537" s="344"/>
      <c r="E537" s="196"/>
      <c r="F537" s="510"/>
      <c r="G537" s="517"/>
      <c r="H537" s="516"/>
      <c r="I537" s="518"/>
      <c r="J537" s="510"/>
      <c r="K537" s="670"/>
    </row>
    <row r="538" spans="1:11" ht="15.75">
      <c r="A538" s="333">
        <v>26</v>
      </c>
      <c r="B538" s="332" t="s">
        <v>73</v>
      </c>
      <c r="D538" s="735"/>
      <c r="E538" s="1"/>
      <c r="F538" s="510"/>
      <c r="G538" s="517"/>
      <c r="H538" s="516"/>
      <c r="I538" s="518"/>
      <c r="J538" s="510"/>
      <c r="K538" s="670"/>
    </row>
    <row r="539" spans="1:11">
      <c r="A539" s="333">
        <v>27</v>
      </c>
      <c r="C539" s="332" t="s">
        <v>188</v>
      </c>
      <c r="D539" s="729" t="s">
        <v>315</v>
      </c>
      <c r="F539" s="793">
        <v>0</v>
      </c>
      <c r="G539" s="465">
        <f>ROUND(F539*VLOOKUP(D539,AllocTable_Functional,$G$10,FALSE),0)</f>
        <v>0</v>
      </c>
      <c r="H539" s="466">
        <f>ROUND(F539*VLOOKUP(D539,AllocTable_Functional,$H$10,FALSE),0)</f>
        <v>0</v>
      </c>
      <c r="I539" s="467">
        <f>ROUND(F539*VLOOKUP(D539,AllocTable_Functional,$I$10,FALSE),0)</f>
        <v>0</v>
      </c>
      <c r="J539" s="347">
        <f>SUM($G$539:$I$539)</f>
        <v>0</v>
      </c>
      <c r="K539" s="347">
        <f>F539-$J$539</f>
        <v>0</v>
      </c>
    </row>
    <row r="540" spans="1:11" ht="15.75">
      <c r="A540" s="333">
        <v>28</v>
      </c>
      <c r="C540" s="339" t="s">
        <v>189</v>
      </c>
      <c r="D540" s="735"/>
      <c r="E540" s="1"/>
      <c r="F540" s="348">
        <f>SUM(F539:F539)</f>
        <v>0</v>
      </c>
      <c r="G540" s="468">
        <f>SUM($G$539:$G$539)</f>
        <v>0</v>
      </c>
      <c r="H540" s="456">
        <f>SUM($H$539:$H$539)</f>
        <v>0</v>
      </c>
      <c r="I540" s="469">
        <f>SUM($I$539:$I$539)</f>
        <v>0</v>
      </c>
      <c r="J540" s="348">
        <f>SUM($J$539:$J$539)</f>
        <v>0</v>
      </c>
      <c r="K540" s="348">
        <f>SUM($K$539:$K$539)</f>
        <v>0</v>
      </c>
    </row>
    <row r="541" spans="1:11" ht="15.75">
      <c r="A541" s="333">
        <v>29</v>
      </c>
      <c r="B541" s="193"/>
      <c r="C541" s="193"/>
      <c r="D541" s="735"/>
      <c r="E541" s="1"/>
      <c r="F541" s="510"/>
      <c r="G541" s="517"/>
      <c r="H541" s="516"/>
      <c r="I541" s="518"/>
      <c r="J541" s="510"/>
      <c r="K541" s="510"/>
    </row>
    <row r="542" spans="1:11" ht="15.75">
      <c r="A542" s="333">
        <v>30</v>
      </c>
      <c r="B542" s="332" t="s">
        <v>40</v>
      </c>
      <c r="C542" s="193"/>
      <c r="D542" s="735"/>
      <c r="E542" s="1"/>
      <c r="F542" s="510"/>
      <c r="G542" s="517"/>
      <c r="H542" s="516"/>
      <c r="I542" s="518"/>
      <c r="J542" s="510"/>
      <c r="K542" s="510"/>
    </row>
    <row r="543" spans="1:11">
      <c r="A543" s="333">
        <v>31</v>
      </c>
      <c r="C543" s="332" t="s">
        <v>545</v>
      </c>
      <c r="D543" s="344"/>
      <c r="E543" s="196"/>
      <c r="F543" s="349">
        <f>F532</f>
        <v>675483</v>
      </c>
      <c r="G543" s="465">
        <f>$G$532</f>
        <v>726188</v>
      </c>
      <c r="H543" s="466">
        <f>$H$532</f>
        <v>0</v>
      </c>
      <c r="I543" s="467">
        <f>$I$532</f>
        <v>-50705</v>
      </c>
      <c r="J543" s="347">
        <f>$J$532</f>
        <v>675483</v>
      </c>
      <c r="K543" s="347">
        <f>$K$532</f>
        <v>0</v>
      </c>
    </row>
    <row r="544" spans="1:11">
      <c r="A544" s="333">
        <v>32</v>
      </c>
      <c r="C544" s="359" t="s">
        <v>412</v>
      </c>
      <c r="D544" s="344"/>
      <c r="E544" s="196"/>
      <c r="F544" s="349">
        <f>-F536</f>
        <v>-66055</v>
      </c>
      <c r="G544" s="465">
        <f>-$G$536</f>
        <v>-486</v>
      </c>
      <c r="H544" s="466">
        <f>-$H$536</f>
        <v>0</v>
      </c>
      <c r="I544" s="467">
        <f>-$I$536</f>
        <v>-65569</v>
      </c>
      <c r="J544" s="347">
        <f>-$J$536</f>
        <v>-66055</v>
      </c>
      <c r="K544" s="347">
        <f>-$K$536</f>
        <v>0</v>
      </c>
    </row>
    <row r="545" spans="1:11">
      <c r="A545" s="333">
        <v>33</v>
      </c>
      <c r="C545" s="332" t="s">
        <v>190</v>
      </c>
      <c r="D545" s="344"/>
      <c r="E545" s="196"/>
      <c r="F545" s="348">
        <f>SUM(F543:F544)</f>
        <v>609428</v>
      </c>
      <c r="G545" s="468">
        <f>SUM($G$543:$G$544)</f>
        <v>725702</v>
      </c>
      <c r="H545" s="456">
        <f>SUM($H$543:$H$544)</f>
        <v>0</v>
      </c>
      <c r="I545" s="469">
        <f>SUM($I$543:$I$544)</f>
        <v>-116274</v>
      </c>
      <c r="J545" s="348">
        <f>SUM($J$543:$J$544)</f>
        <v>609428</v>
      </c>
      <c r="K545" s="348">
        <f>SUM($K$543:$K$544)</f>
        <v>0</v>
      </c>
    </row>
    <row r="546" spans="1:11">
      <c r="A546" s="333">
        <v>34</v>
      </c>
      <c r="D546" s="344"/>
      <c r="E546" s="196"/>
      <c r="F546" s="353"/>
      <c r="G546" s="462"/>
      <c r="H546" s="463"/>
      <c r="I546" s="464"/>
    </row>
    <row r="547" spans="1:11">
      <c r="A547" s="333">
        <v>35</v>
      </c>
      <c r="B547" s="332" t="s">
        <v>74</v>
      </c>
      <c r="D547" s="344"/>
      <c r="E547" s="196"/>
      <c r="F547" s="353"/>
      <c r="G547" s="462"/>
      <c r="H547" s="463"/>
      <c r="I547" s="464"/>
    </row>
    <row r="548" spans="1:11">
      <c r="A548" s="333">
        <v>36</v>
      </c>
      <c r="C548" s="332" t="s">
        <v>43</v>
      </c>
      <c r="D548" s="344"/>
      <c r="E548" s="196"/>
      <c r="F548" s="349">
        <f t="shared" ref="F548:K548" si="136">F334</f>
        <v>22525019</v>
      </c>
      <c r="G548" s="465">
        <f t="shared" si="136"/>
        <v>480731</v>
      </c>
      <c r="H548" s="466">
        <f t="shared" si="136"/>
        <v>0</v>
      </c>
      <c r="I548" s="467">
        <f t="shared" si="136"/>
        <v>22044288</v>
      </c>
      <c r="J548" s="347">
        <f t="shared" si="136"/>
        <v>22525019</v>
      </c>
      <c r="K548" s="347">
        <f t="shared" si="136"/>
        <v>0</v>
      </c>
    </row>
    <row r="549" spans="1:11">
      <c r="A549" s="333">
        <v>37</v>
      </c>
      <c r="C549" s="332" t="s">
        <v>72</v>
      </c>
      <c r="D549" s="344"/>
      <c r="E549" s="196"/>
      <c r="F549" s="349">
        <f>-F524</f>
        <v>-13362531</v>
      </c>
      <c r="G549" s="465">
        <f>-$G$524</f>
        <v>-343923</v>
      </c>
      <c r="H549" s="466">
        <f>-$H$524</f>
        <v>0</v>
      </c>
      <c r="I549" s="467">
        <f>-$I$524</f>
        <v>-13018608</v>
      </c>
      <c r="J549" s="347">
        <f>-$J$524</f>
        <v>-13362531</v>
      </c>
      <c r="K549" s="347">
        <f>-$K$524</f>
        <v>0</v>
      </c>
    </row>
    <row r="550" spans="1:11">
      <c r="A550" s="333">
        <v>38</v>
      </c>
      <c r="C550" s="332" t="s">
        <v>1496</v>
      </c>
      <c r="D550" s="344"/>
      <c r="E550" s="196"/>
      <c r="F550" s="349">
        <f t="shared" ref="F550:K550" si="137">F591</f>
        <v>450960</v>
      </c>
      <c r="G550" s="465">
        <f t="shared" si="137"/>
        <v>3319</v>
      </c>
      <c r="H550" s="466">
        <f t="shared" si="137"/>
        <v>0</v>
      </c>
      <c r="I550" s="467">
        <f t="shared" si="137"/>
        <v>447641</v>
      </c>
      <c r="J550" s="347">
        <f t="shared" si="137"/>
        <v>450960</v>
      </c>
      <c r="K550" s="347">
        <f t="shared" si="137"/>
        <v>0</v>
      </c>
    </row>
    <row r="551" spans="1:11">
      <c r="A551" s="333">
        <v>39</v>
      </c>
      <c r="C551" s="359" t="s">
        <v>194</v>
      </c>
      <c r="D551" s="344"/>
      <c r="E551" s="196"/>
      <c r="F551" s="349">
        <f>F545</f>
        <v>609428</v>
      </c>
      <c r="G551" s="465">
        <f>$G$545</f>
        <v>725702</v>
      </c>
      <c r="H551" s="466">
        <f>$H$545</f>
        <v>0</v>
      </c>
      <c r="I551" s="467">
        <f>$I$545</f>
        <v>-116274</v>
      </c>
      <c r="J551" s="347">
        <f>$J$545</f>
        <v>609428</v>
      </c>
      <c r="K551" s="347">
        <f>$K$545</f>
        <v>0</v>
      </c>
    </row>
    <row r="552" spans="1:11">
      <c r="A552" s="333">
        <v>40</v>
      </c>
      <c r="C552" s="332" t="s">
        <v>191</v>
      </c>
      <c r="D552" s="344"/>
      <c r="E552" s="196"/>
      <c r="F552" s="348">
        <f>SUM(F548:F551)</f>
        <v>10222876</v>
      </c>
      <c r="G552" s="468">
        <f>SUM($G$548:$G$551)</f>
        <v>865829</v>
      </c>
      <c r="H552" s="456">
        <f>SUM($H$548:$H$551)</f>
        <v>0</v>
      </c>
      <c r="I552" s="469">
        <f>SUM($I$548:$I$551)</f>
        <v>9357047</v>
      </c>
      <c r="J552" s="348">
        <f>SUM($J$548:$J$551)</f>
        <v>10222876</v>
      </c>
      <c r="K552" s="348">
        <f>SUM($K$548:$K$551)</f>
        <v>0</v>
      </c>
    </row>
    <row r="553" spans="1:11">
      <c r="A553" s="333">
        <v>41</v>
      </c>
      <c r="D553" s="344"/>
      <c r="E553" s="196"/>
      <c r="F553" s="353"/>
      <c r="G553" s="462"/>
      <c r="H553" s="463"/>
      <c r="I553" s="464"/>
    </row>
    <row r="554" spans="1:11">
      <c r="A554" s="333">
        <v>42</v>
      </c>
      <c r="C554" s="332" t="s">
        <v>192</v>
      </c>
      <c r="D554" s="344"/>
      <c r="E554" s="196"/>
      <c r="F554" s="356">
        <f>ROUND(F692/(1-F692),9)</f>
        <v>0.26582278500000001</v>
      </c>
      <c r="G554" s="470">
        <f>ROUND(G692/(1-G692),9)</f>
        <v>0.26582278500000001</v>
      </c>
      <c r="H554" s="471">
        <f>ROUND(H692/(1-H692),9)</f>
        <v>0.26582278500000001</v>
      </c>
      <c r="I554" s="472">
        <f>ROUND(I692/(1-I692),9)</f>
        <v>0.26582278500000001</v>
      </c>
      <c r="J554" s="350"/>
      <c r="K554" s="350">
        <f>ROUND(K692/(1-K692),9)</f>
        <v>0.26582278500000001</v>
      </c>
    </row>
    <row r="555" spans="1:11">
      <c r="A555" s="333">
        <v>43</v>
      </c>
      <c r="C555" s="332" t="s">
        <v>193</v>
      </c>
      <c r="D555" s="1433" t="s">
        <v>1475</v>
      </c>
      <c r="E555" s="342"/>
      <c r="F555" s="349">
        <f>ROUND(F554*F552,0)+3</f>
        <v>2717476</v>
      </c>
      <c r="G555" s="505">
        <f>ROUND($G$552*$G$554,0)</f>
        <v>230157</v>
      </c>
      <c r="H555" s="506">
        <f>ROUND($H$552*$H$554,0)</f>
        <v>0</v>
      </c>
      <c r="I555" s="507">
        <f>ROUND($I$552*$I$554,0)</f>
        <v>2487316</v>
      </c>
      <c r="J555" s="347">
        <f>SUM($G$555:$I$555)</f>
        <v>2717473</v>
      </c>
      <c r="K555" s="347">
        <f>ROUND($K$552*$K$554,0)</f>
        <v>0</v>
      </c>
    </row>
    <row r="556" spans="1:11">
      <c r="A556" s="333">
        <v>44</v>
      </c>
      <c r="C556" s="359" t="s">
        <v>194</v>
      </c>
      <c r="D556" s="344"/>
      <c r="E556" s="196"/>
      <c r="F556" s="349">
        <f>F545</f>
        <v>609428</v>
      </c>
      <c r="G556" s="465">
        <f>$G$545</f>
        <v>725702</v>
      </c>
      <c r="H556" s="466">
        <f>$H$545</f>
        <v>0</v>
      </c>
      <c r="I556" s="467">
        <f>$I$545</f>
        <v>-116274</v>
      </c>
      <c r="J556" s="347">
        <f>$J$545</f>
        <v>609428</v>
      </c>
      <c r="K556" s="347">
        <f>$K$545</f>
        <v>0</v>
      </c>
    </row>
    <row r="557" spans="1:11">
      <c r="A557" s="333">
        <v>45</v>
      </c>
      <c r="C557" s="353" t="s">
        <v>195</v>
      </c>
      <c r="D557" s="354"/>
      <c r="E557" s="342"/>
      <c r="F557" s="348">
        <f>SUM(F555:F556)</f>
        <v>3326904</v>
      </c>
      <c r="G557" s="468">
        <f>SUM($G$555:$G$556)</f>
        <v>955859</v>
      </c>
      <c r="H557" s="456">
        <f>SUM($H$555:$H$556)</f>
        <v>0</v>
      </c>
      <c r="I557" s="469">
        <f>SUM($I$555:$I$556)</f>
        <v>2371042</v>
      </c>
      <c r="J557" s="348">
        <f>SUM($J$555:$J$556)</f>
        <v>3326901</v>
      </c>
      <c r="K557" s="348">
        <f>SUM($K$555:$K$556)</f>
        <v>0</v>
      </c>
    </row>
    <row r="558" spans="1:11">
      <c r="A558" s="333">
        <v>46</v>
      </c>
      <c r="D558" s="344"/>
      <c r="E558" s="196"/>
      <c r="F558" s="353"/>
      <c r="G558" s="462"/>
      <c r="H558" s="463"/>
      <c r="I558" s="464"/>
    </row>
    <row r="559" spans="1:11">
      <c r="A559" s="333">
        <v>47</v>
      </c>
      <c r="B559" s="332" t="s">
        <v>68</v>
      </c>
      <c r="D559" s="344"/>
      <c r="E559" s="196"/>
      <c r="F559" s="353"/>
      <c r="G559" s="462"/>
      <c r="H559" s="463"/>
      <c r="I559" s="464"/>
    </row>
    <row r="560" spans="1:11">
      <c r="A560" s="333">
        <v>48</v>
      </c>
      <c r="B560" s="332" t="s">
        <v>75</v>
      </c>
      <c r="D560" s="344"/>
      <c r="E560" s="196"/>
      <c r="F560" s="353"/>
      <c r="G560" s="462"/>
      <c r="H560" s="463"/>
      <c r="I560" s="464"/>
    </row>
    <row r="561" spans="1:12">
      <c r="A561" s="333">
        <v>49</v>
      </c>
      <c r="C561" s="332" t="s">
        <v>196</v>
      </c>
      <c r="D561" s="344"/>
      <c r="E561" s="196"/>
      <c r="F561" s="349">
        <f>F555</f>
        <v>2717476</v>
      </c>
      <c r="G561" s="465">
        <f>$G$555</f>
        <v>230157</v>
      </c>
      <c r="H561" s="466">
        <f>$H$555</f>
        <v>0</v>
      </c>
      <c r="I561" s="467">
        <f>$I$555</f>
        <v>2487316</v>
      </c>
      <c r="J561" s="347">
        <f>$J$555</f>
        <v>2717473</v>
      </c>
      <c r="K561" s="347">
        <f>$K$555</f>
        <v>0</v>
      </c>
    </row>
    <row r="562" spans="1:12">
      <c r="A562" s="333">
        <v>50</v>
      </c>
      <c r="B562" s="618"/>
      <c r="C562" s="1474" t="s">
        <v>197</v>
      </c>
      <c r="D562" s="1472"/>
      <c r="E562" s="454"/>
      <c r="F562" s="615">
        <f>-F540</f>
        <v>0</v>
      </c>
      <c r="G562" s="1476">
        <f>-$G$540</f>
        <v>0</v>
      </c>
      <c r="H562" s="1477">
        <f>-$H$540</f>
        <v>0</v>
      </c>
      <c r="I562" s="1478">
        <f>-$I$540</f>
        <v>0</v>
      </c>
      <c r="J562" s="615">
        <f>-$J$540</f>
        <v>0</v>
      </c>
      <c r="K562" s="615">
        <f>-$K$540</f>
        <v>0</v>
      </c>
      <c r="L562" s="618"/>
    </row>
    <row r="563" spans="1:12">
      <c r="A563" s="333">
        <v>51</v>
      </c>
      <c r="C563" s="332" t="s">
        <v>198</v>
      </c>
      <c r="D563" s="344"/>
      <c r="E563" s="196"/>
      <c r="F563" s="348">
        <f>SUM(F560:F562)</f>
        <v>2717476</v>
      </c>
      <c r="G563" s="468">
        <f>SUM($G$560:$G$562)</f>
        <v>230157</v>
      </c>
      <c r="H563" s="456">
        <f>SUM($H$560:$H$562)</f>
        <v>0</v>
      </c>
      <c r="I563" s="469">
        <f>SUM($I$560:$I$562)</f>
        <v>2487316</v>
      </c>
      <c r="J563" s="348">
        <f>SUM($J$560:$J$562)</f>
        <v>2717473</v>
      </c>
      <c r="K563" s="348">
        <f>SUM($K$560:$K$562)</f>
        <v>0</v>
      </c>
    </row>
    <row r="564" spans="1:12">
      <c r="A564" s="333">
        <v>52</v>
      </c>
      <c r="D564" s="344"/>
      <c r="E564" s="196"/>
      <c r="G564" s="462"/>
      <c r="H564" s="463"/>
      <c r="I564" s="464"/>
    </row>
    <row r="565" spans="1:12">
      <c r="A565" s="333">
        <v>53</v>
      </c>
      <c r="B565" s="618" t="s">
        <v>76</v>
      </c>
      <c r="C565" s="618"/>
      <c r="D565" s="1472"/>
      <c r="E565" s="454"/>
      <c r="F565" s="1516">
        <f>ROUND((F693*(1-F692))+((1-F693)*(1-F692)*F694)+F692,5)</f>
        <v>0.24925</v>
      </c>
      <c r="G565" s="1473">
        <f>ROUND((G693*(1-G692))+((1-G693)*(1-G692)*G694)+G692,5)</f>
        <v>0.24925</v>
      </c>
      <c r="H565" s="1474">
        <f>ROUND((H693*(1-H692))+((1-H693)*(1-H692)*H694)+H692,5)</f>
        <v>0.24925</v>
      </c>
      <c r="I565" s="1475">
        <f>ROUND((I693*(1-I692))+((1-I693)*(1-I692)*I694)+I692,5)</f>
        <v>0.24925</v>
      </c>
      <c r="J565" s="618"/>
      <c r="K565" s="618">
        <f>ROUND((K693*(1-K692))+((1-K693)*(1-K692)*K694)+K692,5)</f>
        <v>0.24925</v>
      </c>
      <c r="L565" s="618"/>
    </row>
    <row r="566" spans="1:12">
      <c r="B566" s="343"/>
      <c r="C566" s="196"/>
      <c r="D566" s="344"/>
      <c r="E566" s="196"/>
      <c r="F566" s="196"/>
      <c r="G566" s="196"/>
      <c r="H566" s="196"/>
      <c r="I566" s="196"/>
      <c r="J566" s="196"/>
      <c r="K566" s="196"/>
    </row>
    <row r="567" spans="1:12">
      <c r="A567" s="343" t="str">
        <f>co_name</f>
        <v>DUKE ENERGY KENTUCKY, INC.</v>
      </c>
      <c r="C567" s="196"/>
      <c r="D567" s="344"/>
      <c r="E567" s="196"/>
      <c r="F567" s="196"/>
      <c r="G567" s="196"/>
      <c r="H567" s="196"/>
      <c r="I567" s="196"/>
      <c r="J567" s="196" t="str">
        <f>$J$1</f>
        <v>FR-16(7)(v)-1</v>
      </c>
      <c r="K567" s="196"/>
    </row>
    <row r="568" spans="1:12">
      <c r="A568" s="343" t="str">
        <f>$A$2</f>
        <v>FUNCTIONAL GAS COST OF SERVICE</v>
      </c>
      <c r="C568" s="196"/>
      <c r="D568" s="344"/>
      <c r="E568" s="196"/>
      <c r="F568" s="196"/>
      <c r="G568" s="196"/>
      <c r="H568" s="196"/>
      <c r="I568" s="196"/>
      <c r="J568" s="196" t="str">
        <f>$J$2</f>
        <v>WITNESS RESPONSIBLE:</v>
      </c>
      <c r="K568" s="196"/>
    </row>
    <row r="569" spans="1:12">
      <c r="A569" s="343" t="str">
        <f>case_name</f>
        <v>CASE NO: 2018-00261</v>
      </c>
      <c r="C569" s="196"/>
      <c r="D569" s="344"/>
      <c r="E569" s="196"/>
      <c r="F569" s="196"/>
      <c r="G569" s="196"/>
      <c r="H569" s="196"/>
      <c r="I569" s="196"/>
      <c r="J569" s="196" t="str">
        <f>Witness</f>
        <v>JAMES E. ZIOLKOWSKI</v>
      </c>
      <c r="K569" s="196"/>
    </row>
    <row r="570" spans="1:12">
      <c r="A570" s="343" t="str">
        <f>data_filing</f>
        <v>DATA: 12 MONTH FORECASTED PERIOD</v>
      </c>
      <c r="C570" s="196"/>
      <c r="D570" s="344"/>
      <c r="E570" s="196"/>
      <c r="F570" s="196"/>
      <c r="G570" s="196"/>
      <c r="H570" s="196"/>
      <c r="I570" s="196"/>
      <c r="J570" s="196" t="str">
        <f>"PAGE "&amp;Pages-5&amp;" OF "&amp;Pages</f>
        <v>PAGE 13 OF 18</v>
      </c>
      <c r="K570" s="196"/>
    </row>
    <row r="571" spans="1:12">
      <c r="A571" s="343" t="str">
        <f>type</f>
        <v xml:space="preserve">TYPE OF FILING: "X" ORIGINAL   UPDATED    REVISED  </v>
      </c>
      <c r="C571" s="196"/>
      <c r="D571" s="344"/>
      <c r="E571" s="196"/>
      <c r="F571" s="196"/>
      <c r="G571" s="196"/>
      <c r="H571" s="196"/>
      <c r="I571" s="196"/>
      <c r="J571" s="196"/>
      <c r="K571" s="196"/>
    </row>
    <row r="574" spans="1:12">
      <c r="A574" s="344" t="s">
        <v>914</v>
      </c>
      <c r="B574" s="1392"/>
      <c r="C574" s="1091"/>
      <c r="D574" s="1091"/>
      <c r="E574" s="342"/>
      <c r="F574" s="354" t="s">
        <v>229</v>
      </c>
      <c r="G574" s="473" t="s">
        <v>981</v>
      </c>
      <c r="H574" s="1393"/>
      <c r="I574" s="475"/>
      <c r="J574" s="344" t="s">
        <v>229</v>
      </c>
      <c r="K574" s="344" t="s">
        <v>342</v>
      </c>
    </row>
    <row r="575" spans="1:12">
      <c r="A575" s="346" t="s">
        <v>915</v>
      </c>
      <c r="B575" s="1394" t="s">
        <v>1453</v>
      </c>
      <c r="C575" s="1395"/>
      <c r="D575" s="1396" t="s">
        <v>1454</v>
      </c>
      <c r="E575" s="1397"/>
      <c r="F575" s="355" t="str">
        <f>$F$9</f>
        <v>GAS</v>
      </c>
      <c r="G575" s="460" t="s">
        <v>845</v>
      </c>
      <c r="H575" s="455" t="s">
        <v>980</v>
      </c>
      <c r="I575" s="461" t="s">
        <v>846</v>
      </c>
      <c r="J575" s="346" t="s">
        <v>341</v>
      </c>
      <c r="K575" s="346" t="s">
        <v>340</v>
      </c>
    </row>
    <row r="576" spans="1:12" ht="15">
      <c r="A576" s="1398"/>
      <c r="B576" s="1399"/>
      <c r="C576" s="1400" t="s">
        <v>1455</v>
      </c>
      <c r="D576" s="1401"/>
      <c r="E576" s="342"/>
      <c r="F576" s="353"/>
      <c r="G576" s="1402">
        <f>$G$10</f>
        <v>3</v>
      </c>
      <c r="H576" s="1403">
        <f>$H$10</f>
        <v>4</v>
      </c>
      <c r="I576" s="1404">
        <f>$I$10</f>
        <v>5</v>
      </c>
    </row>
    <row r="577" spans="1:11">
      <c r="A577" s="968">
        <v>1</v>
      </c>
      <c r="B577" s="1405" t="s">
        <v>1456</v>
      </c>
      <c r="C577" s="1392"/>
      <c r="D577" s="1392"/>
      <c r="E577" s="342"/>
      <c r="F577" s="342"/>
      <c r="G577" s="1406"/>
      <c r="H577" s="1407"/>
      <c r="I577" s="1408"/>
      <c r="J577" s="196"/>
      <c r="K577" s="196"/>
    </row>
    <row r="578" spans="1:11">
      <c r="A578" s="968">
        <v>2</v>
      </c>
      <c r="B578" s="1409" t="s">
        <v>1457</v>
      </c>
      <c r="C578" s="1392"/>
      <c r="D578" s="1410" t="s">
        <v>315</v>
      </c>
      <c r="E578" s="342"/>
      <c r="F578" s="479">
        <f>-[1]SCH_E1!$Q$64</f>
        <v>5681089</v>
      </c>
      <c r="G578" s="465">
        <f>ROUND(F578*VLOOKUP(D578,AllocTable_Functional,$G$10,FALSE),0)</f>
        <v>41813</v>
      </c>
      <c r="H578" s="466">
        <f>ROUND(F578*VLOOKUP(D578,AllocTable_Functional,$H$10,FALSE),0)</f>
        <v>0</v>
      </c>
      <c r="I578" s="467">
        <f>ROUND(F578*VLOOKUP(D578,AllocTable_Functional,$I$10,FALSE),0)</f>
        <v>5639276</v>
      </c>
      <c r="J578" s="347">
        <f>SUM(G578:I578)</f>
        <v>5681089</v>
      </c>
      <c r="K578" s="347">
        <f>F578-J578</f>
        <v>0</v>
      </c>
    </row>
    <row r="579" spans="1:11">
      <c r="A579" s="968">
        <v>3</v>
      </c>
      <c r="B579" s="1409" t="s">
        <v>1171</v>
      </c>
      <c r="C579" s="1411"/>
      <c r="D579" s="1410" t="s">
        <v>315</v>
      </c>
      <c r="E579" s="342"/>
      <c r="F579" s="1412"/>
      <c r="G579" s="484">
        <f>ROUND(F579*VLOOKUP(D579,AllocTable_Functional,$G$10,FALSE),0)</f>
        <v>0</v>
      </c>
      <c r="H579" s="485">
        <f>ROUND(F579*VLOOKUP(D579,AllocTable_Functional,$H$10,FALSE),0)</f>
        <v>0</v>
      </c>
      <c r="I579" s="486">
        <f>ROUND(F579*VLOOKUP(D579,AllocTable_Functional,$I$10,FALSE),0)</f>
        <v>0</v>
      </c>
      <c r="J579" s="502">
        <f>SUM(G579:I579)</f>
        <v>0</v>
      </c>
      <c r="K579" s="502">
        <f>F579-J579</f>
        <v>0</v>
      </c>
    </row>
    <row r="580" spans="1:11">
      <c r="A580" s="968">
        <v>4</v>
      </c>
      <c r="B580" s="1413" t="s">
        <v>1458</v>
      </c>
      <c r="C580" s="1392"/>
      <c r="D580" s="1414"/>
      <c r="E580" s="342"/>
      <c r="F580" s="1291">
        <f t="shared" ref="F580:K580" si="138">SUM(F578:F579)</f>
        <v>5681089</v>
      </c>
      <c r="G580" s="1292">
        <f t="shared" si="138"/>
        <v>41813</v>
      </c>
      <c r="H580" s="1293">
        <f t="shared" si="138"/>
        <v>0</v>
      </c>
      <c r="I580" s="1294">
        <f t="shared" si="138"/>
        <v>5639276</v>
      </c>
      <c r="J580" s="335">
        <f t="shared" si="138"/>
        <v>5681089</v>
      </c>
      <c r="K580" s="335">
        <f t="shared" si="138"/>
        <v>0</v>
      </c>
    </row>
    <row r="581" spans="1:11" ht="15">
      <c r="A581" s="968">
        <v>5</v>
      </c>
      <c r="B581" s="1398"/>
      <c r="C581" s="1401"/>
      <c r="D581" s="1415"/>
      <c r="E581" s="342"/>
      <c r="F581" s="353"/>
      <c r="G581" s="462"/>
      <c r="H581" s="463"/>
      <c r="I581" s="464"/>
    </row>
    <row r="582" spans="1:11">
      <c r="A582" s="968">
        <v>6</v>
      </c>
      <c r="B582" s="1416" t="s">
        <v>1459</v>
      </c>
      <c r="C582" s="1392"/>
      <c r="D582" s="1414"/>
      <c r="E582" s="342"/>
      <c r="F582" s="353"/>
      <c r="G582" s="462"/>
      <c r="H582" s="463"/>
      <c r="I582" s="464"/>
    </row>
    <row r="583" spans="1:11">
      <c r="A583" s="968">
        <v>7</v>
      </c>
      <c r="B583" s="1417" t="s">
        <v>1460</v>
      </c>
      <c r="C583" s="1392"/>
      <c r="D583" s="1414"/>
      <c r="E583" s="342"/>
      <c r="F583" s="353"/>
      <c r="G583" s="462"/>
      <c r="H583" s="463"/>
      <c r="I583" s="464"/>
    </row>
    <row r="584" spans="1:11">
      <c r="A584" s="968">
        <v>8</v>
      </c>
      <c r="B584" s="1418" t="s">
        <v>1461</v>
      </c>
      <c r="C584" s="1411"/>
      <c r="D584" s="1410" t="s">
        <v>315</v>
      </c>
      <c r="E584" s="342"/>
      <c r="F584" s="1471">
        <f>[1]SCH_E1!$Q$102</f>
        <v>450960</v>
      </c>
      <c r="G584" s="484">
        <f>F584-SUM(H584:I584)</f>
        <v>3319</v>
      </c>
      <c r="H584" s="485">
        <f>ROUND(F584*VLOOKUP(D584,AllocTable_Functional,$H$10,FALSE),0)</f>
        <v>0</v>
      </c>
      <c r="I584" s="486">
        <f>ROUND(F584*VLOOKUP(D584,AllocTable_Functional,$I$10,FALSE),0)</f>
        <v>447641</v>
      </c>
      <c r="J584" s="502">
        <f>SUM(G584:I584)</f>
        <v>450960</v>
      </c>
      <c r="K584" s="502">
        <f>F584-J584</f>
        <v>0</v>
      </c>
    </row>
    <row r="585" spans="1:11">
      <c r="A585" s="968">
        <v>9</v>
      </c>
      <c r="B585" s="1413" t="s">
        <v>1463</v>
      </c>
      <c r="C585" s="1392"/>
      <c r="D585" s="1414"/>
      <c r="E585" s="342"/>
      <c r="F585" s="1291">
        <f t="shared" ref="F585:K585" si="139">SUM(F584)</f>
        <v>450960</v>
      </c>
      <c r="G585" s="1292">
        <f t="shared" si="139"/>
        <v>3319</v>
      </c>
      <c r="H585" s="1293">
        <f t="shared" si="139"/>
        <v>0</v>
      </c>
      <c r="I585" s="1294">
        <f t="shared" si="139"/>
        <v>447641</v>
      </c>
      <c r="J585" s="335">
        <f t="shared" si="139"/>
        <v>450960</v>
      </c>
      <c r="K585" s="335">
        <f t="shared" si="139"/>
        <v>0</v>
      </c>
    </row>
    <row r="586" spans="1:11">
      <c r="A586" s="968">
        <v>10</v>
      </c>
      <c r="B586" s="1090"/>
      <c r="C586" s="1392"/>
      <c r="D586" s="1414"/>
      <c r="E586" s="342"/>
      <c r="F586" s="353"/>
      <c r="G586" s="462"/>
      <c r="H586" s="463"/>
      <c r="I586" s="464"/>
    </row>
    <row r="587" spans="1:11">
      <c r="A587" s="968">
        <v>11</v>
      </c>
      <c r="B587" s="1419" t="s">
        <v>1464</v>
      </c>
      <c r="C587" s="1420"/>
      <c r="D587" s="1421"/>
      <c r="E587" s="342"/>
      <c r="F587" s="353"/>
      <c r="G587" s="462"/>
      <c r="H587" s="463"/>
      <c r="I587" s="464"/>
    </row>
    <row r="588" spans="1:11">
      <c r="A588" s="968">
        <v>12</v>
      </c>
      <c r="B588" s="1409" t="s">
        <v>1465</v>
      </c>
      <c r="C588" s="1411"/>
      <c r="D588" s="1410" t="s">
        <v>315</v>
      </c>
      <c r="E588" s="342"/>
      <c r="F588" s="1412">
        <v>0</v>
      </c>
      <c r="G588" s="484">
        <f>ROUND(F588*VLOOKUP(D588,AllocTable_Functional,$G$10,FALSE),0)</f>
        <v>0</v>
      </c>
      <c r="H588" s="485">
        <f>ROUND(F588*VLOOKUP(D588,AllocTable_Functional,$H$10,FALSE),0)</f>
        <v>0</v>
      </c>
      <c r="I588" s="486">
        <f>ROUND(F588*VLOOKUP(D588,AllocTable_Functional,$I$10,FALSE),0)</f>
        <v>0</v>
      </c>
      <c r="J588" s="502">
        <f>SUM(G588:I588)</f>
        <v>0</v>
      </c>
      <c r="K588" s="502">
        <f>F588-J588</f>
        <v>0</v>
      </c>
    </row>
    <row r="589" spans="1:11">
      <c r="A589" s="968">
        <v>13</v>
      </c>
      <c r="B589" s="1413" t="s">
        <v>1466</v>
      </c>
      <c r="C589" s="1392"/>
      <c r="D589" s="1414"/>
      <c r="E589" s="342"/>
      <c r="F589" s="1291">
        <f t="shared" ref="F589:K589" si="140">SUM(F588)</f>
        <v>0</v>
      </c>
      <c r="G589" s="1292">
        <f t="shared" si="140"/>
        <v>0</v>
      </c>
      <c r="H589" s="1293">
        <f t="shared" si="140"/>
        <v>0</v>
      </c>
      <c r="I589" s="1294">
        <f t="shared" si="140"/>
        <v>0</v>
      </c>
      <c r="J589" s="335">
        <f t="shared" si="140"/>
        <v>0</v>
      </c>
      <c r="K589" s="335">
        <f t="shared" si="140"/>
        <v>0</v>
      </c>
    </row>
    <row r="590" spans="1:11">
      <c r="A590" s="968">
        <v>14</v>
      </c>
      <c r="B590" s="1392"/>
      <c r="C590" s="1392"/>
      <c r="D590" s="1414"/>
      <c r="E590" s="342"/>
      <c r="F590" s="353"/>
      <c r="G590" s="462"/>
      <c r="H590" s="463"/>
      <c r="I590" s="464"/>
    </row>
    <row r="591" spans="1:11">
      <c r="A591" s="968">
        <v>15</v>
      </c>
      <c r="B591" s="1392" t="s">
        <v>1467</v>
      </c>
      <c r="C591" s="1392"/>
      <c r="D591" s="1414"/>
      <c r="E591" s="342"/>
      <c r="F591" s="1291">
        <f>F589+F585</f>
        <v>450960</v>
      </c>
      <c r="G591" s="1292">
        <f t="shared" ref="G591:K591" si="141">G589+G585</f>
        <v>3319</v>
      </c>
      <c r="H591" s="1293">
        <f t="shared" si="141"/>
        <v>0</v>
      </c>
      <c r="I591" s="1294">
        <f t="shared" si="141"/>
        <v>447641</v>
      </c>
      <c r="J591" s="335">
        <f t="shared" si="141"/>
        <v>450960</v>
      </c>
      <c r="K591" s="335">
        <f t="shared" si="141"/>
        <v>0</v>
      </c>
    </row>
    <row r="592" spans="1:11">
      <c r="A592" s="968">
        <v>16</v>
      </c>
      <c r="B592" s="1392"/>
      <c r="C592" s="1392"/>
      <c r="D592" s="1414"/>
      <c r="E592" s="342"/>
      <c r="F592" s="353"/>
      <c r="G592" s="462"/>
      <c r="H592" s="463"/>
      <c r="I592" s="464"/>
    </row>
    <row r="593" spans="1:11">
      <c r="A593" s="968">
        <v>17</v>
      </c>
      <c r="B593" s="1422" t="s">
        <v>68</v>
      </c>
      <c r="C593" s="1423"/>
      <c r="D593" s="968"/>
      <c r="E593" s="342"/>
      <c r="F593" s="353"/>
      <c r="G593" s="462"/>
      <c r="H593" s="463"/>
      <c r="I593" s="464"/>
    </row>
    <row r="594" spans="1:11">
      <c r="A594" s="968">
        <v>18</v>
      </c>
      <c r="B594" s="1417" t="s">
        <v>1468</v>
      </c>
      <c r="C594" s="1392"/>
      <c r="D594" s="1414"/>
      <c r="E594" s="342"/>
      <c r="F594" s="353"/>
      <c r="G594" s="462"/>
      <c r="H594" s="463"/>
      <c r="I594" s="464"/>
    </row>
    <row r="595" spans="1:11">
      <c r="A595" s="968">
        <v>19</v>
      </c>
      <c r="B595" s="1392" t="s">
        <v>43</v>
      </c>
      <c r="C595" s="1392"/>
      <c r="D595" s="1414"/>
      <c r="E595" s="342"/>
      <c r="F595" s="1291">
        <f>F334</f>
        <v>22525019</v>
      </c>
      <c r="G595" s="1292">
        <f>G334</f>
        <v>480731</v>
      </c>
      <c r="H595" s="1293">
        <f>H334</f>
        <v>0</v>
      </c>
      <c r="I595" s="1294">
        <f>I334</f>
        <v>22044288</v>
      </c>
      <c r="J595" s="1291">
        <f>J334</f>
        <v>22525019</v>
      </c>
      <c r="K595" s="1291">
        <f t="shared" ref="K595" si="142">K316</f>
        <v>0</v>
      </c>
    </row>
    <row r="596" spans="1:11">
      <c r="A596" s="968">
        <v>20</v>
      </c>
      <c r="B596" s="1392" t="s">
        <v>199</v>
      </c>
      <c r="C596" s="1392"/>
      <c r="D596" s="1414"/>
      <c r="E596" s="342"/>
      <c r="F596" s="1291">
        <f t="shared" ref="F596:K596" si="143">F557</f>
        <v>3326904</v>
      </c>
      <c r="G596" s="1292">
        <f t="shared" si="143"/>
        <v>955859</v>
      </c>
      <c r="H596" s="1293">
        <f t="shared" si="143"/>
        <v>0</v>
      </c>
      <c r="I596" s="1294">
        <f t="shared" si="143"/>
        <v>2371042</v>
      </c>
      <c r="J596" s="335">
        <f t="shared" si="143"/>
        <v>3326901</v>
      </c>
      <c r="K596" s="335">
        <f t="shared" si="143"/>
        <v>0</v>
      </c>
    </row>
    <row r="597" spans="1:11">
      <c r="A597" s="968">
        <v>21</v>
      </c>
      <c r="B597" s="1392" t="s">
        <v>1469</v>
      </c>
      <c r="C597" s="1392"/>
      <c r="D597" s="1414"/>
      <c r="E597" s="342"/>
      <c r="F597" s="1291">
        <f>-F524</f>
        <v>-13362531</v>
      </c>
      <c r="G597" s="1292">
        <f t="shared" ref="G597:K597" si="144">-G524</f>
        <v>-343923</v>
      </c>
      <c r="H597" s="1293">
        <f t="shared" si="144"/>
        <v>0</v>
      </c>
      <c r="I597" s="1294">
        <f t="shared" si="144"/>
        <v>-13018608</v>
      </c>
      <c r="J597" s="335">
        <f t="shared" si="144"/>
        <v>-13362531</v>
      </c>
      <c r="K597" s="335">
        <f t="shared" si="144"/>
        <v>0</v>
      </c>
    </row>
    <row r="598" spans="1:11">
      <c r="A598" s="968">
        <v>22</v>
      </c>
      <c r="B598" s="1392" t="s">
        <v>1470</v>
      </c>
      <c r="C598" s="1392"/>
      <c r="D598" s="1414"/>
      <c r="E598" s="342"/>
      <c r="F598" s="1291">
        <f t="shared" ref="F598:K598" si="145">-F580</f>
        <v>-5681089</v>
      </c>
      <c r="G598" s="1292">
        <f t="shared" si="145"/>
        <v>-41813</v>
      </c>
      <c r="H598" s="1293">
        <f t="shared" si="145"/>
        <v>0</v>
      </c>
      <c r="I598" s="1294">
        <f t="shared" si="145"/>
        <v>-5639276</v>
      </c>
      <c r="J598" s="335">
        <f t="shared" si="145"/>
        <v>-5681089</v>
      </c>
      <c r="K598" s="335">
        <f t="shared" si="145"/>
        <v>0</v>
      </c>
    </row>
    <row r="599" spans="1:11">
      <c r="A599" s="968">
        <v>23</v>
      </c>
      <c r="B599" s="1411" t="s">
        <v>1471</v>
      </c>
      <c r="C599" s="1411"/>
      <c r="D599" s="1414"/>
      <c r="E599" s="342"/>
      <c r="F599" s="1424">
        <f t="shared" ref="F599:K599" si="146">F591</f>
        <v>450960</v>
      </c>
      <c r="G599" s="1425">
        <f t="shared" si="146"/>
        <v>3319</v>
      </c>
      <c r="H599" s="1426">
        <f t="shared" si="146"/>
        <v>0</v>
      </c>
      <c r="I599" s="1427">
        <f t="shared" si="146"/>
        <v>447641</v>
      </c>
      <c r="J599" s="1428">
        <f t="shared" si="146"/>
        <v>450960</v>
      </c>
      <c r="K599" s="1428">
        <f t="shared" si="146"/>
        <v>0</v>
      </c>
    </row>
    <row r="600" spans="1:11">
      <c r="A600" s="968">
        <v>24</v>
      </c>
      <c r="B600" s="1090" t="s">
        <v>1472</v>
      </c>
      <c r="C600" s="1392"/>
      <c r="D600" s="1414"/>
      <c r="E600" s="342"/>
      <c r="F600" s="1291">
        <f t="shared" ref="F600:K600" si="147">SUM(F595:F599)</f>
        <v>7259263</v>
      </c>
      <c r="G600" s="1292">
        <f t="shared" si="147"/>
        <v>1054173</v>
      </c>
      <c r="H600" s="1293">
        <f t="shared" si="147"/>
        <v>0</v>
      </c>
      <c r="I600" s="1294">
        <f t="shared" si="147"/>
        <v>6205087</v>
      </c>
      <c r="J600" s="335">
        <f t="shared" si="147"/>
        <v>7259260</v>
      </c>
      <c r="K600" s="335">
        <f t="shared" si="147"/>
        <v>0</v>
      </c>
    </row>
    <row r="601" spans="1:11">
      <c r="A601" s="968">
        <v>25</v>
      </c>
      <c r="B601" s="1392"/>
      <c r="C601" s="1392"/>
      <c r="D601" s="1414"/>
      <c r="E601" s="342"/>
      <c r="F601" s="353"/>
      <c r="G601" s="462"/>
      <c r="H601" s="463"/>
      <c r="I601" s="464"/>
    </row>
    <row r="602" spans="1:11">
      <c r="A602" s="968">
        <v>26</v>
      </c>
      <c r="B602" s="1392" t="s">
        <v>1473</v>
      </c>
      <c r="C602" s="1392"/>
      <c r="D602" s="1414"/>
      <c r="E602" s="342"/>
      <c r="F602" s="1429">
        <f>ROUND(SIT/(1-SIT),8)</f>
        <v>5.2282660000000002E-2</v>
      </c>
      <c r="G602" s="1430">
        <f t="shared" ref="G602:K602" si="148">ROUND(SIT/(1-SIT),8)</f>
        <v>5.2282660000000002E-2</v>
      </c>
      <c r="H602" s="1431">
        <f t="shared" si="148"/>
        <v>5.2282660000000002E-2</v>
      </c>
      <c r="I602" s="1432">
        <f t="shared" si="148"/>
        <v>5.2282660000000002E-2</v>
      </c>
      <c r="J602" s="1429">
        <f t="shared" si="148"/>
        <v>5.2282660000000002E-2</v>
      </c>
      <c r="K602" s="1429">
        <f t="shared" si="148"/>
        <v>5.2282660000000002E-2</v>
      </c>
    </row>
    <row r="603" spans="1:11">
      <c r="A603" s="968">
        <v>27</v>
      </c>
      <c r="B603" s="1392" t="s">
        <v>1474</v>
      </c>
      <c r="C603" s="1392"/>
      <c r="D603" s="1433" t="s">
        <v>1475</v>
      </c>
      <c r="E603" s="342"/>
      <c r="F603" s="1434">
        <f>ROUND(F600*F602,0)+1</f>
        <v>379535</v>
      </c>
      <c r="G603" s="1292">
        <f>ROUND(G600*G602,0)</f>
        <v>55115</v>
      </c>
      <c r="H603" s="1293">
        <f>ROUND(H600*H602,0)</f>
        <v>0</v>
      </c>
      <c r="I603" s="1294">
        <f>ROUND(I600*I602,0)</f>
        <v>324418</v>
      </c>
      <c r="J603" s="347">
        <f>SUM(G603:I603)</f>
        <v>379533</v>
      </c>
      <c r="K603" s="347">
        <f>F603-J603</f>
        <v>2</v>
      </c>
    </row>
    <row r="604" spans="1:11">
      <c r="A604" s="968">
        <v>28</v>
      </c>
      <c r="B604" s="1411" t="s">
        <v>1476</v>
      </c>
      <c r="C604" s="1411"/>
      <c r="D604" s="1414"/>
      <c r="E604" s="1435"/>
      <c r="F604" s="1434">
        <f>F591</f>
        <v>450960</v>
      </c>
      <c r="G604" s="1436">
        <f>G591</f>
        <v>3319</v>
      </c>
      <c r="H604" s="1437">
        <f>H591</f>
        <v>0</v>
      </c>
      <c r="I604" s="1438">
        <f>I591</f>
        <v>447641</v>
      </c>
      <c r="J604" s="347">
        <f>SUM(G604:I604)</f>
        <v>450960</v>
      </c>
      <c r="K604" s="347">
        <f>F604-J604</f>
        <v>0</v>
      </c>
    </row>
    <row r="605" spans="1:11">
      <c r="A605" s="968">
        <v>29</v>
      </c>
      <c r="B605" s="1090" t="s">
        <v>1477</v>
      </c>
      <c r="C605" s="1392"/>
      <c r="D605" s="1414"/>
      <c r="E605" s="342"/>
      <c r="F605" s="1439">
        <f t="shared" ref="F605:K605" si="149">F604+F603</f>
        <v>830495</v>
      </c>
      <c r="G605" s="1440">
        <f t="shared" si="149"/>
        <v>58434</v>
      </c>
      <c r="H605" s="1441">
        <f t="shared" si="149"/>
        <v>0</v>
      </c>
      <c r="I605" s="1442">
        <f t="shared" si="149"/>
        <v>772059</v>
      </c>
      <c r="J605" s="1439">
        <f t="shared" si="149"/>
        <v>830493</v>
      </c>
      <c r="K605" s="1439">
        <f t="shared" si="149"/>
        <v>2</v>
      </c>
    </row>
    <row r="606" spans="1:11">
      <c r="A606" s="968">
        <v>30</v>
      </c>
      <c r="B606" s="1392"/>
      <c r="C606" s="1392"/>
      <c r="D606" s="1414"/>
      <c r="E606" s="342"/>
      <c r="F606" s="353"/>
      <c r="G606" s="462"/>
      <c r="H606" s="463"/>
      <c r="I606" s="464"/>
    </row>
    <row r="607" spans="1:11">
      <c r="A607" s="968">
        <v>31</v>
      </c>
      <c r="B607" s="1392" t="s">
        <v>1478</v>
      </c>
      <c r="C607" s="1392"/>
      <c r="D607" s="1414"/>
      <c r="E607" s="342"/>
      <c r="F607" s="353"/>
      <c r="G607" s="462"/>
      <c r="H607" s="463"/>
      <c r="I607" s="464"/>
    </row>
    <row r="608" spans="1:11">
      <c r="A608" s="968">
        <v>32</v>
      </c>
      <c r="B608" s="1392" t="s">
        <v>1474</v>
      </c>
      <c r="C608" s="1392"/>
      <c r="D608" s="1414"/>
      <c r="E608" s="342"/>
      <c r="F608" s="1434">
        <f t="shared" ref="F608:K608" si="150">F603</f>
        <v>379535</v>
      </c>
      <c r="G608" s="1436">
        <f t="shared" si="150"/>
        <v>55115</v>
      </c>
      <c r="H608" s="1437">
        <f t="shared" si="150"/>
        <v>0</v>
      </c>
      <c r="I608" s="1438">
        <f t="shared" si="150"/>
        <v>324418</v>
      </c>
      <c r="J608" s="1434">
        <f t="shared" si="150"/>
        <v>379533</v>
      </c>
      <c r="K608" s="1434">
        <f t="shared" si="150"/>
        <v>2</v>
      </c>
    </row>
    <row r="609" spans="1:11">
      <c r="A609" s="968">
        <v>33</v>
      </c>
      <c r="B609" s="1411" t="s">
        <v>1464</v>
      </c>
      <c r="C609" s="1411"/>
      <c r="D609" s="1414"/>
      <c r="E609" s="342"/>
      <c r="F609" s="1434">
        <f t="shared" ref="F609:K609" si="151">F589</f>
        <v>0</v>
      </c>
      <c r="G609" s="1436">
        <f t="shared" si="151"/>
        <v>0</v>
      </c>
      <c r="H609" s="1437">
        <f t="shared" si="151"/>
        <v>0</v>
      </c>
      <c r="I609" s="1438">
        <f t="shared" si="151"/>
        <v>0</v>
      </c>
      <c r="J609" s="1434">
        <f t="shared" si="151"/>
        <v>0</v>
      </c>
      <c r="K609" s="1434">
        <f t="shared" si="151"/>
        <v>0</v>
      </c>
    </row>
    <row r="610" spans="1:11">
      <c r="A610" s="968">
        <v>34</v>
      </c>
      <c r="B610" s="1090" t="s">
        <v>1479</v>
      </c>
      <c r="C610" s="1392"/>
      <c r="D610" s="1414"/>
      <c r="E610" s="342"/>
      <c r="F610" s="1439">
        <f t="shared" ref="F610:K610" si="152">F608+F609</f>
        <v>379535</v>
      </c>
      <c r="G610" s="1440">
        <f t="shared" si="152"/>
        <v>55115</v>
      </c>
      <c r="H610" s="1441">
        <f t="shared" si="152"/>
        <v>0</v>
      </c>
      <c r="I610" s="1442">
        <f t="shared" si="152"/>
        <v>324418</v>
      </c>
      <c r="J610" s="1439">
        <f t="shared" si="152"/>
        <v>379533</v>
      </c>
      <c r="K610" s="1439">
        <f t="shared" si="152"/>
        <v>2</v>
      </c>
    </row>
    <row r="611" spans="1:11">
      <c r="A611" s="968">
        <v>35</v>
      </c>
      <c r="B611" s="1392"/>
      <c r="C611" s="1392"/>
      <c r="D611" s="1392"/>
      <c r="E611" s="342"/>
      <c r="F611" s="1434"/>
      <c r="G611" s="1436"/>
      <c r="H611" s="1437"/>
      <c r="I611" s="1438"/>
      <c r="J611" s="1434"/>
      <c r="K611" s="1434"/>
    </row>
    <row r="612" spans="1:11">
      <c r="A612" s="968">
        <v>36</v>
      </c>
      <c r="B612" s="1392" t="s">
        <v>76</v>
      </c>
      <c r="C612" s="1392"/>
      <c r="D612" s="1392"/>
      <c r="E612" s="342"/>
      <c r="F612" s="1517">
        <f t="shared" ref="F612:K612" si="153">(SIT*(1-FIT))+((1-SIT)*(1-FIT)*RevTax)+FIT</f>
        <v>0.24925115</v>
      </c>
      <c r="G612" s="1444">
        <f t="shared" si="153"/>
        <v>0.24925115</v>
      </c>
      <c r="H612" s="1445">
        <f t="shared" si="153"/>
        <v>0.24925115</v>
      </c>
      <c r="I612" s="1446">
        <f t="shared" si="153"/>
        <v>0.24925115</v>
      </c>
      <c r="J612" s="1443">
        <f t="shared" si="153"/>
        <v>0.24925115</v>
      </c>
      <c r="K612" s="1443">
        <f t="shared" si="153"/>
        <v>0.24925115</v>
      </c>
    </row>
    <row r="614" spans="1:11">
      <c r="A614" s="343" t="str">
        <f>co_name</f>
        <v>DUKE ENERGY KENTUCKY, INC.</v>
      </c>
      <c r="C614" s="196"/>
      <c r="D614" s="344"/>
      <c r="E614" s="196"/>
      <c r="F614" s="196"/>
      <c r="G614" s="196"/>
      <c r="H614" s="196"/>
      <c r="I614" s="196"/>
      <c r="J614" s="196" t="str">
        <f>$J$1</f>
        <v>FR-16(7)(v)-1</v>
      </c>
      <c r="K614" s="196"/>
    </row>
    <row r="615" spans="1:11">
      <c r="A615" s="343" t="str">
        <f>$A$2</f>
        <v>FUNCTIONAL GAS COST OF SERVICE</v>
      </c>
      <c r="C615" s="196"/>
      <c r="D615" s="344"/>
      <c r="E615" s="196"/>
      <c r="F615" s="196"/>
      <c r="G615" s="196"/>
      <c r="H615" s="196"/>
      <c r="I615" s="196"/>
      <c r="J615" s="196" t="str">
        <f>$J$2</f>
        <v>WITNESS RESPONSIBLE:</v>
      </c>
      <c r="K615" s="196"/>
    </row>
    <row r="616" spans="1:11">
      <c r="A616" s="343" t="str">
        <f>case_name</f>
        <v>CASE NO: 2018-00261</v>
      </c>
      <c r="C616" s="196"/>
      <c r="D616" s="344"/>
      <c r="E616" s="196"/>
      <c r="F616" s="196"/>
      <c r="G616" s="196"/>
      <c r="H616" s="196"/>
      <c r="I616" s="196"/>
      <c r="J616" s="196" t="str">
        <f>Witness</f>
        <v>JAMES E. ZIOLKOWSKI</v>
      </c>
      <c r="K616" s="196"/>
    </row>
    <row r="617" spans="1:11">
      <c r="A617" s="343" t="str">
        <f>data_filing</f>
        <v>DATA: 12 MONTH FORECASTED PERIOD</v>
      </c>
      <c r="C617" s="196"/>
      <c r="D617" s="344"/>
      <c r="E617" s="196"/>
      <c r="F617" s="196"/>
      <c r="G617" s="196"/>
      <c r="H617" s="196"/>
      <c r="I617" s="196"/>
      <c r="J617" s="196" t="str">
        <f>"PAGE "&amp;Pages-4&amp;" OF "&amp;Pages</f>
        <v>PAGE 14 OF 18</v>
      </c>
      <c r="K617" s="196"/>
    </row>
    <row r="618" spans="1:11">
      <c r="A618" s="343" t="str">
        <f>type</f>
        <v xml:space="preserve">TYPE OF FILING: "X" ORIGINAL   UPDATED    REVISED  </v>
      </c>
      <c r="C618" s="196"/>
      <c r="D618" s="344"/>
      <c r="E618" s="196"/>
      <c r="F618" s="196"/>
      <c r="G618" s="196"/>
      <c r="H618" s="196"/>
      <c r="I618" s="196"/>
      <c r="J618" s="196"/>
      <c r="K618" s="196"/>
    </row>
    <row r="619" spans="1:11">
      <c r="B619" s="343"/>
      <c r="C619" s="196"/>
      <c r="D619" s="344"/>
      <c r="E619" s="196"/>
      <c r="F619" s="196"/>
      <c r="G619" s="196"/>
      <c r="H619" s="196"/>
      <c r="I619" s="196"/>
      <c r="J619" s="196"/>
      <c r="K619" s="196"/>
    </row>
    <row r="620" spans="1:11">
      <c r="B620" s="343"/>
      <c r="C620" s="196"/>
      <c r="D620" s="344"/>
      <c r="E620" s="196"/>
      <c r="F620" s="196"/>
      <c r="G620" s="196"/>
      <c r="H620" s="196"/>
      <c r="I620" s="196"/>
      <c r="J620" s="196"/>
      <c r="K620" s="196"/>
    </row>
    <row r="621" spans="1:11">
      <c r="A621" s="344" t="s">
        <v>914</v>
      </c>
      <c r="B621" s="196"/>
      <c r="C621" s="196"/>
      <c r="D621" s="344"/>
      <c r="E621" s="196"/>
      <c r="F621" s="344" t="s">
        <v>229</v>
      </c>
      <c r="G621" s="473" t="s">
        <v>981</v>
      </c>
      <c r="H621" s="474"/>
      <c r="I621" s="475"/>
      <c r="J621" s="344" t="s">
        <v>229</v>
      </c>
      <c r="K621" s="344" t="s">
        <v>342</v>
      </c>
    </row>
    <row r="622" spans="1:11">
      <c r="A622" s="346" t="s">
        <v>915</v>
      </c>
      <c r="B622" s="345" t="s">
        <v>77</v>
      </c>
      <c r="C622" s="345"/>
      <c r="D622" s="346" t="s">
        <v>337</v>
      </c>
      <c r="E622" s="345"/>
      <c r="F622" s="346" t="s">
        <v>284</v>
      </c>
      <c r="G622" s="460" t="s">
        <v>845</v>
      </c>
      <c r="H622" s="455" t="s">
        <v>980</v>
      </c>
      <c r="I622" s="461" t="s">
        <v>846</v>
      </c>
      <c r="J622" s="346" t="s">
        <v>341</v>
      </c>
      <c r="K622" s="346" t="s">
        <v>340</v>
      </c>
    </row>
    <row r="623" spans="1:11">
      <c r="C623" s="578" t="s">
        <v>352</v>
      </c>
      <c r="D623" s="344"/>
      <c r="E623" s="196"/>
      <c r="G623" s="628">
        <f>$G$10</f>
        <v>3</v>
      </c>
      <c r="H623" s="629">
        <f>$H$10</f>
        <v>4</v>
      </c>
      <c r="I623" s="630">
        <f>$I$10</f>
        <v>5</v>
      </c>
    </row>
    <row r="624" spans="1:11">
      <c r="A624" s="333">
        <v>1</v>
      </c>
      <c r="B624" s="332" t="s">
        <v>78</v>
      </c>
      <c r="D624" s="344"/>
      <c r="E624" s="196"/>
      <c r="G624" s="462"/>
      <c r="H624" s="463"/>
      <c r="I624" s="464"/>
    </row>
    <row r="625" spans="1:11">
      <c r="A625" s="333">
        <v>2</v>
      </c>
      <c r="C625" s="332" t="s">
        <v>200</v>
      </c>
      <c r="D625" s="729" t="s">
        <v>291</v>
      </c>
      <c r="E625" s="583"/>
      <c r="F625" s="795">
        <f>94257-SUM(F626:F629)</f>
        <v>50100</v>
      </c>
      <c r="G625" s="465">
        <f>ROUND(F625*VLOOKUP(D625,AllocTable_Functional,$G$10,FALSE),0)</f>
        <v>0</v>
      </c>
      <c r="H625" s="466">
        <f>ROUND(F625*VLOOKUP(D625,AllocTable_Functional,$H$10,FALSE),0)</f>
        <v>0</v>
      </c>
      <c r="I625" s="467">
        <f>ROUND(F625*VLOOKUP(D625,AllocTable_Functional,$I$10,FALSE),0)</f>
        <v>50100</v>
      </c>
      <c r="J625" s="347">
        <f>SUM($G$625:$I$625)</f>
        <v>50100</v>
      </c>
      <c r="K625" s="347">
        <f>F625-$J$625</f>
        <v>0</v>
      </c>
    </row>
    <row r="626" spans="1:11">
      <c r="A626" s="333">
        <v>3</v>
      </c>
      <c r="C626" s="332" t="s">
        <v>228</v>
      </c>
      <c r="D626" s="775" t="str">
        <f>D491</f>
        <v>AG39</v>
      </c>
      <c r="E626" s="583"/>
      <c r="F626" s="1038">
        <v>27765</v>
      </c>
      <c r="G626" s="465">
        <f>ROUND(F626*VLOOKUP(D626,AllocTable_Functional,$G$10,FALSE),0)</f>
        <v>2870</v>
      </c>
      <c r="H626" s="466">
        <f>ROUND(F626*VLOOKUP(D626,AllocTable_Functional,$H$10,FALSE),0)</f>
        <v>0</v>
      </c>
      <c r="I626" s="467">
        <f>ROUND(F626*VLOOKUP(D626,AllocTable_Functional,$I$10,FALSE),0)</f>
        <v>24895</v>
      </c>
      <c r="J626" s="347">
        <f>SUM($G$626:$I$626)</f>
        <v>27765</v>
      </c>
      <c r="K626" s="347">
        <f>F626-$J$626</f>
        <v>0</v>
      </c>
    </row>
    <row r="627" spans="1:11">
      <c r="A627" s="333">
        <v>4</v>
      </c>
      <c r="C627" s="332" t="s">
        <v>414</v>
      </c>
      <c r="D627" s="732" t="s">
        <v>291</v>
      </c>
      <c r="E627" s="583"/>
      <c r="F627" s="795">
        <v>1896</v>
      </c>
      <c r="G627" s="465">
        <f>ROUND(F627*VLOOKUP(D627,AllocTable_Functional,$G$10,FALSE),0)</f>
        <v>0</v>
      </c>
      <c r="H627" s="466">
        <f>ROUND(F627*VLOOKUP(D627,AllocTable_Functional,$H$10,FALSE),0)</f>
        <v>0</v>
      </c>
      <c r="I627" s="467">
        <f>ROUND(F627*VLOOKUP(D627,AllocTable_Functional,$I$10,FALSE),0)</f>
        <v>1896</v>
      </c>
      <c r="J627" s="347">
        <f>SUM($G$627:$I$627)</f>
        <v>1896</v>
      </c>
      <c r="K627" s="347">
        <f>F627-$J$627</f>
        <v>0</v>
      </c>
    </row>
    <row r="628" spans="1:11">
      <c r="A628" s="333">
        <v>5</v>
      </c>
      <c r="C628" s="332" t="s">
        <v>378</v>
      </c>
      <c r="D628" s="732" t="s">
        <v>312</v>
      </c>
      <c r="E628" s="583"/>
      <c r="F628" s="795">
        <v>14496</v>
      </c>
      <c r="G628" s="465">
        <f>ROUND(F628*VLOOKUP(D628,AllocTable_Functional,$G$10,FALSE),0)</f>
        <v>0</v>
      </c>
      <c r="H628" s="466">
        <f>ROUND(F628*VLOOKUP(D628,AllocTable_Functional,$H$10,FALSE),0)</f>
        <v>0</v>
      </c>
      <c r="I628" s="467">
        <f>ROUND(F628*VLOOKUP(D628,AllocTable_Functional,$I$10,FALSE),0)</f>
        <v>14496</v>
      </c>
      <c r="J628" s="347">
        <f>SUM($G$628:$I$628)</f>
        <v>14496</v>
      </c>
      <c r="K628" s="347">
        <f>F628-$J$628</f>
        <v>0</v>
      </c>
    </row>
    <row r="629" spans="1:11">
      <c r="A629" s="333">
        <v>6</v>
      </c>
      <c r="C629" s="359" t="s">
        <v>408</v>
      </c>
      <c r="D629" s="775" t="str">
        <f>D491</f>
        <v>AG39</v>
      </c>
      <c r="E629" s="583"/>
      <c r="F629" s="1038">
        <v>0</v>
      </c>
      <c r="G629" s="465">
        <f>ROUND(F629*VLOOKUP(D629,AllocTable_Functional,$G$10,FALSE),0)</f>
        <v>0</v>
      </c>
      <c r="H629" s="466">
        <f>ROUND(F629*VLOOKUP(D629,AllocTable_Functional,$H$10,FALSE),0)</f>
        <v>0</v>
      </c>
      <c r="I629" s="467">
        <f>ROUND(F629*VLOOKUP(D629,AllocTable_Functional,$I$10,FALSE),0)</f>
        <v>0</v>
      </c>
      <c r="J629" s="347">
        <f>SUM($G$629:$I$629)</f>
        <v>0</v>
      </c>
      <c r="K629" s="347">
        <f>F629-$J$629</f>
        <v>0</v>
      </c>
    </row>
    <row r="630" spans="1:11">
      <c r="A630" s="333">
        <v>7</v>
      </c>
      <c r="C630" s="332" t="s">
        <v>201</v>
      </c>
      <c r="D630" s="354"/>
      <c r="E630" s="196"/>
      <c r="F630" s="348">
        <f>SUM(F625:F629)</f>
        <v>94257</v>
      </c>
      <c r="G630" s="468">
        <f>SUM($G$625:$G$629)</f>
        <v>2870</v>
      </c>
      <c r="H630" s="456">
        <f>SUM($H$625:$H$629)</f>
        <v>0</v>
      </c>
      <c r="I630" s="469">
        <f>SUM($I$625:$I$629)</f>
        <v>91387</v>
      </c>
      <c r="J630" s="348">
        <f>SUM($J$625:$J$629)</f>
        <v>94257</v>
      </c>
      <c r="K630" s="348">
        <f>SUM($K$625:$K$629)</f>
        <v>0</v>
      </c>
    </row>
    <row r="631" spans="1:11">
      <c r="A631" s="333">
        <v>8</v>
      </c>
      <c r="D631" s="344"/>
      <c r="E631" s="196"/>
      <c r="G631" s="462"/>
      <c r="H631" s="463"/>
      <c r="I631" s="464"/>
    </row>
    <row r="632" spans="1:11">
      <c r="A632" s="333">
        <v>9</v>
      </c>
      <c r="B632" s="332" t="s">
        <v>77</v>
      </c>
      <c r="D632" s="344"/>
      <c r="E632" s="196"/>
      <c r="G632" s="462"/>
      <c r="H632" s="463"/>
      <c r="I632" s="464"/>
    </row>
    <row r="633" spans="1:11">
      <c r="A633" s="333">
        <v>10</v>
      </c>
      <c r="C633" s="332" t="s">
        <v>202</v>
      </c>
      <c r="D633" s="344"/>
      <c r="E633" s="196"/>
      <c r="F633" s="347">
        <f>F501</f>
        <v>79241931.067599997</v>
      </c>
      <c r="G633" s="465">
        <f>$G$501</f>
        <v>38590987.067599997</v>
      </c>
      <c r="H633" s="466">
        <f>$H$501</f>
        <v>0</v>
      </c>
      <c r="I633" s="467">
        <f>$I$501</f>
        <v>40650944</v>
      </c>
      <c r="J633" s="347">
        <f>$J$501</f>
        <v>79241931.067599997</v>
      </c>
      <c r="K633" s="347">
        <f>$K$501</f>
        <v>0</v>
      </c>
    </row>
    <row r="634" spans="1:11">
      <c r="A634" s="333">
        <v>11</v>
      </c>
      <c r="C634" s="332" t="s">
        <v>43</v>
      </c>
      <c r="D634" s="344"/>
      <c r="E634" s="196"/>
      <c r="F634" s="347">
        <f t="shared" ref="F634:K634" si="154">F334</f>
        <v>22525019</v>
      </c>
      <c r="G634" s="465">
        <f t="shared" si="154"/>
        <v>480731</v>
      </c>
      <c r="H634" s="466">
        <f t="shared" si="154"/>
        <v>0</v>
      </c>
      <c r="I634" s="467">
        <f t="shared" si="154"/>
        <v>22044288</v>
      </c>
      <c r="J634" s="347">
        <f t="shared" si="154"/>
        <v>22525019</v>
      </c>
      <c r="K634" s="347">
        <f t="shared" si="154"/>
        <v>0</v>
      </c>
    </row>
    <row r="635" spans="1:11">
      <c r="A635" s="333">
        <v>12</v>
      </c>
      <c r="C635" s="332" t="s">
        <v>199</v>
      </c>
      <c r="D635" s="344"/>
      <c r="E635" s="196"/>
      <c r="F635" s="347">
        <f>F557</f>
        <v>3326904</v>
      </c>
      <c r="G635" s="465">
        <f>$G$557</f>
        <v>955859</v>
      </c>
      <c r="H635" s="466">
        <f>$H$557</f>
        <v>0</v>
      </c>
      <c r="I635" s="467">
        <f>$I$557</f>
        <v>2371042</v>
      </c>
      <c r="J635" s="347">
        <f>$J$557</f>
        <v>3326901</v>
      </c>
      <c r="K635" s="347">
        <f>$K$557</f>
        <v>0</v>
      </c>
    </row>
    <row r="636" spans="1:11">
      <c r="A636" s="333">
        <v>13</v>
      </c>
      <c r="C636" s="359" t="s">
        <v>103</v>
      </c>
      <c r="D636" s="344"/>
      <c r="E636" s="196"/>
      <c r="F636" s="347">
        <f>-F630</f>
        <v>-94257</v>
      </c>
      <c r="G636" s="465">
        <f>-$G$630</f>
        <v>-2870</v>
      </c>
      <c r="H636" s="466">
        <f>-$H$630</f>
        <v>0</v>
      </c>
      <c r="I636" s="467">
        <f>-$I$630</f>
        <v>-91387</v>
      </c>
      <c r="J636" s="347">
        <f>-$J$630</f>
        <v>-94257</v>
      </c>
      <c r="K636" s="347">
        <f>-$K$630</f>
        <v>0</v>
      </c>
    </row>
    <row r="637" spans="1:11">
      <c r="A637" s="333">
        <v>14</v>
      </c>
      <c r="C637" s="332" t="s">
        <v>203</v>
      </c>
      <c r="D637" s="344"/>
      <c r="E637" s="196"/>
      <c r="F637" s="348">
        <f>SUM(F632:F636)</f>
        <v>104999597.0676</v>
      </c>
      <c r="G637" s="468">
        <f>SUM($G$632:$G$636)</f>
        <v>40024707.067599997</v>
      </c>
      <c r="H637" s="456">
        <f>SUM($H$632:$H$636)</f>
        <v>0</v>
      </c>
      <c r="I637" s="469">
        <f>SUM($I$632:$I$636)</f>
        <v>64974887</v>
      </c>
      <c r="J637" s="348">
        <f>SUM($J$632:$J$636)</f>
        <v>104999594.0676</v>
      </c>
      <c r="K637" s="348">
        <f>$J$637-F637</f>
        <v>-3</v>
      </c>
    </row>
    <row r="638" spans="1:11">
      <c r="A638" s="333">
        <v>15</v>
      </c>
      <c r="D638" s="344"/>
      <c r="E638" s="196"/>
      <c r="G638" s="462"/>
      <c r="H638" s="463"/>
      <c r="I638" s="464"/>
    </row>
    <row r="639" spans="1:11">
      <c r="A639" s="333">
        <v>16</v>
      </c>
      <c r="C639" s="332" t="s">
        <v>103</v>
      </c>
      <c r="D639" s="344"/>
      <c r="E639" s="196"/>
      <c r="F639" s="347">
        <f>-F636</f>
        <v>94257</v>
      </c>
      <c r="G639" s="465">
        <f>-$G$636</f>
        <v>2870</v>
      </c>
      <c r="H639" s="466">
        <f>-$H$636</f>
        <v>0</v>
      </c>
      <c r="I639" s="467">
        <f>-$I$636</f>
        <v>91387</v>
      </c>
      <c r="J639" s="347">
        <f>-$J$636</f>
        <v>94257</v>
      </c>
      <c r="K639" s="347">
        <f>-$K$636</f>
        <v>0</v>
      </c>
    </row>
    <row r="640" spans="1:11">
      <c r="A640" s="333">
        <v>17</v>
      </c>
      <c r="C640" s="359" t="s">
        <v>204</v>
      </c>
      <c r="D640" s="344"/>
      <c r="E640" s="196"/>
      <c r="F640" s="349">
        <f>'FR-16(7)(v)-3 PROD Comm Alloc'!F855</f>
        <v>0</v>
      </c>
      <c r="G640" s="465">
        <f>G855</f>
        <v>0</v>
      </c>
      <c r="H640" s="485">
        <f>H855</f>
        <v>0</v>
      </c>
      <c r="I640" s="486">
        <f>I855</f>
        <v>0</v>
      </c>
      <c r="J640" s="347">
        <f>SUM(G640:I640)</f>
        <v>0</v>
      </c>
      <c r="K640" s="347">
        <f>F640-J640</f>
        <v>0</v>
      </c>
    </row>
    <row r="641" spans="1:11">
      <c r="A641" s="333">
        <v>18</v>
      </c>
      <c r="C641" s="332" t="s">
        <v>205</v>
      </c>
      <c r="D641" s="344"/>
      <c r="E641" s="196"/>
      <c r="F641" s="348">
        <f>F639-F640</f>
        <v>94257</v>
      </c>
      <c r="G641" s="468">
        <f>$G$639-G640</f>
        <v>2870</v>
      </c>
      <c r="H641" s="456">
        <f>$H$639-H640</f>
        <v>0</v>
      </c>
      <c r="I641" s="469">
        <f>$I$639-I640</f>
        <v>91387</v>
      </c>
      <c r="J641" s="348">
        <f>$J$639-J640</f>
        <v>94257</v>
      </c>
      <c r="K641" s="348">
        <f>$K$639-K640</f>
        <v>0</v>
      </c>
    </row>
    <row r="642" spans="1:11">
      <c r="A642" s="333">
        <v>19</v>
      </c>
      <c r="D642" s="344"/>
      <c r="E642" s="196"/>
      <c r="G642" s="462"/>
      <c r="H642" s="463"/>
      <c r="I642" s="464"/>
    </row>
    <row r="643" spans="1:11">
      <c r="A643" s="333">
        <v>20</v>
      </c>
      <c r="C643" s="332" t="s">
        <v>206</v>
      </c>
      <c r="D643" s="344"/>
      <c r="E643" s="196"/>
      <c r="F643" s="350">
        <f t="shared" ref="F643:K643" si="155">ROUND(F694/(1-F694),8)</f>
        <v>0</v>
      </c>
      <c r="G643" s="470">
        <f t="shared" si="155"/>
        <v>0</v>
      </c>
      <c r="H643" s="471">
        <f t="shared" si="155"/>
        <v>0</v>
      </c>
      <c r="I643" s="472">
        <f t="shared" si="155"/>
        <v>0</v>
      </c>
      <c r="J643" s="350">
        <f t="shared" si="155"/>
        <v>0</v>
      </c>
      <c r="K643" s="350">
        <f t="shared" si="155"/>
        <v>0</v>
      </c>
    </row>
    <row r="644" spans="1:11">
      <c r="A644" s="333">
        <v>21</v>
      </c>
      <c r="C644" s="332" t="s">
        <v>207</v>
      </c>
      <c r="D644" s="344"/>
      <c r="E644" s="196"/>
      <c r="F644" s="347">
        <f>ROUND(F643*F641,0)</f>
        <v>0</v>
      </c>
      <c r="G644" s="465">
        <f>ROUND(G643*G641,0)</f>
        <v>0</v>
      </c>
      <c r="H644" s="466">
        <f>ROUND(H643*H641,0)</f>
        <v>0</v>
      </c>
      <c r="I644" s="467">
        <f>ROUND(I643*I641,0)</f>
        <v>0</v>
      </c>
      <c r="J644" s="347">
        <f>SUM(G644:I644)</f>
        <v>0</v>
      </c>
      <c r="K644" s="347">
        <f>ROUND(K643*K641,0)</f>
        <v>0</v>
      </c>
    </row>
    <row r="645" spans="1:11">
      <c r="A645" s="333">
        <v>22</v>
      </c>
      <c r="C645" s="332" t="s">
        <v>208</v>
      </c>
      <c r="D645" s="344"/>
      <c r="E645" s="196"/>
      <c r="F645" s="512">
        <f>ROUND(F643*F637,0)</f>
        <v>0</v>
      </c>
      <c r="G645" s="465">
        <f>ROUND(G643*$G$637,0)</f>
        <v>0</v>
      </c>
      <c r="H645" s="466">
        <f>ROUND(H643*$H$637,0)</f>
        <v>0</v>
      </c>
      <c r="I645" s="467">
        <f>ROUND(I643*$I$637,0)</f>
        <v>0</v>
      </c>
      <c r="J645" s="512">
        <f>SUM(G645:I645)</f>
        <v>0</v>
      </c>
      <c r="K645" s="512">
        <f>ROUND(K643*$K$637,0)</f>
        <v>0</v>
      </c>
    </row>
    <row r="646" spans="1:11">
      <c r="A646" s="333">
        <v>23</v>
      </c>
      <c r="C646" s="359" t="s">
        <v>209</v>
      </c>
      <c r="D646" s="344"/>
      <c r="E646" s="196"/>
      <c r="F646" s="510">
        <f t="shared" ref="F646:K646" si="156">F645+F644</f>
        <v>0</v>
      </c>
      <c r="G646" s="517">
        <f t="shared" si="156"/>
        <v>0</v>
      </c>
      <c r="H646" s="516">
        <f t="shared" si="156"/>
        <v>0</v>
      </c>
      <c r="I646" s="518">
        <f t="shared" si="156"/>
        <v>0</v>
      </c>
      <c r="J646" s="510">
        <f t="shared" si="156"/>
        <v>0</v>
      </c>
      <c r="K646" s="510">
        <f t="shared" si="156"/>
        <v>0</v>
      </c>
    </row>
    <row r="647" spans="1:11">
      <c r="A647" s="333">
        <v>24</v>
      </c>
      <c r="C647" s="332" t="s">
        <v>435</v>
      </c>
      <c r="D647" s="344"/>
      <c r="E647" s="196"/>
      <c r="F647" s="348">
        <f>F646+F637</f>
        <v>104999597.0676</v>
      </c>
      <c r="G647" s="468">
        <f>G646+$G$637</f>
        <v>40024707.067599997</v>
      </c>
      <c r="H647" s="456">
        <f>H646+$H$637</f>
        <v>0</v>
      </c>
      <c r="I647" s="469">
        <f>I646+$I$637</f>
        <v>64974887</v>
      </c>
      <c r="J647" s="348">
        <f>J646+$J$637</f>
        <v>104999594.0676</v>
      </c>
      <c r="K647" s="348">
        <f>K646+$K$637</f>
        <v>-3</v>
      </c>
    </row>
    <row r="648" spans="1:11">
      <c r="A648" s="333">
        <v>25</v>
      </c>
      <c r="D648" s="344"/>
      <c r="E648" s="196"/>
      <c r="G648" s="462"/>
      <c r="H648" s="463"/>
      <c r="I648" s="464"/>
    </row>
    <row r="649" spans="1:11">
      <c r="A649" s="333">
        <v>26</v>
      </c>
      <c r="B649" s="332" t="s">
        <v>850</v>
      </c>
      <c r="D649" s="344"/>
      <c r="E649" s="196"/>
      <c r="F649" s="349">
        <f>F745</f>
        <v>95287873</v>
      </c>
      <c r="G649" s="465">
        <f>G745</f>
        <v>36322784</v>
      </c>
      <c r="H649" s="466">
        <f>H745</f>
        <v>0</v>
      </c>
      <c r="I649" s="467">
        <f>I745</f>
        <v>58965089</v>
      </c>
      <c r="J649" s="347">
        <f>J745</f>
        <v>95287873</v>
      </c>
      <c r="K649" s="347">
        <f>F649-J649</f>
        <v>0</v>
      </c>
    </row>
    <row r="650" spans="1:11">
      <c r="A650" s="333">
        <v>27</v>
      </c>
      <c r="B650" s="332" t="s">
        <v>79</v>
      </c>
      <c r="D650" s="344"/>
      <c r="E650" s="196"/>
      <c r="F650" s="347">
        <f>-F647</f>
        <v>-104999597.0676</v>
      </c>
      <c r="G650" s="465">
        <f>-G647</f>
        <v>-40024707.067599997</v>
      </c>
      <c r="H650" s="466">
        <f>-H647</f>
        <v>0</v>
      </c>
      <c r="I650" s="467">
        <f>-I647</f>
        <v>-64974887</v>
      </c>
      <c r="J650" s="347">
        <f>-J647</f>
        <v>-104999594.0676</v>
      </c>
      <c r="K650" s="347">
        <f>F650-J650</f>
        <v>-3</v>
      </c>
    </row>
    <row r="651" spans="1:11">
      <c r="A651" s="333">
        <v>28</v>
      </c>
      <c r="B651" s="332" t="s">
        <v>80</v>
      </c>
      <c r="D651" s="344"/>
      <c r="E651" s="196"/>
      <c r="F651" s="347">
        <f>F650+F649</f>
        <v>-9711724.0675999969</v>
      </c>
      <c r="G651" s="465">
        <f>G650+G649</f>
        <v>-3701923.0675999969</v>
      </c>
      <c r="H651" s="466">
        <f>H650+H649</f>
        <v>0</v>
      </c>
      <c r="I651" s="467">
        <f>I650+I649</f>
        <v>-6009798</v>
      </c>
      <c r="J651" s="347">
        <f>SUM(G651:I651)</f>
        <v>-9711721.0675999969</v>
      </c>
      <c r="K651" s="347">
        <f>K650+K649</f>
        <v>-3</v>
      </c>
    </row>
    <row r="652" spans="1:11">
      <c r="A652" s="333">
        <v>29</v>
      </c>
      <c r="B652" s="332" t="s">
        <v>76</v>
      </c>
      <c r="D652" s="344"/>
      <c r="E652" s="196"/>
      <c r="F652" s="350">
        <f>F565</f>
        <v>0.24925</v>
      </c>
      <c r="G652" s="470">
        <f>$G$565</f>
        <v>0.24925</v>
      </c>
      <c r="H652" s="471">
        <f>$H$565</f>
        <v>0.24925</v>
      </c>
      <c r="I652" s="472">
        <f>$I$565</f>
        <v>0.24925</v>
      </c>
      <c r="J652" s="350">
        <f>$K$565</f>
        <v>0.24925</v>
      </c>
      <c r="K652" s="350">
        <f>$K$565</f>
        <v>0.24925</v>
      </c>
    </row>
    <row r="653" spans="1:11">
      <c r="A653" s="333">
        <v>30</v>
      </c>
      <c r="B653" s="332" t="s">
        <v>81</v>
      </c>
      <c r="D653" s="344"/>
      <c r="E653" s="196"/>
      <c r="F653" s="347">
        <f>ROUND(F652*F651,0)</f>
        <v>-2420647</v>
      </c>
      <c r="G653" s="465">
        <f>ROUND(G652*G651,0)</f>
        <v>-922704</v>
      </c>
      <c r="H653" s="466">
        <f>ROUND(H652*H651,0)</f>
        <v>0</v>
      </c>
      <c r="I653" s="467">
        <f>ROUND(I652*I651,0)</f>
        <v>-1497942</v>
      </c>
      <c r="J653" s="347">
        <f>SUM(G653:I653)</f>
        <v>-2420646</v>
      </c>
      <c r="K653" s="347">
        <f>F653-J653</f>
        <v>-1</v>
      </c>
    </row>
    <row r="654" spans="1:11">
      <c r="A654" s="333">
        <v>31</v>
      </c>
      <c r="B654" s="332" t="s">
        <v>82</v>
      </c>
      <c r="D654" s="344"/>
      <c r="E654" s="196"/>
      <c r="F654" s="347">
        <f>F651-F653</f>
        <v>-7291077.0675999969</v>
      </c>
      <c r="G654" s="484">
        <f>G651-G653</f>
        <v>-2779219.0675999969</v>
      </c>
      <c r="H654" s="485">
        <f>H651-H653</f>
        <v>0</v>
      </c>
      <c r="I654" s="486">
        <f>I651-I653</f>
        <v>-4511856</v>
      </c>
      <c r="J654" s="347">
        <f>SUM(G654:I654)</f>
        <v>-7291075.0675999969</v>
      </c>
      <c r="K654" s="347">
        <f>F654-J654</f>
        <v>-2</v>
      </c>
    </row>
    <row r="655" spans="1:11">
      <c r="A655" s="532"/>
      <c r="B655" s="584"/>
      <c r="C655" s="584"/>
      <c r="D655" s="736"/>
      <c r="E655" s="584"/>
      <c r="F655" s="532"/>
      <c r="G655" s="532"/>
      <c r="H655" s="532"/>
      <c r="I655" s="532"/>
      <c r="J655" s="532"/>
      <c r="K655" s="532"/>
    </row>
    <row r="656" spans="1:11">
      <c r="A656" s="343" t="str">
        <f>co_name</f>
        <v>DUKE ENERGY KENTUCKY, INC.</v>
      </c>
      <c r="C656" s="196"/>
      <c r="D656" s="344"/>
      <c r="E656" s="196"/>
      <c r="F656" s="196"/>
      <c r="G656" s="196"/>
      <c r="H656" s="196"/>
      <c r="I656" s="196"/>
      <c r="J656" s="196" t="str">
        <f>$J$1</f>
        <v>FR-16(7)(v)-1</v>
      </c>
      <c r="K656" s="196"/>
    </row>
    <row r="657" spans="1:11">
      <c r="A657" s="343" t="str">
        <f>$A$2</f>
        <v>FUNCTIONAL GAS COST OF SERVICE</v>
      </c>
      <c r="C657" s="196"/>
      <c r="D657" s="344"/>
      <c r="E657" s="196"/>
      <c r="F657" s="196"/>
      <c r="G657" s="196"/>
      <c r="H657" s="196"/>
      <c r="I657" s="196"/>
      <c r="J657" s="196" t="str">
        <f>$J$2</f>
        <v>WITNESS RESPONSIBLE:</v>
      </c>
      <c r="K657" s="196"/>
    </row>
    <row r="658" spans="1:11">
      <c r="A658" s="343" t="str">
        <f>case_name</f>
        <v>CASE NO: 2018-00261</v>
      </c>
      <c r="C658" s="196"/>
      <c r="D658" s="344"/>
      <c r="E658" s="196"/>
      <c r="F658" s="196"/>
      <c r="G658" s="196"/>
      <c r="H658" s="196"/>
      <c r="I658" s="196"/>
      <c r="J658" s="196" t="str">
        <f>Witness</f>
        <v>JAMES E. ZIOLKOWSKI</v>
      </c>
      <c r="K658" s="196"/>
    </row>
    <row r="659" spans="1:11">
      <c r="A659" s="343" t="str">
        <f>data_filing</f>
        <v>DATA: 12 MONTH FORECASTED PERIOD</v>
      </c>
      <c r="C659" s="196"/>
      <c r="D659" s="344"/>
      <c r="E659" s="196"/>
      <c r="F659" s="196"/>
      <c r="G659" s="196"/>
      <c r="H659" s="196"/>
      <c r="I659" s="196"/>
      <c r="J659" s="196" t="str">
        <f>"PAGE "&amp;Pages-3&amp;" OF "&amp;Pages</f>
        <v>PAGE 15 OF 18</v>
      </c>
      <c r="K659" s="196"/>
    </row>
    <row r="660" spans="1:11">
      <c r="A660" s="343" t="str">
        <f>type</f>
        <v xml:space="preserve">TYPE OF FILING: "X" ORIGINAL   UPDATED    REVISED  </v>
      </c>
      <c r="C660" s="196"/>
      <c r="D660" s="344"/>
      <c r="E660" s="196"/>
      <c r="F660" s="196"/>
      <c r="G660" s="196"/>
      <c r="H660" s="196"/>
      <c r="I660" s="196"/>
      <c r="J660" s="196"/>
      <c r="K660" s="196"/>
    </row>
    <row r="661" spans="1:11">
      <c r="B661" s="343"/>
      <c r="C661" s="196"/>
      <c r="D661" s="344"/>
      <c r="E661" s="196"/>
      <c r="F661" s="196"/>
      <c r="G661" s="196"/>
      <c r="H661" s="196"/>
      <c r="I661" s="196"/>
      <c r="J661" s="196"/>
      <c r="K661" s="196"/>
    </row>
    <row r="662" spans="1:11">
      <c r="B662" s="343"/>
      <c r="C662" s="196"/>
      <c r="D662" s="344"/>
      <c r="E662" s="196"/>
      <c r="F662" s="196"/>
      <c r="G662" s="196"/>
      <c r="H662" s="196"/>
      <c r="I662" s="196"/>
      <c r="J662" s="196"/>
      <c r="K662" s="196"/>
    </row>
    <row r="663" spans="1:11">
      <c r="A663" s="344" t="s">
        <v>914</v>
      </c>
      <c r="B663" s="196"/>
      <c r="C663" s="196"/>
      <c r="D663" s="344"/>
      <c r="E663" s="196"/>
      <c r="F663" s="344" t="s">
        <v>229</v>
      </c>
      <c r="G663" s="473" t="s">
        <v>981</v>
      </c>
      <c r="H663" s="474"/>
      <c r="I663" s="475"/>
      <c r="J663" s="344" t="s">
        <v>229</v>
      </c>
      <c r="K663" s="344" t="s">
        <v>342</v>
      </c>
    </row>
    <row r="664" spans="1:11">
      <c r="A664" s="346" t="s">
        <v>915</v>
      </c>
      <c r="B664" s="345" t="s">
        <v>83</v>
      </c>
      <c r="C664" s="345"/>
      <c r="D664" s="346" t="s">
        <v>337</v>
      </c>
      <c r="E664" s="345"/>
      <c r="F664" s="346" t="s">
        <v>284</v>
      </c>
      <c r="G664" s="460" t="s">
        <v>845</v>
      </c>
      <c r="H664" s="455" t="s">
        <v>980</v>
      </c>
      <c r="I664" s="461" t="s">
        <v>846</v>
      </c>
      <c r="J664" s="346" t="s">
        <v>341</v>
      </c>
      <c r="K664" s="346" t="s">
        <v>340</v>
      </c>
    </row>
    <row r="665" spans="1:11">
      <c r="C665" s="578" t="s">
        <v>353</v>
      </c>
      <c r="D665" s="344"/>
      <c r="E665" s="196"/>
      <c r="G665" s="791">
        <f>$G$10</f>
        <v>3</v>
      </c>
      <c r="H665" s="791">
        <f>$H$10</f>
        <v>4</v>
      </c>
      <c r="I665" s="791">
        <f>$I$10</f>
        <v>5</v>
      </c>
    </row>
    <row r="666" spans="1:11">
      <c r="A666" s="333">
        <v>1</v>
      </c>
      <c r="B666" s="332" t="s">
        <v>84</v>
      </c>
      <c r="D666" s="344"/>
      <c r="E666" s="196"/>
    </row>
    <row r="667" spans="1:11">
      <c r="A667" s="333">
        <v>2</v>
      </c>
      <c r="B667" s="332" t="s">
        <v>85</v>
      </c>
      <c r="D667" s="344"/>
      <c r="E667" s="196"/>
      <c r="G667" s="519" t="s">
        <v>339</v>
      </c>
    </row>
    <row r="668" spans="1:11">
      <c r="A668" s="333">
        <v>3</v>
      </c>
      <c r="C668" s="332" t="s">
        <v>210</v>
      </c>
      <c r="D668" s="344"/>
      <c r="E668" s="196"/>
      <c r="F668" s="793">
        <f>'[1]SCH_J1 - Forecast'!$G$18</f>
        <v>518128763</v>
      </c>
      <c r="G668" s="350">
        <f>IF($F$673=0,0,ROUND(F668/$F$673,5))</f>
        <v>0.42338999999999999</v>
      </c>
    </row>
    <row r="669" spans="1:11">
      <c r="A669" s="333">
        <v>4</v>
      </c>
      <c r="C669" s="332" t="s">
        <v>211</v>
      </c>
      <c r="D669" s="344"/>
      <c r="E669" s="196"/>
      <c r="F669" s="476">
        <v>0</v>
      </c>
      <c r="G669" s="350">
        <f>IF($F$673=0,0,ROUND(F669/$F$673,5))</f>
        <v>0</v>
      </c>
    </row>
    <row r="670" spans="1:11">
      <c r="A670" s="333">
        <v>5</v>
      </c>
      <c r="C670" s="332" t="s">
        <v>212</v>
      </c>
      <c r="D670" s="344"/>
      <c r="E670" s="196"/>
      <c r="F670" s="793">
        <f>'[1]SCH_J1 - Forecast'!$G$17</f>
        <v>621113054</v>
      </c>
      <c r="G670" s="350">
        <f>1-G668-G669-G671-G672</f>
        <v>0.50755000000000006</v>
      </c>
    </row>
    <row r="671" spans="1:11">
      <c r="A671" s="333">
        <v>6</v>
      </c>
      <c r="C671" s="332" t="s">
        <v>213</v>
      </c>
      <c r="D671" s="344"/>
      <c r="E671" s="196"/>
      <c r="F671" s="476">
        <f>'[1]SCH_J1 - Forecast'!$G$19</f>
        <v>84508435</v>
      </c>
      <c r="G671" s="350">
        <f>IF($F$673=0,0,ROUND(F671/$F$673,5))</f>
        <v>6.9059999999999996E-2</v>
      </c>
    </row>
    <row r="672" spans="1:11">
      <c r="A672" s="333">
        <v>7</v>
      </c>
      <c r="C672" s="332" t="s">
        <v>214</v>
      </c>
      <c r="D672" s="344"/>
      <c r="E672" s="196"/>
      <c r="F672" s="476">
        <v>0</v>
      </c>
      <c r="G672" s="350">
        <f>IF($F$673=0,0,ROUND(F672/$F$673,5))</f>
        <v>0</v>
      </c>
    </row>
    <row r="673" spans="1:9">
      <c r="A673" s="333">
        <v>8</v>
      </c>
      <c r="C673" s="332" t="s">
        <v>215</v>
      </c>
      <c r="D673" s="344"/>
      <c r="E673" s="196"/>
      <c r="F673" s="480">
        <f>SUM(F667:F672)</f>
        <v>1223750252</v>
      </c>
      <c r="G673" s="1488">
        <f>SUM(G668:G672)</f>
        <v>1</v>
      </c>
    </row>
    <row r="674" spans="1:9">
      <c r="A674" s="333">
        <v>9</v>
      </c>
      <c r="D674" s="344"/>
      <c r="E674" s="196"/>
    </row>
    <row r="675" spans="1:9">
      <c r="A675" s="333">
        <v>10</v>
      </c>
      <c r="B675" s="332" t="s">
        <v>86</v>
      </c>
      <c r="D675" s="344"/>
      <c r="E675" s="196"/>
    </row>
    <row r="676" spans="1:9">
      <c r="A676" s="333">
        <v>11</v>
      </c>
      <c r="C676" s="332" t="s">
        <v>210</v>
      </c>
      <c r="D676" s="344"/>
      <c r="E676" s="196"/>
      <c r="F676" s="796">
        <f>'[1]SCH_J1 - Forecast'!$K$18</f>
        <v>4.3979999999999998E-2</v>
      </c>
      <c r="G676" s="522"/>
      <c r="H676" s="522"/>
      <c r="I676" s="522"/>
    </row>
    <row r="677" spans="1:9">
      <c r="A677" s="333">
        <v>12</v>
      </c>
      <c r="C677" s="332" t="s">
        <v>211</v>
      </c>
      <c r="D677" s="344"/>
      <c r="E677" s="196"/>
      <c r="F677" s="522">
        <v>0</v>
      </c>
      <c r="G677" s="522"/>
      <c r="H677" s="522"/>
      <c r="I677" s="522"/>
    </row>
    <row r="678" spans="1:9">
      <c r="A678" s="333">
        <v>13</v>
      </c>
      <c r="C678" s="332" t="s">
        <v>212</v>
      </c>
      <c r="D678" s="344"/>
      <c r="E678" s="196"/>
      <c r="F678" s="796">
        <f>'[1]SCH_J1 - Forecast'!$K$17</f>
        <v>9.9000000000000005E-2</v>
      </c>
      <c r="G678" s="522"/>
      <c r="H678" s="522"/>
      <c r="I678" s="522"/>
    </row>
    <row r="679" spans="1:9">
      <c r="A679" s="333">
        <v>14</v>
      </c>
      <c r="C679" s="332" t="s">
        <v>213</v>
      </c>
      <c r="D679" s="344"/>
      <c r="E679" s="196"/>
      <c r="F679" s="522">
        <f>'[1]SCH_J1 - Forecast'!$K$19</f>
        <v>4.2500000000000003E-2</v>
      </c>
      <c r="G679" s="522"/>
      <c r="H679" s="522"/>
      <c r="I679" s="522"/>
    </row>
    <row r="680" spans="1:9">
      <c r="A680" s="333">
        <v>15</v>
      </c>
      <c r="C680" s="332" t="s">
        <v>214</v>
      </c>
      <c r="D680" s="344"/>
      <c r="E680" s="196"/>
      <c r="F680" s="522">
        <v>0</v>
      </c>
      <c r="G680" s="522"/>
      <c r="H680" s="522"/>
      <c r="I680" s="522"/>
    </row>
    <row r="681" spans="1:9">
      <c r="A681" s="333">
        <v>16</v>
      </c>
      <c r="D681" s="344"/>
      <c r="E681" s="196"/>
    </row>
    <row r="682" spans="1:9">
      <c r="A682" s="333">
        <v>17</v>
      </c>
      <c r="B682" s="332" t="s">
        <v>87</v>
      </c>
      <c r="D682" s="344"/>
      <c r="E682" s="196"/>
    </row>
    <row r="683" spans="1:9">
      <c r="A683" s="333">
        <v>18</v>
      </c>
      <c r="C683" s="332" t="s">
        <v>210</v>
      </c>
      <c r="D683" s="344"/>
      <c r="E683" s="196"/>
      <c r="F683" s="350">
        <f>ROUND(G668*F676,5)</f>
        <v>1.8620000000000001E-2</v>
      </c>
      <c r="G683" s="520"/>
      <c r="H683" s="520"/>
      <c r="I683" s="520"/>
    </row>
    <row r="684" spans="1:9">
      <c r="A684" s="333">
        <v>19</v>
      </c>
      <c r="C684" s="332" t="s">
        <v>211</v>
      </c>
      <c r="D684" s="344"/>
      <c r="E684" s="196"/>
      <c r="F684" s="350">
        <f>ROUND(G669*F677,5)</f>
        <v>0</v>
      </c>
      <c r="G684" s="520"/>
      <c r="H684" s="520"/>
      <c r="I684" s="520"/>
    </row>
    <row r="685" spans="1:9">
      <c r="A685" s="333">
        <v>20</v>
      </c>
      <c r="C685" s="332" t="s">
        <v>212</v>
      </c>
      <c r="D685" s="344"/>
      <c r="E685" s="196"/>
      <c r="F685" s="350">
        <f>ROUND(G670*F678,5)</f>
        <v>5.0250000000000003E-2</v>
      </c>
      <c r="G685" s="520"/>
      <c r="H685" s="520"/>
      <c r="I685" s="520"/>
    </row>
    <row r="686" spans="1:9">
      <c r="A686" s="333">
        <v>21</v>
      </c>
      <c r="C686" s="332" t="s">
        <v>213</v>
      </c>
      <c r="D686" s="344"/>
      <c r="E686" s="196"/>
      <c r="F686" s="350">
        <f>ROUND(G671*F679,5)</f>
        <v>2.9399999999999999E-3</v>
      </c>
      <c r="G686" s="520"/>
      <c r="H686" s="520"/>
      <c r="I686" s="520"/>
    </row>
    <row r="687" spans="1:9">
      <c r="A687" s="333">
        <v>22</v>
      </c>
      <c r="C687" s="332" t="s">
        <v>214</v>
      </c>
      <c r="D687" s="344"/>
      <c r="E687" s="196"/>
      <c r="F687" s="350">
        <f>ROUND(G672*F680,5)</f>
        <v>0</v>
      </c>
      <c r="G687" s="520"/>
      <c r="H687" s="520"/>
      <c r="I687" s="520"/>
    </row>
    <row r="688" spans="1:9">
      <c r="A688" s="333">
        <v>23</v>
      </c>
      <c r="C688" s="332" t="s">
        <v>216</v>
      </c>
      <c r="D688" s="344"/>
      <c r="E688" s="196"/>
      <c r="F688" s="1487">
        <f>SUM(F683:F687)</f>
        <v>7.1809999999999999E-2</v>
      </c>
      <c r="G688" s="524"/>
      <c r="H688" s="524"/>
      <c r="I688" s="524"/>
    </row>
    <row r="689" spans="1:11">
      <c r="A689" s="333">
        <v>24</v>
      </c>
      <c r="D689" s="344"/>
      <c r="E689" s="196"/>
    </row>
    <row r="690" spans="1:11">
      <c r="A690" s="333">
        <v>25</v>
      </c>
      <c r="B690" s="332" t="s">
        <v>88</v>
      </c>
      <c r="D690" s="344"/>
      <c r="E690" s="196"/>
    </row>
    <row r="691" spans="1:11">
      <c r="A691" s="333">
        <v>26</v>
      </c>
      <c r="C691" s="332" t="s">
        <v>217</v>
      </c>
      <c r="D691" s="344"/>
      <c r="E691" s="196"/>
      <c r="F691" s="766">
        <v>0</v>
      </c>
      <c r="G691" s="525">
        <f>$F$691</f>
        <v>0</v>
      </c>
      <c r="H691" s="525">
        <f>$F$691</f>
        <v>0</v>
      </c>
      <c r="I691" s="525">
        <f>$F$691</f>
        <v>0</v>
      </c>
      <c r="J691" s="525">
        <f>$F$691</f>
        <v>0</v>
      </c>
      <c r="K691" s="525">
        <f>$F$691</f>
        <v>0</v>
      </c>
    </row>
    <row r="692" spans="1:11">
      <c r="A692" s="333">
        <v>27</v>
      </c>
      <c r="C692" s="332" t="s">
        <v>218</v>
      </c>
      <c r="D692" s="344"/>
      <c r="E692" s="196"/>
      <c r="F692" s="796">
        <v>0.21</v>
      </c>
      <c r="G692" s="525">
        <f>FIT</f>
        <v>0.21</v>
      </c>
      <c r="H692" s="525">
        <f>FIT</f>
        <v>0.21</v>
      </c>
      <c r="I692" s="525">
        <f>FIT</f>
        <v>0.21</v>
      </c>
      <c r="J692" s="525">
        <f>FIT</f>
        <v>0.21</v>
      </c>
      <c r="K692" s="525">
        <f>FIT</f>
        <v>0.21</v>
      </c>
    </row>
    <row r="693" spans="1:11">
      <c r="A693" s="333">
        <v>28</v>
      </c>
      <c r="C693" s="332" t="s">
        <v>219</v>
      </c>
      <c r="D693" s="344"/>
      <c r="E693" s="196"/>
      <c r="F693" s="522">
        <f>[1]!SIT*[1]SCH_E1!AJ250</f>
        <v>4.9685000000000007E-2</v>
      </c>
      <c r="G693" s="525">
        <f>SIT</f>
        <v>4.9685000000000007E-2</v>
      </c>
      <c r="H693" s="525">
        <f>SIT</f>
        <v>4.9685000000000007E-2</v>
      </c>
      <c r="I693" s="525">
        <f>SIT</f>
        <v>4.9685000000000007E-2</v>
      </c>
      <c r="J693" s="525">
        <f>SIT</f>
        <v>4.9685000000000007E-2</v>
      </c>
      <c r="K693" s="525">
        <f>SIT</f>
        <v>4.9685000000000007E-2</v>
      </c>
    </row>
    <row r="694" spans="1:11">
      <c r="A694" s="333">
        <v>29</v>
      </c>
      <c r="C694" s="332" t="s">
        <v>220</v>
      </c>
      <c r="D694" s="344"/>
      <c r="E694" s="196"/>
      <c r="F694" s="522">
        <v>0</v>
      </c>
      <c r="G694" s="525">
        <f>RevTax</f>
        <v>0</v>
      </c>
      <c r="H694" s="525">
        <f>RevTax</f>
        <v>0</v>
      </c>
      <c r="I694" s="525">
        <f>RevTax</f>
        <v>0</v>
      </c>
      <c r="J694" s="525">
        <f>RevTax</f>
        <v>0</v>
      </c>
      <c r="K694" s="525">
        <f>RevTax</f>
        <v>0</v>
      </c>
    </row>
    <row r="696" spans="1:11">
      <c r="A696" s="343" t="str">
        <f>co_name</f>
        <v>DUKE ENERGY KENTUCKY, INC.</v>
      </c>
      <c r="C696" s="196"/>
      <c r="D696" s="344"/>
      <c r="E696" s="196"/>
      <c r="F696" s="196"/>
      <c r="G696" s="196"/>
      <c r="H696" s="196"/>
      <c r="I696" s="196"/>
      <c r="J696" s="196" t="str">
        <f>$J$1</f>
        <v>FR-16(7)(v)-1</v>
      </c>
      <c r="K696" s="196"/>
    </row>
    <row r="697" spans="1:11">
      <c r="A697" s="343" t="str">
        <f>$A$2</f>
        <v>FUNCTIONAL GAS COST OF SERVICE</v>
      </c>
      <c r="C697" s="196"/>
      <c r="D697" s="344"/>
      <c r="E697" s="196"/>
      <c r="F697" s="196"/>
      <c r="G697" s="196"/>
      <c r="H697" s="196"/>
      <c r="I697" s="196"/>
      <c r="J697" s="196" t="str">
        <f>$J$2</f>
        <v>WITNESS RESPONSIBLE:</v>
      </c>
      <c r="K697" s="196"/>
    </row>
    <row r="698" spans="1:11">
      <c r="A698" s="343" t="str">
        <f>case_name</f>
        <v>CASE NO: 2018-00261</v>
      </c>
      <c r="C698" s="196"/>
      <c r="D698" s="344"/>
      <c r="E698" s="196"/>
      <c r="F698" s="196"/>
      <c r="G698" s="196"/>
      <c r="H698" s="196"/>
      <c r="I698" s="196"/>
      <c r="J698" s="196" t="str">
        <f>Witness</f>
        <v>JAMES E. ZIOLKOWSKI</v>
      </c>
      <c r="K698" s="196"/>
    </row>
    <row r="699" spans="1:11">
      <c r="A699" s="343" t="str">
        <f>data_filing</f>
        <v>DATA: 12 MONTH FORECASTED PERIOD</v>
      </c>
      <c r="C699" s="196"/>
      <c r="D699" s="344"/>
      <c r="E699" s="196"/>
      <c r="F699" s="196"/>
      <c r="G699" s="196"/>
      <c r="H699" s="196"/>
      <c r="I699" s="196"/>
      <c r="J699" s="196" t="str">
        <f>"PAGE "&amp;Pages-2&amp;" OF "&amp;Pages</f>
        <v>PAGE 16 OF 18</v>
      </c>
      <c r="K699" s="196"/>
    </row>
    <row r="700" spans="1:11">
      <c r="A700" s="343" t="str">
        <f>type</f>
        <v xml:space="preserve">TYPE OF FILING: "X" ORIGINAL   UPDATED    REVISED  </v>
      </c>
      <c r="C700" s="196"/>
      <c r="D700" s="344"/>
      <c r="E700" s="196"/>
      <c r="F700" s="196"/>
      <c r="G700" s="196"/>
      <c r="H700" s="196"/>
      <c r="I700" s="196"/>
      <c r="J700" s="196"/>
      <c r="K700" s="196"/>
    </row>
    <row r="703" spans="1:11">
      <c r="A703" s="344" t="s">
        <v>914</v>
      </c>
      <c r="B703" s="196"/>
      <c r="C703" s="196"/>
      <c r="D703" s="344"/>
      <c r="E703" s="344"/>
      <c r="F703" s="589" t="s">
        <v>229</v>
      </c>
      <c r="G703" s="473" t="s">
        <v>981</v>
      </c>
      <c r="H703" s="474"/>
      <c r="I703" s="475"/>
      <c r="J703" s="344" t="s">
        <v>229</v>
      </c>
      <c r="K703" s="344" t="s">
        <v>342</v>
      </c>
    </row>
    <row r="704" spans="1:11">
      <c r="A704" s="346" t="s">
        <v>915</v>
      </c>
      <c r="B704" s="590" t="s">
        <v>89</v>
      </c>
      <c r="C704" s="345"/>
      <c r="D704" s="591" t="s">
        <v>1011</v>
      </c>
      <c r="E704" s="591" t="s">
        <v>337</v>
      </c>
      <c r="F704" s="592" t="s">
        <v>284</v>
      </c>
      <c r="G704" s="482" t="s">
        <v>845</v>
      </c>
      <c r="H704" s="481" t="s">
        <v>980</v>
      </c>
      <c r="I704" s="483" t="s">
        <v>846</v>
      </c>
      <c r="J704" s="346" t="s">
        <v>341</v>
      </c>
      <c r="K704" s="346" t="s">
        <v>340</v>
      </c>
    </row>
    <row r="705" spans="1:11">
      <c r="A705" s="196"/>
      <c r="B705" s="594"/>
      <c r="C705" s="845" t="s">
        <v>561</v>
      </c>
      <c r="D705" s="718"/>
      <c r="E705" s="789">
        <v>1</v>
      </c>
      <c r="F705" s="789">
        <v>2</v>
      </c>
      <c r="G705" s="790">
        <f>$G$10</f>
        <v>3</v>
      </c>
      <c r="H705" s="791">
        <f>$H$10</f>
        <v>4</v>
      </c>
      <c r="I705" s="792">
        <f>$I$10</f>
        <v>5</v>
      </c>
    </row>
    <row r="706" spans="1:11">
      <c r="A706" s="344">
        <v>1</v>
      </c>
      <c r="B706" s="597" t="s">
        <v>90</v>
      </c>
      <c r="C706" s="490"/>
      <c r="D706" s="712"/>
      <c r="E706" s="712"/>
      <c r="F706" s="510"/>
      <c r="G706" s="517"/>
      <c r="H706" s="516"/>
      <c r="I706" s="518"/>
    </row>
    <row r="707" spans="1:11">
      <c r="A707" s="344">
        <v>2</v>
      </c>
      <c r="C707" s="598" t="s">
        <v>221</v>
      </c>
      <c r="D707" s="723" t="s">
        <v>1012</v>
      </c>
      <c r="E707" s="713"/>
      <c r="F707" s="479">
        <f>'Alloc Factors Summary'!$D$16</f>
        <v>10485450</v>
      </c>
      <c r="G707" s="505">
        <f>'Alloc Factors Summary'!$D$16</f>
        <v>10485450</v>
      </c>
      <c r="H707" s="600">
        <v>0</v>
      </c>
      <c r="I707" s="601">
        <v>0</v>
      </c>
      <c r="J707" s="738">
        <f>SUM(G707:I707)</f>
        <v>10485450</v>
      </c>
      <c r="K707" s="501">
        <f>F707-J707</f>
        <v>0</v>
      </c>
    </row>
    <row r="708" spans="1:11">
      <c r="A708" s="344">
        <v>3</v>
      </c>
      <c r="B708" s="196"/>
      <c r="C708" s="497" t="s">
        <v>355</v>
      </c>
      <c r="D708" s="589"/>
      <c r="E708" s="734" t="s">
        <v>287</v>
      </c>
      <c r="F708" s="649">
        <v>1</v>
      </c>
      <c r="G708" s="470">
        <f>ROUND(G707/(G707+H707+I707),5)</f>
        <v>1</v>
      </c>
      <c r="H708" s="471">
        <f>ROUND(H707/(G707+H707+I707),5)</f>
        <v>0</v>
      </c>
      <c r="I708" s="472">
        <v>0</v>
      </c>
      <c r="J708" s="739">
        <f t="shared" ref="J708:J742" si="157">SUM(G708:I708)</f>
        <v>1</v>
      </c>
      <c r="K708" s="737">
        <f t="shared" ref="K708:K742" si="158">F708-J708</f>
        <v>0</v>
      </c>
    </row>
    <row r="709" spans="1:11">
      <c r="A709" s="344">
        <v>4</v>
      </c>
      <c r="C709" s="598" t="s">
        <v>862</v>
      </c>
      <c r="D709" s="723" t="s">
        <v>1012</v>
      </c>
      <c r="E709" s="729"/>
      <c r="F709" s="604">
        <v>100</v>
      </c>
      <c r="G709" s="602">
        <v>0</v>
      </c>
      <c r="H709" s="600">
        <v>0</v>
      </c>
      <c r="I709" s="603">
        <f>ROUND('Alloc Factors Summary'!$D$25*100,3)</f>
        <v>100</v>
      </c>
      <c r="J709" s="740">
        <f t="shared" si="157"/>
        <v>100</v>
      </c>
      <c r="K709" s="743">
        <f t="shared" si="158"/>
        <v>0</v>
      </c>
    </row>
    <row r="710" spans="1:11">
      <c r="A710" s="344">
        <v>5</v>
      </c>
      <c r="B710" s="196"/>
      <c r="C710" s="497" t="s">
        <v>355</v>
      </c>
      <c r="D710" s="589"/>
      <c r="E710" s="734" t="s">
        <v>288</v>
      </c>
      <c r="F710" s="649">
        <v>1</v>
      </c>
      <c r="G710" s="470">
        <f>ROUND(G709/(G709+H709+I709),5)</f>
        <v>0</v>
      </c>
      <c r="H710" s="471">
        <f>ROUND(H709/(G709+H709+I709),5)</f>
        <v>0</v>
      </c>
      <c r="I710" s="472">
        <f>ROUND(I709/(G709+H709+I709),5)</f>
        <v>1</v>
      </c>
      <c r="J710" s="739">
        <f t="shared" si="157"/>
        <v>1</v>
      </c>
      <c r="K710" s="737">
        <f t="shared" si="158"/>
        <v>0</v>
      </c>
    </row>
    <row r="711" spans="1:11">
      <c r="A711" s="344">
        <v>6</v>
      </c>
      <c r="C711" s="598" t="s">
        <v>863</v>
      </c>
      <c r="D711" s="723" t="s">
        <v>1012</v>
      </c>
      <c r="E711" s="729"/>
      <c r="F711" s="604">
        <v>100</v>
      </c>
      <c r="G711" s="1078">
        <f>ROUND('Alloc Factors Summary'!$E$25*100,3)</f>
        <v>100</v>
      </c>
      <c r="H711" s="600">
        <v>0</v>
      </c>
      <c r="I711" s="603">
        <v>0</v>
      </c>
      <c r="J711" s="740">
        <f t="shared" si="157"/>
        <v>100</v>
      </c>
      <c r="K711" s="743">
        <f t="shared" si="158"/>
        <v>0</v>
      </c>
    </row>
    <row r="712" spans="1:11">
      <c r="A712" s="344">
        <v>7</v>
      </c>
      <c r="B712" s="196"/>
      <c r="C712" s="497" t="s">
        <v>355</v>
      </c>
      <c r="D712" s="589"/>
      <c r="E712" s="734" t="s">
        <v>289</v>
      </c>
      <c r="F712" s="649">
        <v>1</v>
      </c>
      <c r="G712" s="470">
        <f>ROUND(G711/(G711+H711+I711),5)</f>
        <v>1</v>
      </c>
      <c r="H712" s="471">
        <f>ROUND(H711/(G711+H711+I711),5)</f>
        <v>0</v>
      </c>
      <c r="I712" s="472">
        <f>ROUND(I711/(G711+H711+I711),5)</f>
        <v>0</v>
      </c>
      <c r="J712" s="739">
        <f t="shared" si="157"/>
        <v>1</v>
      </c>
      <c r="K712" s="737">
        <f t="shared" si="158"/>
        <v>0</v>
      </c>
    </row>
    <row r="713" spans="1:11">
      <c r="A713" s="344">
        <v>8</v>
      </c>
      <c r="B713" s="196"/>
      <c r="C713" s="598" t="s">
        <v>406</v>
      </c>
      <c r="D713" s="723" t="s">
        <v>1012</v>
      </c>
      <c r="E713" s="729"/>
      <c r="F713" s="479">
        <f>'Alloc Factors Summary'!$D$34</f>
        <v>12030761</v>
      </c>
      <c r="G713" s="505">
        <f>'Alloc Factors Summary'!$D$34</f>
        <v>12030761</v>
      </c>
      <c r="H713" s="600">
        <v>0</v>
      </c>
      <c r="I713" s="601">
        <v>0</v>
      </c>
      <c r="J713" s="738">
        <f t="shared" si="157"/>
        <v>12030761</v>
      </c>
      <c r="K713" s="501">
        <f t="shared" si="158"/>
        <v>0</v>
      </c>
    </row>
    <row r="714" spans="1:11">
      <c r="A714" s="344">
        <v>9</v>
      </c>
      <c r="B714" s="196"/>
      <c r="C714" s="497" t="s">
        <v>355</v>
      </c>
      <c r="D714" s="589"/>
      <c r="E714" s="734" t="s">
        <v>379</v>
      </c>
      <c r="F714" s="649">
        <v>1</v>
      </c>
      <c r="G714" s="470">
        <f>ROUND(G713/(G713+H713+I713),5)</f>
        <v>1</v>
      </c>
      <c r="H714" s="471">
        <f>ROUND(H713/(G713+H713+I713),5)</f>
        <v>0</v>
      </c>
      <c r="I714" s="472">
        <f>ROUND(I713/(G713+H713+I713),5)</f>
        <v>0</v>
      </c>
      <c r="J714" s="739">
        <f t="shared" si="157"/>
        <v>1</v>
      </c>
      <c r="K714" s="737">
        <f t="shared" si="158"/>
        <v>0</v>
      </c>
    </row>
    <row r="715" spans="1:11">
      <c r="A715" s="344">
        <v>10</v>
      </c>
      <c r="C715" s="598" t="s">
        <v>375</v>
      </c>
      <c r="D715" s="723" t="s">
        <v>1012</v>
      </c>
      <c r="E715" s="729"/>
      <c r="F715" s="479">
        <f>'Alloc Factors Summary'!$D$43</f>
        <v>10485450</v>
      </c>
      <c r="G715" s="505">
        <f>'Alloc Factors Summary'!$D$43</f>
        <v>10485450</v>
      </c>
      <c r="H715" s="600">
        <v>0</v>
      </c>
      <c r="I715" s="601">
        <v>0</v>
      </c>
      <c r="J715" s="738">
        <f t="shared" si="157"/>
        <v>10485450</v>
      </c>
      <c r="K715" s="501">
        <f t="shared" si="158"/>
        <v>0</v>
      </c>
    </row>
    <row r="716" spans="1:11">
      <c r="A716" s="344">
        <v>11</v>
      </c>
      <c r="B716" s="196"/>
      <c r="C716" s="497" t="s">
        <v>355</v>
      </c>
      <c r="D716" s="589"/>
      <c r="E716" s="734" t="s">
        <v>290</v>
      </c>
      <c r="F716" s="649">
        <v>1</v>
      </c>
      <c r="G716" s="470">
        <f>ROUND(G715/(G715+H715+I715),5)</f>
        <v>1</v>
      </c>
      <c r="H716" s="471">
        <f>ROUND(H715/(G715+H715+I715),5)</f>
        <v>0</v>
      </c>
      <c r="I716" s="472">
        <f>ROUND(I715/(G715+H715+I715),5)</f>
        <v>0</v>
      </c>
      <c r="J716" s="739">
        <f t="shared" si="157"/>
        <v>1</v>
      </c>
      <c r="K716" s="737">
        <f t="shared" si="158"/>
        <v>0</v>
      </c>
    </row>
    <row r="717" spans="1:11">
      <c r="A717" s="344">
        <v>12</v>
      </c>
      <c r="C717" s="598" t="s">
        <v>222</v>
      </c>
      <c r="D717" s="723" t="s">
        <v>1012</v>
      </c>
      <c r="E717" s="729"/>
      <c r="F717" s="479">
        <f>'Alloc Factors Summary'!$D$64</f>
        <v>98442</v>
      </c>
      <c r="G717" s="602">
        <v>0</v>
      </c>
      <c r="H717" s="600">
        <v>0</v>
      </c>
      <c r="I717" s="507">
        <f>'Alloc Factors Summary'!$D$64</f>
        <v>98442</v>
      </c>
      <c r="J717" s="740">
        <f t="shared" si="157"/>
        <v>98442</v>
      </c>
      <c r="K717" s="743">
        <f t="shared" si="158"/>
        <v>0</v>
      </c>
    </row>
    <row r="718" spans="1:11">
      <c r="A718" s="344">
        <v>13</v>
      </c>
      <c r="B718" s="196"/>
      <c r="C718" s="497" t="s">
        <v>355</v>
      </c>
      <c r="D718" s="589"/>
      <c r="E718" s="734" t="s">
        <v>291</v>
      </c>
      <c r="F718" s="649">
        <v>1</v>
      </c>
      <c r="G718" s="470">
        <f>ROUND(G717/(G717+H717+I717),5)</f>
        <v>0</v>
      </c>
      <c r="H718" s="471">
        <f>ROUND(H717/(G717+H717+I717),5)</f>
        <v>0</v>
      </c>
      <c r="I718" s="472">
        <f>ROUND(I717/(G717+H717+I717),5)</f>
        <v>1</v>
      </c>
      <c r="J718" s="739">
        <f t="shared" si="157"/>
        <v>1</v>
      </c>
      <c r="K718" s="737">
        <f t="shared" si="158"/>
        <v>0</v>
      </c>
    </row>
    <row r="719" spans="1:11">
      <c r="A719" s="344">
        <v>14</v>
      </c>
      <c r="C719" s="598" t="s">
        <v>223</v>
      </c>
      <c r="D719" s="723" t="s">
        <v>1012</v>
      </c>
      <c r="E719" s="729"/>
      <c r="F719" s="479">
        <f>'Alloc Factors Summary'!$F$76</f>
        <v>104676</v>
      </c>
      <c r="G719" s="602">
        <v>0</v>
      </c>
      <c r="H719" s="600">
        <v>0</v>
      </c>
      <c r="I719" s="507">
        <f>'Alloc Factors Summary'!$F$76</f>
        <v>104676</v>
      </c>
      <c r="J719" s="740">
        <f t="shared" si="157"/>
        <v>104676</v>
      </c>
      <c r="K719" s="743">
        <f t="shared" si="158"/>
        <v>0</v>
      </c>
    </row>
    <row r="720" spans="1:11">
      <c r="A720" s="344">
        <v>15</v>
      </c>
      <c r="B720" s="196"/>
      <c r="C720" s="497" t="s">
        <v>355</v>
      </c>
      <c r="D720" s="589"/>
      <c r="E720" s="734" t="s">
        <v>292</v>
      </c>
      <c r="F720" s="649">
        <v>1</v>
      </c>
      <c r="G720" s="470">
        <f>ROUND(G719/(G719+H719+I719),5)</f>
        <v>0</v>
      </c>
      <c r="H720" s="471">
        <f>ROUND(H719/(G719+H719+I719),5)</f>
        <v>0</v>
      </c>
      <c r="I720" s="472">
        <f>ROUND(I719/(G719+H719+I719),5)</f>
        <v>1</v>
      </c>
      <c r="J720" s="739">
        <f t="shared" si="157"/>
        <v>1</v>
      </c>
      <c r="K720" s="737">
        <f t="shared" si="158"/>
        <v>0</v>
      </c>
    </row>
    <row r="721" spans="1:11">
      <c r="A721" s="344">
        <v>16</v>
      </c>
      <c r="C721" s="598" t="s">
        <v>385</v>
      </c>
      <c r="D721" s="723" t="s">
        <v>1012</v>
      </c>
      <c r="E721" s="729"/>
      <c r="F721" s="479">
        <f>'Alloc Factors Summary'!$G$88</f>
        <v>3624077</v>
      </c>
      <c r="G721" s="602">
        <v>0</v>
      </c>
      <c r="H721" s="600">
        <v>0</v>
      </c>
      <c r="I721" s="507">
        <f>'Alloc Factors Summary'!$G$88</f>
        <v>3624077</v>
      </c>
      <c r="J721" s="740">
        <f t="shared" si="157"/>
        <v>3624077</v>
      </c>
      <c r="K721" s="743">
        <f t="shared" si="158"/>
        <v>0</v>
      </c>
    </row>
    <row r="722" spans="1:11">
      <c r="A722" s="344">
        <v>17</v>
      </c>
      <c r="B722" s="196"/>
      <c r="C722" s="497" t="s">
        <v>355</v>
      </c>
      <c r="D722" s="589"/>
      <c r="E722" s="734" t="s">
        <v>293</v>
      </c>
      <c r="F722" s="649">
        <v>1</v>
      </c>
      <c r="G722" s="470">
        <f>ROUND(G721/(G721+H721+I721),5)</f>
        <v>0</v>
      </c>
      <c r="H722" s="471">
        <f>ROUND(H721/(G721+H721+I721),5)</f>
        <v>0</v>
      </c>
      <c r="I722" s="472">
        <f>ROUND(I721/(G721+H721+I721),5)</f>
        <v>1</v>
      </c>
      <c r="J722" s="739">
        <f t="shared" si="157"/>
        <v>1</v>
      </c>
      <c r="K722" s="737">
        <f t="shared" si="158"/>
        <v>0</v>
      </c>
    </row>
    <row r="723" spans="1:11">
      <c r="A723" s="344">
        <v>18</v>
      </c>
      <c r="C723" s="598" t="s">
        <v>373</v>
      </c>
      <c r="D723" s="723" t="s">
        <v>1012</v>
      </c>
      <c r="E723" s="729"/>
      <c r="F723" s="479">
        <f>'Alloc Factors Summary'!$D$98</f>
        <v>3920</v>
      </c>
      <c r="G723" s="602">
        <v>0</v>
      </c>
      <c r="H723" s="600">
        <v>0</v>
      </c>
      <c r="I723" s="507">
        <f>'Alloc Factors Summary'!$D$98</f>
        <v>3920</v>
      </c>
      <c r="J723" s="740">
        <f t="shared" si="157"/>
        <v>3920</v>
      </c>
      <c r="K723" s="743">
        <f t="shared" si="158"/>
        <v>0</v>
      </c>
    </row>
    <row r="724" spans="1:11">
      <c r="A724" s="344">
        <v>19</v>
      </c>
      <c r="B724" s="196"/>
      <c r="C724" s="497" t="s">
        <v>355</v>
      </c>
      <c r="D724" s="589"/>
      <c r="E724" s="734" t="s">
        <v>382</v>
      </c>
      <c r="F724" s="649">
        <v>1</v>
      </c>
      <c r="G724" s="470">
        <f>ROUND(G723/(G723+H723+I723),5)</f>
        <v>0</v>
      </c>
      <c r="H724" s="471">
        <f>ROUND(H723/(G723+H723+I723),5)</f>
        <v>0</v>
      </c>
      <c r="I724" s="472">
        <f>ROUND(I723/(G723+H723+I723),5)</f>
        <v>1</v>
      </c>
      <c r="J724" s="739">
        <f t="shared" si="157"/>
        <v>1</v>
      </c>
      <c r="K724" s="737">
        <f t="shared" si="158"/>
        <v>0</v>
      </c>
    </row>
    <row r="725" spans="1:11">
      <c r="A725" s="344">
        <v>20</v>
      </c>
      <c r="C725" s="598" t="s">
        <v>1035</v>
      </c>
      <c r="D725" s="723" t="s">
        <v>1012</v>
      </c>
      <c r="E725" s="729"/>
      <c r="F725" s="479">
        <f>'Alloc Factors Summary'!$G$108</f>
        <v>140653.00000000003</v>
      </c>
      <c r="G725" s="602">
        <v>0</v>
      </c>
      <c r="H725" s="600">
        <v>0</v>
      </c>
      <c r="I725" s="507">
        <f>'Alloc Factors Summary'!$G$108</f>
        <v>140653.00000000003</v>
      </c>
      <c r="J725" s="740">
        <f t="shared" si="157"/>
        <v>140653.00000000003</v>
      </c>
      <c r="K725" s="743">
        <f t="shared" si="158"/>
        <v>0</v>
      </c>
    </row>
    <row r="726" spans="1:11">
      <c r="A726" s="344">
        <v>21</v>
      </c>
      <c r="B726" s="196"/>
      <c r="C726" s="497" t="s">
        <v>355</v>
      </c>
      <c r="D726" s="589"/>
      <c r="E726" s="734" t="s">
        <v>1037</v>
      </c>
      <c r="F726" s="649">
        <v>1</v>
      </c>
      <c r="G726" s="470">
        <f>ROUND(G725/(G725+H725+I725),5)</f>
        <v>0</v>
      </c>
      <c r="H726" s="471">
        <f>ROUND(H725/(G725+H725+I725),5)</f>
        <v>0</v>
      </c>
      <c r="I726" s="472">
        <f>ROUND(I725/(G725+H725+I725),5)</f>
        <v>1</v>
      </c>
      <c r="J726" s="739">
        <f t="shared" si="157"/>
        <v>1</v>
      </c>
      <c r="K726" s="737">
        <f t="shared" si="158"/>
        <v>0</v>
      </c>
    </row>
    <row r="727" spans="1:11">
      <c r="A727" s="344">
        <v>22</v>
      </c>
      <c r="C727" s="598" t="s">
        <v>1036</v>
      </c>
      <c r="D727" s="723" t="s">
        <v>1012</v>
      </c>
      <c r="E727" s="729"/>
      <c r="F727" s="479">
        <f>'Alloc Factors Summary'!$F$118</f>
        <v>7322</v>
      </c>
      <c r="G727" s="602">
        <v>0</v>
      </c>
      <c r="H727" s="600">
        <v>0</v>
      </c>
      <c r="I727" s="507">
        <f>'Alloc Factors Summary'!$F$118</f>
        <v>7322</v>
      </c>
      <c r="J727" s="740">
        <f t="shared" si="157"/>
        <v>7322</v>
      </c>
      <c r="K727" s="743">
        <f t="shared" si="158"/>
        <v>0</v>
      </c>
    </row>
    <row r="728" spans="1:11">
      <c r="A728" s="344">
        <v>23</v>
      </c>
      <c r="B728" s="196"/>
      <c r="C728" s="497" t="s">
        <v>355</v>
      </c>
      <c r="D728" s="589"/>
      <c r="E728" s="734" t="s">
        <v>1038</v>
      </c>
      <c r="F728" s="649">
        <v>1</v>
      </c>
      <c r="G728" s="470">
        <f>ROUND(G727/(G727+H727+I727),5)</f>
        <v>0</v>
      </c>
      <c r="H728" s="471">
        <f>ROUND(H727/(G727+H727+I727),5)</f>
        <v>0</v>
      </c>
      <c r="I728" s="472">
        <f>ROUND(I727/(G727+H727+I727),5)</f>
        <v>1</v>
      </c>
      <c r="J728" s="739">
        <f t="shared" si="157"/>
        <v>1</v>
      </c>
      <c r="K728" s="737">
        <f t="shared" si="158"/>
        <v>0</v>
      </c>
    </row>
    <row r="729" spans="1:11">
      <c r="A729" s="344">
        <v>24</v>
      </c>
      <c r="C729" s="598" t="s">
        <v>224</v>
      </c>
      <c r="D729" s="723" t="s">
        <v>1012</v>
      </c>
      <c r="E729" s="729"/>
      <c r="F729" s="479">
        <f>'Alloc Factors Summary'!$D$141</f>
        <v>22926071</v>
      </c>
      <c r="G729" s="602">
        <v>0</v>
      </c>
      <c r="H729" s="600">
        <v>0</v>
      </c>
      <c r="I729" s="507">
        <f>'Alloc Factors Summary'!$D$141</f>
        <v>22926071</v>
      </c>
      <c r="J729" s="740">
        <f t="shared" si="157"/>
        <v>22926071</v>
      </c>
      <c r="K729" s="743">
        <f t="shared" si="158"/>
        <v>0</v>
      </c>
    </row>
    <row r="730" spans="1:11">
      <c r="A730" s="344">
        <v>25</v>
      </c>
      <c r="B730" s="196"/>
      <c r="C730" s="497" t="s">
        <v>355</v>
      </c>
      <c r="D730" s="589"/>
      <c r="E730" s="734" t="s">
        <v>294</v>
      </c>
      <c r="F730" s="649">
        <v>1</v>
      </c>
      <c r="G730" s="470">
        <f>ROUND(G729/(G729+H729+I729),5)</f>
        <v>0</v>
      </c>
      <c r="H730" s="471">
        <f>ROUND(H729/(G729+H729+I729),5)</f>
        <v>0</v>
      </c>
      <c r="I730" s="472">
        <f>ROUND(I729/(G729+H729+I729),5)</f>
        <v>1</v>
      </c>
      <c r="J730" s="739">
        <f t="shared" si="157"/>
        <v>1</v>
      </c>
      <c r="K730" s="737">
        <f t="shared" si="158"/>
        <v>0</v>
      </c>
    </row>
    <row r="731" spans="1:11">
      <c r="A731" s="344">
        <v>26</v>
      </c>
      <c r="C731" s="669" t="s">
        <v>1014</v>
      </c>
      <c r="D731" s="723" t="s">
        <v>1012</v>
      </c>
      <c r="E731" s="729"/>
      <c r="F731" s="479">
        <f>ROUND('Alloc Factors Summary'!$H$171*100,0)</f>
        <v>100</v>
      </c>
      <c r="G731" s="602">
        <v>0</v>
      </c>
      <c r="H731" s="600">
        <v>0</v>
      </c>
      <c r="I731" s="507">
        <f>ROUND('Alloc Factors Summary'!$H$171*100,0)</f>
        <v>100</v>
      </c>
      <c r="J731" s="740">
        <f t="shared" si="157"/>
        <v>100</v>
      </c>
      <c r="K731" s="743">
        <f t="shared" si="158"/>
        <v>0</v>
      </c>
    </row>
    <row r="732" spans="1:11">
      <c r="A732" s="344">
        <v>27</v>
      </c>
      <c r="B732" s="196"/>
      <c r="C732" s="497" t="s">
        <v>355</v>
      </c>
      <c r="D732" s="589"/>
      <c r="E732" s="734" t="s">
        <v>295</v>
      </c>
      <c r="F732" s="649">
        <v>1</v>
      </c>
      <c r="G732" s="470">
        <f>ROUND(G731/(G731+H731+I731),5)</f>
        <v>0</v>
      </c>
      <c r="H732" s="471">
        <f>ROUND(H731/(G731+H731+I731),5)</f>
        <v>0</v>
      </c>
      <c r="I732" s="472">
        <f>ROUND(I731/(G731+H731+I731),5)</f>
        <v>1</v>
      </c>
      <c r="J732" s="739">
        <f t="shared" si="157"/>
        <v>1</v>
      </c>
      <c r="K732" s="737">
        <f t="shared" si="158"/>
        <v>0</v>
      </c>
    </row>
    <row r="733" spans="1:11">
      <c r="A733" s="344">
        <v>28</v>
      </c>
      <c r="C733" s="598" t="s">
        <v>376</v>
      </c>
      <c r="D733" s="723" t="s">
        <v>1012</v>
      </c>
      <c r="E733" s="729"/>
      <c r="F733" s="479">
        <f>'Alloc Factors Summary'!$D$151</f>
        <v>138304</v>
      </c>
      <c r="G733" s="602">
        <v>0</v>
      </c>
      <c r="H733" s="600">
        <v>0</v>
      </c>
      <c r="I733" s="507">
        <f>'Alloc Factors Summary'!$D$151</f>
        <v>138304</v>
      </c>
      <c r="J733" s="740">
        <f t="shared" si="157"/>
        <v>138304</v>
      </c>
      <c r="K733" s="743">
        <f t="shared" si="158"/>
        <v>0</v>
      </c>
    </row>
    <row r="734" spans="1:11">
      <c r="A734" s="344">
        <v>29</v>
      </c>
      <c r="B734" s="196"/>
      <c r="C734" s="497" t="s">
        <v>355</v>
      </c>
      <c r="D734" s="589"/>
      <c r="E734" s="734" t="s">
        <v>301</v>
      </c>
      <c r="F734" s="649">
        <v>1</v>
      </c>
      <c r="G734" s="470">
        <f>ROUND(G733/(G733+H733+I733),5)</f>
        <v>0</v>
      </c>
      <c r="H734" s="471">
        <f>ROUND(H733/(G733+H733+I733),5)</f>
        <v>0</v>
      </c>
      <c r="I734" s="472">
        <f>ROUND(I733/(G733+H733+I733),5)</f>
        <v>1</v>
      </c>
      <c r="J734" s="739">
        <f t="shared" si="157"/>
        <v>1</v>
      </c>
      <c r="K734" s="737">
        <f t="shared" si="158"/>
        <v>0</v>
      </c>
    </row>
    <row r="735" spans="1:11">
      <c r="A735" s="344">
        <v>30</v>
      </c>
      <c r="B735" s="491"/>
      <c r="C735" s="598" t="s">
        <v>226</v>
      </c>
      <c r="D735" s="723" t="s">
        <v>1012</v>
      </c>
      <c r="E735" s="745"/>
      <c r="F735" s="349">
        <f>'Alloc Factors Summary'!$D$62+'Alloc Factors Summary'!$D$63</f>
        <v>117</v>
      </c>
      <c r="G735" s="602">
        <v>0</v>
      </c>
      <c r="H735" s="600">
        <v>0</v>
      </c>
      <c r="I735" s="507">
        <f>F735</f>
        <v>117</v>
      </c>
      <c r="J735" s="740">
        <f t="shared" si="157"/>
        <v>117</v>
      </c>
      <c r="K735" s="743">
        <f t="shared" si="158"/>
        <v>0</v>
      </c>
    </row>
    <row r="736" spans="1:11">
      <c r="A736" s="344">
        <v>31</v>
      </c>
      <c r="B736" s="196"/>
      <c r="C736" s="497" t="str">
        <f>C734</f>
        <v>RATIO TO TOTAL GAS</v>
      </c>
      <c r="D736" s="589"/>
      <c r="E736" s="734" t="s">
        <v>381</v>
      </c>
      <c r="F736" s="350">
        <v>1</v>
      </c>
      <c r="G736" s="470">
        <f>ROUND(G735/(G735+H735+I735),5)</f>
        <v>0</v>
      </c>
      <c r="H736" s="471">
        <f>ROUND(H735/(G735+H735+I735),5)</f>
        <v>0</v>
      </c>
      <c r="I736" s="472">
        <f>ROUND(I735/(G735+H735+I735),5)</f>
        <v>1</v>
      </c>
      <c r="J736" s="739">
        <f t="shared" si="157"/>
        <v>1</v>
      </c>
      <c r="K736" s="737">
        <f t="shared" si="158"/>
        <v>0</v>
      </c>
    </row>
    <row r="737" spans="1:13">
      <c r="A737" s="344">
        <v>32</v>
      </c>
      <c r="C737" s="608" t="s">
        <v>1150</v>
      </c>
      <c r="D737" s="723" t="s">
        <v>1012</v>
      </c>
      <c r="E737" s="729"/>
      <c r="F737" s="479">
        <f>'Alloc Factors Summary'!$D$159</f>
        <v>3688683</v>
      </c>
      <c r="G737" s="602">
        <v>0</v>
      </c>
      <c r="H737" s="600">
        <v>0</v>
      </c>
      <c r="I737" s="507">
        <f>'Alloc Factors Summary'!$D$159</f>
        <v>3688683</v>
      </c>
      <c r="J737" s="740">
        <f t="shared" si="157"/>
        <v>3688683</v>
      </c>
      <c r="K737" s="743">
        <f t="shared" si="158"/>
        <v>0</v>
      </c>
    </row>
    <row r="738" spans="1:13">
      <c r="A738" s="344">
        <v>33</v>
      </c>
      <c r="B738" s="196"/>
      <c r="C738" s="497" t="s">
        <v>355</v>
      </c>
      <c r="D738" s="589"/>
      <c r="E738" s="734" t="s">
        <v>296</v>
      </c>
      <c r="F738" s="649">
        <v>1</v>
      </c>
      <c r="G738" s="470">
        <f>ROUND(G737/(G737+H737+I737),5)</f>
        <v>0</v>
      </c>
      <c r="H738" s="471">
        <f>ROUND(H737/(G737+H737+I737),5)</f>
        <v>0</v>
      </c>
      <c r="I738" s="472">
        <f>ROUND(I737/(G737+H737+I737),5)</f>
        <v>1</v>
      </c>
      <c r="J738" s="739">
        <f t="shared" si="157"/>
        <v>1</v>
      </c>
      <c r="K738" s="737">
        <f t="shared" si="158"/>
        <v>0</v>
      </c>
    </row>
    <row r="739" spans="1:13">
      <c r="A739" s="344">
        <v>34</v>
      </c>
      <c r="B739" s="599"/>
      <c r="C739" s="598" t="s">
        <v>225</v>
      </c>
      <c r="D739" s="723" t="s">
        <v>1012</v>
      </c>
      <c r="E739" s="729"/>
      <c r="F739" s="476">
        <v>1</v>
      </c>
      <c r="G739" s="602">
        <v>0</v>
      </c>
      <c r="H739" s="600">
        <v>0</v>
      </c>
      <c r="I739" s="644">
        <v>1</v>
      </c>
      <c r="J739" s="740">
        <f t="shared" si="157"/>
        <v>1</v>
      </c>
      <c r="K739" s="743">
        <f t="shared" si="158"/>
        <v>0</v>
      </c>
    </row>
    <row r="740" spans="1:13">
      <c r="A740" s="344">
        <v>35</v>
      </c>
      <c r="B740" s="196"/>
      <c r="C740" s="497" t="s">
        <v>355</v>
      </c>
      <c r="D740" s="589"/>
      <c r="E740" s="734" t="s">
        <v>297</v>
      </c>
      <c r="F740" s="649">
        <v>1</v>
      </c>
      <c r="G740" s="470">
        <f>ROUND(G739/(G739+H739+I739),5)</f>
        <v>0</v>
      </c>
      <c r="H740" s="471">
        <f>ROUND(H739/(G739+H739+I739),5)</f>
        <v>0</v>
      </c>
      <c r="I740" s="472">
        <f>ROUND(I739/(G739+H739+I739),5)</f>
        <v>1</v>
      </c>
      <c r="J740" s="739">
        <f t="shared" si="157"/>
        <v>1</v>
      </c>
      <c r="K740" s="737">
        <f t="shared" si="158"/>
        <v>0</v>
      </c>
    </row>
    <row r="741" spans="1:13">
      <c r="A741" s="344">
        <v>36</v>
      </c>
      <c r="C741" s="598" t="s">
        <v>433</v>
      </c>
      <c r="D741" s="627"/>
      <c r="E741" s="746"/>
      <c r="F741" s="494">
        <v>1</v>
      </c>
      <c r="G741" s="602">
        <v>0</v>
      </c>
      <c r="H741" s="600">
        <v>0</v>
      </c>
      <c r="I741" s="644">
        <v>1</v>
      </c>
      <c r="J741" s="740">
        <f t="shared" si="157"/>
        <v>1</v>
      </c>
      <c r="K741" s="743">
        <f t="shared" si="158"/>
        <v>0</v>
      </c>
    </row>
    <row r="742" spans="1:13">
      <c r="A742" s="344">
        <v>37</v>
      </c>
      <c r="C742" s="497" t="s">
        <v>355</v>
      </c>
      <c r="D742" s="589"/>
      <c r="E742" s="734" t="s">
        <v>434</v>
      </c>
      <c r="F742" s="648">
        <v>1</v>
      </c>
      <c r="G742" s="470">
        <f>ROUND(G741/(G741+H741+I741),5)</f>
        <v>0</v>
      </c>
      <c r="H742" s="471">
        <f>ROUND(H741/(G741+H741+I741),5)</f>
        <v>0</v>
      </c>
      <c r="I742" s="472">
        <f>ROUND(I741/(G741+H741+I741),5)</f>
        <v>1</v>
      </c>
      <c r="J742" s="739">
        <f t="shared" si="157"/>
        <v>1</v>
      </c>
      <c r="K742" s="737">
        <f t="shared" si="158"/>
        <v>0</v>
      </c>
    </row>
    <row r="743" spans="1:13">
      <c r="A743" s="344">
        <v>38</v>
      </c>
      <c r="B743" s="365"/>
      <c r="C743" s="365"/>
      <c r="D743" s="724"/>
      <c r="E743" s="333"/>
      <c r="G743" s="462"/>
      <c r="H743" s="463"/>
      <c r="I743" s="464"/>
      <c r="J743" s="741"/>
      <c r="K743" s="532"/>
    </row>
    <row r="744" spans="1:13">
      <c r="A744" s="344">
        <v>39</v>
      </c>
      <c r="C744" s="598" t="s">
        <v>108</v>
      </c>
      <c r="D744" s="733" t="s">
        <v>335</v>
      </c>
      <c r="E744" s="715" t="s">
        <v>302</v>
      </c>
      <c r="F744" s="479">
        <f>'FR-16(7)(v)-3 PROD Comm Alloc'!F761</f>
        <v>95287873</v>
      </c>
      <c r="G744" s="465">
        <f t="shared" ref="G744:G745" si="159">F744-SUM(H744:I744)</f>
        <v>36322784</v>
      </c>
      <c r="H744" s="466">
        <f t="shared" ref="H744:H745" si="160">ROUND(F744*VLOOKUP(D744,AllocTable_Functional,$H$10,FALSE),0)</f>
        <v>0</v>
      </c>
      <c r="I744" s="467">
        <f t="shared" ref="I744:I745" si="161">ROUND(F744*VLOOKUP(D744,AllocTable_Functional,$I$10,FALSE),0)</f>
        <v>58965089</v>
      </c>
      <c r="J744" s="742">
        <f>SUM(G744:I744)</f>
        <v>95287873</v>
      </c>
      <c r="K744" s="670">
        <f>F744-J744</f>
        <v>0</v>
      </c>
      <c r="M744" s="659" t="s">
        <v>1204</v>
      </c>
    </row>
    <row r="745" spans="1:13">
      <c r="A745" s="344">
        <v>40</v>
      </c>
      <c r="C745" s="598" t="s">
        <v>850</v>
      </c>
      <c r="D745" s="733" t="s">
        <v>335</v>
      </c>
      <c r="E745" s="715" t="s">
        <v>286</v>
      </c>
      <c r="F745" s="479">
        <f>'FR-16(7)(v)-3 PROD Comm Alloc'!F763</f>
        <v>95287873</v>
      </c>
      <c r="G745" s="484">
        <f t="shared" si="159"/>
        <v>36322784</v>
      </c>
      <c r="H745" s="485">
        <f t="shared" si="160"/>
        <v>0</v>
      </c>
      <c r="I745" s="486">
        <f t="shared" si="161"/>
        <v>58965089</v>
      </c>
      <c r="J745" s="742">
        <f>SUM(G745:I745)</f>
        <v>95287873</v>
      </c>
      <c r="K745" s="670">
        <f>F745-J745</f>
        <v>0</v>
      </c>
      <c r="M745" s="659" t="s">
        <v>1205</v>
      </c>
    </row>
    <row r="746" spans="1:13">
      <c r="E746" s="333"/>
      <c r="F746" s="335"/>
    </row>
    <row r="747" spans="1:13">
      <c r="A747" s="343" t="str">
        <f>co_name</f>
        <v>DUKE ENERGY KENTUCKY, INC.</v>
      </c>
      <c r="C747" s="196"/>
      <c r="D747" s="344"/>
      <c r="E747" s="196"/>
      <c r="F747" s="196"/>
      <c r="G747" s="196"/>
      <c r="H747" s="196"/>
      <c r="I747" s="196"/>
      <c r="J747" s="196" t="str">
        <f>$J$1</f>
        <v>FR-16(7)(v)-1</v>
      </c>
      <c r="K747" s="196"/>
      <c r="M747" s="335"/>
    </row>
    <row r="748" spans="1:13">
      <c r="A748" s="343" t="str">
        <f>$A$2</f>
        <v>FUNCTIONAL GAS COST OF SERVICE</v>
      </c>
      <c r="C748" s="196"/>
      <c r="D748" s="344"/>
      <c r="E748" s="196"/>
      <c r="F748" s="196"/>
      <c r="G748" s="196"/>
      <c r="H748" s="196"/>
      <c r="I748" s="196"/>
      <c r="J748" s="196" t="str">
        <f>$J$2</f>
        <v>WITNESS RESPONSIBLE:</v>
      </c>
      <c r="K748" s="196"/>
      <c r="M748" s="335"/>
    </row>
    <row r="749" spans="1:13">
      <c r="A749" s="343" t="str">
        <f>case_name</f>
        <v>CASE NO: 2018-00261</v>
      </c>
      <c r="C749" s="196"/>
      <c r="D749" s="344"/>
      <c r="E749" s="196"/>
      <c r="F749" s="196"/>
      <c r="G749" s="196"/>
      <c r="H749" s="196"/>
      <c r="I749" s="196"/>
      <c r="J749" s="196" t="str">
        <f>Witness</f>
        <v>JAMES E. ZIOLKOWSKI</v>
      </c>
      <c r="K749" s="196"/>
      <c r="M749" s="335"/>
    </row>
    <row r="750" spans="1:13">
      <c r="A750" s="343" t="str">
        <f>data_filing</f>
        <v>DATA: 12 MONTH FORECASTED PERIOD</v>
      </c>
      <c r="C750" s="196"/>
      <c r="D750" s="344"/>
      <c r="E750" s="196"/>
      <c r="F750" s="196"/>
      <c r="G750" s="196"/>
      <c r="H750" s="196"/>
      <c r="I750" s="196"/>
      <c r="J750" s="196" t="str">
        <f>"PAGE "&amp;Pages-1&amp;" OF "&amp;Pages</f>
        <v>PAGE 17 OF 18</v>
      </c>
      <c r="K750" s="196"/>
      <c r="M750" s="335"/>
    </row>
    <row r="751" spans="1:13">
      <c r="A751" s="343" t="str">
        <f>type</f>
        <v xml:space="preserve">TYPE OF FILING: "X" ORIGINAL   UPDATED    REVISED  </v>
      </c>
      <c r="C751" s="196"/>
      <c r="D751" s="344"/>
      <c r="E751" s="196"/>
      <c r="F751" s="196"/>
      <c r="G751" s="196"/>
      <c r="H751" s="196"/>
      <c r="I751" s="196"/>
      <c r="J751" s="196"/>
      <c r="K751" s="196"/>
      <c r="M751" s="335"/>
    </row>
    <row r="752" spans="1:13">
      <c r="B752" s="196"/>
      <c r="E752" s="333"/>
      <c r="G752" s="532"/>
      <c r="H752" s="532"/>
      <c r="I752" s="532"/>
      <c r="M752" s="335"/>
    </row>
    <row r="753" spans="1:13">
      <c r="B753" s="196"/>
      <c r="E753" s="333"/>
      <c r="G753" s="532"/>
      <c r="H753" s="532"/>
      <c r="I753" s="532"/>
      <c r="M753" s="335"/>
    </row>
    <row r="754" spans="1:13">
      <c r="A754" s="344" t="s">
        <v>914</v>
      </c>
      <c r="B754" s="196"/>
      <c r="C754" s="196"/>
      <c r="D754" s="344"/>
      <c r="E754" s="344"/>
      <c r="F754" s="589" t="s">
        <v>229</v>
      </c>
      <c r="G754" s="473" t="s">
        <v>981</v>
      </c>
      <c r="H754" s="474"/>
      <c r="I754" s="475"/>
      <c r="J754" s="344" t="s">
        <v>229</v>
      </c>
      <c r="K754" s="344" t="s">
        <v>342</v>
      </c>
    </row>
    <row r="755" spans="1:13">
      <c r="A755" s="346" t="s">
        <v>915</v>
      </c>
      <c r="B755" s="590" t="s">
        <v>89</v>
      </c>
      <c r="C755" s="345"/>
      <c r="D755" s="591" t="s">
        <v>1011</v>
      </c>
      <c r="E755" s="591" t="s">
        <v>337</v>
      </c>
      <c r="F755" s="592" t="s">
        <v>284</v>
      </c>
      <c r="G755" s="611" t="s">
        <v>845</v>
      </c>
      <c r="H755" s="612" t="s">
        <v>980</v>
      </c>
      <c r="I755" s="613" t="s">
        <v>846</v>
      </c>
      <c r="J755" s="346" t="s">
        <v>341</v>
      </c>
      <c r="K755" s="346" t="s">
        <v>340</v>
      </c>
    </row>
    <row r="756" spans="1:13">
      <c r="C756" s="846" t="s">
        <v>562</v>
      </c>
      <c r="E756" s="788">
        <v>1</v>
      </c>
      <c r="F756" s="788">
        <v>2</v>
      </c>
      <c r="G756" s="628">
        <f>$G$10</f>
        <v>3</v>
      </c>
      <c r="H756" s="629">
        <f>$H$10</f>
        <v>4</v>
      </c>
      <c r="I756" s="630">
        <f>$I$10</f>
        <v>5</v>
      </c>
    </row>
    <row r="757" spans="1:13">
      <c r="A757" s="344">
        <v>1</v>
      </c>
      <c r="B757" s="605"/>
      <c r="C757" s="660" t="s">
        <v>1022</v>
      </c>
      <c r="D757" s="725" t="s">
        <v>1013</v>
      </c>
      <c r="E757" s="716"/>
      <c r="F757" s="347">
        <f>F771</f>
        <v>285936571</v>
      </c>
      <c r="G757" s="465">
        <f>G771</f>
        <v>0</v>
      </c>
      <c r="H757" s="466">
        <f>H771</f>
        <v>0</v>
      </c>
      <c r="I757" s="467">
        <f>I771</f>
        <v>285936571</v>
      </c>
      <c r="J757" s="742">
        <f t="shared" ref="J757:J762" si="162">SUM(G757:I757)</f>
        <v>285936571</v>
      </c>
      <c r="K757" s="670">
        <f t="shared" ref="K757:K762" si="163">F757-J757</f>
        <v>0</v>
      </c>
    </row>
    <row r="758" spans="1:13">
      <c r="A758" s="344">
        <v>2</v>
      </c>
      <c r="B758" s="196"/>
      <c r="C758" s="497" t="s">
        <v>355</v>
      </c>
      <c r="D758" s="589"/>
      <c r="E758" s="734" t="s">
        <v>298</v>
      </c>
      <c r="F758" s="648">
        <v>1</v>
      </c>
      <c r="G758" s="470">
        <f>ROUND(G757/(G757+H757+I757),5)</f>
        <v>0</v>
      </c>
      <c r="H758" s="471">
        <f>ROUND(H757/(G757+H757+I757),5)</f>
        <v>0</v>
      </c>
      <c r="I758" s="472">
        <f>ROUND(I757/(G757+H757+I757),5)</f>
        <v>1</v>
      </c>
      <c r="J758" s="737">
        <f t="shared" si="162"/>
        <v>1</v>
      </c>
      <c r="K758" s="737">
        <f t="shared" si="163"/>
        <v>0</v>
      </c>
    </row>
    <row r="759" spans="1:13">
      <c r="A759" s="344">
        <v>3</v>
      </c>
      <c r="B759" s="605"/>
      <c r="C759" s="660" t="s">
        <v>1031</v>
      </c>
      <c r="D759" s="725" t="s">
        <v>1013</v>
      </c>
      <c r="E759" s="729"/>
      <c r="F759" s="347">
        <f>F778</f>
        <v>33539867</v>
      </c>
      <c r="G759" s="465">
        <f>G778</f>
        <v>0</v>
      </c>
      <c r="H759" s="466">
        <f>H778</f>
        <v>0</v>
      </c>
      <c r="I759" s="467">
        <f>I778</f>
        <v>33539867</v>
      </c>
      <c r="J759" s="670">
        <f t="shared" si="162"/>
        <v>33539867</v>
      </c>
      <c r="K759" s="670">
        <f t="shared" si="163"/>
        <v>0</v>
      </c>
    </row>
    <row r="760" spans="1:13">
      <c r="A760" s="344">
        <v>4</v>
      </c>
      <c r="B760" s="196"/>
      <c r="C760" s="497" t="s">
        <v>355</v>
      </c>
      <c r="D760" s="589"/>
      <c r="E760" s="734" t="s">
        <v>299</v>
      </c>
      <c r="F760" s="648">
        <v>1</v>
      </c>
      <c r="G760" s="470">
        <f>ROUND(G759/(G759+H759+I759),5)</f>
        <v>0</v>
      </c>
      <c r="H760" s="471">
        <f>ROUND(H759/(G759+H759+I759),5)</f>
        <v>0</v>
      </c>
      <c r="I760" s="472">
        <f>ROUND(I759/(G759+H759+I759),5)</f>
        <v>1</v>
      </c>
      <c r="J760" s="737">
        <f t="shared" si="162"/>
        <v>1</v>
      </c>
      <c r="K760" s="737">
        <f t="shared" si="163"/>
        <v>0</v>
      </c>
    </row>
    <row r="761" spans="1:13">
      <c r="A761" s="344">
        <v>5</v>
      </c>
      <c r="B761" s="606"/>
      <c r="C761" s="660" t="s">
        <v>108</v>
      </c>
      <c r="D761" s="725" t="s">
        <v>1013</v>
      </c>
      <c r="E761" s="729"/>
      <c r="F761" s="347">
        <f>F744</f>
        <v>95287873</v>
      </c>
      <c r="G761" s="465">
        <f>G744</f>
        <v>36322784</v>
      </c>
      <c r="H761" s="466">
        <f>H744</f>
        <v>0</v>
      </c>
      <c r="I761" s="467">
        <f>I744</f>
        <v>58965089</v>
      </c>
      <c r="J761" s="670">
        <f t="shared" si="162"/>
        <v>95287873</v>
      </c>
      <c r="K761" s="670">
        <f t="shared" si="163"/>
        <v>0</v>
      </c>
    </row>
    <row r="762" spans="1:13">
      <c r="A762" s="344">
        <v>6</v>
      </c>
      <c r="B762" s="196"/>
      <c r="C762" s="497" t="s">
        <v>355</v>
      </c>
      <c r="D762" s="589"/>
      <c r="E762" s="734" t="s">
        <v>300</v>
      </c>
      <c r="F762" s="648">
        <v>1</v>
      </c>
      <c r="G762" s="470">
        <f>ROUND(G761/(G761+H761+I761),5)</f>
        <v>0.38118999999999997</v>
      </c>
      <c r="H762" s="471">
        <f>ROUND(H761/(G761+H761+I761),5)</f>
        <v>0</v>
      </c>
      <c r="I762" s="472">
        <f>ROUND(I761/(G761+H761+I761),5)</f>
        <v>0.61880999999999997</v>
      </c>
      <c r="J762" s="737">
        <f t="shared" si="162"/>
        <v>1</v>
      </c>
      <c r="K762" s="737">
        <f t="shared" si="163"/>
        <v>0</v>
      </c>
    </row>
    <row r="763" spans="1:13">
      <c r="A763" s="344">
        <v>7</v>
      </c>
      <c r="C763" s="660" t="s">
        <v>850</v>
      </c>
      <c r="D763" s="725" t="s">
        <v>1013</v>
      </c>
      <c r="E763" s="729"/>
      <c r="F763" s="347">
        <f>F745</f>
        <v>95287873</v>
      </c>
      <c r="G763" s="465">
        <f>G745</f>
        <v>36322784</v>
      </c>
      <c r="H763" s="466">
        <f>H745</f>
        <v>0</v>
      </c>
      <c r="I763" s="467">
        <f>I745</f>
        <v>58965089</v>
      </c>
      <c r="J763" s="670">
        <f>SUM(G763:I763)</f>
        <v>95287873</v>
      </c>
      <c r="K763" s="670">
        <f>F763-J763</f>
        <v>0</v>
      </c>
    </row>
    <row r="764" spans="1:13">
      <c r="A764" s="344">
        <v>8</v>
      </c>
      <c r="C764" s="497" t="s">
        <v>355</v>
      </c>
      <c r="D764" s="589"/>
      <c r="E764" s="734" t="s">
        <v>1201</v>
      </c>
      <c r="F764" s="648">
        <v>1</v>
      </c>
      <c r="G764" s="470">
        <f>ROUND(G763/(G763+H763+I763),5)</f>
        <v>0.38118999999999997</v>
      </c>
      <c r="H764" s="471">
        <f>ROUND(H763/(G763+H763+I763),5)</f>
        <v>0</v>
      </c>
      <c r="I764" s="472">
        <f>ROUND(I763/(G763+H763+I763),5)</f>
        <v>0.61880999999999997</v>
      </c>
      <c r="J764" s="737">
        <f>SUM(G764:I764)</f>
        <v>1</v>
      </c>
      <c r="K764" s="737">
        <f>F764-J764</f>
        <v>0</v>
      </c>
    </row>
    <row r="765" spans="1:13">
      <c r="A765" s="344">
        <v>9</v>
      </c>
      <c r="E765" s="746"/>
      <c r="G765" s="462"/>
      <c r="H765" s="463"/>
      <c r="I765" s="464"/>
      <c r="J765" s="532"/>
      <c r="K765" s="532"/>
    </row>
    <row r="766" spans="1:13">
      <c r="A766" s="344">
        <v>10</v>
      </c>
      <c r="B766" s="708" t="s">
        <v>92</v>
      </c>
      <c r="C766" s="709"/>
      <c r="D766" s="726"/>
      <c r="E766" s="729"/>
      <c r="F766" s="621"/>
      <c r="G766" s="622"/>
      <c r="H766" s="623"/>
      <c r="I766" s="624"/>
      <c r="J766" s="744"/>
      <c r="K766" s="744"/>
    </row>
    <row r="767" spans="1:13">
      <c r="A767" s="344">
        <v>11</v>
      </c>
      <c r="B767" s="659"/>
      <c r="C767" s="660" t="s">
        <v>1025</v>
      </c>
      <c r="D767" s="725"/>
      <c r="E767" s="729"/>
      <c r="F767" s="347">
        <f>'FR-16(7)(v)-1 Functional'!$F$71</f>
        <v>283446655</v>
      </c>
      <c r="G767" s="465">
        <f>$G$71</f>
        <v>0</v>
      </c>
      <c r="H767" s="466">
        <f>$H$71</f>
        <v>0</v>
      </c>
      <c r="I767" s="467">
        <f>$I$71</f>
        <v>283446655</v>
      </c>
      <c r="J767" s="670">
        <f>SUM(G767:I767)</f>
        <v>283446655</v>
      </c>
      <c r="K767" s="670">
        <f>F767-J767</f>
        <v>0</v>
      </c>
    </row>
    <row r="768" spans="1:13">
      <c r="A768" s="344">
        <v>12</v>
      </c>
      <c r="B768" s="659"/>
      <c r="C768" s="660" t="s">
        <v>1026</v>
      </c>
      <c r="D768" s="725"/>
      <c r="E768" s="729"/>
      <c r="F768" s="347">
        <f>'FR-16(7)(v)-1 Functional'!$F$72</f>
        <v>163028490</v>
      </c>
      <c r="G768" s="465">
        <f>$G$72</f>
        <v>0</v>
      </c>
      <c r="H768" s="466">
        <f>$H$72</f>
        <v>0</v>
      </c>
      <c r="I768" s="467">
        <f>$I$72</f>
        <v>163028490</v>
      </c>
      <c r="J768" s="670">
        <f>SUM(G768:I768)</f>
        <v>163028490</v>
      </c>
      <c r="K768" s="670">
        <f>F768-J768</f>
        <v>0</v>
      </c>
    </row>
    <row r="769" spans="1:11">
      <c r="A769" s="344">
        <v>13</v>
      </c>
      <c r="B769" s="659"/>
      <c r="C769" s="660" t="s">
        <v>1023</v>
      </c>
      <c r="D769" s="725"/>
      <c r="E769" s="729"/>
      <c r="F769" s="347">
        <f>-'FR-16(7)(v)-1 Functional'!$F$125</f>
        <v>-106766757</v>
      </c>
      <c r="G769" s="465">
        <f>-$G$125</f>
        <v>0</v>
      </c>
      <c r="H769" s="466">
        <f>-$H$125</f>
        <v>0</v>
      </c>
      <c r="I769" s="467">
        <f>-$I$125</f>
        <v>-106766757</v>
      </c>
      <c r="J769" s="670">
        <f>SUM(G769:I769)</f>
        <v>-106766757</v>
      </c>
      <c r="K769" s="670">
        <f>F769-J769</f>
        <v>0</v>
      </c>
    </row>
    <row r="770" spans="1:11">
      <c r="A770" s="344">
        <v>14</v>
      </c>
      <c r="B770" s="659"/>
      <c r="C770" s="660" t="s">
        <v>1024</v>
      </c>
      <c r="D770" s="725"/>
      <c r="E770" s="747"/>
      <c r="F770" s="502">
        <f>-'FR-16(7)(v)-1 Functional'!$F$126</f>
        <v>-53771817</v>
      </c>
      <c r="G770" s="484">
        <f>-$G$126</f>
        <v>0</v>
      </c>
      <c r="H770" s="485">
        <f>-$H$126</f>
        <v>0</v>
      </c>
      <c r="I770" s="486">
        <f>-$I$126</f>
        <v>-53771817</v>
      </c>
      <c r="J770" s="626">
        <f>SUM(G770:I770)</f>
        <v>-53771817</v>
      </c>
      <c r="K770" s="626">
        <f>F770-J770</f>
        <v>0</v>
      </c>
    </row>
    <row r="771" spans="1:11">
      <c r="A771" s="344">
        <v>15</v>
      </c>
      <c r="B771" s="659"/>
      <c r="C771" s="710" t="s">
        <v>1033</v>
      </c>
      <c r="D771" s="725"/>
      <c r="E771" s="729"/>
      <c r="F771" s="347">
        <f>SUM(F767:F770)</f>
        <v>285936571</v>
      </c>
      <c r="G771" s="465">
        <f>SUM(G767:G770)</f>
        <v>0</v>
      </c>
      <c r="H771" s="466">
        <f>SUM(H767:H770)</f>
        <v>0</v>
      </c>
      <c r="I771" s="467">
        <f>SUM(I767:I770)</f>
        <v>285936571</v>
      </c>
      <c r="J771" s="670">
        <f>SUM(G771:I771)</f>
        <v>285936571</v>
      </c>
      <c r="K771" s="670">
        <f>F771-J771</f>
        <v>0</v>
      </c>
    </row>
    <row r="772" spans="1:11">
      <c r="A772" s="344">
        <v>16</v>
      </c>
      <c r="B772" s="659"/>
      <c r="C772" s="659"/>
      <c r="D772" s="713"/>
      <c r="E772" s="729"/>
      <c r="G772" s="462"/>
      <c r="H772" s="463"/>
      <c r="I772" s="464"/>
      <c r="J772" s="532"/>
      <c r="K772" s="532"/>
    </row>
    <row r="773" spans="1:11">
      <c r="A773" s="344">
        <v>17</v>
      </c>
      <c r="B773" s="711" t="s">
        <v>93</v>
      </c>
      <c r="C773" s="616"/>
      <c r="D773" s="713"/>
      <c r="E773" s="729"/>
      <c r="G773" s="462"/>
      <c r="H773" s="463"/>
      <c r="I773" s="464"/>
      <c r="J773" s="532"/>
      <c r="K773" s="532"/>
    </row>
    <row r="774" spans="1:11">
      <c r="A774" s="344">
        <v>18</v>
      </c>
      <c r="B774" s="659"/>
      <c r="C774" s="660" t="s">
        <v>1027</v>
      </c>
      <c r="D774" s="713"/>
      <c r="E774" s="729"/>
      <c r="F774" s="347">
        <f>'FR-16(7)(v)-1 Functional'!$F$73</f>
        <v>23257250</v>
      </c>
      <c r="G774" s="465">
        <f>$G$73</f>
        <v>0</v>
      </c>
      <c r="H774" s="466">
        <f>$H$73</f>
        <v>0</v>
      </c>
      <c r="I774" s="467">
        <f>$I$73</f>
        <v>23257250</v>
      </c>
      <c r="J774" s="670">
        <f>SUM(G774:I774)</f>
        <v>23257250</v>
      </c>
      <c r="K774" s="670">
        <f>F774-J774</f>
        <v>0</v>
      </c>
    </row>
    <row r="775" spans="1:11">
      <c r="A775" s="344">
        <v>19</v>
      </c>
      <c r="B775" s="659"/>
      <c r="C775" s="660" t="s">
        <v>1028</v>
      </c>
      <c r="D775" s="713"/>
      <c r="E775" s="729"/>
      <c r="F775" s="347">
        <f>'FR-16(7)(v)-1 Functional'!$F$75</f>
        <v>12497082</v>
      </c>
      <c r="G775" s="465">
        <f>$G$75</f>
        <v>0</v>
      </c>
      <c r="H775" s="466">
        <f>$H$75</f>
        <v>0</v>
      </c>
      <c r="I775" s="467">
        <f>$I$75</f>
        <v>12497082</v>
      </c>
      <c r="J775" s="670">
        <f>SUM(G775:I775)</f>
        <v>12497082</v>
      </c>
      <c r="K775" s="670">
        <f>F775-J775</f>
        <v>0</v>
      </c>
    </row>
    <row r="776" spans="1:11">
      <c r="A776" s="344">
        <v>20</v>
      </c>
      <c r="B776" s="659"/>
      <c r="C776" s="660" t="s">
        <v>1029</v>
      </c>
      <c r="D776" s="713"/>
      <c r="E776" s="729"/>
      <c r="F776" s="347">
        <f>-'FR-16(7)(v)-1 Functional'!$F$127</f>
        <v>2918585</v>
      </c>
      <c r="G776" s="465">
        <f>-$G$127</f>
        <v>0</v>
      </c>
      <c r="H776" s="466">
        <f>-$H$127</f>
        <v>0</v>
      </c>
      <c r="I776" s="467">
        <f>-$I$127</f>
        <v>2918585</v>
      </c>
      <c r="J776" s="670">
        <f>SUM(G776:I776)</f>
        <v>2918585</v>
      </c>
      <c r="K776" s="670">
        <f>F776-J776</f>
        <v>0</v>
      </c>
    </row>
    <row r="777" spans="1:11">
      <c r="A777" s="344">
        <v>21</v>
      </c>
      <c r="B777" s="659"/>
      <c r="C777" s="660" t="s">
        <v>1030</v>
      </c>
      <c r="D777" s="713"/>
      <c r="E777" s="729"/>
      <c r="F777" s="502">
        <f>-'FR-16(7)(v)-1 Functional'!$F$129</f>
        <v>-5133050</v>
      </c>
      <c r="G777" s="484">
        <f>-$G$129</f>
        <v>0</v>
      </c>
      <c r="H777" s="485">
        <f>-$H$129</f>
        <v>0</v>
      </c>
      <c r="I777" s="486">
        <f>-$I$129</f>
        <v>-5133050</v>
      </c>
      <c r="J777" s="626">
        <f>SUM(G777:I777)</f>
        <v>-5133050</v>
      </c>
      <c r="K777" s="626">
        <f>F777-J777</f>
        <v>0</v>
      </c>
    </row>
    <row r="778" spans="1:11">
      <c r="A778" s="344">
        <v>22</v>
      </c>
      <c r="B778" s="659"/>
      <c r="C778" s="710" t="s">
        <v>1034</v>
      </c>
      <c r="D778" s="713"/>
      <c r="E778" s="729"/>
      <c r="F778" s="347">
        <f>SUM(F774:F777)</f>
        <v>33539867</v>
      </c>
      <c r="G778" s="465">
        <f>SUM(G774:G777)</f>
        <v>0</v>
      </c>
      <c r="H778" s="466">
        <f>SUM(H774:H777)</f>
        <v>0</v>
      </c>
      <c r="I778" s="467">
        <f>SUM(I774:I777)</f>
        <v>33539867</v>
      </c>
      <c r="J778" s="670">
        <f>SUM(G778:I778)</f>
        <v>33539867</v>
      </c>
      <c r="K778" s="670">
        <f>F778-J778</f>
        <v>0</v>
      </c>
    </row>
    <row r="779" spans="1:11">
      <c r="A779" s="344">
        <v>23</v>
      </c>
      <c r="E779" s="746"/>
      <c r="G779" s="462"/>
      <c r="H779" s="463"/>
      <c r="I779" s="464"/>
    </row>
    <row r="780" spans="1:11">
      <c r="A780" s="344">
        <v>24</v>
      </c>
      <c r="B780" s="631" t="s">
        <v>94</v>
      </c>
      <c r="C780" s="196"/>
      <c r="D780" s="718"/>
      <c r="E780" s="748"/>
      <c r="F780" s="632"/>
      <c r="G780" s="628"/>
      <c r="H780" s="629"/>
      <c r="I780" s="630"/>
    </row>
    <row r="781" spans="1:11">
      <c r="A781" s="344">
        <v>25</v>
      </c>
      <c r="B781" s="597" t="s">
        <v>95</v>
      </c>
      <c r="C781" s="634"/>
      <c r="D781" s="719"/>
      <c r="E781" s="745"/>
      <c r="F781" s="510"/>
      <c r="G781" s="517"/>
      <c r="H781" s="516"/>
      <c r="I781" s="518"/>
    </row>
    <row r="782" spans="1:11">
      <c r="A782" s="344">
        <v>26</v>
      </c>
      <c r="B782" s="196"/>
      <c r="C782" s="587" t="s">
        <v>230</v>
      </c>
      <c r="D782" s="725" t="s">
        <v>1013</v>
      </c>
      <c r="E782" s="734" t="s">
        <v>303</v>
      </c>
      <c r="F782" s="648">
        <v>1</v>
      </c>
      <c r="G782" s="470">
        <f>ROUND(IF($F$59=0,0,$G$59/$F$59),5)</f>
        <v>1</v>
      </c>
      <c r="H782" s="471">
        <f>ROUND(IF($F$59=0,0,$H$59/$F$59),5)</f>
        <v>0</v>
      </c>
      <c r="I782" s="472">
        <f>ROUND(IF($F$59=0,0,$I$59/$F$59),5)</f>
        <v>0</v>
      </c>
      <c r="J782" s="737">
        <f t="shared" ref="J782:J789" si="164">SUM(G782:I782)</f>
        <v>1</v>
      </c>
      <c r="K782" s="737">
        <f t="shared" ref="K782:K789" si="165">F782-J782</f>
        <v>0</v>
      </c>
    </row>
    <row r="783" spans="1:11">
      <c r="A783" s="344">
        <v>27</v>
      </c>
      <c r="B783" s="196"/>
      <c r="C783" s="587" t="s">
        <v>231</v>
      </c>
      <c r="D783" s="725" t="s">
        <v>1013</v>
      </c>
      <c r="E783" s="734" t="s">
        <v>304</v>
      </c>
      <c r="F783" s="648">
        <v>1</v>
      </c>
      <c r="G783" s="470">
        <f>ROUND(IF($F$78=0,0,$G$78/$F$78),5)</f>
        <v>0</v>
      </c>
      <c r="H783" s="471">
        <f>ROUND(IF($F$78=0,0,$H$78/$F$78),5)</f>
        <v>0</v>
      </c>
      <c r="I783" s="472">
        <f>1-SUM(G783:H783)</f>
        <v>1</v>
      </c>
      <c r="J783" s="737">
        <f t="shared" si="164"/>
        <v>1</v>
      </c>
      <c r="K783" s="737">
        <f t="shared" si="165"/>
        <v>0</v>
      </c>
    </row>
    <row r="784" spans="1:11">
      <c r="A784" s="344">
        <v>28</v>
      </c>
      <c r="B784" s="196"/>
      <c r="C784" s="587" t="s">
        <v>232</v>
      </c>
      <c r="D784" s="725" t="s">
        <v>1013</v>
      </c>
      <c r="E784" s="734" t="s">
        <v>305</v>
      </c>
      <c r="F784" s="648">
        <v>1</v>
      </c>
      <c r="G784" s="470">
        <f>ROUND(IF($F$81=0,0,$G$81/$F$81),5)</f>
        <v>5.0800000000000003E-3</v>
      </c>
      <c r="H784" s="471">
        <f>ROUND(IF($F$81=0,0,$H$81/$F$81),5)</f>
        <v>0</v>
      </c>
      <c r="I784" s="472">
        <f t="shared" ref="I784:I789" si="166">1-SUM(G784:H784)</f>
        <v>0.99492000000000003</v>
      </c>
      <c r="J784" s="737">
        <f t="shared" si="164"/>
        <v>1</v>
      </c>
      <c r="K784" s="737">
        <f t="shared" si="165"/>
        <v>0</v>
      </c>
    </row>
    <row r="785" spans="1:11">
      <c r="A785" s="344">
        <v>29</v>
      </c>
      <c r="B785" s="196"/>
      <c r="C785" s="587" t="s">
        <v>233</v>
      </c>
      <c r="D785" s="725" t="s">
        <v>1013</v>
      </c>
      <c r="E785" s="734" t="s">
        <v>306</v>
      </c>
      <c r="F785" s="648">
        <v>1</v>
      </c>
      <c r="G785" s="470">
        <f>ROUND(IF($F$90=0,0,$G$90/$F$90),5)</f>
        <v>0.10335</v>
      </c>
      <c r="H785" s="471">
        <f>ROUND(IF($F$90=0,0,$H$90/$F$90),5)</f>
        <v>0</v>
      </c>
      <c r="I785" s="472">
        <f t="shared" si="166"/>
        <v>0.89664999999999995</v>
      </c>
      <c r="J785" s="737">
        <f t="shared" si="164"/>
        <v>1</v>
      </c>
      <c r="K785" s="737">
        <f t="shared" si="165"/>
        <v>0</v>
      </c>
    </row>
    <row r="786" spans="1:11">
      <c r="A786" s="344">
        <v>30</v>
      </c>
      <c r="B786" s="196"/>
      <c r="C786" s="587" t="s">
        <v>234</v>
      </c>
      <c r="D786" s="725" t="s">
        <v>1013</v>
      </c>
      <c r="E786" s="734" t="s">
        <v>307</v>
      </c>
      <c r="F786" s="648">
        <v>1</v>
      </c>
      <c r="G786" s="470">
        <f>ROUND(IF($F$99=0,0,$G$99/$F$99),5)</f>
        <v>0.10335</v>
      </c>
      <c r="H786" s="471">
        <f>ROUND(IF($F$99=0,0,$H$99/$F$99),5)</f>
        <v>0</v>
      </c>
      <c r="I786" s="472">
        <f t="shared" si="166"/>
        <v>0.89664999999999995</v>
      </c>
      <c r="J786" s="737">
        <f t="shared" si="164"/>
        <v>1</v>
      </c>
      <c r="K786" s="737">
        <f t="shared" si="165"/>
        <v>0</v>
      </c>
    </row>
    <row r="787" spans="1:11">
      <c r="A787" s="344">
        <v>31</v>
      </c>
      <c r="B787" s="196"/>
      <c r="C787" s="587" t="s">
        <v>235</v>
      </c>
      <c r="D787" s="725" t="s">
        <v>1013</v>
      </c>
      <c r="E787" s="734" t="s">
        <v>308</v>
      </c>
      <c r="F787" s="648">
        <v>1</v>
      </c>
      <c r="G787" s="470">
        <f>ROUND(IF($F$101=0,0,$G$101/$F$101),5)</f>
        <v>1.1310000000000001E-2</v>
      </c>
      <c r="H787" s="471">
        <f>ROUND(IF($F$101=0,0,$H$101/$F$101),5)</f>
        <v>0</v>
      </c>
      <c r="I787" s="472">
        <f t="shared" si="166"/>
        <v>0.98868999999999996</v>
      </c>
      <c r="J787" s="737">
        <f t="shared" si="164"/>
        <v>1</v>
      </c>
      <c r="K787" s="737">
        <f t="shared" si="165"/>
        <v>0</v>
      </c>
    </row>
    <row r="788" spans="1:11">
      <c r="A788" s="344">
        <v>32</v>
      </c>
      <c r="B788" s="196"/>
      <c r="C788" s="587" t="s">
        <v>236</v>
      </c>
      <c r="D788" s="725" t="s">
        <v>1013</v>
      </c>
      <c r="E788" s="734" t="s">
        <v>309</v>
      </c>
      <c r="F788" s="648">
        <v>1</v>
      </c>
      <c r="G788" s="470">
        <f>ROUND(IF($F$131=0,0,$G$131/$F$131),5)</f>
        <v>0</v>
      </c>
      <c r="H788" s="471">
        <f>ROUND(IF($F$131=0,0,$H$131/$F$131),5)</f>
        <v>0</v>
      </c>
      <c r="I788" s="472">
        <f t="shared" si="166"/>
        <v>1</v>
      </c>
      <c r="J788" s="737">
        <f t="shared" si="164"/>
        <v>1</v>
      </c>
      <c r="K788" s="737">
        <f t="shared" si="165"/>
        <v>0</v>
      </c>
    </row>
    <row r="789" spans="1:11">
      <c r="A789" s="344">
        <v>33</v>
      </c>
      <c r="B789" s="196"/>
      <c r="C789" s="587" t="s">
        <v>237</v>
      </c>
      <c r="D789" s="725" t="s">
        <v>1013</v>
      </c>
      <c r="E789" s="734" t="s">
        <v>310</v>
      </c>
      <c r="F789" s="648">
        <v>1</v>
      </c>
      <c r="G789" s="470">
        <f>ROUND(IF($F$151=0,0,$G$151/$F$151),5)</f>
        <v>1.976E-2</v>
      </c>
      <c r="H789" s="471">
        <f>ROUND(IF($F$151=0,0,$H$151/$F$151),5)</f>
        <v>0</v>
      </c>
      <c r="I789" s="472">
        <f t="shared" si="166"/>
        <v>0.98024</v>
      </c>
      <c r="J789" s="737">
        <f t="shared" si="164"/>
        <v>1</v>
      </c>
      <c r="K789" s="737">
        <f t="shared" si="165"/>
        <v>0</v>
      </c>
    </row>
    <row r="790" spans="1:11">
      <c r="A790" s="344">
        <v>34</v>
      </c>
      <c r="B790" s="196"/>
      <c r="C790" s="196"/>
      <c r="D790" s="344"/>
      <c r="E790" s="729"/>
      <c r="F790" s="648"/>
      <c r="G790" s="470"/>
      <c r="H790" s="471"/>
      <c r="I790" s="472"/>
      <c r="J790" s="737"/>
      <c r="K790" s="737"/>
    </row>
    <row r="791" spans="1:11">
      <c r="A791" s="344">
        <v>35</v>
      </c>
      <c r="B791" s="587" t="s">
        <v>96</v>
      </c>
      <c r="C791" s="196"/>
      <c r="D791" s="344"/>
      <c r="E791" s="729"/>
      <c r="F791" s="648"/>
      <c r="G791" s="470"/>
      <c r="H791" s="471"/>
      <c r="I791" s="472"/>
      <c r="J791" s="737"/>
      <c r="K791" s="737"/>
    </row>
    <row r="792" spans="1:11">
      <c r="A792" s="344">
        <v>36</v>
      </c>
      <c r="B792" s="196"/>
      <c r="C792" s="587" t="s">
        <v>238</v>
      </c>
      <c r="D792" s="725" t="s">
        <v>1013</v>
      </c>
      <c r="E792" s="734" t="s">
        <v>311</v>
      </c>
      <c r="F792" s="648">
        <v>1</v>
      </c>
      <c r="G792" s="470">
        <f>ROUND(IF($F$166=0,0,$G$166/$F$166),5)</f>
        <v>1</v>
      </c>
      <c r="H792" s="471">
        <f>ROUND(IF($F$166=0,0,$H$166/$F$166),5)</f>
        <v>0</v>
      </c>
      <c r="I792" s="472">
        <f>ROUND(IF($F$166=0,0,$I$166/$F$166),5)</f>
        <v>0</v>
      </c>
      <c r="J792" s="737">
        <f>SUM(G792:I792)</f>
        <v>1</v>
      </c>
      <c r="K792" s="737">
        <f>F792-J792</f>
        <v>0</v>
      </c>
    </row>
    <row r="793" spans="1:11">
      <c r="A793" s="344">
        <v>37</v>
      </c>
      <c r="B793" s="196"/>
      <c r="C793" s="587" t="s">
        <v>239</v>
      </c>
      <c r="D793" s="725" t="s">
        <v>1013</v>
      </c>
      <c r="E793" s="734" t="s">
        <v>312</v>
      </c>
      <c r="F793" s="648">
        <v>1</v>
      </c>
      <c r="G793" s="470">
        <f>ROUND(IF($F$176=0,0,$G$176/$F$176),5)</f>
        <v>0</v>
      </c>
      <c r="H793" s="471">
        <f>ROUND(IF($F$176=0,0,$H$176/$F$176),5)</f>
        <v>0</v>
      </c>
      <c r="I793" s="472">
        <f>1-SUM(G793:H793)</f>
        <v>1</v>
      </c>
      <c r="J793" s="737">
        <f>SUM(G793:I793)</f>
        <v>1</v>
      </c>
      <c r="K793" s="737">
        <f>F793-J793</f>
        <v>0</v>
      </c>
    </row>
    <row r="794" spans="1:11">
      <c r="A794" s="344">
        <v>38</v>
      </c>
      <c r="B794" s="196"/>
      <c r="C794" s="587" t="s">
        <v>240</v>
      </c>
      <c r="D794" s="725" t="s">
        <v>1013</v>
      </c>
      <c r="E794" s="734" t="s">
        <v>313</v>
      </c>
      <c r="F794" s="648">
        <v>1</v>
      </c>
      <c r="G794" s="470">
        <f>ROUND(IF($F$184=0,0,$G$184/$F$184),5)</f>
        <v>0.10335</v>
      </c>
      <c r="H794" s="471">
        <f>ROUND(IF($F$184=0,0,$H$184/$F$184),5)</f>
        <v>0</v>
      </c>
      <c r="I794" s="472">
        <f>1-SUM(G794:H794)</f>
        <v>0.89664999999999995</v>
      </c>
      <c r="J794" s="737">
        <f>SUM(G794:I794)</f>
        <v>1</v>
      </c>
      <c r="K794" s="737">
        <f>F794-J794</f>
        <v>0</v>
      </c>
    </row>
    <row r="795" spans="1:11">
      <c r="A795" s="344">
        <v>39</v>
      </c>
      <c r="B795" s="196"/>
      <c r="C795" s="587" t="s">
        <v>241</v>
      </c>
      <c r="D795" s="725" t="s">
        <v>1013</v>
      </c>
      <c r="E795" s="734" t="s">
        <v>314</v>
      </c>
      <c r="F795" s="648">
        <v>1</v>
      </c>
      <c r="G795" s="470">
        <f>ROUND(IF($F$189=0,0,$G$189/$F$189),5)</f>
        <v>0.10335</v>
      </c>
      <c r="H795" s="471">
        <f>ROUND(IF($F$189=0,0,$H$189/$F$189),5)</f>
        <v>0</v>
      </c>
      <c r="I795" s="472">
        <f>1-SUM(G795:H795)</f>
        <v>0.89664999999999995</v>
      </c>
      <c r="J795" s="737">
        <f>SUM(G795:I795)</f>
        <v>1</v>
      </c>
      <c r="K795" s="737">
        <f>F795-J795</f>
        <v>0</v>
      </c>
    </row>
    <row r="796" spans="1:11">
      <c r="A796" s="344">
        <v>40</v>
      </c>
      <c r="B796" s="196"/>
      <c r="C796" s="587" t="s">
        <v>242</v>
      </c>
      <c r="D796" s="725" t="s">
        <v>1013</v>
      </c>
      <c r="E796" s="734" t="s">
        <v>315</v>
      </c>
      <c r="F796" s="648">
        <v>1</v>
      </c>
      <c r="G796" s="470">
        <f>ROUND(IF($F$191=0,0,$G$191/$F$191),5)</f>
        <v>7.3600000000000002E-3</v>
      </c>
      <c r="H796" s="471">
        <f>ROUND(IF($F$191=0,0,$H$191/$F$191),5)</f>
        <v>0</v>
      </c>
      <c r="I796" s="472">
        <f>1-SUM(G796:H796)</f>
        <v>0.99263999999999997</v>
      </c>
      <c r="J796" s="737">
        <f>SUM(G796:I796)</f>
        <v>1</v>
      </c>
      <c r="K796" s="737">
        <f>F796-J796</f>
        <v>0</v>
      </c>
    </row>
    <row r="797" spans="1:11">
      <c r="A797" s="344">
        <v>41</v>
      </c>
      <c r="B797" s="196"/>
      <c r="C797" s="587"/>
      <c r="D797" s="714"/>
      <c r="E797" s="734"/>
      <c r="F797" s="350"/>
      <c r="G797" s="470"/>
      <c r="H797" s="471"/>
      <c r="I797" s="472"/>
      <c r="J797" s="737"/>
      <c r="K797" s="737"/>
    </row>
    <row r="798" spans="1:11">
      <c r="A798" s="344">
        <v>42</v>
      </c>
      <c r="B798" s="587" t="s">
        <v>32</v>
      </c>
      <c r="C798" s="196"/>
      <c r="D798" s="344"/>
      <c r="E798" s="729"/>
      <c r="F798" s="350"/>
      <c r="G798" s="470"/>
      <c r="H798" s="471"/>
      <c r="I798" s="472"/>
      <c r="J798" s="737"/>
      <c r="K798" s="737"/>
    </row>
    <row r="799" spans="1:11">
      <c r="A799" s="344">
        <v>43</v>
      </c>
      <c r="B799" s="196"/>
      <c r="C799" s="587" t="s">
        <v>243</v>
      </c>
      <c r="D799" s="725" t="s">
        <v>1013</v>
      </c>
      <c r="E799" s="734" t="s">
        <v>316</v>
      </c>
      <c r="F799" s="648">
        <v>1</v>
      </c>
      <c r="G799" s="470">
        <f>ROUND(IF($F$304=0,0,$G$304/$F$304),5)</f>
        <v>0.53251999999999999</v>
      </c>
      <c r="H799" s="471">
        <f>ROUND(IF($F$304=0,0,$H$304/$F$304),5)</f>
        <v>0</v>
      </c>
      <c r="I799" s="472">
        <f>ROUND(IF($F$304=0,0,$I$304/$F$304),5)</f>
        <v>0.46748000000000001</v>
      </c>
      <c r="J799" s="737">
        <f>SUM(G799:I799)</f>
        <v>1</v>
      </c>
      <c r="K799" s="737">
        <f>F799-J799</f>
        <v>0</v>
      </c>
    </row>
    <row r="800" spans="1:11">
      <c r="A800" s="344">
        <v>44</v>
      </c>
      <c r="B800" s="196"/>
      <c r="C800" s="587" t="s">
        <v>244</v>
      </c>
      <c r="D800" s="725" t="s">
        <v>1013</v>
      </c>
      <c r="E800" s="734" t="s">
        <v>317</v>
      </c>
      <c r="F800" s="648">
        <v>1</v>
      </c>
      <c r="G800" s="470">
        <f>ROUND(IF($F$310=0,0,$G$310/$F$310),5)</f>
        <v>0.62856000000000001</v>
      </c>
      <c r="H800" s="471">
        <f>ROUND(IF($F$310=0,0,$H$310/$F$310),5)</f>
        <v>0</v>
      </c>
      <c r="I800" s="472">
        <f>ROUND(IF($F$310=0,0,$I$310/$F$310),5)</f>
        <v>0.37143999999999999</v>
      </c>
      <c r="J800" s="737">
        <f>SUM(G800:I800)</f>
        <v>1</v>
      </c>
      <c r="K800" s="737">
        <f>F800-J800</f>
        <v>0</v>
      </c>
    </row>
    <row r="801" spans="1:14">
      <c r="A801" s="344">
        <v>45</v>
      </c>
      <c r="B801" s="196"/>
      <c r="C801" s="587" t="s">
        <v>245</v>
      </c>
      <c r="D801" s="725" t="s">
        <v>1013</v>
      </c>
      <c r="E801" s="734" t="s">
        <v>318</v>
      </c>
      <c r="F801" s="648">
        <v>1</v>
      </c>
      <c r="G801" s="470">
        <f>ROUND(IF($F$313=0,0,$G$313/$F$313),5)</f>
        <v>7.0269999999999999E-2</v>
      </c>
      <c r="H801" s="471">
        <f>ROUND(IF($F$313=0,0,$H$313/$F$313),5)</f>
        <v>0</v>
      </c>
      <c r="I801" s="472">
        <f>ROUND(IF($F$313=0,0,$I$313/$F$313),5)</f>
        <v>0.92972999999999995</v>
      </c>
      <c r="J801" s="737">
        <f>SUM(G801:I801)</f>
        <v>1</v>
      </c>
      <c r="K801" s="737">
        <f>F801-J801</f>
        <v>0</v>
      </c>
    </row>
    <row r="802" spans="1:14">
      <c r="A802" s="344">
        <v>46</v>
      </c>
      <c r="B802" s="196"/>
      <c r="C802" s="587" t="s">
        <v>246</v>
      </c>
      <c r="D802" s="725" t="s">
        <v>1013</v>
      </c>
      <c r="E802" s="734" t="s">
        <v>319</v>
      </c>
      <c r="F802" s="648">
        <v>1</v>
      </c>
      <c r="G802" s="470">
        <f>ROUND(IF($F$319=0,0,$G$319/$F$319),5)</f>
        <v>1</v>
      </c>
      <c r="H802" s="471">
        <f>ROUND(IF($F$319=0,0,$H$319/$F$319),5)</f>
        <v>0</v>
      </c>
      <c r="I802" s="472">
        <f>ROUND(IF($F$319=0,0,$I$319/$F$319),5)</f>
        <v>0</v>
      </c>
      <c r="J802" s="737">
        <f>SUM(G802:I802)</f>
        <v>1</v>
      </c>
      <c r="K802" s="737">
        <f>F802-J802</f>
        <v>0</v>
      </c>
    </row>
    <row r="803" spans="1:14" s="353" customFormat="1">
      <c r="A803" s="344">
        <v>47</v>
      </c>
      <c r="B803" s="196"/>
      <c r="C803" s="587" t="s">
        <v>247</v>
      </c>
      <c r="D803" s="725" t="s">
        <v>1013</v>
      </c>
      <c r="E803" s="734" t="s">
        <v>320</v>
      </c>
      <c r="F803" s="648">
        <v>1</v>
      </c>
      <c r="G803" s="526">
        <f>ROUND(IF($F$321=0,0,$G$321/$F$321),5)</f>
        <v>0.53134000000000003</v>
      </c>
      <c r="H803" s="527">
        <f>ROUND(IF($F$321=0,0,$H$321/$F$321),5)</f>
        <v>0</v>
      </c>
      <c r="I803" s="528">
        <f>ROUND(IF($F$321=0,0,$I$321/$F$321),5)</f>
        <v>0.46866000000000002</v>
      </c>
      <c r="J803" s="737">
        <f>SUM(G803:I803)</f>
        <v>1</v>
      </c>
      <c r="K803" s="737">
        <f>F803-J803</f>
        <v>0</v>
      </c>
      <c r="L803" s="332"/>
      <c r="M803" s="332"/>
      <c r="N803" s="332"/>
    </row>
    <row r="804" spans="1:14" s="353" customFormat="1">
      <c r="A804" s="344"/>
      <c r="B804" s="635"/>
      <c r="C804" s="368"/>
      <c r="D804" s="585"/>
      <c r="E804" s="749"/>
      <c r="F804" s="650"/>
      <c r="G804" s="637"/>
      <c r="H804" s="637"/>
      <c r="I804" s="637"/>
      <c r="J804" s="637"/>
      <c r="K804" s="637"/>
      <c r="L804" s="332"/>
      <c r="M804" s="332"/>
      <c r="N804" s="332"/>
    </row>
    <row r="805" spans="1:14" s="353" customFormat="1">
      <c r="A805" s="343" t="str">
        <f>co_name</f>
        <v>DUKE ENERGY KENTUCKY, INC.</v>
      </c>
      <c r="B805" s="332"/>
      <c r="C805" s="196"/>
      <c r="D805" s="344"/>
      <c r="E805" s="196"/>
      <c r="F805" s="196"/>
      <c r="G805" s="196"/>
      <c r="H805" s="196"/>
      <c r="I805" s="196"/>
      <c r="J805" s="196" t="str">
        <f>$J$1</f>
        <v>FR-16(7)(v)-1</v>
      </c>
      <c r="K805" s="196"/>
      <c r="L805" s="332"/>
      <c r="M805" s="332"/>
      <c r="N805" s="332"/>
    </row>
    <row r="806" spans="1:14" s="353" customFormat="1">
      <c r="A806" s="343" t="str">
        <f>$A$2</f>
        <v>FUNCTIONAL GAS COST OF SERVICE</v>
      </c>
      <c r="B806" s="332"/>
      <c r="C806" s="196"/>
      <c r="D806" s="344"/>
      <c r="E806" s="196"/>
      <c r="F806" s="196"/>
      <c r="G806" s="196"/>
      <c r="H806" s="196"/>
      <c r="I806" s="196"/>
      <c r="J806" s="196" t="str">
        <f>$J$2</f>
        <v>WITNESS RESPONSIBLE:</v>
      </c>
      <c r="K806" s="196"/>
      <c r="L806" s="332"/>
      <c r="M806" s="332"/>
      <c r="N806" s="332"/>
    </row>
    <row r="807" spans="1:14" s="353" customFormat="1">
      <c r="A807" s="343" t="str">
        <f>case_name</f>
        <v>CASE NO: 2018-00261</v>
      </c>
      <c r="B807" s="332"/>
      <c r="C807" s="196"/>
      <c r="D807" s="344"/>
      <c r="E807" s="196"/>
      <c r="F807" s="196"/>
      <c r="G807" s="196"/>
      <c r="H807" s="196"/>
      <c r="I807" s="196"/>
      <c r="J807" s="196" t="str">
        <f>Witness</f>
        <v>JAMES E. ZIOLKOWSKI</v>
      </c>
      <c r="K807" s="196"/>
      <c r="L807" s="332"/>
      <c r="M807" s="332"/>
      <c r="N807" s="332"/>
    </row>
    <row r="808" spans="1:14" s="353" customFormat="1">
      <c r="A808" s="343" t="str">
        <f>data_filing</f>
        <v>DATA: 12 MONTH FORECASTED PERIOD</v>
      </c>
      <c r="B808" s="332"/>
      <c r="C808" s="196"/>
      <c r="D808" s="344"/>
      <c r="E808" s="196"/>
      <c r="F808" s="196"/>
      <c r="G808" s="196"/>
      <c r="H808" s="196"/>
      <c r="I808" s="196"/>
      <c r="J808" s="196" t="str">
        <f>"PAGE "&amp;Pages&amp;" OF "&amp;Pages</f>
        <v>PAGE 18 OF 18</v>
      </c>
      <c r="K808" s="196"/>
      <c r="L808" s="332"/>
      <c r="M808" s="332"/>
      <c r="N808" s="332"/>
    </row>
    <row r="809" spans="1:14" s="353" customFormat="1">
      <c r="A809" s="343" t="str">
        <f>type</f>
        <v xml:space="preserve">TYPE OF FILING: "X" ORIGINAL   UPDATED    REVISED  </v>
      </c>
      <c r="B809" s="332"/>
      <c r="C809" s="196"/>
      <c r="D809" s="344"/>
      <c r="E809" s="196"/>
      <c r="F809" s="196"/>
      <c r="G809" s="196"/>
      <c r="H809" s="196"/>
      <c r="I809" s="196"/>
      <c r="J809" s="196"/>
      <c r="K809" s="196"/>
      <c r="L809" s="332"/>
      <c r="M809" s="332"/>
      <c r="N809" s="332"/>
    </row>
    <row r="810" spans="1:14" s="353" customFormat="1">
      <c r="A810" s="332"/>
      <c r="B810" s="196"/>
      <c r="C810" s="332"/>
      <c r="D810" s="333"/>
      <c r="E810" s="333"/>
      <c r="F810" s="332"/>
      <c r="G810" s="532"/>
      <c r="H810" s="532"/>
      <c r="I810" s="532"/>
      <c r="J810" s="332"/>
      <c r="K810" s="332"/>
      <c r="L810" s="332"/>
      <c r="M810" s="332"/>
      <c r="N810" s="332"/>
    </row>
    <row r="811" spans="1:14" s="353" customFormat="1">
      <c r="A811" s="332"/>
      <c r="B811" s="196"/>
      <c r="C811" s="332"/>
      <c r="D811" s="333"/>
      <c r="E811" s="333"/>
      <c r="F811" s="332"/>
      <c r="G811" s="532"/>
      <c r="H811" s="532"/>
      <c r="I811" s="532"/>
      <c r="J811" s="332"/>
      <c r="K811" s="332"/>
      <c r="L811" s="332"/>
      <c r="M811" s="332"/>
      <c r="N811" s="332"/>
    </row>
    <row r="812" spans="1:14">
      <c r="A812" s="344" t="s">
        <v>914</v>
      </c>
      <c r="B812" s="196"/>
      <c r="C812" s="196"/>
      <c r="D812" s="344"/>
      <c r="E812" s="344"/>
      <c r="F812" s="589" t="s">
        <v>229</v>
      </c>
      <c r="G812" s="473" t="s">
        <v>981</v>
      </c>
      <c r="H812" s="474"/>
      <c r="I812" s="475"/>
      <c r="J812" s="344" t="s">
        <v>229</v>
      </c>
      <c r="K812" s="344" t="s">
        <v>342</v>
      </c>
    </row>
    <row r="813" spans="1:14">
      <c r="A813" s="346" t="s">
        <v>915</v>
      </c>
      <c r="B813" s="590" t="s">
        <v>89</v>
      </c>
      <c r="C813" s="345"/>
      <c r="D813" s="591" t="s">
        <v>1011</v>
      </c>
      <c r="E813" s="591" t="s">
        <v>337</v>
      </c>
      <c r="F813" s="592" t="s">
        <v>284</v>
      </c>
      <c r="G813" s="611" t="s">
        <v>845</v>
      </c>
      <c r="H813" s="612" t="s">
        <v>980</v>
      </c>
      <c r="I813" s="613" t="s">
        <v>846</v>
      </c>
      <c r="J813" s="346" t="s">
        <v>341</v>
      </c>
      <c r="K813" s="346" t="s">
        <v>340</v>
      </c>
    </row>
    <row r="814" spans="1:14">
      <c r="C814" s="846" t="s">
        <v>1055</v>
      </c>
      <c r="E814" s="788">
        <v>1</v>
      </c>
      <c r="F814" s="788">
        <v>2</v>
      </c>
      <c r="G814" s="628">
        <f>$G$10</f>
        <v>3</v>
      </c>
      <c r="H814" s="629">
        <f>$H$10</f>
        <v>4</v>
      </c>
      <c r="I814" s="630">
        <f>$I$10</f>
        <v>5</v>
      </c>
    </row>
    <row r="815" spans="1:14">
      <c r="A815" s="344">
        <v>1</v>
      </c>
      <c r="B815" s="587" t="s">
        <v>25</v>
      </c>
      <c r="C815" s="196"/>
      <c r="D815" s="344"/>
      <c r="E815" s="729"/>
      <c r="F815" s="648"/>
      <c r="G815" s="470"/>
      <c r="H815" s="471"/>
      <c r="I815" s="472"/>
      <c r="J815" s="737"/>
      <c r="K815" s="737"/>
    </row>
    <row r="816" spans="1:14">
      <c r="A816" s="344">
        <v>2</v>
      </c>
      <c r="B816" s="196"/>
      <c r="C816" s="587" t="s">
        <v>248</v>
      </c>
      <c r="D816" s="725" t="s">
        <v>1013</v>
      </c>
      <c r="E816" s="734" t="s">
        <v>321</v>
      </c>
      <c r="F816" s="648">
        <v>1</v>
      </c>
      <c r="G816" s="470">
        <f>ROUND(IF($F$296=0,0,$G$296/$F$296),5)</f>
        <v>7.2300000000000003E-3</v>
      </c>
      <c r="H816" s="471">
        <f>ROUND(IF($F$296=0,0,$H$296/$F$296),5)</f>
        <v>0</v>
      </c>
      <c r="I816" s="472">
        <f>ROUND(IF($F$296=0,0,$I$296/$F$296),5)</f>
        <v>0.99277000000000004</v>
      </c>
      <c r="J816" s="737">
        <f>SUM(G816:I816)</f>
        <v>1</v>
      </c>
      <c r="K816" s="737">
        <f>F816-J816</f>
        <v>0</v>
      </c>
    </row>
    <row r="817" spans="1:11">
      <c r="A817" s="344">
        <v>3</v>
      </c>
      <c r="B817" s="196"/>
      <c r="C817" s="587" t="s">
        <v>249</v>
      </c>
      <c r="D817" s="725" t="s">
        <v>1013</v>
      </c>
      <c r="E817" s="734" t="s">
        <v>322</v>
      </c>
      <c r="F817" s="648">
        <v>1</v>
      </c>
      <c r="G817" s="470">
        <f>ROUND(IF($F$331=0,0,$G$331/$F$331),5)</f>
        <v>2.1340000000000001E-2</v>
      </c>
      <c r="H817" s="471">
        <f>ROUND(IF($F$331=0,0,$H$331/$F$331),5)</f>
        <v>0</v>
      </c>
      <c r="I817" s="472">
        <f>ROUND(IF($F$331=0,0,$I$331/$F$331),5)</f>
        <v>0.97865999999999997</v>
      </c>
      <c r="J817" s="737">
        <f>SUM(G817:I817)</f>
        <v>1</v>
      </c>
      <c r="K817" s="737">
        <f>F817-J817</f>
        <v>0</v>
      </c>
    </row>
    <row r="818" spans="1:11">
      <c r="A818" s="344">
        <v>4</v>
      </c>
      <c r="B818" s="196"/>
      <c r="C818" s="587" t="s">
        <v>383</v>
      </c>
      <c r="D818" s="725" t="s">
        <v>1013</v>
      </c>
      <c r="E818" s="734" t="s">
        <v>384</v>
      </c>
      <c r="F818" s="648">
        <v>0</v>
      </c>
      <c r="G818" s="645">
        <v>0</v>
      </c>
      <c r="H818" s="646">
        <v>0</v>
      </c>
      <c r="I818" s="647">
        <v>0</v>
      </c>
      <c r="J818" s="651">
        <f>SUM(G818:I818)</f>
        <v>0</v>
      </c>
      <c r="K818" s="651">
        <f>F818-J818</f>
        <v>0</v>
      </c>
    </row>
    <row r="819" spans="1:11">
      <c r="A819" s="344">
        <v>5</v>
      </c>
      <c r="B819" s="196"/>
      <c r="C819" s="587"/>
      <c r="D819" s="725"/>
      <c r="E819" s="734"/>
      <c r="F819" s="648"/>
      <c r="G819" s="645"/>
      <c r="H819" s="646"/>
      <c r="I819" s="647"/>
      <c r="J819" s="651"/>
      <c r="K819" s="651"/>
    </row>
    <row r="820" spans="1:11">
      <c r="A820" s="344">
        <v>6</v>
      </c>
      <c r="B820" s="597" t="s">
        <v>1021</v>
      </c>
      <c r="C820" s="634"/>
      <c r="D820" s="719"/>
      <c r="E820" s="745"/>
      <c r="F820" s="651"/>
      <c r="G820" s="638"/>
      <c r="H820" s="639"/>
      <c r="I820" s="640"/>
      <c r="J820" s="641"/>
      <c r="K820" s="641"/>
    </row>
    <row r="821" spans="1:11">
      <c r="A821" s="344">
        <v>7</v>
      </c>
      <c r="B821" s="196"/>
      <c r="C821" s="587" t="s">
        <v>1016</v>
      </c>
      <c r="D821" s="725" t="s">
        <v>1013</v>
      </c>
      <c r="E821" s="734" t="s">
        <v>323</v>
      </c>
      <c r="F821" s="648">
        <v>1</v>
      </c>
      <c r="G821" s="470">
        <f>ROUND(IF($F$350=0,0,$G$350/$F$350),5)</f>
        <v>1</v>
      </c>
      <c r="H821" s="471">
        <f>ROUND(IF($F$350=0,0,$H$350/$F$350),5)</f>
        <v>0</v>
      </c>
      <c r="I821" s="472">
        <f>ROUND(IF($F$350=0,0,$I$350/$F$350),5)</f>
        <v>0</v>
      </c>
      <c r="J821" s="737">
        <f t="shared" ref="J821:J828" si="167">SUM(G821:I821)</f>
        <v>1</v>
      </c>
      <c r="K821" s="737">
        <f t="shared" ref="K821:K828" si="168">F821-J821</f>
        <v>0</v>
      </c>
    </row>
    <row r="822" spans="1:11">
      <c r="A822" s="344">
        <v>8</v>
      </c>
      <c r="B822" s="196"/>
      <c r="C822" s="587" t="s">
        <v>264</v>
      </c>
      <c r="D822" s="725" t="s">
        <v>1013</v>
      </c>
      <c r="E822" s="734" t="s">
        <v>336</v>
      </c>
      <c r="F822" s="648">
        <v>1</v>
      </c>
      <c r="G822" s="470">
        <f>ROUND(IF($F$360=0,0,$G$360/$F$360),5)</f>
        <v>1</v>
      </c>
      <c r="H822" s="471">
        <f>ROUND(IF($F$360=0,0,$H$360/$F$360),5)</f>
        <v>0</v>
      </c>
      <c r="I822" s="472">
        <f>ROUND(IF($F$360=0,0,$I$360/$F$360),5)</f>
        <v>0</v>
      </c>
      <c r="J822" s="737">
        <f t="shared" si="167"/>
        <v>1</v>
      </c>
      <c r="K822" s="737">
        <f t="shared" si="168"/>
        <v>0</v>
      </c>
    </row>
    <row r="823" spans="1:11">
      <c r="A823" s="344">
        <v>9</v>
      </c>
      <c r="B823" s="196"/>
      <c r="C823" s="587" t="s">
        <v>250</v>
      </c>
      <c r="D823" s="725" t="s">
        <v>1013</v>
      </c>
      <c r="E823" s="734" t="s">
        <v>324</v>
      </c>
      <c r="F823" s="648">
        <v>1</v>
      </c>
      <c r="G823" s="470">
        <f>ROUND(IF($F$378=0,0,$G$378/$F$378),5)</f>
        <v>0</v>
      </c>
      <c r="H823" s="471">
        <f>ROUND(IF($F$378=0,0,$H$378/$F$378),5)</f>
        <v>0</v>
      </c>
      <c r="I823" s="472">
        <f>1-SUM(G823:H823)</f>
        <v>1</v>
      </c>
      <c r="J823" s="737">
        <f t="shared" si="167"/>
        <v>1</v>
      </c>
      <c r="K823" s="737">
        <f t="shared" si="168"/>
        <v>0</v>
      </c>
    </row>
    <row r="824" spans="1:11">
      <c r="A824" s="344">
        <v>10</v>
      </c>
      <c r="B824" s="196"/>
      <c r="C824" s="587" t="s">
        <v>251</v>
      </c>
      <c r="D824" s="725" t="s">
        <v>1013</v>
      </c>
      <c r="E824" s="734" t="s">
        <v>1017</v>
      </c>
      <c r="F824" s="648">
        <v>1</v>
      </c>
      <c r="G824" s="470">
        <f>ROUND(IF($F$389=0,0,$G$389/$F$389),5)</f>
        <v>0</v>
      </c>
      <c r="H824" s="471">
        <f>ROUND(IF($F$389=0,0,$H$389/$F$389),5)</f>
        <v>0</v>
      </c>
      <c r="I824" s="472">
        <f>1-SUM(G824:H824)</f>
        <v>1</v>
      </c>
      <c r="J824" s="737">
        <f t="shared" si="167"/>
        <v>1</v>
      </c>
      <c r="K824" s="737">
        <f t="shared" si="168"/>
        <v>0</v>
      </c>
    </row>
    <row r="825" spans="1:11">
      <c r="A825" s="344">
        <v>11</v>
      </c>
      <c r="B825" s="196"/>
      <c r="C825" s="587" t="s">
        <v>1019</v>
      </c>
      <c r="D825" s="725" t="s">
        <v>1013</v>
      </c>
      <c r="E825" s="734" t="s">
        <v>1020</v>
      </c>
      <c r="F825" s="648">
        <v>1</v>
      </c>
      <c r="G825" s="470">
        <f>ROUND(IF($F$403=0,0,$G$403/$F$403),5)</f>
        <v>0</v>
      </c>
      <c r="H825" s="471">
        <f>ROUND(IF($F$403=0,0,$H$403/$F$403),5)</f>
        <v>0</v>
      </c>
      <c r="I825" s="472">
        <f>1-SUM(G825:H825)</f>
        <v>1</v>
      </c>
      <c r="J825" s="737">
        <f t="shared" si="167"/>
        <v>1</v>
      </c>
      <c r="K825" s="737">
        <f t="shared" si="168"/>
        <v>0</v>
      </c>
    </row>
    <row r="826" spans="1:11">
      <c r="A826" s="344">
        <v>12</v>
      </c>
      <c r="B826" s="196"/>
      <c r="C826" s="587" t="s">
        <v>252</v>
      </c>
      <c r="D826" s="725" t="s">
        <v>1013</v>
      </c>
      <c r="E826" s="734" t="s">
        <v>1018</v>
      </c>
      <c r="F826" s="648">
        <v>1</v>
      </c>
      <c r="G826" s="470">
        <f>ROUND(IF($F$407=0,0,$G$407/$F$407),5)</f>
        <v>0</v>
      </c>
      <c r="H826" s="471">
        <f>ROUND(IF($F$407=0,0,$H$407/$F$407),5)</f>
        <v>0</v>
      </c>
      <c r="I826" s="472">
        <f>ROUND(IF($F$407=0,0,$I$407/$F$407),5)</f>
        <v>1</v>
      </c>
      <c r="J826" s="737">
        <f t="shared" si="167"/>
        <v>1</v>
      </c>
      <c r="K826" s="737">
        <f t="shared" si="168"/>
        <v>0</v>
      </c>
    </row>
    <row r="827" spans="1:11">
      <c r="A827" s="344">
        <v>13</v>
      </c>
      <c r="B827" s="196"/>
      <c r="C827" s="587" t="s">
        <v>253</v>
      </c>
      <c r="D827" s="725" t="s">
        <v>1013</v>
      </c>
      <c r="E827" s="734" t="s">
        <v>1015</v>
      </c>
      <c r="F827" s="648">
        <v>1</v>
      </c>
      <c r="G827" s="470">
        <f>ROUND(IF($F$416=0,0,$G$416/$F$416),5)</f>
        <v>0.10335</v>
      </c>
      <c r="H827" s="471">
        <f>ROUND(IF($F$416=0,0,$H$416/$F$416),5)</f>
        <v>0</v>
      </c>
      <c r="I827" s="472">
        <f>1-SUM(G827:H827)</f>
        <v>0.89664999999999995</v>
      </c>
      <c r="J827" s="737">
        <f t="shared" si="167"/>
        <v>1</v>
      </c>
      <c r="K827" s="737">
        <f t="shared" si="168"/>
        <v>0</v>
      </c>
    </row>
    <row r="828" spans="1:11">
      <c r="A828" s="344">
        <v>14</v>
      </c>
      <c r="B828" s="196"/>
      <c r="C828" s="587" t="s">
        <v>254</v>
      </c>
      <c r="D828" s="725" t="s">
        <v>1013</v>
      </c>
      <c r="E828" s="734" t="s">
        <v>325</v>
      </c>
      <c r="F828" s="648">
        <v>1</v>
      </c>
      <c r="G828" s="470">
        <f>ROUND(IF($F$433=0,0,$G$433/$F$433),5)</f>
        <v>0.62856000000000001</v>
      </c>
      <c r="H828" s="471">
        <f>ROUND(IF($F$433=0,0,$H$433/$F$433),5)</f>
        <v>0</v>
      </c>
      <c r="I828" s="472">
        <f>1-SUM(G828:H828)</f>
        <v>0.37143999999999999</v>
      </c>
      <c r="J828" s="737">
        <f t="shared" si="167"/>
        <v>1</v>
      </c>
      <c r="K828" s="737">
        <f t="shared" si="168"/>
        <v>0</v>
      </c>
    </row>
    <row r="829" spans="1:11">
      <c r="A829" s="344">
        <v>15</v>
      </c>
      <c r="B829" s="196"/>
      <c r="C829" s="196"/>
      <c r="D829" s="344"/>
      <c r="E829" s="729"/>
      <c r="F829" s="648"/>
      <c r="G829" s="470"/>
      <c r="H829" s="471"/>
      <c r="I829" s="472"/>
      <c r="J829" s="737"/>
      <c r="K829" s="737"/>
    </row>
    <row r="830" spans="1:11">
      <c r="A830" s="344">
        <v>16</v>
      </c>
      <c r="B830" s="587" t="s">
        <v>97</v>
      </c>
      <c r="C830" s="196"/>
      <c r="D830" s="344"/>
      <c r="E830" s="729"/>
      <c r="F830" s="648"/>
      <c r="G830" s="470"/>
      <c r="H830" s="471"/>
      <c r="I830" s="472"/>
      <c r="J830" s="737"/>
      <c r="K830" s="737"/>
    </row>
    <row r="831" spans="1:11">
      <c r="A831" s="344">
        <v>17</v>
      </c>
      <c r="B831" s="196"/>
      <c r="C831" s="587" t="s">
        <v>255</v>
      </c>
      <c r="D831" s="725" t="s">
        <v>1013</v>
      </c>
      <c r="E831" s="734" t="s">
        <v>326</v>
      </c>
      <c r="F831" s="648">
        <v>1</v>
      </c>
      <c r="G831" s="470">
        <f>ROUND(IF($F$447=0,0,$G$447/$F$447),5)</f>
        <v>1</v>
      </c>
      <c r="H831" s="471">
        <f>ROUND(IF($F$447=0,0,$H$447/$F$447),5)</f>
        <v>0</v>
      </c>
      <c r="I831" s="472">
        <f>ROUND(IF($F$447=0,0,$I$447/$F$447),5)</f>
        <v>0</v>
      </c>
      <c r="J831" s="737">
        <f>SUM(G831:I831)</f>
        <v>1</v>
      </c>
      <c r="K831" s="737">
        <f>F831-J831</f>
        <v>0</v>
      </c>
    </row>
    <row r="832" spans="1:11">
      <c r="A832" s="344">
        <v>18</v>
      </c>
      <c r="B832" s="196"/>
      <c r="C832" s="587" t="s">
        <v>256</v>
      </c>
      <c r="D832" s="725" t="s">
        <v>1013</v>
      </c>
      <c r="E832" s="734" t="s">
        <v>327</v>
      </c>
      <c r="F832" s="648">
        <v>1</v>
      </c>
      <c r="G832" s="470">
        <f>ROUND(IF($F$454=0,0,$G$454/$F$454),5)</f>
        <v>0</v>
      </c>
      <c r="H832" s="471">
        <f>ROUND(IF($F$454=0,0,$H$454/$F$454),5)</f>
        <v>0</v>
      </c>
      <c r="I832" s="472">
        <f>ROUND(IF($F$454=0,0,$I$454/$F$454),5)</f>
        <v>1</v>
      </c>
      <c r="J832" s="737">
        <f>SUM(G832:I832)</f>
        <v>1</v>
      </c>
      <c r="K832" s="737">
        <f>F832-J832</f>
        <v>0</v>
      </c>
    </row>
    <row r="833" spans="1:14">
      <c r="A833" s="344">
        <v>19</v>
      </c>
      <c r="B833" s="196"/>
      <c r="C833" s="587" t="s">
        <v>257</v>
      </c>
      <c r="D833" s="725" t="s">
        <v>1013</v>
      </c>
      <c r="E833" s="734" t="s">
        <v>328</v>
      </c>
      <c r="F833" s="648">
        <v>1</v>
      </c>
      <c r="G833" s="470">
        <f>ROUND(IF($F$458=0,0,$G$458/$F$458),5)</f>
        <v>0.10335</v>
      </c>
      <c r="H833" s="471">
        <f>ROUND(IF($F$458=0,0,$H$458/$F$458),5)</f>
        <v>0</v>
      </c>
      <c r="I833" s="472">
        <f>ROUND(IF($F$458=0,0,$I$458/$F$458),5)</f>
        <v>0.89664999999999995</v>
      </c>
      <c r="J833" s="737">
        <f>SUM(G833:I833)</f>
        <v>1</v>
      </c>
      <c r="K833" s="737">
        <f>F833-J833</f>
        <v>0</v>
      </c>
    </row>
    <row r="834" spans="1:14">
      <c r="A834" s="344">
        <v>20</v>
      </c>
      <c r="B834" s="196"/>
      <c r="C834" s="587" t="s">
        <v>258</v>
      </c>
      <c r="D834" s="725" t="s">
        <v>1013</v>
      </c>
      <c r="E834" s="734" t="s">
        <v>329</v>
      </c>
      <c r="F834" s="648">
        <v>1</v>
      </c>
      <c r="G834" s="470">
        <f>ROUND(IF($F$462=0,0,$G$462/$F$462),5)</f>
        <v>0.10335</v>
      </c>
      <c r="H834" s="471">
        <f>ROUND(IF($F$462=0,0,$H$462/$F$462),5)</f>
        <v>0</v>
      </c>
      <c r="I834" s="472">
        <f>ROUND(IF($F$462=0,0,$I$462/$F$462),5)</f>
        <v>0.89664999999999995</v>
      </c>
      <c r="J834" s="737">
        <f>SUM(G834:I834)</f>
        <v>1</v>
      </c>
      <c r="K834" s="737">
        <f>F834-J834</f>
        <v>0</v>
      </c>
    </row>
    <row r="835" spans="1:14">
      <c r="A835" s="344">
        <v>21</v>
      </c>
      <c r="B835" s="196"/>
      <c r="C835" s="587" t="s">
        <v>259</v>
      </c>
      <c r="D835" s="725" t="s">
        <v>1013</v>
      </c>
      <c r="E835" s="734" t="s">
        <v>330</v>
      </c>
      <c r="F835" s="648">
        <v>1</v>
      </c>
      <c r="G835" s="470">
        <f>ROUND(IF($F$465=0,0,$G$465/$F$465),5)</f>
        <v>3.1329999999999997E-2</v>
      </c>
      <c r="H835" s="471">
        <f>ROUND(IF($F$465=0,0,$H$465/$F$465),5)</f>
        <v>0</v>
      </c>
      <c r="I835" s="472">
        <f>ROUND(IF($F$465=0,0,$I$465/$F$465),5)</f>
        <v>0.96867000000000003</v>
      </c>
      <c r="J835" s="737">
        <f>SUM(G835:I835)</f>
        <v>1</v>
      </c>
      <c r="K835" s="737">
        <f>F835-J835</f>
        <v>0</v>
      </c>
    </row>
    <row r="836" spans="1:14">
      <c r="A836" s="344">
        <v>22</v>
      </c>
      <c r="B836" s="196"/>
      <c r="C836" s="196"/>
      <c r="D836" s="344"/>
      <c r="E836" s="729"/>
      <c r="F836" s="652"/>
      <c r="G836" s="462"/>
      <c r="H836" s="463"/>
      <c r="I836" s="464"/>
      <c r="J836" s="532"/>
      <c r="K836" s="532"/>
    </row>
    <row r="837" spans="1:14">
      <c r="A837" s="344">
        <v>23</v>
      </c>
      <c r="B837" s="587" t="s">
        <v>62</v>
      </c>
      <c r="C837" s="196"/>
      <c r="D837" s="344"/>
      <c r="E837" s="729"/>
      <c r="F837" s="493"/>
      <c r="G837" s="465"/>
      <c r="H837" s="466"/>
      <c r="I837" s="467"/>
      <c r="J837" s="670"/>
      <c r="K837" s="670"/>
    </row>
    <row r="838" spans="1:14">
      <c r="A838" s="344">
        <v>24</v>
      </c>
      <c r="B838" s="196"/>
      <c r="C838" s="587" t="s">
        <v>260</v>
      </c>
      <c r="D838" s="725" t="s">
        <v>1013</v>
      </c>
      <c r="E838" s="734" t="s">
        <v>331</v>
      </c>
      <c r="F838" s="648">
        <v>1</v>
      </c>
      <c r="G838" s="470">
        <f>ROUND(IF($F$481=0,0,$G$481/$F$481),5)</f>
        <v>7.3600000000000002E-3</v>
      </c>
      <c r="H838" s="471">
        <f>ROUND(IF($F$481=0,0,$H$481/$F$481),5)</f>
        <v>0</v>
      </c>
      <c r="I838" s="472">
        <f>ROUND(IF($F$481=0,0,$I$481/$F$481),5)</f>
        <v>0.99263999999999997</v>
      </c>
      <c r="J838" s="737">
        <f>SUM(G838:I838)</f>
        <v>1</v>
      </c>
      <c r="K838" s="737">
        <f>F838-J838</f>
        <v>0</v>
      </c>
    </row>
    <row r="839" spans="1:14">
      <c r="A839" s="344">
        <v>25</v>
      </c>
      <c r="B839" s="196"/>
      <c r="C839" s="587" t="s">
        <v>261</v>
      </c>
      <c r="D839" s="725" t="s">
        <v>1013</v>
      </c>
      <c r="E839" s="734" t="s">
        <v>332</v>
      </c>
      <c r="F839" s="648">
        <v>1</v>
      </c>
      <c r="G839" s="470">
        <f>ROUND(IF($F$488=0,0,$G$488/$F$488),5)</f>
        <v>0.10335</v>
      </c>
      <c r="H839" s="471">
        <f>ROUND(IF($F$488=0,0,$H$488/$F$488),5)</f>
        <v>0</v>
      </c>
      <c r="I839" s="472">
        <f>ROUND(IF($F$488=0,0,$I$488/$F$488),5)</f>
        <v>0.89664999999999995</v>
      </c>
      <c r="J839" s="737">
        <f>SUM(G839:I839)</f>
        <v>1</v>
      </c>
      <c r="K839" s="737">
        <f>F839-J839</f>
        <v>0</v>
      </c>
    </row>
    <row r="840" spans="1:14">
      <c r="A840" s="344">
        <v>26</v>
      </c>
      <c r="B840" s="196"/>
      <c r="C840" s="587" t="s">
        <v>262</v>
      </c>
      <c r="D840" s="725" t="s">
        <v>1013</v>
      </c>
      <c r="E840" s="734" t="s">
        <v>333</v>
      </c>
      <c r="F840" s="648">
        <v>1</v>
      </c>
      <c r="G840" s="470">
        <f>ROUND(IF($F$500=0,0,$G$500/$F$500),5)</f>
        <v>2.4369999999999999E-2</v>
      </c>
      <c r="H840" s="471">
        <f>ROUND(IF($F$500=0,0,$H$500/$F$500),5)</f>
        <v>0</v>
      </c>
      <c r="I840" s="472">
        <f>ROUND(IF($F$500=0,0,$I$500/$F$500),5)</f>
        <v>0.97563</v>
      </c>
      <c r="J840" s="737">
        <f>SUM(G840:I840)</f>
        <v>1</v>
      </c>
      <c r="K840" s="737">
        <f>F840-J840</f>
        <v>0</v>
      </c>
    </row>
    <row r="841" spans="1:14">
      <c r="A841" s="344">
        <v>27</v>
      </c>
      <c r="B841" s="196"/>
      <c r="C841" s="587" t="s">
        <v>263</v>
      </c>
      <c r="D841" s="725" t="s">
        <v>1013</v>
      </c>
      <c r="E841" s="734" t="s">
        <v>334</v>
      </c>
      <c r="F841" s="648">
        <v>1</v>
      </c>
      <c r="G841" s="526">
        <f>ROUND(IF($F$501=0,0,$G$501/$F$501),5)</f>
        <v>0.48699999999999999</v>
      </c>
      <c r="H841" s="527">
        <f>ROUND(IF($F$501=0,0,$H$501/$F$501),5)</f>
        <v>0</v>
      </c>
      <c r="I841" s="528">
        <f>ROUND(IF($F$501=0,0,$I$501/$F$501),5)</f>
        <v>0.51300000000000001</v>
      </c>
      <c r="J841" s="737">
        <f>SUM(G841:I841)</f>
        <v>1</v>
      </c>
      <c r="K841" s="737">
        <f>F841-J841</f>
        <v>0</v>
      </c>
    </row>
    <row r="842" spans="1:14">
      <c r="A842" s="344">
        <v>28</v>
      </c>
      <c r="B842" s="196"/>
      <c r="C842" s="196"/>
      <c r="D842" s="344"/>
      <c r="E842" s="729"/>
      <c r="F842" s="648"/>
      <c r="G842" s="470"/>
      <c r="H842" s="471"/>
      <c r="I842" s="472"/>
      <c r="J842" s="737"/>
      <c r="K842" s="737"/>
    </row>
    <row r="843" spans="1:14">
      <c r="A843" s="344">
        <v>29</v>
      </c>
      <c r="B843" s="587" t="s">
        <v>1176</v>
      </c>
      <c r="C843" s="196"/>
      <c r="D843" s="344"/>
      <c r="E843" s="729"/>
      <c r="F843" s="648"/>
      <c r="G843" s="470"/>
      <c r="H843" s="471"/>
      <c r="I843" s="472"/>
      <c r="J843" s="737"/>
      <c r="K843" s="737"/>
    </row>
    <row r="844" spans="1:14">
      <c r="A844" s="344">
        <v>30</v>
      </c>
      <c r="B844" s="196"/>
      <c r="C844" s="587" t="s">
        <v>1041</v>
      </c>
      <c r="D844" s="725" t="s">
        <v>1013</v>
      </c>
      <c r="E844" s="734" t="s">
        <v>335</v>
      </c>
      <c r="F844" s="648">
        <v>1</v>
      </c>
      <c r="G844" s="526">
        <f>ROUND(IF($F$647=0,0,$G$647/$F$647),5)</f>
        <v>0.38118999999999997</v>
      </c>
      <c r="H844" s="527">
        <f>ROUND(IF($F$647=0,0,$H$647/$F$647),5)</f>
        <v>0</v>
      </c>
      <c r="I844" s="528">
        <f>ROUND(IF($F$647=0,0,$I$647/$F$647),5)</f>
        <v>0.61880999999999997</v>
      </c>
      <c r="J844" s="739">
        <f>SUM(G844:I844)</f>
        <v>1</v>
      </c>
      <c r="K844" s="737">
        <f>F844-J844</f>
        <v>0</v>
      </c>
    </row>
    <row r="845" spans="1:14">
      <c r="J845" s="353"/>
      <c r="K845" s="353"/>
    </row>
    <row r="846" spans="1:14">
      <c r="J846" s="353"/>
      <c r="K846" s="353"/>
    </row>
    <row r="847" spans="1:14">
      <c r="J847" s="353"/>
      <c r="K847" s="353"/>
    </row>
    <row r="848" spans="1:14">
      <c r="A848" s="354">
        <v>1</v>
      </c>
      <c r="B848" s="1328" t="s">
        <v>91</v>
      </c>
      <c r="C848" s="353"/>
      <c r="D848" s="1329"/>
      <c r="E848" s="1174"/>
      <c r="F848" s="356"/>
      <c r="G848" s="349"/>
      <c r="H848" s="353"/>
      <c r="I848" s="353"/>
      <c r="J848" s="353"/>
      <c r="K848" s="353"/>
      <c r="L848" s="353"/>
      <c r="M848" s="353"/>
      <c r="N848" s="353"/>
    </row>
    <row r="849" spans="1:14">
      <c r="A849" s="354">
        <v>2</v>
      </c>
      <c r="B849" s="1330"/>
      <c r="C849" s="1331" t="s">
        <v>227</v>
      </c>
      <c r="D849" s="1332"/>
      <c r="E849" s="1333" t="s">
        <v>297</v>
      </c>
      <c r="F849" s="479">
        <f>ROUND(0.06889*0,0)</f>
        <v>0</v>
      </c>
      <c r="G849" s="349">
        <f t="shared" ref="G849:G854" si="169">ROUND(F849*VLOOKUP(E849,AllocTable_Functional,$H$10,FALSE),0)</f>
        <v>0</v>
      </c>
      <c r="H849" s="349">
        <f t="shared" ref="H849:H854" si="170">ROUND(F849*VLOOKUP(E849,AllocTable_Functional,$H$10,FALSE),0)</f>
        <v>0</v>
      </c>
      <c r="I849" s="349">
        <f t="shared" ref="I849:I854" si="171">ROUND(F849*VLOOKUP(E849,AllocTable_Functional,$I$10,FALSE),0)</f>
        <v>0</v>
      </c>
      <c r="J849" s="737">
        <f t="shared" ref="J849:J854" si="172">SUM(G849:I849)</f>
        <v>0</v>
      </c>
      <c r="K849" s="737">
        <f t="shared" ref="K849:K854" si="173">F849-J849</f>
        <v>0</v>
      </c>
      <c r="L849" s="353"/>
      <c r="M849" s="353"/>
      <c r="N849" s="353"/>
    </row>
    <row r="850" spans="1:14">
      <c r="A850" s="354">
        <v>3</v>
      </c>
      <c r="B850" s="353"/>
      <c r="C850" s="1334" t="s">
        <v>228</v>
      </c>
      <c r="D850" s="588"/>
      <c r="E850" s="732" t="s">
        <v>1015</v>
      </c>
      <c r="F850" s="492">
        <v>0</v>
      </c>
      <c r="G850" s="349">
        <f t="shared" si="169"/>
        <v>0</v>
      </c>
      <c r="H850" s="349">
        <f t="shared" si="170"/>
        <v>0</v>
      </c>
      <c r="I850" s="349">
        <f t="shared" si="171"/>
        <v>0</v>
      </c>
      <c r="J850" s="737">
        <f t="shared" si="172"/>
        <v>0</v>
      </c>
      <c r="K850" s="737">
        <f t="shared" si="173"/>
        <v>0</v>
      </c>
      <c r="L850" s="353"/>
      <c r="M850" s="353"/>
      <c r="N850" s="353"/>
    </row>
    <row r="851" spans="1:14">
      <c r="A851" s="354">
        <v>4</v>
      </c>
      <c r="B851" s="353"/>
      <c r="C851" s="1334" t="s">
        <v>428</v>
      </c>
      <c r="D851" s="588"/>
      <c r="E851" s="732" t="s">
        <v>1015</v>
      </c>
      <c r="F851" s="492">
        <v>0</v>
      </c>
      <c r="G851" s="349">
        <f t="shared" si="169"/>
        <v>0</v>
      </c>
      <c r="H851" s="349">
        <f t="shared" si="170"/>
        <v>0</v>
      </c>
      <c r="I851" s="349">
        <f t="shared" si="171"/>
        <v>0</v>
      </c>
      <c r="J851" s="737">
        <f t="shared" si="172"/>
        <v>0</v>
      </c>
      <c r="K851" s="737">
        <f t="shared" si="173"/>
        <v>0</v>
      </c>
      <c r="L851" s="353"/>
      <c r="M851" s="353"/>
      <c r="N851" s="353"/>
    </row>
    <row r="852" spans="1:14">
      <c r="A852" s="354">
        <v>5</v>
      </c>
      <c r="B852" s="353"/>
      <c r="C852" s="1334" t="s">
        <v>423</v>
      </c>
      <c r="D852" s="588" t="s">
        <v>343</v>
      </c>
      <c r="E852" s="731" t="s">
        <v>290</v>
      </c>
      <c r="F852" s="492">
        <v>0</v>
      </c>
      <c r="G852" s="349">
        <f t="shared" si="169"/>
        <v>0</v>
      </c>
      <c r="H852" s="349">
        <f t="shared" si="170"/>
        <v>0</v>
      </c>
      <c r="I852" s="349">
        <f t="shared" si="171"/>
        <v>0</v>
      </c>
      <c r="J852" s="737">
        <f t="shared" si="172"/>
        <v>0</v>
      </c>
      <c r="K852" s="737">
        <f t="shared" si="173"/>
        <v>0</v>
      </c>
      <c r="L852" s="353"/>
      <c r="M852" s="353"/>
      <c r="N852" s="353"/>
    </row>
    <row r="853" spans="1:14">
      <c r="A853" s="354">
        <v>6</v>
      </c>
      <c r="B853" s="353"/>
      <c r="C853" s="1334" t="s">
        <v>409</v>
      </c>
      <c r="D853" s="588"/>
      <c r="E853" s="731" t="s">
        <v>295</v>
      </c>
      <c r="F853" s="492">
        <v>0</v>
      </c>
      <c r="G853" s="349">
        <f t="shared" si="169"/>
        <v>0</v>
      </c>
      <c r="H853" s="349">
        <f t="shared" si="170"/>
        <v>0</v>
      </c>
      <c r="I853" s="349">
        <f t="shared" si="171"/>
        <v>0</v>
      </c>
      <c r="J853" s="737">
        <f t="shared" si="172"/>
        <v>0</v>
      </c>
      <c r="K853" s="737">
        <f t="shared" si="173"/>
        <v>0</v>
      </c>
      <c r="L853" s="353"/>
      <c r="M853" s="353"/>
      <c r="N853" s="353"/>
    </row>
    <row r="854" spans="1:14">
      <c r="A854" s="354">
        <v>7</v>
      </c>
      <c r="B854" s="353"/>
      <c r="C854" s="1334" t="s">
        <v>1177</v>
      </c>
      <c r="D854" s="588" t="s">
        <v>343</v>
      </c>
      <c r="E854" s="731" t="s">
        <v>315</v>
      </c>
      <c r="F854" s="492">
        <v>0</v>
      </c>
      <c r="G854" s="349">
        <f t="shared" si="169"/>
        <v>0</v>
      </c>
      <c r="H854" s="349">
        <f t="shared" si="170"/>
        <v>0</v>
      </c>
      <c r="I854" s="349">
        <f t="shared" si="171"/>
        <v>0</v>
      </c>
      <c r="J854" s="737">
        <f t="shared" si="172"/>
        <v>0</v>
      </c>
      <c r="K854" s="737">
        <f t="shared" si="173"/>
        <v>0</v>
      </c>
      <c r="L854" s="353"/>
      <c r="M854" s="353"/>
      <c r="N854" s="353"/>
    </row>
    <row r="855" spans="1:14">
      <c r="A855" s="354">
        <v>8</v>
      </c>
      <c r="B855" s="353"/>
      <c r="C855" s="1334" t="s">
        <v>229</v>
      </c>
      <c r="D855" s="588" t="s">
        <v>285</v>
      </c>
      <c r="E855" s="1174"/>
      <c r="F855" s="348">
        <f t="shared" ref="F855:K855" si="174">SUM(F849:F854)</f>
        <v>0</v>
      </c>
      <c r="G855" s="348">
        <f t="shared" si="174"/>
        <v>0</v>
      </c>
      <c r="H855" s="348">
        <f t="shared" si="174"/>
        <v>0</v>
      </c>
      <c r="I855" s="348">
        <f t="shared" si="174"/>
        <v>0</v>
      </c>
      <c r="J855" s="348">
        <f t="shared" si="174"/>
        <v>0</v>
      </c>
      <c r="K855" s="348">
        <f t="shared" si="174"/>
        <v>0</v>
      </c>
      <c r="L855" s="353"/>
      <c r="M855" s="353"/>
      <c r="N855" s="353"/>
    </row>
    <row r="856" spans="1:14">
      <c r="A856" s="353"/>
      <c r="B856" s="353"/>
      <c r="C856" s="353"/>
      <c r="D856" s="1174"/>
      <c r="E856" s="353"/>
      <c r="F856" s="353"/>
      <c r="G856" s="353"/>
      <c r="H856" s="353"/>
      <c r="I856" s="353"/>
      <c r="J856" s="353"/>
      <c r="K856" s="353"/>
      <c r="L856" s="353"/>
      <c r="M856" s="353"/>
      <c r="N856" s="353"/>
    </row>
    <row r="857" spans="1:14">
      <c r="J857" s="353"/>
      <c r="K857" s="353"/>
    </row>
    <row r="858" spans="1:14">
      <c r="J858" s="353"/>
      <c r="K858" s="353"/>
    </row>
    <row r="859" spans="1:14">
      <c r="J859" s="353"/>
      <c r="K859" s="353"/>
    </row>
    <row r="860" spans="1:14">
      <c r="J860" s="353"/>
      <c r="K860" s="353"/>
    </row>
    <row r="861" spans="1:14" ht="20.25">
      <c r="A861" s="1192" t="s">
        <v>1215</v>
      </c>
      <c r="J861" s="353"/>
      <c r="K861" s="353"/>
    </row>
    <row r="862" spans="1:14">
      <c r="J862" s="353"/>
      <c r="K862" s="353"/>
    </row>
    <row r="863" spans="1:14">
      <c r="A863" s="344" t="s">
        <v>914</v>
      </c>
      <c r="B863" s="196"/>
      <c r="C863" s="196"/>
      <c r="D863" s="344"/>
      <c r="E863" s="196"/>
      <c r="F863" s="344" t="s">
        <v>229</v>
      </c>
      <c r="G863" s="473" t="s">
        <v>981</v>
      </c>
      <c r="H863" s="474"/>
      <c r="I863" s="475"/>
      <c r="J863" s="344" t="s">
        <v>229</v>
      </c>
      <c r="K863" s="344" t="s">
        <v>342</v>
      </c>
    </row>
    <row r="864" spans="1:14">
      <c r="A864" s="346" t="s">
        <v>915</v>
      </c>
      <c r="B864" s="345" t="s">
        <v>99</v>
      </c>
      <c r="C864" s="345"/>
      <c r="D864" s="346" t="s">
        <v>337</v>
      </c>
      <c r="E864" s="345"/>
      <c r="F864" s="346" t="s">
        <v>284</v>
      </c>
      <c r="G864" s="460" t="s">
        <v>845</v>
      </c>
      <c r="H864" s="455" t="s">
        <v>980</v>
      </c>
      <c r="I864" s="461" t="s">
        <v>846</v>
      </c>
      <c r="J864" s="346" t="s">
        <v>341</v>
      </c>
      <c r="K864" s="346" t="s">
        <v>340</v>
      </c>
    </row>
    <row r="865" spans="1:11">
      <c r="B865" s="196"/>
      <c r="C865" s="578" t="s">
        <v>4</v>
      </c>
      <c r="D865" s="344"/>
      <c r="E865" s="196"/>
      <c r="G865" s="628">
        <f>$G$10</f>
        <v>3</v>
      </c>
      <c r="H865" s="629">
        <f>$H$10</f>
        <v>4</v>
      </c>
      <c r="I865" s="630">
        <f>$I$10</f>
        <v>5</v>
      </c>
    </row>
    <row r="866" spans="1:11">
      <c r="A866" s="333">
        <v>1</v>
      </c>
      <c r="B866" s="332" t="s">
        <v>100</v>
      </c>
      <c r="D866" s="344"/>
      <c r="E866" s="196"/>
      <c r="G866" s="462"/>
      <c r="H866" s="463"/>
      <c r="I866" s="464"/>
    </row>
    <row r="867" spans="1:11">
      <c r="A867" s="333">
        <v>2</v>
      </c>
      <c r="C867" s="332" t="s">
        <v>79</v>
      </c>
      <c r="D867" s="344"/>
      <c r="E867" s="196"/>
      <c r="F867" s="347">
        <f t="shared" ref="F867:K867" si="175">F647</f>
        <v>104999597.0676</v>
      </c>
      <c r="G867" s="465">
        <f t="shared" si="175"/>
        <v>40024707.067599997</v>
      </c>
      <c r="H867" s="466">
        <f t="shared" si="175"/>
        <v>0</v>
      </c>
      <c r="I867" s="467">
        <f t="shared" si="175"/>
        <v>64974887</v>
      </c>
      <c r="J867" s="347">
        <f t="shared" si="175"/>
        <v>104999594.0676</v>
      </c>
      <c r="K867" s="347">
        <f t="shared" si="175"/>
        <v>-3</v>
      </c>
    </row>
    <row r="868" spans="1:11">
      <c r="A868" s="333">
        <v>3</v>
      </c>
      <c r="C868" s="359" t="s">
        <v>103</v>
      </c>
      <c r="D868" s="344"/>
      <c r="E868" s="196"/>
      <c r="F868" s="347">
        <f>F630</f>
        <v>94257</v>
      </c>
      <c r="G868" s="465">
        <f>$G$630</f>
        <v>2870</v>
      </c>
      <c r="H868" s="466">
        <f>$H$630</f>
        <v>0</v>
      </c>
      <c r="I868" s="467">
        <f>$I$630</f>
        <v>91387</v>
      </c>
      <c r="J868" s="347">
        <f>$J$630</f>
        <v>94257</v>
      </c>
      <c r="K868" s="347">
        <f>$K$630</f>
        <v>0</v>
      </c>
    </row>
    <row r="869" spans="1:11">
      <c r="A869" s="333">
        <v>4</v>
      </c>
      <c r="C869" s="332" t="s">
        <v>265</v>
      </c>
      <c r="D869" s="344"/>
      <c r="E869" s="196"/>
      <c r="F869" s="348">
        <f t="shared" ref="F869:K869" si="176">SUM(F866:F868)</f>
        <v>105093854.0676</v>
      </c>
      <c r="G869" s="468">
        <f t="shared" si="176"/>
        <v>40027577.067599997</v>
      </c>
      <c r="H869" s="456">
        <f t="shared" si="176"/>
        <v>0</v>
      </c>
      <c r="I869" s="469">
        <f t="shared" si="176"/>
        <v>65066274</v>
      </c>
      <c r="J869" s="348">
        <f t="shared" si="176"/>
        <v>105093851.0676</v>
      </c>
      <c r="K869" s="348">
        <f t="shared" si="176"/>
        <v>-3</v>
      </c>
    </row>
    <row r="870" spans="1:11">
      <c r="A870" s="333">
        <v>5</v>
      </c>
      <c r="C870" s="332" t="s">
        <v>266</v>
      </c>
      <c r="D870" s="344"/>
      <c r="E870" s="196"/>
      <c r="F870" s="347">
        <f>-F501</f>
        <v>-79241931.067599997</v>
      </c>
      <c r="G870" s="465">
        <f>-$G$501</f>
        <v>-38590987.067599997</v>
      </c>
      <c r="H870" s="466">
        <f>-$H$501</f>
        <v>0</v>
      </c>
      <c r="I870" s="467">
        <f>-$I$501</f>
        <v>-40650944</v>
      </c>
      <c r="J870" s="512">
        <f>-$J$501</f>
        <v>-79241931.067599997</v>
      </c>
      <c r="K870" s="347">
        <f>-$K$501</f>
        <v>0</v>
      </c>
    </row>
    <row r="871" spans="1:11">
      <c r="A871" s="333">
        <v>6</v>
      </c>
      <c r="C871" s="359" t="s">
        <v>267</v>
      </c>
      <c r="D871" s="344"/>
      <c r="E871" s="196"/>
      <c r="F871" s="347">
        <f>-ROUND(F694*F867,0)</f>
        <v>0</v>
      </c>
      <c r="G871" s="465">
        <f>-ROUND(G694*G867,0)</f>
        <v>0</v>
      </c>
      <c r="H871" s="466">
        <f>-ROUND(H694*H867,0)</f>
        <v>0</v>
      </c>
      <c r="I871" s="467">
        <f>-ROUND(I694*I867,0)</f>
        <v>0</v>
      </c>
      <c r="J871" s="510">
        <f>SUM(G871:I871)</f>
        <v>0</v>
      </c>
      <c r="K871" s="347">
        <f>-ROUND(K694*K867,0)</f>
        <v>0</v>
      </c>
    </row>
    <row r="872" spans="1:11">
      <c r="A872" s="333">
        <v>7</v>
      </c>
      <c r="C872" s="332" t="s">
        <v>268</v>
      </c>
      <c r="D872" s="344"/>
      <c r="E872" s="196"/>
      <c r="F872" s="348">
        <f>SUM(F869:F871)</f>
        <v>25851923</v>
      </c>
      <c r="G872" s="468">
        <f>SUM(G869:G871)</f>
        <v>1436590</v>
      </c>
      <c r="H872" s="456">
        <f>SUM(H869:H871)</f>
        <v>0</v>
      </c>
      <c r="I872" s="469">
        <f>SUM(I869:I871)</f>
        <v>24415330</v>
      </c>
      <c r="J872" s="348">
        <f>SUM(G872:I872)</f>
        <v>25851920</v>
      </c>
      <c r="K872" s="348">
        <f>SUM(K869:K871)</f>
        <v>-3</v>
      </c>
    </row>
    <row r="873" spans="1:11">
      <c r="A873" s="333">
        <v>8</v>
      </c>
      <c r="D873" s="344"/>
      <c r="E873" s="196"/>
      <c r="G873" s="462"/>
      <c r="H873" s="463"/>
      <c r="I873" s="464"/>
    </row>
    <row r="874" spans="1:11">
      <c r="A874" s="333">
        <v>9</v>
      </c>
      <c r="B874" s="332" t="s">
        <v>101</v>
      </c>
      <c r="D874" s="344"/>
      <c r="E874" s="196"/>
      <c r="G874" s="462"/>
      <c r="H874" s="463"/>
      <c r="I874" s="464"/>
    </row>
    <row r="875" spans="1:11">
      <c r="A875" s="333">
        <v>10</v>
      </c>
      <c r="C875" s="332" t="s">
        <v>269</v>
      </c>
      <c r="D875" s="344"/>
      <c r="E875" s="196"/>
      <c r="F875" s="347">
        <f>-F516</f>
        <v>-6761503</v>
      </c>
      <c r="G875" s="465">
        <f>-$G$516</f>
        <v>-144290</v>
      </c>
      <c r="H875" s="466">
        <f>-$H$516</f>
        <v>0</v>
      </c>
      <c r="I875" s="467">
        <f>-$I$516</f>
        <v>-6617213</v>
      </c>
      <c r="J875" s="347">
        <f>-$J$516</f>
        <v>-6761503</v>
      </c>
      <c r="K875" s="347">
        <f>-$K$516</f>
        <v>0</v>
      </c>
    </row>
    <row r="876" spans="1:11">
      <c r="A876" s="333">
        <v>11</v>
      </c>
      <c r="C876" s="359" t="s">
        <v>270</v>
      </c>
      <c r="D876" s="344"/>
      <c r="E876" s="196"/>
      <c r="F876" s="347">
        <f>-F522</f>
        <v>-6601028</v>
      </c>
      <c r="G876" s="465">
        <f>-$G$522</f>
        <v>-199633</v>
      </c>
      <c r="H876" s="466">
        <f>-$H$522</f>
        <v>0</v>
      </c>
      <c r="I876" s="467">
        <f>-$I$522</f>
        <v>-6401395</v>
      </c>
      <c r="J876" s="347">
        <f>-$J$522</f>
        <v>-6601028</v>
      </c>
      <c r="K876" s="347">
        <f>-$K$522</f>
        <v>0</v>
      </c>
    </row>
    <row r="877" spans="1:11">
      <c r="A877" s="333">
        <v>12</v>
      </c>
      <c r="C877" s="332" t="s">
        <v>271</v>
      </c>
      <c r="D877" s="344"/>
      <c r="E877" s="196"/>
      <c r="F877" s="348">
        <f>SUM(F874:F876)+F872</f>
        <v>12489392</v>
      </c>
      <c r="G877" s="468">
        <f>SUM(G874:G876)+G872</f>
        <v>1092667</v>
      </c>
      <c r="H877" s="456">
        <f>SUM(H874:H876)+H872</f>
        <v>0</v>
      </c>
      <c r="I877" s="469">
        <f>SUM(I874:I876)+I872</f>
        <v>11396722</v>
      </c>
      <c r="J877" s="348">
        <f>SUM(G877:I877)</f>
        <v>12489389</v>
      </c>
      <c r="K877" s="348">
        <f>SUM(K874:K876)+K872</f>
        <v>-3</v>
      </c>
    </row>
    <row r="878" spans="1:11">
      <c r="A878" s="333">
        <v>13</v>
      </c>
      <c r="D878" s="344"/>
      <c r="E878" s="196"/>
      <c r="G878" s="462"/>
      <c r="H878" s="463"/>
      <c r="I878" s="464"/>
    </row>
    <row r="879" spans="1:11">
      <c r="A879" s="333">
        <v>14</v>
      </c>
      <c r="B879" s="332" t="s">
        <v>99</v>
      </c>
      <c r="D879" s="344"/>
      <c r="E879" s="196"/>
      <c r="G879" s="462"/>
      <c r="H879" s="463"/>
      <c r="I879" s="464"/>
    </row>
    <row r="880" spans="1:11">
      <c r="A880" s="333">
        <v>15</v>
      </c>
      <c r="B880" s="332" t="s">
        <v>74</v>
      </c>
      <c r="D880" s="344"/>
      <c r="E880" s="196"/>
      <c r="G880" s="462"/>
      <c r="H880" s="463"/>
      <c r="I880" s="464"/>
    </row>
    <row r="881" spans="1:11">
      <c r="A881" s="333">
        <v>16</v>
      </c>
      <c r="C881" s="332" t="s">
        <v>272</v>
      </c>
      <c r="D881" s="344"/>
      <c r="E881" s="196"/>
      <c r="F881" s="347">
        <f t="shared" ref="F881:K881" si="177">F877</f>
        <v>12489392</v>
      </c>
      <c r="G881" s="465">
        <f t="shared" si="177"/>
        <v>1092667</v>
      </c>
      <c r="H881" s="466">
        <f t="shared" si="177"/>
        <v>0</v>
      </c>
      <c r="I881" s="467">
        <f t="shared" si="177"/>
        <v>11396722</v>
      </c>
      <c r="J881" s="347">
        <f t="shared" si="177"/>
        <v>12489389</v>
      </c>
      <c r="K881" s="347">
        <f t="shared" si="177"/>
        <v>-3</v>
      </c>
    </row>
    <row r="882" spans="1:11">
      <c r="A882" s="333">
        <v>17</v>
      </c>
      <c r="C882" s="332" t="s">
        <v>273</v>
      </c>
      <c r="D882" s="344"/>
      <c r="E882" s="196"/>
      <c r="F882" s="347">
        <f t="shared" ref="F882:K882" si="178">SUM(F881:F881)</f>
        <v>12489392</v>
      </c>
      <c r="G882" s="465">
        <f t="shared" si="178"/>
        <v>1092667</v>
      </c>
      <c r="H882" s="466">
        <f t="shared" si="178"/>
        <v>0</v>
      </c>
      <c r="I882" s="467">
        <f t="shared" si="178"/>
        <v>11396722</v>
      </c>
      <c r="J882" s="347">
        <f t="shared" si="178"/>
        <v>12489389</v>
      </c>
      <c r="K882" s="347">
        <f t="shared" si="178"/>
        <v>-3</v>
      </c>
    </row>
    <row r="883" spans="1:11">
      <c r="A883" s="333">
        <v>18</v>
      </c>
      <c r="C883" s="332" t="s">
        <v>274</v>
      </c>
      <c r="D883" s="344"/>
      <c r="E883" s="196"/>
      <c r="F883" s="350">
        <f>F692</f>
        <v>0.21</v>
      </c>
      <c r="G883" s="470">
        <f>G692</f>
        <v>0.21</v>
      </c>
      <c r="H883" s="471">
        <f>H692</f>
        <v>0.21</v>
      </c>
      <c r="I883" s="472">
        <f>I692</f>
        <v>0.21</v>
      </c>
      <c r="J883" s="350"/>
      <c r="K883" s="350">
        <f>K692</f>
        <v>0.21</v>
      </c>
    </row>
    <row r="884" spans="1:11">
      <c r="A884" s="333">
        <v>19</v>
      </c>
      <c r="C884" s="332" t="s">
        <v>275</v>
      </c>
      <c r="D884" s="344"/>
      <c r="E884" s="196"/>
      <c r="F884" s="347">
        <f>ROUND(F883*F882,0)</f>
        <v>2622772</v>
      </c>
      <c r="G884" s="465">
        <f>ROUND(G883*G882,0)</f>
        <v>229460</v>
      </c>
      <c r="H884" s="466">
        <f>ROUND(H883*H882,0)</f>
        <v>0</v>
      </c>
      <c r="I884" s="467">
        <f>ROUND(I883*I882,0)</f>
        <v>2393312</v>
      </c>
      <c r="J884" s="347">
        <f>SUM(G884:I884)</f>
        <v>2622772</v>
      </c>
      <c r="K884" s="347">
        <f>ROUND(K883*K882,0)</f>
        <v>-1</v>
      </c>
    </row>
    <row r="885" spans="1:11">
      <c r="A885" s="333">
        <v>20</v>
      </c>
      <c r="C885" s="332" t="s">
        <v>545</v>
      </c>
      <c r="D885" s="344"/>
      <c r="E885" s="196"/>
      <c r="F885" s="347">
        <f>F532</f>
        <v>675483</v>
      </c>
      <c r="G885" s="465">
        <f>$G$532</f>
        <v>726188</v>
      </c>
      <c r="H885" s="466">
        <f>$H$532</f>
        <v>0</v>
      </c>
      <c r="I885" s="467">
        <f>$I$532</f>
        <v>-50705</v>
      </c>
      <c r="J885" s="347">
        <f>$J$532</f>
        <v>675483</v>
      </c>
      <c r="K885" s="347">
        <f>$K$532</f>
        <v>0</v>
      </c>
    </row>
    <row r="886" spans="1:11">
      <c r="A886" s="333">
        <v>21</v>
      </c>
      <c r="C886" s="359" t="s">
        <v>412</v>
      </c>
      <c r="D886" s="344"/>
      <c r="E886" s="196"/>
      <c r="F886" s="347">
        <f>-F536</f>
        <v>-66055</v>
      </c>
      <c r="G886" s="465">
        <f>-$G$536</f>
        <v>-486</v>
      </c>
      <c r="H886" s="466">
        <f>-$H$536</f>
        <v>0</v>
      </c>
      <c r="I886" s="467">
        <f>-$I$536</f>
        <v>-65569</v>
      </c>
      <c r="J886" s="347">
        <f>-$J$536</f>
        <v>-66055</v>
      </c>
      <c r="K886" s="347">
        <f>-$K$536</f>
        <v>0</v>
      </c>
    </row>
    <row r="887" spans="1:11">
      <c r="A887" s="333">
        <v>22</v>
      </c>
      <c r="C887" s="332" t="s">
        <v>276</v>
      </c>
      <c r="D887" s="344"/>
      <c r="E887" s="196"/>
      <c r="F887" s="348">
        <f t="shared" ref="F887:K887" si="179">SUM(F884:F886)</f>
        <v>3232200</v>
      </c>
      <c r="G887" s="468">
        <f t="shared" si="179"/>
        <v>955162</v>
      </c>
      <c r="H887" s="456">
        <f t="shared" si="179"/>
        <v>0</v>
      </c>
      <c r="I887" s="469">
        <f t="shared" si="179"/>
        <v>2277038</v>
      </c>
      <c r="J887" s="348">
        <f t="shared" si="179"/>
        <v>3232200</v>
      </c>
      <c r="K887" s="348">
        <f t="shared" si="179"/>
        <v>-1</v>
      </c>
    </row>
    <row r="888" spans="1:11">
      <c r="A888" s="333">
        <v>23</v>
      </c>
      <c r="D888" s="344"/>
      <c r="E888" s="196"/>
      <c r="G888" s="462"/>
      <c r="H888" s="463"/>
      <c r="I888" s="464"/>
    </row>
    <row r="889" spans="1:11">
      <c r="A889" s="333">
        <v>24</v>
      </c>
      <c r="B889" s="332" t="s">
        <v>75</v>
      </c>
      <c r="D889" s="344"/>
      <c r="E889" s="196"/>
      <c r="G889" s="462"/>
      <c r="H889" s="463"/>
      <c r="I889" s="464"/>
    </row>
    <row r="890" spans="1:11">
      <c r="A890" s="333">
        <v>25</v>
      </c>
      <c r="C890" s="332" t="s">
        <v>277</v>
      </c>
      <c r="D890" s="344"/>
      <c r="E890" s="196"/>
      <c r="F890" s="347">
        <f t="shared" ref="F890:K890" si="180">F884</f>
        <v>2622772</v>
      </c>
      <c r="G890" s="465">
        <f t="shared" si="180"/>
        <v>229460</v>
      </c>
      <c r="H890" s="466">
        <f t="shared" si="180"/>
        <v>0</v>
      </c>
      <c r="I890" s="467">
        <f t="shared" si="180"/>
        <v>2393312</v>
      </c>
      <c r="J890" s="347">
        <f t="shared" si="180"/>
        <v>2622772</v>
      </c>
      <c r="K890" s="347">
        <f t="shared" si="180"/>
        <v>-1</v>
      </c>
    </row>
    <row r="891" spans="1:11">
      <c r="A891" s="333">
        <v>26</v>
      </c>
      <c r="C891" s="359" t="s">
        <v>197</v>
      </c>
      <c r="D891" s="344"/>
      <c r="E891" s="196"/>
      <c r="F891" s="347">
        <f>-F540</f>
        <v>0</v>
      </c>
      <c r="G891" s="484">
        <f>-$G$540</f>
        <v>0</v>
      </c>
      <c r="H891" s="485">
        <f>-$H$540</f>
        <v>0</v>
      </c>
      <c r="I891" s="486">
        <f>-$I$540</f>
        <v>0</v>
      </c>
      <c r="J891" s="347">
        <f>-$J$540</f>
        <v>0</v>
      </c>
      <c r="K891" s="347">
        <f>-$K$540</f>
        <v>0</v>
      </c>
    </row>
    <row r="892" spans="1:11">
      <c r="A892" s="333">
        <v>27</v>
      </c>
      <c r="C892" s="332" t="s">
        <v>278</v>
      </c>
      <c r="D892" s="344"/>
      <c r="E892" s="196"/>
      <c r="F892" s="348">
        <f t="shared" ref="F892:K892" si="181">SUM(F889:F891)</f>
        <v>2622772</v>
      </c>
      <c r="G892" s="468">
        <f t="shared" si="181"/>
        <v>229460</v>
      </c>
      <c r="H892" s="456">
        <f t="shared" si="181"/>
        <v>0</v>
      </c>
      <c r="I892" s="469">
        <f t="shared" si="181"/>
        <v>2393312</v>
      </c>
      <c r="J892" s="348">
        <f t="shared" si="181"/>
        <v>2622772</v>
      </c>
      <c r="K892" s="348">
        <f t="shared" si="181"/>
        <v>-1</v>
      </c>
    </row>
    <row r="893" spans="1:11">
      <c r="A893" s="333">
        <v>28</v>
      </c>
      <c r="D893" s="344"/>
      <c r="E893" s="196"/>
      <c r="G893" s="462"/>
      <c r="H893" s="463"/>
      <c r="I893" s="464"/>
    </row>
    <row r="894" spans="1:11">
      <c r="A894" s="333">
        <v>29</v>
      </c>
      <c r="B894" s="332" t="s">
        <v>40</v>
      </c>
      <c r="D894" s="344"/>
      <c r="E894" s="196"/>
      <c r="G894" s="462"/>
      <c r="H894" s="463"/>
      <c r="I894" s="464"/>
    </row>
    <row r="895" spans="1:11">
      <c r="A895" s="333">
        <v>30</v>
      </c>
      <c r="C895" s="332" t="s">
        <v>279</v>
      </c>
      <c r="D895" s="344"/>
      <c r="E895" s="196"/>
      <c r="F895" s="347">
        <f t="shared" ref="F895:K895" si="182">F872</f>
        <v>25851923</v>
      </c>
      <c r="G895" s="465">
        <f t="shared" si="182"/>
        <v>1436590</v>
      </c>
      <c r="H895" s="466">
        <f t="shared" si="182"/>
        <v>0</v>
      </c>
      <c r="I895" s="467">
        <f t="shared" si="182"/>
        <v>24415330</v>
      </c>
      <c r="J895" s="347">
        <f t="shared" si="182"/>
        <v>25851920</v>
      </c>
      <c r="K895" s="347">
        <f t="shared" si="182"/>
        <v>-3</v>
      </c>
    </row>
    <row r="896" spans="1:11">
      <c r="A896" s="333">
        <v>31</v>
      </c>
      <c r="C896" s="359" t="s">
        <v>280</v>
      </c>
      <c r="D896" s="344"/>
      <c r="E896" s="196"/>
      <c r="F896" s="347">
        <f t="shared" ref="F896:K896" si="183">-F887</f>
        <v>-3232200</v>
      </c>
      <c r="G896" s="465">
        <f t="shared" si="183"/>
        <v>-955162</v>
      </c>
      <c r="H896" s="466">
        <f t="shared" si="183"/>
        <v>0</v>
      </c>
      <c r="I896" s="467">
        <f t="shared" si="183"/>
        <v>-2277038</v>
      </c>
      <c r="J896" s="347">
        <f t="shared" si="183"/>
        <v>-3232200</v>
      </c>
      <c r="K896" s="347">
        <f t="shared" si="183"/>
        <v>1</v>
      </c>
    </row>
    <row r="897" spans="1:11">
      <c r="A897" s="333">
        <v>32</v>
      </c>
      <c r="C897" s="332" t="s">
        <v>951</v>
      </c>
      <c r="D897" s="344"/>
      <c r="E897" s="196"/>
      <c r="F897" s="348">
        <f t="shared" ref="F897:K897" si="184">SUM(F894:F896)</f>
        <v>22619723</v>
      </c>
      <c r="G897" s="468">
        <f t="shared" si="184"/>
        <v>481428</v>
      </c>
      <c r="H897" s="456">
        <f t="shared" si="184"/>
        <v>0</v>
      </c>
      <c r="I897" s="469">
        <f t="shared" si="184"/>
        <v>22138292</v>
      </c>
      <c r="J897" s="348">
        <f t="shared" si="184"/>
        <v>22619720</v>
      </c>
      <c r="K897" s="348">
        <f t="shared" si="184"/>
        <v>-2</v>
      </c>
    </row>
    <row r="898" spans="1:11">
      <c r="A898" s="333">
        <v>33</v>
      </c>
      <c r="D898" s="344"/>
      <c r="E898" s="196"/>
      <c r="G898" s="462"/>
      <c r="H898" s="463"/>
      <c r="I898" s="464"/>
    </row>
    <row r="899" spans="1:11">
      <c r="A899" s="333">
        <v>34</v>
      </c>
      <c r="C899" s="332" t="s">
        <v>952</v>
      </c>
      <c r="D899" s="344"/>
      <c r="E899" s="196"/>
      <c r="F899" s="350">
        <f t="shared" ref="F899:K899" si="185">IF(F331=0,0,ROUND(F897/F331,5))</f>
        <v>7.2109999999999994E-2</v>
      </c>
      <c r="G899" s="526">
        <f t="shared" si="185"/>
        <v>7.1910000000000002E-2</v>
      </c>
      <c r="H899" s="527">
        <f t="shared" si="185"/>
        <v>0</v>
      </c>
      <c r="I899" s="528">
        <f t="shared" si="185"/>
        <v>7.2120000000000004E-2</v>
      </c>
      <c r="J899" s="350">
        <f t="shared" si="185"/>
        <v>7.2109999999999994E-2</v>
      </c>
      <c r="K899" s="350">
        <f t="shared" si="185"/>
        <v>0</v>
      </c>
    </row>
  </sheetData>
  <phoneticPr fontId="12" type="noConversion"/>
  <pageMargins left="1" right="1" top="1" bottom="1" header="1" footer="0.5"/>
  <pageSetup scale="68" orientation="landscape" blackAndWhite="1" r:id="rId1"/>
  <headerFooter alignWithMargins="0"/>
  <rowBreaks count="16" manualBreakCount="16">
    <brk id="44" max="10" man="1"/>
    <brk id="101" max="10" man="1"/>
    <brk id="151" max="10" man="1"/>
    <brk id="191" max="10" man="1"/>
    <brk id="238" max="10" man="1"/>
    <brk id="283" max="10" man="1"/>
    <brk id="334" max="10" man="1"/>
    <brk id="389" max="10" man="1"/>
    <brk id="433" max="10" man="1"/>
    <brk id="465" max="10" man="1"/>
    <brk id="501" max="10" man="1"/>
    <brk id="565" max="10" man="1"/>
    <brk id="654" max="10" man="1"/>
    <brk id="694" max="10" man="1"/>
    <brk id="745" max="10" man="1"/>
    <brk id="803" max="10" man="1"/>
  </rowBreak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tabColor rgb="FF00B050"/>
    <pageSetUpPr fitToPage="1"/>
  </sheetPr>
  <dimension ref="A1:O899"/>
  <sheetViews>
    <sheetView topLeftCell="A635" zoomScale="80" zoomScaleNormal="80" zoomScaleSheetLayoutView="80" workbookViewId="0">
      <selection activeCell="J751" sqref="J751"/>
    </sheetView>
  </sheetViews>
  <sheetFormatPr defaultColWidth="8.77734375" defaultRowHeight="12.75"/>
  <cols>
    <col min="1" max="1" width="6.44140625" style="332" customWidth="1"/>
    <col min="2" max="2" width="3.5546875" style="332" customWidth="1"/>
    <col min="3" max="3" width="43.77734375" style="332" customWidth="1"/>
    <col min="4" max="4" width="11" style="333" customWidth="1"/>
    <col min="5" max="5" width="10.77734375" style="332" customWidth="1"/>
    <col min="6" max="6" width="12.5546875" style="332" customWidth="1"/>
    <col min="7" max="8" width="11.88671875" style="332" customWidth="1"/>
    <col min="9" max="9" width="13.77734375" style="332" customWidth="1"/>
    <col min="10" max="11" width="11.88671875" style="332" customWidth="1"/>
    <col min="12" max="16384" width="8.77734375" style="332"/>
  </cols>
  <sheetData>
    <row r="1" spans="1:11">
      <c r="A1" s="343" t="str">
        <f>co_name</f>
        <v>DUKE ENERGY KENTUCKY, INC.</v>
      </c>
      <c r="C1" s="196"/>
      <c r="D1" s="344"/>
      <c r="E1" s="196"/>
      <c r="F1" s="196"/>
      <c r="G1" s="196"/>
      <c r="H1" s="196"/>
      <c r="I1" s="196"/>
      <c r="J1" s="583" t="s">
        <v>1540</v>
      </c>
      <c r="K1" s="196"/>
    </row>
    <row r="2" spans="1:11">
      <c r="A2" s="583" t="s">
        <v>1220</v>
      </c>
      <c r="C2" s="196"/>
      <c r="D2" s="344"/>
      <c r="E2" s="196"/>
      <c r="F2" s="196"/>
      <c r="G2" s="196"/>
      <c r="H2" s="196"/>
      <c r="I2" s="196"/>
      <c r="J2" s="583" t="s">
        <v>437</v>
      </c>
      <c r="K2" s="196"/>
    </row>
    <row r="3" spans="1:11">
      <c r="A3" s="343" t="str">
        <f>case_name</f>
        <v>CASE NO: 2018-00261</v>
      </c>
      <c r="C3" s="196"/>
      <c r="D3" s="344"/>
      <c r="E3" s="196"/>
      <c r="F3" s="196"/>
      <c r="G3" s="196"/>
      <c r="H3" s="196"/>
      <c r="I3" s="196"/>
      <c r="J3" s="196" t="str">
        <f>Witness</f>
        <v>JAMES E. ZIOLKOWSKI</v>
      </c>
      <c r="K3" s="196"/>
    </row>
    <row r="4" spans="1:11">
      <c r="A4" s="343" t="str">
        <f>data_filing</f>
        <v>DATA: 12 MONTH FORECASTED PERIOD</v>
      </c>
      <c r="C4" s="196"/>
      <c r="D4" s="344"/>
      <c r="E4" s="196"/>
      <c r="F4" s="196"/>
      <c r="G4" s="196"/>
      <c r="H4" s="196"/>
      <c r="I4" s="196"/>
      <c r="J4" s="196" t="str">
        <f>"PAGE "&amp;Pages-17&amp;" OF "&amp;Pages</f>
        <v>PAGE 1 OF 18</v>
      </c>
      <c r="K4" s="196"/>
    </row>
    <row r="5" spans="1:11">
      <c r="A5" s="343" t="str">
        <f>type</f>
        <v xml:space="preserve">TYPE OF FILING: "X" ORIGINAL   UPDATED    REVISED  </v>
      </c>
      <c r="C5" s="196"/>
      <c r="D5" s="344"/>
      <c r="E5" s="196"/>
      <c r="F5" s="196"/>
      <c r="G5" s="196"/>
      <c r="H5" s="196"/>
      <c r="I5" s="196"/>
      <c r="J5" s="196"/>
      <c r="K5" s="196"/>
    </row>
    <row r="6" spans="1:11">
      <c r="A6" s="343"/>
      <c r="C6" s="196"/>
      <c r="D6" s="344"/>
      <c r="E6" s="196"/>
      <c r="F6" s="196"/>
      <c r="G6" s="196"/>
      <c r="H6" s="196"/>
      <c r="I6" s="196"/>
      <c r="J6" s="196"/>
      <c r="K6" s="196"/>
    </row>
    <row r="7" spans="1:11">
      <c r="A7" s="343"/>
      <c r="C7" s="196"/>
      <c r="D7" s="344"/>
      <c r="E7" s="196"/>
      <c r="F7" s="196"/>
      <c r="G7" s="196"/>
      <c r="H7" s="196"/>
      <c r="I7" s="196"/>
      <c r="J7" s="196"/>
      <c r="K7" s="196"/>
    </row>
    <row r="8" spans="1:11">
      <c r="A8" s="344" t="s">
        <v>914</v>
      </c>
      <c r="B8" s="196"/>
      <c r="C8" s="196"/>
      <c r="D8" s="344"/>
      <c r="E8" s="196"/>
      <c r="F8" s="344" t="s">
        <v>229</v>
      </c>
      <c r="G8" s="545" t="s">
        <v>1005</v>
      </c>
      <c r="H8" s="533"/>
      <c r="I8" s="534"/>
      <c r="J8" s="344" t="s">
        <v>229</v>
      </c>
      <c r="K8" s="344" t="s">
        <v>342</v>
      </c>
    </row>
    <row r="9" spans="1:11">
      <c r="A9" s="346" t="s">
        <v>915</v>
      </c>
      <c r="B9" s="345" t="s">
        <v>102</v>
      </c>
      <c r="C9" s="345"/>
      <c r="D9" s="346" t="s">
        <v>337</v>
      </c>
      <c r="E9" s="345"/>
      <c r="F9" s="346" t="s">
        <v>845</v>
      </c>
      <c r="G9" s="546" t="s">
        <v>847</v>
      </c>
      <c r="H9" s="535" t="s">
        <v>848</v>
      </c>
      <c r="I9" s="536" t="s">
        <v>849</v>
      </c>
      <c r="J9" s="346" t="s">
        <v>341</v>
      </c>
      <c r="K9" s="346" t="s">
        <v>340</v>
      </c>
    </row>
    <row r="10" spans="1:11">
      <c r="C10" s="578" t="s">
        <v>354</v>
      </c>
      <c r="D10" s="344"/>
      <c r="E10" s="196"/>
      <c r="G10" s="785">
        <v>3</v>
      </c>
      <c r="H10" s="786">
        <v>4</v>
      </c>
      <c r="I10" s="787">
        <v>5</v>
      </c>
    </row>
    <row r="11" spans="1:11">
      <c r="A11" s="333">
        <v>1</v>
      </c>
      <c r="B11" s="332" t="s">
        <v>100</v>
      </c>
      <c r="D11" s="344"/>
      <c r="E11" s="196"/>
      <c r="G11" s="547"/>
      <c r="H11" s="537"/>
      <c r="I11" s="538"/>
    </row>
    <row r="12" spans="1:11">
      <c r="A12" s="333">
        <v>2</v>
      </c>
      <c r="C12" s="332" t="str">
        <f>'FR-16(7)(v)-1 Functional'!C12</f>
        <v>GROSS GAS PLANT IN SERVICE</v>
      </c>
      <c r="D12" s="344"/>
      <c r="E12" s="196"/>
      <c r="F12" s="347">
        <f>F101</f>
        <v>6658967</v>
      </c>
      <c r="G12" s="548">
        <f>G101</f>
        <v>0</v>
      </c>
      <c r="H12" s="539">
        <f>H101</f>
        <v>6658967</v>
      </c>
      <c r="I12" s="540">
        <f>I101</f>
        <v>0</v>
      </c>
      <c r="J12" s="347">
        <f>J101</f>
        <v>6658967</v>
      </c>
      <c r="K12" s="347">
        <f>F12-J12</f>
        <v>0</v>
      </c>
    </row>
    <row r="13" spans="1:11">
      <c r="A13" s="333">
        <v>3</v>
      </c>
      <c r="C13" s="332" t="str">
        <f>'FR-16(7)(v)-1 Functional'!C13</f>
        <v>TOTAL DEPRECIATION RESERVE</v>
      </c>
      <c r="D13" s="344"/>
      <c r="E13" s="196"/>
      <c r="F13" s="347">
        <f>-F151</f>
        <v>-3706705</v>
      </c>
      <c r="G13" s="548">
        <f>-G151</f>
        <v>0</v>
      </c>
      <c r="H13" s="539">
        <f>-H151</f>
        <v>-3706705</v>
      </c>
      <c r="I13" s="540">
        <f>-I151</f>
        <v>0</v>
      </c>
      <c r="J13" s="347">
        <f>-J151</f>
        <v>-3706705</v>
      </c>
      <c r="K13" s="347">
        <f>F13-J13</f>
        <v>0</v>
      </c>
    </row>
    <row r="14" spans="1:11">
      <c r="A14" s="333">
        <v>4</v>
      </c>
      <c r="C14" s="359" t="str">
        <f>'FR-16(7)(v)-1 Functional'!C14</f>
        <v>TOTAL RATE BASE ADJUSTMENTS</v>
      </c>
      <c r="D14" s="344"/>
      <c r="E14" s="196"/>
      <c r="F14" s="347">
        <f>F326</f>
        <v>3742217.1424657535</v>
      </c>
      <c r="G14" s="548">
        <f>G326</f>
        <v>0.14246575348079205</v>
      </c>
      <c r="H14" s="539">
        <f>H326</f>
        <v>3742217</v>
      </c>
      <c r="I14" s="540">
        <f>I326</f>
        <v>0</v>
      </c>
      <c r="J14" s="347">
        <f>J326</f>
        <v>3742217.1424657535</v>
      </c>
      <c r="K14" s="347">
        <f>F14-J14</f>
        <v>0</v>
      </c>
    </row>
    <row r="15" spans="1:11">
      <c r="A15" s="333">
        <v>5</v>
      </c>
      <c r="C15" s="332" t="str">
        <f>'FR-16(7)(v)-1 Functional'!C15</f>
        <v xml:space="preserve">  TOTAL RATE BASE</v>
      </c>
      <c r="D15" s="344"/>
      <c r="E15" s="196"/>
      <c r="F15" s="348">
        <f t="shared" ref="F15:K15" si="0">SUM(F12:F14)</f>
        <v>6694479.1424657535</v>
      </c>
      <c r="G15" s="549">
        <f t="shared" si="0"/>
        <v>0.14246575348079205</v>
      </c>
      <c r="H15" s="541">
        <f t="shared" si="0"/>
        <v>6694479</v>
      </c>
      <c r="I15" s="542">
        <f t="shared" si="0"/>
        <v>0</v>
      </c>
      <c r="J15" s="348">
        <f t="shared" si="0"/>
        <v>6694479.1424657535</v>
      </c>
      <c r="K15" s="348">
        <f t="shared" si="0"/>
        <v>0</v>
      </c>
    </row>
    <row r="16" spans="1:11">
      <c r="A16" s="333">
        <v>6</v>
      </c>
      <c r="D16" s="344"/>
      <c r="E16" s="196"/>
      <c r="G16" s="547"/>
      <c r="H16" s="537"/>
      <c r="I16" s="538"/>
    </row>
    <row r="17" spans="1:11">
      <c r="A17" s="333">
        <v>7</v>
      </c>
      <c r="B17" s="332" t="s">
        <v>98</v>
      </c>
      <c r="D17" s="344"/>
      <c r="E17" s="196"/>
      <c r="G17" s="547"/>
      <c r="H17" s="537"/>
      <c r="I17" s="538"/>
    </row>
    <row r="18" spans="1:11">
      <c r="A18" s="333">
        <v>8</v>
      </c>
      <c r="C18" s="332" t="str">
        <f>'FR-16(7)(v)-1 Functional'!C18</f>
        <v>TOTAL O&amp;M EXPENSE</v>
      </c>
      <c r="D18" s="344"/>
      <c r="E18" s="196"/>
      <c r="F18" s="347">
        <f>F433</f>
        <v>38032691</v>
      </c>
      <c r="G18" s="548">
        <f>G433</f>
        <v>0</v>
      </c>
      <c r="H18" s="539">
        <f>H433</f>
        <v>38032691</v>
      </c>
      <c r="I18" s="540">
        <f>I433</f>
        <v>0</v>
      </c>
      <c r="J18" s="347">
        <f>J433</f>
        <v>38032691</v>
      </c>
      <c r="K18" s="347">
        <f t="shared" ref="K18:K24" si="1">F18-J18</f>
        <v>0</v>
      </c>
    </row>
    <row r="19" spans="1:11">
      <c r="A19" s="333">
        <v>9</v>
      </c>
      <c r="C19" s="332" t="str">
        <f>'FR-16(7)(v)-1 Functional'!C19</f>
        <v>TOTAL DEPRECIATION EXPENSE</v>
      </c>
      <c r="D19" s="344"/>
      <c r="E19" s="196"/>
      <c r="F19" s="347">
        <f>F465</f>
        <v>457905.06760000001</v>
      </c>
      <c r="G19" s="548">
        <f>G465</f>
        <v>6.7599999994854443E-2</v>
      </c>
      <c r="H19" s="539">
        <f>H465</f>
        <v>457905</v>
      </c>
      <c r="I19" s="540">
        <f>I465</f>
        <v>0</v>
      </c>
      <c r="J19" s="347">
        <f>J465</f>
        <v>457905.06760000001</v>
      </c>
      <c r="K19" s="347">
        <f t="shared" si="1"/>
        <v>0</v>
      </c>
    </row>
    <row r="20" spans="1:11">
      <c r="A20" s="333">
        <v>10</v>
      </c>
      <c r="C20" s="359" t="str">
        <f>'FR-16(7)(v)-1 Functional'!C20</f>
        <v>TOTAL OTHER TAX &amp; MISC EXPENSE</v>
      </c>
      <c r="D20" s="344"/>
      <c r="E20" s="196"/>
      <c r="F20" s="347">
        <f>F495</f>
        <v>100391</v>
      </c>
      <c r="G20" s="548">
        <f>$G$495</f>
        <v>0</v>
      </c>
      <c r="H20" s="539">
        <f>$H$495</f>
        <v>100391</v>
      </c>
      <c r="I20" s="540">
        <f>$I$495</f>
        <v>0</v>
      </c>
      <c r="J20" s="347">
        <f>$J$495</f>
        <v>100391</v>
      </c>
      <c r="K20" s="347">
        <f t="shared" si="1"/>
        <v>0</v>
      </c>
    </row>
    <row r="21" spans="1:11">
      <c r="A21" s="333">
        <v>11</v>
      </c>
      <c r="C21" s="332" t="str">
        <f>'FR-16(7)(v)-1 Functional'!C21</f>
        <v xml:space="preserve">  TOTAL OP EXP EXCLUDING INC &amp; REV TAX</v>
      </c>
      <c r="D21" s="344"/>
      <c r="E21" s="196"/>
      <c r="F21" s="348">
        <f>SUM(F17:F20)</f>
        <v>38590987.067599997</v>
      </c>
      <c r="G21" s="549">
        <f>SUM(G17:G20)</f>
        <v>6.7599999994854443E-2</v>
      </c>
      <c r="H21" s="541">
        <f>SUM(H17:H20)</f>
        <v>38590987</v>
      </c>
      <c r="I21" s="542">
        <f>SUM(I17:I20)</f>
        <v>0</v>
      </c>
      <c r="J21" s="348">
        <f>SUM(J17:J20)</f>
        <v>38590987.067599997</v>
      </c>
      <c r="K21" s="348">
        <f t="shared" si="1"/>
        <v>0</v>
      </c>
    </row>
    <row r="22" spans="1:11">
      <c r="A22" s="333">
        <v>12</v>
      </c>
      <c r="C22" s="332" t="str">
        <f>'FR-16(7)(v)-1 Functional'!C22</f>
        <v>NET FED INCOME TAX EXP ALLOWABLE</v>
      </c>
      <c r="D22" s="344"/>
      <c r="E22" s="196"/>
      <c r="F22" s="347">
        <f>F557</f>
        <v>955859</v>
      </c>
      <c r="G22" s="548">
        <f>$G$557</f>
        <v>0</v>
      </c>
      <c r="H22" s="539">
        <f>$H$557</f>
        <v>955859</v>
      </c>
      <c r="I22" s="540">
        <f>$I$557</f>
        <v>0</v>
      </c>
      <c r="J22" s="347">
        <f>$J$557</f>
        <v>955859</v>
      </c>
      <c r="K22" s="347">
        <f t="shared" si="1"/>
        <v>0</v>
      </c>
    </row>
    <row r="23" spans="1:11">
      <c r="A23" s="333">
        <v>13</v>
      </c>
      <c r="C23" s="359" t="str">
        <f>'FR-16(7)(v)-1 Functional'!C23</f>
        <v>NET STATE INCOME TAX EXP ALLOWABLE</v>
      </c>
      <c r="D23" s="344"/>
      <c r="E23" s="196"/>
      <c r="F23" s="347">
        <f>F605</f>
        <v>58434</v>
      </c>
      <c r="G23" s="548">
        <f>G605</f>
        <v>0</v>
      </c>
      <c r="H23" s="539">
        <f>H605</f>
        <v>58434</v>
      </c>
      <c r="I23" s="540">
        <f>I605</f>
        <v>0</v>
      </c>
      <c r="J23" s="347">
        <f>J605</f>
        <v>58434</v>
      </c>
      <c r="K23" s="347">
        <f t="shared" si="1"/>
        <v>0</v>
      </c>
    </row>
    <row r="24" spans="1:11">
      <c r="A24" s="333">
        <v>14</v>
      </c>
      <c r="C24" s="332" t="str">
        <f>'FR-16(7)(v)-1 Functional'!C24</f>
        <v xml:space="preserve">  TOTAL OPERATING EXPENSE</v>
      </c>
      <c r="D24" s="344"/>
      <c r="E24" s="196"/>
      <c r="F24" s="348">
        <f>SUM(F21:F23)</f>
        <v>39605280.067599997</v>
      </c>
      <c r="G24" s="549">
        <f>SUM(G21:G23)</f>
        <v>6.7599999994854443E-2</v>
      </c>
      <c r="H24" s="541">
        <f>SUM(H21:H23)</f>
        <v>39605280</v>
      </c>
      <c r="I24" s="542">
        <f>SUM(I21:I23)</f>
        <v>0</v>
      </c>
      <c r="J24" s="348">
        <f>SUM(J21:J23)</f>
        <v>39605280.067599997</v>
      </c>
      <c r="K24" s="348">
        <f t="shared" si="1"/>
        <v>0</v>
      </c>
    </row>
    <row r="25" spans="1:11">
      <c r="A25" s="333">
        <v>15</v>
      </c>
      <c r="D25" s="344"/>
      <c r="E25" s="196"/>
      <c r="G25" s="547"/>
      <c r="H25" s="537"/>
      <c r="I25" s="538"/>
    </row>
    <row r="26" spans="1:11">
      <c r="A26" s="333">
        <v>16</v>
      </c>
      <c r="B26" s="332" t="s">
        <v>43</v>
      </c>
      <c r="D26" s="344"/>
      <c r="E26" s="196"/>
      <c r="F26" s="347">
        <f>F334</f>
        <v>480732</v>
      </c>
      <c r="G26" s="548">
        <f>G334</f>
        <v>0</v>
      </c>
      <c r="H26" s="539">
        <f>H334</f>
        <v>480732</v>
      </c>
      <c r="I26" s="540">
        <f>I334</f>
        <v>0</v>
      </c>
      <c r="J26" s="347">
        <f>J334</f>
        <v>480732</v>
      </c>
      <c r="K26" s="347">
        <f t="shared" ref="K26:K31" si="2">F26-J26</f>
        <v>0</v>
      </c>
    </row>
    <row r="27" spans="1:11">
      <c r="A27" s="333">
        <v>17</v>
      </c>
      <c r="B27" s="359" t="s">
        <v>103</v>
      </c>
      <c r="C27" s="359"/>
      <c r="D27" s="344"/>
      <c r="E27" s="196"/>
      <c r="F27" s="347">
        <f>-F630</f>
        <v>-2870</v>
      </c>
      <c r="G27" s="548">
        <f>-$G$630</f>
        <v>0</v>
      </c>
      <c r="H27" s="539">
        <f>-$H$630</f>
        <v>-2870</v>
      </c>
      <c r="I27" s="540">
        <f>-$I$630</f>
        <v>0</v>
      </c>
      <c r="J27" s="347">
        <f>-$J$630</f>
        <v>-2870</v>
      </c>
      <c r="K27" s="347">
        <f t="shared" si="2"/>
        <v>0</v>
      </c>
    </row>
    <row r="28" spans="1:11">
      <c r="A28" s="333">
        <v>18</v>
      </c>
      <c r="C28" s="332" t="str">
        <f>'FR-16(7)(v)-1 Functional'!C28</f>
        <v>TOTAL GAS COST OF SERVICE</v>
      </c>
      <c r="D28" s="344"/>
      <c r="E28" s="196"/>
      <c r="F28" s="348">
        <f>SUM(F24:F27)</f>
        <v>40083142.067599997</v>
      </c>
      <c r="G28" s="557">
        <f>SUM(G24:G27)</f>
        <v>6.7599999994854443E-2</v>
      </c>
      <c r="H28" s="558">
        <f>SUM(H24:H27)</f>
        <v>40083142</v>
      </c>
      <c r="I28" s="559">
        <f>SUM(I24:I27)</f>
        <v>0</v>
      </c>
      <c r="J28" s="348">
        <f>SUM(J24:J27)</f>
        <v>40083142.067599997</v>
      </c>
      <c r="K28" s="348">
        <f t="shared" si="2"/>
        <v>0</v>
      </c>
    </row>
    <row r="29" spans="1:11">
      <c r="A29" s="1112">
        <v>19</v>
      </c>
      <c r="B29" s="1113" t="s">
        <v>1206</v>
      </c>
      <c r="C29" s="1114"/>
      <c r="D29" s="1115">
        <f>1-'WP FR-16(7)(v)Rate Incr (15.0%)'!I11</f>
        <v>0.85</v>
      </c>
      <c r="E29" s="1116"/>
      <c r="F29" s="1117">
        <f ca="1">'WP FR-16(7)(v)Rate Incr (15.0%)'!Q20</f>
        <v>0</v>
      </c>
      <c r="G29" s="1166">
        <v>0</v>
      </c>
      <c r="H29" s="1167">
        <v>0</v>
      </c>
      <c r="I29" s="1168">
        <v>0</v>
      </c>
      <c r="J29" s="1117">
        <f>SUM(G29:I29)</f>
        <v>0</v>
      </c>
      <c r="K29" s="1120">
        <f t="shared" ca="1" si="2"/>
        <v>0</v>
      </c>
    </row>
    <row r="30" spans="1:11">
      <c r="A30" s="1112">
        <v>20</v>
      </c>
      <c r="B30" s="1121" t="s">
        <v>1207</v>
      </c>
      <c r="C30" s="1024"/>
      <c r="D30" s="1122"/>
      <c r="E30" s="1116"/>
      <c r="F30" s="1123">
        <f ca="1">F29+F28</f>
        <v>40083142.067599997</v>
      </c>
      <c r="G30" s="1124">
        <f>G29+G28</f>
        <v>6.7599999994854443E-2</v>
      </c>
      <c r="H30" s="1125">
        <f>H29+H28</f>
        <v>40083142</v>
      </c>
      <c r="I30" s="1126">
        <f>I29+I28</f>
        <v>0</v>
      </c>
      <c r="J30" s="1123">
        <f>J29+J28</f>
        <v>40083142.067599997</v>
      </c>
      <c r="K30" s="1127">
        <f t="shared" ca="1" si="2"/>
        <v>0</v>
      </c>
    </row>
    <row r="31" spans="1:11">
      <c r="A31" s="1112">
        <v>21</v>
      </c>
      <c r="B31" s="1128" t="s">
        <v>850</v>
      </c>
      <c r="C31" s="1114"/>
      <c r="D31" s="1122"/>
      <c r="E31" s="1116"/>
      <c r="F31" s="1127">
        <f>F745</f>
        <v>36322784</v>
      </c>
      <c r="G31" s="1124">
        <f>G745</f>
        <v>0</v>
      </c>
      <c r="H31" s="1125">
        <f>H745</f>
        <v>36322784</v>
      </c>
      <c r="I31" s="1126">
        <f>I745</f>
        <v>0</v>
      </c>
      <c r="J31" s="1127">
        <f>J745</f>
        <v>36322784</v>
      </c>
      <c r="K31" s="1127">
        <f t="shared" si="2"/>
        <v>0</v>
      </c>
    </row>
    <row r="32" spans="1:11">
      <c r="A32" s="1112">
        <v>22</v>
      </c>
      <c r="B32" s="1129" t="s">
        <v>1208</v>
      </c>
      <c r="C32" s="1024"/>
      <c r="D32" s="1122"/>
      <c r="E32" s="1116"/>
      <c r="F32" s="1132">
        <f t="shared" ref="F32:K32" ca="1" si="3">F30-F31</f>
        <v>3760358.0675999969</v>
      </c>
      <c r="G32" s="1151">
        <f t="shared" si="3"/>
        <v>6.7599999994854443E-2</v>
      </c>
      <c r="H32" s="1132">
        <f t="shared" si="3"/>
        <v>3760358</v>
      </c>
      <c r="I32" s="1152">
        <f t="shared" si="3"/>
        <v>0</v>
      </c>
      <c r="J32" s="1132">
        <f t="shared" si="3"/>
        <v>3760358.0675999969</v>
      </c>
      <c r="K32" s="1132">
        <f t="shared" ca="1" si="3"/>
        <v>0</v>
      </c>
    </row>
    <row r="33" spans="1:14">
      <c r="A33" s="1112">
        <v>23</v>
      </c>
      <c r="B33" s="1024"/>
      <c r="C33" s="1024"/>
      <c r="D33" s="1122"/>
      <c r="E33" s="1116"/>
      <c r="F33" s="1024"/>
      <c r="G33" s="1134"/>
      <c r="H33" s="1135"/>
      <c r="I33" s="1136"/>
      <c r="J33" s="1024"/>
      <c r="K33" s="1024"/>
    </row>
    <row r="34" spans="1:14">
      <c r="A34" s="1112">
        <v>24</v>
      </c>
      <c r="B34" s="1024" t="s">
        <v>104</v>
      </c>
      <c r="C34" s="1024"/>
      <c r="D34" s="1122"/>
      <c r="E34" s="1116"/>
      <c r="F34" s="1127">
        <f>F654+F26</f>
        <v>-2443788.0675999969</v>
      </c>
      <c r="G34" s="1124">
        <f>G654+G26</f>
        <v>-6.7599999994854443E-2</v>
      </c>
      <c r="H34" s="1125">
        <f>H654+H26</f>
        <v>-2298487</v>
      </c>
      <c r="I34" s="1126">
        <f>I654+I26</f>
        <v>0</v>
      </c>
      <c r="J34" s="1127">
        <f>J654+J26</f>
        <v>-2298487.0676000002</v>
      </c>
      <c r="K34" s="1127">
        <f>F34-J34</f>
        <v>-145300.99999999674</v>
      </c>
    </row>
    <row r="35" spans="1:14">
      <c r="A35" s="1112">
        <v>25</v>
      </c>
      <c r="B35" s="1024" t="s">
        <v>105</v>
      </c>
      <c r="C35" s="1024"/>
      <c r="D35" s="1122"/>
      <c r="E35" s="1116"/>
      <c r="F35" s="1137">
        <f t="shared" ref="F35:K35" si="4">IF(F331=0,0,ROUND(F34/F331,5))</f>
        <v>-0.36504999999999999</v>
      </c>
      <c r="G35" s="1138">
        <f t="shared" si="4"/>
        <v>-0.47449999999999998</v>
      </c>
      <c r="H35" s="1139">
        <f t="shared" si="4"/>
        <v>-0.34333999999999998</v>
      </c>
      <c r="I35" s="1140">
        <f t="shared" si="4"/>
        <v>0</v>
      </c>
      <c r="J35" s="1137">
        <f t="shared" si="4"/>
        <v>-0.34333999999999998</v>
      </c>
      <c r="K35" s="1137">
        <f t="shared" si="4"/>
        <v>0</v>
      </c>
    </row>
    <row r="36" spans="1:14">
      <c r="A36" s="1112">
        <v>26</v>
      </c>
      <c r="B36" s="1024" t="s">
        <v>42</v>
      </c>
      <c r="C36" s="1024"/>
      <c r="D36" s="1122"/>
      <c r="E36" s="1116"/>
      <c r="F36" s="1137">
        <f>$F$688</f>
        <v>7.1809999999999999E-2</v>
      </c>
      <c r="G36" s="1138">
        <f>F688</f>
        <v>7.1809999999999999E-2</v>
      </c>
      <c r="H36" s="1139">
        <f>F688</f>
        <v>7.1809999999999999E-2</v>
      </c>
      <c r="I36" s="1140">
        <f>F688</f>
        <v>7.1809999999999999E-2</v>
      </c>
      <c r="J36" s="1137">
        <f>$F$688</f>
        <v>7.1809999999999999E-2</v>
      </c>
      <c r="K36" s="1137">
        <f>F688</f>
        <v>7.1809999999999999E-2</v>
      </c>
      <c r="N36" s="659" t="s">
        <v>1210</v>
      </c>
    </row>
    <row r="37" spans="1:14">
      <c r="A37" s="1112">
        <v>27</v>
      </c>
      <c r="B37" s="1024" t="s">
        <v>106</v>
      </c>
      <c r="C37" s="1024"/>
      <c r="D37" s="1122"/>
      <c r="E37" s="1116"/>
      <c r="F37" s="1137">
        <f>IF(F670=0,0,(F35-$F$683-$F$684-$F$686)*$F$673/$F$670)</f>
        <v>-0.76171975758493726</v>
      </c>
      <c r="G37" s="1138">
        <f>IF(F670=0,0,(G35-F683-F684-F686)*F673/F670)</f>
        <v>-0.97736401786705973</v>
      </c>
      <c r="H37" s="1139">
        <f>IF(F670=0,0,(H35-F683-F684-F686)*F673/F670)</f>
        <v>-0.71894555118269987</v>
      </c>
      <c r="I37" s="1140">
        <f>IF(F670=0,0,(I35-F683-F684-F686)*F673/F670)</f>
        <v>-4.2478668357081424E-2</v>
      </c>
      <c r="J37" s="1137">
        <f>IF(F670=0,0,(J35-F683-F684-F686)*F673/F670)</f>
        <v>-0.71894555118269987</v>
      </c>
      <c r="K37" s="1137">
        <f>IF(F670=0,0,(K35-F683-F684-F686)*F673/F670)</f>
        <v>-4.2478668357081424E-2</v>
      </c>
      <c r="N37" s="659" t="s">
        <v>1211</v>
      </c>
    </row>
    <row r="38" spans="1:14">
      <c r="A38" s="1112">
        <v>28</v>
      </c>
      <c r="B38" s="1024" t="s">
        <v>107</v>
      </c>
      <c r="C38" s="1024"/>
      <c r="D38" s="1122"/>
      <c r="E38" s="1116"/>
      <c r="F38" s="1137">
        <f>IF($F$670=0,0,(F36-$F$683-$F$684-$F$686)*$F$673/$F$670)</f>
        <v>9.9005245127242167E-2</v>
      </c>
      <c r="G38" s="1138">
        <f>IF(F670=0,0,(G36-F683-F684-F686)*F673/F670)</f>
        <v>9.9005245127242167E-2</v>
      </c>
      <c r="H38" s="1139">
        <f>IF(F670=0,0,(H36-F683-F684-F686)*F673/F670)</f>
        <v>9.9005245127242167E-2</v>
      </c>
      <c r="I38" s="1140">
        <f>IF(F670=0,0,(I36-F683-F684-F686)*F673/F670)</f>
        <v>9.9005245127242167E-2</v>
      </c>
      <c r="J38" s="1137">
        <f>IF($F$670=0,0,(J36-$F$683-$F$684-$F$686)*$F$673/$F$670)</f>
        <v>9.9005245127242167E-2</v>
      </c>
      <c r="K38" s="1137">
        <f>IF(F670=0,0,(K36-F683-F684-F686)*F673/F670)</f>
        <v>9.9005245127242167E-2</v>
      </c>
    </row>
    <row r="39" spans="1:14">
      <c r="A39" s="1112">
        <v>29</v>
      </c>
      <c r="B39" s="1024"/>
      <c r="C39" s="1024"/>
      <c r="D39" s="1122"/>
      <c r="E39" s="1116"/>
      <c r="F39" s="1024" t="s">
        <v>343</v>
      </c>
      <c r="G39" s="1134"/>
      <c r="H39" s="1135"/>
      <c r="I39" s="1136"/>
      <c r="J39" s="1024"/>
      <c r="K39" s="1024"/>
    </row>
    <row r="40" spans="1:14">
      <c r="A40" s="1112">
        <v>30</v>
      </c>
      <c r="B40" s="1024" t="s">
        <v>108</v>
      </c>
      <c r="C40" s="1024"/>
      <c r="D40" s="1122"/>
      <c r="E40" s="1116"/>
      <c r="F40" s="1127">
        <f>F744</f>
        <v>36322784</v>
      </c>
      <c r="G40" s="1124">
        <f>G744</f>
        <v>0</v>
      </c>
      <c r="H40" s="1125">
        <f>H744</f>
        <v>36322784</v>
      </c>
      <c r="I40" s="1126">
        <f>I744</f>
        <v>0</v>
      </c>
      <c r="J40" s="1127">
        <f>J744</f>
        <v>36322784</v>
      </c>
      <c r="K40" s="1127">
        <f>F40-J40</f>
        <v>0</v>
      </c>
    </row>
    <row r="41" spans="1:14">
      <c r="A41" s="1112">
        <v>31</v>
      </c>
      <c r="B41" s="1024" t="s">
        <v>109</v>
      </c>
      <c r="C41" s="1024"/>
      <c r="D41" s="1122"/>
      <c r="E41" s="1116"/>
      <c r="F41" s="1127">
        <f t="shared" ref="F41:K41" si="5">F28-F40</f>
        <v>3760358.0675999969</v>
      </c>
      <c r="G41" s="1124">
        <f t="shared" si="5"/>
        <v>6.7599999994854443E-2</v>
      </c>
      <c r="H41" s="1125">
        <f t="shared" si="5"/>
        <v>3760358</v>
      </c>
      <c r="I41" s="1126">
        <f t="shared" si="5"/>
        <v>0</v>
      </c>
      <c r="J41" s="1127">
        <f t="shared" si="5"/>
        <v>3760358.0675999969</v>
      </c>
      <c r="K41" s="1127">
        <f t="shared" si="5"/>
        <v>0</v>
      </c>
    </row>
    <row r="42" spans="1:14">
      <c r="A42" s="1112">
        <v>32</v>
      </c>
      <c r="B42" s="1024"/>
      <c r="C42" s="1024" t="s">
        <v>283</v>
      </c>
      <c r="D42" s="1122"/>
      <c r="E42" s="1116"/>
      <c r="F42" s="1141">
        <f t="shared" ref="F42:K42" si="6">IF(F40=0,0,ROUND(F41/F40,5))</f>
        <v>0.10353</v>
      </c>
      <c r="G42" s="1142">
        <f t="shared" si="6"/>
        <v>0</v>
      </c>
      <c r="H42" s="1143">
        <f t="shared" si="6"/>
        <v>0.10353</v>
      </c>
      <c r="I42" s="1144">
        <f t="shared" si="6"/>
        <v>0</v>
      </c>
      <c r="J42" s="1141">
        <f t="shared" si="6"/>
        <v>0.10353</v>
      </c>
      <c r="K42" s="1127">
        <f t="shared" si="6"/>
        <v>0</v>
      </c>
    </row>
    <row r="43" spans="1:14">
      <c r="A43" s="1112">
        <v>33</v>
      </c>
      <c r="B43" s="1024" t="s">
        <v>110</v>
      </c>
      <c r="C43" s="1024"/>
      <c r="D43" s="1122"/>
      <c r="E43" s="1116"/>
      <c r="F43" s="1127">
        <f t="shared" ref="F43:K43" si="7">F31-F40</f>
        <v>0</v>
      </c>
      <c r="G43" s="1124">
        <f t="shared" si="7"/>
        <v>0</v>
      </c>
      <c r="H43" s="1125">
        <f t="shared" si="7"/>
        <v>0</v>
      </c>
      <c r="I43" s="1126">
        <f t="shared" si="7"/>
        <v>0</v>
      </c>
      <c r="J43" s="1127">
        <f t="shared" si="7"/>
        <v>0</v>
      </c>
      <c r="K43" s="1127">
        <f t="shared" si="7"/>
        <v>0</v>
      </c>
    </row>
    <row r="44" spans="1:14">
      <c r="A44" s="1112">
        <v>34</v>
      </c>
      <c r="B44" s="1024"/>
      <c r="C44" s="1024" t="s">
        <v>283</v>
      </c>
      <c r="D44" s="1122"/>
      <c r="E44" s="1116"/>
      <c r="F44" s="1141">
        <f t="shared" ref="F44:K44" si="8">IF(F40=0,0,ROUND(F43/F40,5))</f>
        <v>0</v>
      </c>
      <c r="G44" s="1145">
        <f t="shared" si="8"/>
        <v>0</v>
      </c>
      <c r="H44" s="1146">
        <f t="shared" si="8"/>
        <v>0</v>
      </c>
      <c r="I44" s="1147">
        <f t="shared" si="8"/>
        <v>0</v>
      </c>
      <c r="J44" s="1141">
        <f t="shared" si="8"/>
        <v>0</v>
      </c>
      <c r="K44" s="1127">
        <f t="shared" si="8"/>
        <v>0</v>
      </c>
    </row>
    <row r="45" spans="1:14">
      <c r="A45" s="343"/>
      <c r="C45" s="196"/>
      <c r="D45" s="344"/>
      <c r="E45" s="196"/>
      <c r="F45" s="196"/>
      <c r="G45" s="196"/>
      <c r="H45" s="196"/>
      <c r="I45" s="196"/>
      <c r="J45" s="196"/>
      <c r="K45" s="196"/>
    </row>
    <row r="46" spans="1:14">
      <c r="A46" s="343" t="str">
        <f>co_name</f>
        <v>DUKE ENERGY KENTUCKY, INC.</v>
      </c>
      <c r="C46" s="196"/>
      <c r="D46" s="344"/>
      <c r="E46" s="196"/>
      <c r="F46" s="196"/>
      <c r="G46" s="196"/>
      <c r="H46" s="196"/>
      <c r="I46" s="196"/>
      <c r="J46" s="196" t="str">
        <f>$J$1</f>
        <v>FR-16(7)(v)-2</v>
      </c>
      <c r="K46" s="196"/>
    </row>
    <row r="47" spans="1:14">
      <c r="A47" s="343" t="str">
        <f>$A$2</f>
        <v>PRODUCTION CLASSIFIED - GAS COST OF SERVICE</v>
      </c>
      <c r="C47" s="196"/>
      <c r="D47" s="344"/>
      <c r="E47" s="196"/>
      <c r="F47" s="196"/>
      <c r="G47" s="196"/>
      <c r="H47" s="196"/>
      <c r="I47" s="196"/>
      <c r="J47" s="196" t="str">
        <f>$J$2</f>
        <v>WITNESS RESPONSIBLE:</v>
      </c>
      <c r="K47" s="196"/>
    </row>
    <row r="48" spans="1:14">
      <c r="A48" s="343" t="str">
        <f>case_name</f>
        <v>CASE NO: 2018-00261</v>
      </c>
      <c r="C48" s="196"/>
      <c r="D48" s="344"/>
      <c r="E48" s="196"/>
      <c r="F48" s="196"/>
      <c r="G48" s="196"/>
      <c r="H48" s="196"/>
      <c r="I48" s="196"/>
      <c r="J48" s="196" t="str">
        <f>Witness</f>
        <v>JAMES E. ZIOLKOWSKI</v>
      </c>
      <c r="K48" s="196"/>
    </row>
    <row r="49" spans="1:11">
      <c r="A49" s="343" t="str">
        <f>data_filing</f>
        <v>DATA: 12 MONTH FORECASTED PERIOD</v>
      </c>
      <c r="C49" s="196"/>
      <c r="D49" s="344"/>
      <c r="E49" s="196"/>
      <c r="F49" s="196"/>
      <c r="G49" s="196"/>
      <c r="H49" s="196"/>
      <c r="I49" s="196"/>
      <c r="J49" s="196" t="str">
        <f>"PAGE "&amp;Pages-16&amp;" OF "&amp;Pages</f>
        <v>PAGE 2 OF 18</v>
      </c>
      <c r="K49" s="196"/>
    </row>
    <row r="50" spans="1:11">
      <c r="A50" s="343" t="str">
        <f>type</f>
        <v xml:space="preserve">TYPE OF FILING: "X" ORIGINAL   UPDATED    REVISED  </v>
      </c>
      <c r="C50" s="196"/>
      <c r="D50" s="344"/>
      <c r="E50" s="196"/>
      <c r="F50" s="196"/>
      <c r="G50" s="196"/>
      <c r="H50" s="196"/>
      <c r="I50" s="196"/>
      <c r="J50" s="196"/>
      <c r="K50" s="196"/>
    </row>
    <row r="51" spans="1:11">
      <c r="A51" s="343"/>
      <c r="C51" s="196"/>
      <c r="D51" s="344"/>
      <c r="E51" s="196"/>
      <c r="F51" s="196"/>
      <c r="G51" s="196"/>
      <c r="H51" s="196"/>
      <c r="I51" s="196"/>
      <c r="J51" s="196"/>
      <c r="K51" s="196"/>
    </row>
    <row r="52" spans="1:11">
      <c r="A52" s="343"/>
      <c r="C52" s="196"/>
      <c r="D52" s="344"/>
      <c r="E52" s="196"/>
      <c r="F52" s="196"/>
      <c r="G52" s="196"/>
      <c r="H52" s="196"/>
      <c r="I52" s="196"/>
      <c r="J52" s="196"/>
      <c r="K52" s="196"/>
    </row>
    <row r="53" spans="1:11">
      <c r="A53" s="344" t="s">
        <v>914</v>
      </c>
      <c r="B53" s="196"/>
      <c r="C53" s="196"/>
      <c r="D53" s="344"/>
      <c r="E53" s="196"/>
      <c r="F53" s="344" t="str">
        <f>$F$8</f>
        <v>TOTAL</v>
      </c>
      <c r="G53" s="545" t="s">
        <v>1005</v>
      </c>
      <c r="H53" s="533"/>
      <c r="I53" s="534"/>
      <c r="J53" s="344" t="s">
        <v>229</v>
      </c>
      <c r="K53" s="344" t="s">
        <v>342</v>
      </c>
    </row>
    <row r="54" spans="1:11">
      <c r="A54" s="346" t="s">
        <v>915</v>
      </c>
      <c r="B54" s="345" t="s">
        <v>95</v>
      </c>
      <c r="C54" s="345"/>
      <c r="D54" s="346" t="s">
        <v>337</v>
      </c>
      <c r="E54" s="345"/>
      <c r="F54" s="346" t="str">
        <f>$F$9</f>
        <v>PRODUCTION</v>
      </c>
      <c r="G54" s="546" t="s">
        <v>847</v>
      </c>
      <c r="H54" s="535" t="s">
        <v>848</v>
      </c>
      <c r="I54" s="536" t="s">
        <v>849</v>
      </c>
      <c r="J54" s="346" t="s">
        <v>341</v>
      </c>
      <c r="K54" s="346" t="s">
        <v>340</v>
      </c>
    </row>
    <row r="55" spans="1:11">
      <c r="C55" s="578" t="s">
        <v>344</v>
      </c>
      <c r="D55" s="344"/>
      <c r="E55" s="196"/>
      <c r="G55" s="800">
        <f>$G$10</f>
        <v>3</v>
      </c>
      <c r="H55" s="801">
        <f>$H$10</f>
        <v>4</v>
      </c>
      <c r="I55" s="802">
        <f>$I$10</f>
        <v>5</v>
      </c>
      <c r="K55" s="332" t="s">
        <v>343</v>
      </c>
    </row>
    <row r="56" spans="1:11">
      <c r="A56" s="333">
        <v>1</v>
      </c>
      <c r="B56" s="332" t="s">
        <v>14</v>
      </c>
      <c r="E56" s="196"/>
      <c r="G56" s="547"/>
      <c r="H56" s="537"/>
      <c r="I56" s="538"/>
    </row>
    <row r="57" spans="1:11">
      <c r="A57" s="333">
        <v>2</v>
      </c>
      <c r="C57" s="365" t="str">
        <f>'FR-16(7)(v)-1 Functional'!C57</f>
        <v>PRODUCTION PLANT</v>
      </c>
      <c r="D57" s="344" t="str">
        <f>'FR-16(7)(v)-1 Functional'!D57</f>
        <v>K205</v>
      </c>
      <c r="E57" s="196"/>
      <c r="F57" s="479">
        <f>'FR-16(7)(v)-1 Functional'!G57</f>
        <v>2799608</v>
      </c>
      <c r="G57" s="548">
        <f>ROUND(F57*VLOOKUP(D57,AllocTable_Classified_Production,$G$10,FALSE),0)</f>
        <v>0</v>
      </c>
      <c r="H57" s="539">
        <f>ROUND(F57*VLOOKUP(D57,AllocTable_Classified_Production,$H$10,FALSE),0)</f>
        <v>2799608</v>
      </c>
      <c r="I57" s="540">
        <f>ROUND(F57*VLOOKUP(D57,AllocTable_Classified_Production,$I$10,FALSE),0)</f>
        <v>0</v>
      </c>
      <c r="J57" s="347">
        <f>SUM($G$57:$I$57)</f>
        <v>2799608</v>
      </c>
      <c r="K57" s="347">
        <f>F57-$J$57</f>
        <v>0</v>
      </c>
    </row>
    <row r="58" spans="1:11">
      <c r="A58" s="333">
        <v>3</v>
      </c>
      <c r="C58" s="359" t="str">
        <f>'FR-16(7)(v)-1 Functional'!C58</f>
        <v>GAS PRODUCTION -CPMPL NOT CLASS</v>
      </c>
      <c r="D58" s="344" t="str">
        <f>'FR-16(7)(v)-1 Functional'!D58</f>
        <v>K205</v>
      </c>
      <c r="E58" s="196"/>
      <c r="F58" s="479">
        <f>'FR-16(7)(v)-1 Functional'!G58</f>
        <v>0</v>
      </c>
      <c r="G58" s="548">
        <f>ROUND(F58*VLOOKUP(D58,AllocTable_Classified_Production,$G$10,FALSE),0)</f>
        <v>0</v>
      </c>
      <c r="H58" s="539">
        <f>ROUND(F58*VLOOKUP(D58,AllocTable_Classified_Production,$H$10,FALSE),0)</f>
        <v>0</v>
      </c>
      <c r="I58" s="540">
        <f>ROUND(F58*VLOOKUP(D58,AllocTable_Classified_Production,$I$10,FALSE),0)</f>
        <v>0</v>
      </c>
      <c r="J58" s="347">
        <f>SUM($G$58:$I$58)</f>
        <v>0</v>
      </c>
      <c r="K58" s="347">
        <f>F58-$J$58</f>
        <v>0</v>
      </c>
    </row>
    <row r="59" spans="1:11">
      <c r="A59" s="333">
        <v>4</v>
      </c>
      <c r="C59" s="332" t="str">
        <f>'FR-16(7)(v)-1 Functional'!C59</f>
        <v xml:space="preserve">  PRODUCTION PLANT IN SERVICE</v>
      </c>
      <c r="D59" s="344"/>
      <c r="E59" s="196"/>
      <c r="F59" s="348">
        <f>SUM(F57:F58)</f>
        <v>2799608</v>
      </c>
      <c r="G59" s="549">
        <f>SUM($G$57:$G$58)</f>
        <v>0</v>
      </c>
      <c r="H59" s="541">
        <f>SUM($H$57:$H$58)</f>
        <v>2799608</v>
      </c>
      <c r="I59" s="542">
        <f>SUM($I$57:$I$58)</f>
        <v>0</v>
      </c>
      <c r="J59" s="348">
        <f>SUM($J$57:$J$58)</f>
        <v>2799608</v>
      </c>
      <c r="K59" s="348">
        <f>SUM($K$57:$K$58)</f>
        <v>0</v>
      </c>
    </row>
    <row r="60" spans="1:11">
      <c r="A60" s="333">
        <v>5</v>
      </c>
      <c r="D60" s="344"/>
      <c r="E60" s="196"/>
      <c r="G60" s="547"/>
      <c r="H60" s="537"/>
      <c r="I60" s="538"/>
    </row>
    <row r="61" spans="1:11">
      <c r="A61" s="333">
        <v>6</v>
      </c>
      <c r="B61" s="332" t="s">
        <v>15</v>
      </c>
      <c r="D61" s="344"/>
      <c r="E61" s="196"/>
      <c r="G61" s="547"/>
      <c r="H61" s="537"/>
      <c r="I61" s="538"/>
    </row>
    <row r="62" spans="1:11">
      <c r="A62" s="333">
        <v>7</v>
      </c>
      <c r="C62" s="359" t="str">
        <f>'FR-16(7)(v)-1 Functional'!C62</f>
        <v>TRANSMISSION PLANT</v>
      </c>
      <c r="D62" s="344" t="s">
        <v>343</v>
      </c>
      <c r="E62" s="196"/>
      <c r="F62" s="477"/>
      <c r="G62" s="548"/>
      <c r="H62" s="539"/>
      <c r="I62" s="540"/>
      <c r="J62" s="347"/>
      <c r="K62" s="347"/>
    </row>
    <row r="63" spans="1:11">
      <c r="A63" s="333">
        <v>8</v>
      </c>
      <c r="C63" s="332" t="str">
        <f>'FR-16(7)(v)-1 Functional'!C63</f>
        <v xml:space="preserve">  TRANSMISSION PLANT IN SERVICE</v>
      </c>
      <c r="D63" s="344"/>
      <c r="E63" s="196"/>
      <c r="F63" s="348">
        <f>SUM(F62)</f>
        <v>0</v>
      </c>
      <c r="G63" s="549">
        <f>SUM($G$62)</f>
        <v>0</v>
      </c>
      <c r="H63" s="541">
        <f>SUM($H$62)</f>
        <v>0</v>
      </c>
      <c r="I63" s="542">
        <f>SUM($I$62)</f>
        <v>0</v>
      </c>
      <c r="J63" s="348">
        <f>SUM($J$62)</f>
        <v>0</v>
      </c>
      <c r="K63" s="348">
        <f>SUM($K$62)</f>
        <v>0</v>
      </c>
    </row>
    <row r="64" spans="1:11">
      <c r="A64" s="333">
        <v>9</v>
      </c>
      <c r="D64" s="344"/>
      <c r="E64" s="196"/>
      <c r="G64" s="547"/>
      <c r="H64" s="537"/>
      <c r="I64" s="538"/>
    </row>
    <row r="65" spans="1:11">
      <c r="A65" s="333">
        <v>10</v>
      </c>
      <c r="B65" s="332" t="s">
        <v>16</v>
      </c>
      <c r="D65" s="344"/>
      <c r="E65" s="196"/>
      <c r="F65" s="347">
        <f>F63+F59</f>
        <v>2799608</v>
      </c>
      <c r="G65" s="548">
        <f>$G$63+$G$59</f>
        <v>0</v>
      </c>
      <c r="H65" s="539">
        <f>$H$63+$H$59</f>
        <v>2799608</v>
      </c>
      <c r="I65" s="540">
        <f>$I$63+$I$59</f>
        <v>0</v>
      </c>
      <c r="J65" s="347">
        <f>$J$63+$J$59</f>
        <v>2799608</v>
      </c>
      <c r="K65" s="347">
        <f>$K$63+$K$59</f>
        <v>0</v>
      </c>
    </row>
    <row r="66" spans="1:11">
      <c r="A66" s="333">
        <v>11</v>
      </c>
      <c r="D66" s="344"/>
      <c r="E66" s="196"/>
      <c r="G66" s="547"/>
      <c r="H66" s="537"/>
      <c r="I66" s="538"/>
    </row>
    <row r="67" spans="1:11">
      <c r="A67" s="333">
        <v>12</v>
      </c>
      <c r="B67" s="332" t="s">
        <v>17</v>
      </c>
      <c r="D67" s="344"/>
      <c r="E67" s="196"/>
      <c r="G67" s="547"/>
      <c r="H67" s="537"/>
      <c r="I67" s="538"/>
    </row>
    <row r="68" spans="1:11">
      <c r="A68" s="333">
        <v>13</v>
      </c>
      <c r="C68" s="332" t="str">
        <f>'FR-16(7)(v)-1 Functional'!C68</f>
        <v>SYSTEM M&amp;R - (2780, 2781)</v>
      </c>
      <c r="D68" s="344" t="str">
        <f>'FR-16(7)(v)-1 Functional'!D68</f>
        <v>K203</v>
      </c>
      <c r="E68" s="196"/>
      <c r="F68" s="479">
        <f>'FR-16(7)(v)-1 Functional'!G68</f>
        <v>0</v>
      </c>
      <c r="G68" s="548">
        <f t="shared" ref="G68:G77" si="9">ROUND(F68*VLOOKUP(D68,AllocTable_Classified_Production,$G$10,FALSE),0)</f>
        <v>0</v>
      </c>
      <c r="H68" s="539">
        <f t="shared" ref="H68:H77" si="10">ROUND(F68*VLOOKUP(D68,AllocTable_Classified_Production,$H$10,FALSE),0)</f>
        <v>0</v>
      </c>
      <c r="I68" s="540">
        <f t="shared" ref="I68:I77" si="11">ROUND(F68*VLOOKUP(D68,AllocTable_Classified_Production,$I$10,FALSE),0)</f>
        <v>0</v>
      </c>
      <c r="J68" s="347">
        <f t="shared" ref="J68:J77" si="12">SUM(G68:I68)</f>
        <v>0</v>
      </c>
      <c r="K68" s="347">
        <f t="shared" ref="K68:K77" si="13">F68-J68</f>
        <v>0</v>
      </c>
    </row>
    <row r="69" spans="1:11">
      <c r="A69" s="333">
        <v>14</v>
      </c>
      <c r="C69" s="332" t="str">
        <f>'FR-16(7)(v)-1 Functional'!C69</f>
        <v xml:space="preserve">DIST REG EQUIP &amp; CITY GATE M&amp;R- (2782, 2790) </v>
      </c>
      <c r="D69" s="344" t="str">
        <f>'FR-16(7)(v)-1 Functional'!D69</f>
        <v>K203</v>
      </c>
      <c r="E69" s="196"/>
      <c r="F69" s="479">
        <f>'FR-16(7)(v)-1 Functional'!G69</f>
        <v>0</v>
      </c>
      <c r="G69" s="548">
        <f t="shared" si="9"/>
        <v>0</v>
      </c>
      <c r="H69" s="539">
        <f t="shared" si="10"/>
        <v>0</v>
      </c>
      <c r="I69" s="540">
        <f t="shared" si="11"/>
        <v>0</v>
      </c>
      <c r="J69" s="347">
        <f t="shared" si="12"/>
        <v>0</v>
      </c>
      <c r="K69" s="347">
        <f t="shared" si="13"/>
        <v>0</v>
      </c>
    </row>
    <row r="70" spans="1:11">
      <c r="A70" s="333">
        <v>15</v>
      </c>
      <c r="C70" s="332" t="str">
        <f>'FR-16(7)(v)-1 Functional'!C70</f>
        <v>LARGE IND M&amp;R - (2850, 2851)</v>
      </c>
      <c r="D70" s="344" t="str">
        <f>'FR-16(7)(v)-1 Functional'!D70</f>
        <v>K595</v>
      </c>
      <c r="E70" s="196"/>
      <c r="F70" s="479">
        <f>'FR-16(7)(v)-1 Functional'!G70</f>
        <v>0</v>
      </c>
      <c r="G70" s="548">
        <f t="shared" si="9"/>
        <v>0</v>
      </c>
      <c r="H70" s="539">
        <f t="shared" si="10"/>
        <v>0</v>
      </c>
      <c r="I70" s="540">
        <f t="shared" si="11"/>
        <v>0</v>
      </c>
      <c r="J70" s="347">
        <f t="shared" si="12"/>
        <v>0</v>
      </c>
      <c r="K70" s="347">
        <f t="shared" si="13"/>
        <v>0</v>
      </c>
    </row>
    <row r="71" spans="1:11">
      <c r="A71" s="333">
        <v>16</v>
      </c>
      <c r="C71" s="332" t="str">
        <f>'FR-16(7)(v)-1 Functional'!C71</f>
        <v>MAINS - (2761, 2762, 2763, 2765)</v>
      </c>
      <c r="D71" s="344" t="str">
        <f>'FR-16(7)(v)-1 Functional'!D71</f>
        <v>K415</v>
      </c>
      <c r="E71" s="196"/>
      <c r="F71" s="479">
        <f>'FR-16(7)(v)-1 Functional'!G71</f>
        <v>0</v>
      </c>
      <c r="G71" s="548">
        <f t="shared" si="9"/>
        <v>0</v>
      </c>
      <c r="H71" s="539">
        <f t="shared" si="10"/>
        <v>0</v>
      </c>
      <c r="I71" s="540">
        <f t="shared" si="11"/>
        <v>0</v>
      </c>
      <c r="J71" s="347">
        <f t="shared" si="12"/>
        <v>0</v>
      </c>
      <c r="K71" s="347">
        <f t="shared" si="13"/>
        <v>0</v>
      </c>
    </row>
    <row r="72" spans="1:11">
      <c r="A72" s="333">
        <v>17</v>
      </c>
      <c r="C72" s="332" t="str">
        <f>'FR-16(7)(v)-1 Functional'!C72</f>
        <v>SERVICES - (2801, 2802, 2803)</v>
      </c>
      <c r="D72" s="344" t="str">
        <f>'FR-16(7)(v)-1 Functional'!D72</f>
        <v>K403</v>
      </c>
      <c r="E72" s="196"/>
      <c r="F72" s="479">
        <f>'FR-16(7)(v)-1 Functional'!G72</f>
        <v>0</v>
      </c>
      <c r="G72" s="548">
        <f t="shared" si="9"/>
        <v>0</v>
      </c>
      <c r="H72" s="539">
        <f t="shared" si="10"/>
        <v>0</v>
      </c>
      <c r="I72" s="540">
        <f t="shared" si="11"/>
        <v>0</v>
      </c>
      <c r="J72" s="347">
        <f t="shared" si="12"/>
        <v>0</v>
      </c>
      <c r="K72" s="347">
        <f t="shared" si="13"/>
        <v>0</v>
      </c>
    </row>
    <row r="73" spans="1:11">
      <c r="A73" s="333">
        <v>18</v>
      </c>
      <c r="C73" s="332" t="str">
        <f>'FR-16(7)(v)-1 Functional'!C73</f>
        <v>MTRS &amp; MTR INST (2810, 2811, 2820, 2821)</v>
      </c>
      <c r="D73" s="344" t="str">
        <f>'FR-16(7)(v)-1 Functional'!D73</f>
        <v>K413</v>
      </c>
      <c r="E73" s="196"/>
      <c r="F73" s="479">
        <f>'FR-16(7)(v)-1 Functional'!G73</f>
        <v>0</v>
      </c>
      <c r="G73" s="548">
        <f t="shared" si="9"/>
        <v>0</v>
      </c>
      <c r="H73" s="539">
        <f t="shared" si="10"/>
        <v>0</v>
      </c>
      <c r="I73" s="540">
        <f t="shared" si="11"/>
        <v>0</v>
      </c>
      <c r="J73" s="347">
        <f t="shared" si="12"/>
        <v>0</v>
      </c>
      <c r="K73" s="347">
        <f t="shared" si="13"/>
        <v>0</v>
      </c>
    </row>
    <row r="74" spans="1:11">
      <c r="A74" s="333">
        <v>19</v>
      </c>
      <c r="C74" s="332" t="str">
        <f>'FR-16(7)(v)-1 Functional'!C74</f>
        <v>LAND, R OF W, STRUCT &amp; IMPROV</v>
      </c>
      <c r="D74" s="344" t="str">
        <f>'FR-16(7)(v)-1 Functional'!D74</f>
        <v>K203</v>
      </c>
      <c r="E74" s="196"/>
      <c r="F74" s="479">
        <f>'FR-16(7)(v)-1 Functional'!G74</f>
        <v>0</v>
      </c>
      <c r="G74" s="548">
        <f t="shared" si="9"/>
        <v>0</v>
      </c>
      <c r="H74" s="539">
        <f t="shared" si="10"/>
        <v>0</v>
      </c>
      <c r="I74" s="540">
        <f t="shared" si="11"/>
        <v>0</v>
      </c>
      <c r="J74" s="347">
        <f t="shared" si="12"/>
        <v>0</v>
      </c>
      <c r="K74" s="347">
        <f t="shared" si="13"/>
        <v>0</v>
      </c>
    </row>
    <row r="75" spans="1:11">
      <c r="A75" s="333">
        <v>20</v>
      </c>
      <c r="C75" s="332" t="str">
        <f>'FR-16(7)(v)-1 Functional'!C75</f>
        <v>HOUSE REG &amp; INSTALL (2830, 2840)</v>
      </c>
      <c r="D75" s="344" t="str">
        <f>'FR-16(7)(v)-1 Functional'!D75</f>
        <v>K417</v>
      </c>
      <c r="E75" s="196"/>
      <c r="F75" s="479">
        <f>'FR-16(7)(v)-1 Functional'!G75</f>
        <v>0</v>
      </c>
      <c r="G75" s="548">
        <f t="shared" si="9"/>
        <v>0</v>
      </c>
      <c r="H75" s="539">
        <f t="shared" si="10"/>
        <v>0</v>
      </c>
      <c r="I75" s="540">
        <f t="shared" si="11"/>
        <v>0</v>
      </c>
      <c r="J75" s="347">
        <f t="shared" si="12"/>
        <v>0</v>
      </c>
      <c r="K75" s="347">
        <f t="shared" si="13"/>
        <v>0</v>
      </c>
    </row>
    <row r="76" spans="1:11">
      <c r="A76" s="333">
        <v>21</v>
      </c>
      <c r="C76" s="365" t="str">
        <f>'FR-16(7)(v)-1 Functional'!C76</f>
        <v>STREET LIGHTING EQUIPMENT &amp; OTH</v>
      </c>
      <c r="D76" s="344" t="str">
        <f>'FR-16(7)(v)-1 Functional'!D76</f>
        <v>K597</v>
      </c>
      <c r="E76" s="196"/>
      <c r="F76" s="479">
        <f>'FR-16(7)(v)-1 Functional'!G76</f>
        <v>0</v>
      </c>
      <c r="G76" s="548">
        <f t="shared" si="9"/>
        <v>0</v>
      </c>
      <c r="H76" s="539">
        <f t="shared" si="10"/>
        <v>0</v>
      </c>
      <c r="I76" s="540">
        <f t="shared" si="11"/>
        <v>0</v>
      </c>
      <c r="J76" s="347">
        <f t="shared" si="12"/>
        <v>0</v>
      </c>
      <c r="K76" s="347">
        <f t="shared" si="13"/>
        <v>0</v>
      </c>
    </row>
    <row r="77" spans="1:11">
      <c r="A77" s="333">
        <v>22</v>
      </c>
      <c r="C77" s="332" t="str">
        <f>'FR-16(7)(v)-1 Functional'!C77</f>
        <v>ASSET RETIREMENT COST FOR DISTRIBUTION PLANT</v>
      </c>
      <c r="D77" s="344" t="str">
        <f>'FR-16(7)(v)-1 Functional'!D77</f>
        <v>K203</v>
      </c>
      <c r="E77" s="196"/>
      <c r="F77" s="479">
        <f>'FR-16(7)(v)-1 Functional'!G77</f>
        <v>0</v>
      </c>
      <c r="G77" s="548">
        <f t="shared" si="9"/>
        <v>0</v>
      </c>
      <c r="H77" s="539">
        <f t="shared" si="10"/>
        <v>0</v>
      </c>
      <c r="I77" s="540">
        <f t="shared" si="11"/>
        <v>0</v>
      </c>
      <c r="J77" s="347">
        <f t="shared" si="12"/>
        <v>0</v>
      </c>
      <c r="K77" s="347">
        <f t="shared" si="13"/>
        <v>0</v>
      </c>
    </row>
    <row r="78" spans="1:11">
      <c r="A78" s="333">
        <v>23</v>
      </c>
      <c r="C78" s="339" t="str">
        <f>'FR-16(7)(v)-1 Functional'!C78</f>
        <v xml:space="preserve">  DISTRIBUTION PLANT IN SERVICE</v>
      </c>
      <c r="D78" s="344"/>
      <c r="E78" s="196"/>
      <c r="F78" s="348">
        <f t="shared" ref="F78:K78" si="14">SUM(F68:F77)</f>
        <v>0</v>
      </c>
      <c r="G78" s="549">
        <f t="shared" si="14"/>
        <v>0</v>
      </c>
      <c r="H78" s="541">
        <f t="shared" si="14"/>
        <v>0</v>
      </c>
      <c r="I78" s="542">
        <f t="shared" si="14"/>
        <v>0</v>
      </c>
      <c r="J78" s="348">
        <f t="shared" si="14"/>
        <v>0</v>
      </c>
      <c r="K78" s="348">
        <f t="shared" si="14"/>
        <v>0</v>
      </c>
    </row>
    <row r="79" spans="1:11">
      <c r="A79" s="333">
        <v>24</v>
      </c>
      <c r="D79" s="344"/>
      <c r="E79" s="196"/>
      <c r="G79" s="547"/>
      <c r="H79" s="537"/>
      <c r="I79" s="538"/>
    </row>
    <row r="80" spans="1:11">
      <c r="A80" s="333">
        <v>25</v>
      </c>
      <c r="B80" s="332" t="s">
        <v>18</v>
      </c>
      <c r="D80" s="344"/>
      <c r="E80" s="196"/>
      <c r="F80" s="347">
        <f>F78+F63</f>
        <v>0</v>
      </c>
      <c r="G80" s="548">
        <f>G78+$G$63</f>
        <v>0</v>
      </c>
      <c r="H80" s="539">
        <f>H78+$H$63</f>
        <v>0</v>
      </c>
      <c r="I80" s="540">
        <f>I78+$I$63</f>
        <v>0</v>
      </c>
      <c r="J80" s="347">
        <f>J78+$J$63</f>
        <v>0</v>
      </c>
      <c r="K80" s="347">
        <f>K78+$K$63</f>
        <v>0</v>
      </c>
    </row>
    <row r="81" spans="1:11">
      <c r="A81" s="333">
        <v>26</v>
      </c>
      <c r="B81" s="332" t="s">
        <v>19</v>
      </c>
      <c r="D81" s="344"/>
      <c r="E81" s="196"/>
      <c r="F81" s="347">
        <f t="shared" ref="F81:K81" si="15">F78+F65</f>
        <v>2799608</v>
      </c>
      <c r="G81" s="548">
        <f t="shared" si="15"/>
        <v>0</v>
      </c>
      <c r="H81" s="539">
        <f t="shared" si="15"/>
        <v>2799608</v>
      </c>
      <c r="I81" s="540">
        <f t="shared" si="15"/>
        <v>0</v>
      </c>
      <c r="J81" s="347">
        <f t="shared" si="15"/>
        <v>2799608</v>
      </c>
      <c r="K81" s="347">
        <f t="shared" si="15"/>
        <v>0</v>
      </c>
    </row>
    <row r="82" spans="1:11">
      <c r="A82" s="333">
        <v>27</v>
      </c>
      <c r="D82" s="344"/>
      <c r="E82" s="196"/>
      <c r="G82" s="547"/>
      <c r="H82" s="537"/>
      <c r="I82" s="538"/>
    </row>
    <row r="83" spans="1:11">
      <c r="A83" s="333">
        <v>28</v>
      </c>
      <c r="B83" s="332" t="s">
        <v>20</v>
      </c>
      <c r="D83" s="344"/>
      <c r="E83" s="196"/>
      <c r="G83" s="547"/>
      <c r="H83" s="537"/>
      <c r="I83" s="538"/>
    </row>
    <row r="84" spans="1:11">
      <c r="A84" s="333">
        <v>29</v>
      </c>
      <c r="C84" s="332" t="str">
        <f>'FR-16(7)(v)-1 Functional'!C84</f>
        <v>PRODUCTION PLANT</v>
      </c>
      <c r="D84" s="344" t="str">
        <f>'FR-16(7)(v)-1 Functional'!D84</f>
        <v>K201</v>
      </c>
      <c r="E84" s="196"/>
      <c r="F84" s="479">
        <f>'FR-16(7)(v)-1 Functional'!G84</f>
        <v>1418707</v>
      </c>
      <c r="G84" s="548">
        <f t="shared" ref="G84:G89" si="16">ROUND(F84*VLOOKUP(D84,AllocTable_Classified_Production,$G$10,FALSE),0)</f>
        <v>0</v>
      </c>
      <c r="H84" s="539">
        <f t="shared" ref="H84:H89" si="17">ROUND(F84*VLOOKUP(D84,AllocTable_Classified_Production,$H$10,FALSE),0)</f>
        <v>1418707</v>
      </c>
      <c r="I84" s="540">
        <f t="shared" ref="I84:I89" si="18">ROUND(F84*VLOOKUP(D84,AllocTable_Classified_Production,$I$10,FALSE),0)</f>
        <v>0</v>
      </c>
      <c r="J84" s="347">
        <f t="shared" ref="J84:J89" si="19">SUM(G84:I84)</f>
        <v>1418707</v>
      </c>
      <c r="K84" s="347">
        <f t="shared" ref="K84:K89" si="20">F84-J84</f>
        <v>0</v>
      </c>
    </row>
    <row r="85" spans="1:11">
      <c r="A85" s="333">
        <v>30</v>
      </c>
      <c r="C85" s="332" t="str">
        <f>'FR-16(7)(v)-1 Functional'!C85</f>
        <v>PRODUCTION PLANT COMMODITY</v>
      </c>
      <c r="D85" s="344" t="str">
        <f>'FR-16(7)(v)-1 Functional'!D85</f>
        <v>P349</v>
      </c>
      <c r="E85" s="196"/>
      <c r="F85" s="479">
        <f>'FR-16(7)(v)-1 Functional'!G85</f>
        <v>1109764</v>
      </c>
      <c r="G85" s="548">
        <f t="shared" si="16"/>
        <v>0</v>
      </c>
      <c r="H85" s="539">
        <f t="shared" si="17"/>
        <v>1109764</v>
      </c>
      <c r="I85" s="540">
        <f t="shared" si="18"/>
        <v>0</v>
      </c>
      <c r="J85" s="347">
        <f t="shared" si="19"/>
        <v>1109764</v>
      </c>
      <c r="K85" s="347">
        <f t="shared" si="20"/>
        <v>0</v>
      </c>
    </row>
    <row r="86" spans="1:11">
      <c r="A86" s="333">
        <v>31</v>
      </c>
      <c r="C86" s="332" t="str">
        <f>'FR-16(7)(v)-1 Functional'!C86</f>
        <v>DISTRIBUTION PLANT</v>
      </c>
      <c r="D86" s="344" t="str">
        <f>'FR-16(7)(v)-1 Functional'!D86</f>
        <v>D349</v>
      </c>
      <c r="E86" s="196"/>
      <c r="F86" s="479">
        <f>'FR-16(7)(v)-1 Functional'!G86</f>
        <v>0</v>
      </c>
      <c r="G86" s="548">
        <f t="shared" si="16"/>
        <v>0</v>
      </c>
      <c r="H86" s="539">
        <f t="shared" si="17"/>
        <v>0</v>
      </c>
      <c r="I86" s="540">
        <f t="shared" si="18"/>
        <v>0</v>
      </c>
      <c r="J86" s="347">
        <f t="shared" si="19"/>
        <v>0</v>
      </c>
      <c r="K86" s="347">
        <f t="shared" si="20"/>
        <v>0</v>
      </c>
    </row>
    <row r="87" spans="1:11">
      <c r="A87" s="333">
        <v>32</v>
      </c>
      <c r="C87" s="332" t="str">
        <f>'FR-16(7)(v)-1 Functional'!C87</f>
        <v>CUSTOMER ACCOUNTING</v>
      </c>
      <c r="D87" s="344" t="str">
        <f>'FR-16(7)(v)-1 Functional'!D87</f>
        <v>CA19</v>
      </c>
      <c r="E87" s="196"/>
      <c r="F87" s="479">
        <f>'FR-16(7)(v)-1 Functional'!G87</f>
        <v>0</v>
      </c>
      <c r="G87" s="548">
        <f t="shared" si="16"/>
        <v>0</v>
      </c>
      <c r="H87" s="539">
        <f t="shared" si="17"/>
        <v>0</v>
      </c>
      <c r="I87" s="540">
        <f t="shared" si="18"/>
        <v>0</v>
      </c>
      <c r="J87" s="347">
        <f t="shared" si="19"/>
        <v>0</v>
      </c>
      <c r="K87" s="347">
        <f t="shared" si="20"/>
        <v>0</v>
      </c>
    </row>
    <row r="88" spans="1:11">
      <c r="A88" s="333">
        <v>33</v>
      </c>
      <c r="C88" s="332" t="str">
        <f>'FR-16(7)(v)-1 Functional'!C88</f>
        <v>CUSTOMER SERVICE &amp; INFORMATION</v>
      </c>
      <c r="D88" s="344" t="str">
        <f>'FR-16(7)(v)-1 Functional'!D88</f>
        <v>CS19</v>
      </c>
      <c r="E88" s="196"/>
      <c r="F88" s="479">
        <f>'FR-16(7)(v)-1 Functional'!G88</f>
        <v>0</v>
      </c>
      <c r="G88" s="548">
        <f t="shared" si="16"/>
        <v>0</v>
      </c>
      <c r="H88" s="539">
        <f t="shared" si="17"/>
        <v>0</v>
      </c>
      <c r="I88" s="540">
        <f t="shared" si="18"/>
        <v>0</v>
      </c>
      <c r="J88" s="347">
        <f t="shared" si="19"/>
        <v>0</v>
      </c>
      <c r="K88" s="347">
        <f t="shared" si="20"/>
        <v>0</v>
      </c>
    </row>
    <row r="89" spans="1:11">
      <c r="A89" s="333">
        <v>34</v>
      </c>
      <c r="C89" s="332" t="str">
        <f>'FR-16(7)(v)-1 Functional'!C89</f>
        <v>SALES</v>
      </c>
      <c r="D89" s="344" t="str">
        <f>'FR-16(7)(v)-1 Functional'!D89</f>
        <v>SE19</v>
      </c>
      <c r="E89" s="196"/>
      <c r="F89" s="479">
        <f>'FR-16(7)(v)-1 Functional'!G89</f>
        <v>0</v>
      </c>
      <c r="G89" s="548">
        <f t="shared" si="16"/>
        <v>0</v>
      </c>
      <c r="H89" s="539">
        <f t="shared" si="17"/>
        <v>0</v>
      </c>
      <c r="I89" s="540">
        <f t="shared" si="18"/>
        <v>0</v>
      </c>
      <c r="J89" s="347">
        <f t="shared" si="19"/>
        <v>0</v>
      </c>
      <c r="K89" s="347">
        <f t="shared" si="20"/>
        <v>0</v>
      </c>
    </row>
    <row r="90" spans="1:11">
      <c r="A90" s="333">
        <v>35</v>
      </c>
      <c r="C90" s="339" t="str">
        <f>'FR-16(7)(v)-1 Functional'!C90</f>
        <v xml:space="preserve">  GEN &amp; INTANG PLANT IN SERVICE</v>
      </c>
      <c r="D90" s="344"/>
      <c r="E90" s="196"/>
      <c r="F90" s="480">
        <f t="shared" ref="F90:K90" si="21">SUM(F84:F89)</f>
        <v>2528471</v>
      </c>
      <c r="G90" s="549">
        <f t="shared" si="21"/>
        <v>0</v>
      </c>
      <c r="H90" s="541">
        <f t="shared" si="21"/>
        <v>2528471</v>
      </c>
      <c r="I90" s="542">
        <f t="shared" si="21"/>
        <v>0</v>
      </c>
      <c r="J90" s="348">
        <f t="shared" si="21"/>
        <v>2528471</v>
      </c>
      <c r="K90" s="348">
        <f t="shared" si="21"/>
        <v>0</v>
      </c>
    </row>
    <row r="91" spans="1:11">
      <c r="A91" s="333">
        <v>36</v>
      </c>
      <c r="D91" s="344"/>
      <c r="E91" s="196"/>
      <c r="G91" s="547"/>
      <c r="H91" s="537"/>
      <c r="I91" s="538"/>
    </row>
    <row r="92" spans="1:11">
      <c r="A92" s="333">
        <v>37</v>
      </c>
      <c r="B92" s="332" t="s">
        <v>21</v>
      </c>
      <c r="D92" s="344"/>
      <c r="E92" s="196"/>
      <c r="G92" s="547"/>
      <c r="H92" s="537"/>
      <c r="I92" s="538"/>
    </row>
    <row r="93" spans="1:11">
      <c r="A93" s="333">
        <v>38</v>
      </c>
      <c r="C93" s="332" t="str">
        <f>'FR-16(7)(v)-1 Functional'!C93</f>
        <v>PRODUCTION PLANT</v>
      </c>
      <c r="D93" s="344" t="str">
        <f>'FR-16(7)(v)-1 Functional'!D93</f>
        <v>K201</v>
      </c>
      <c r="E93" s="196"/>
      <c r="F93" s="479">
        <f>'FR-16(7)(v)-1 Functional'!G93</f>
        <v>746752</v>
      </c>
      <c r="G93" s="548">
        <f t="shared" ref="G93:G98" si="22">ROUND(F93*VLOOKUP(D93,AllocTable_Classified_Production,$G$10,FALSE),0)</f>
        <v>0</v>
      </c>
      <c r="H93" s="539">
        <f t="shared" ref="H93:H98" si="23">ROUND(F93*VLOOKUP(D93,AllocTable_Classified_Production,$H$10,FALSE),0)</f>
        <v>746752</v>
      </c>
      <c r="I93" s="540">
        <f t="shared" ref="I93:I98" si="24">ROUND(F93*VLOOKUP(D93,AllocTable_Classified_Production,$I$10,FALSE),0)</f>
        <v>0</v>
      </c>
      <c r="J93" s="347">
        <f t="shared" ref="J93:J98" si="25">SUM(G93:I93)</f>
        <v>746752</v>
      </c>
      <c r="K93" s="347">
        <f t="shared" ref="K93:K98" si="26">F93-J93</f>
        <v>0</v>
      </c>
    </row>
    <row r="94" spans="1:11">
      <c r="A94" s="333">
        <v>39</v>
      </c>
      <c r="C94" s="332" t="str">
        <f>'FR-16(7)(v)-1 Functional'!C94</f>
        <v>PRODUCTION PLANT COMMODITY</v>
      </c>
      <c r="D94" s="344" t="str">
        <f>'FR-16(7)(v)-1 Functional'!D94</f>
        <v>P349</v>
      </c>
      <c r="E94" s="196"/>
      <c r="F94" s="479">
        <f>'FR-16(7)(v)-1 Functional'!G94</f>
        <v>584136</v>
      </c>
      <c r="G94" s="548">
        <f t="shared" si="22"/>
        <v>0</v>
      </c>
      <c r="H94" s="539">
        <f t="shared" si="23"/>
        <v>584136</v>
      </c>
      <c r="I94" s="540">
        <f t="shared" si="24"/>
        <v>0</v>
      </c>
      <c r="J94" s="347">
        <f t="shared" si="25"/>
        <v>584136</v>
      </c>
      <c r="K94" s="347">
        <f t="shared" si="26"/>
        <v>0</v>
      </c>
    </row>
    <row r="95" spans="1:11">
      <c r="A95" s="333">
        <v>40</v>
      </c>
      <c r="C95" s="332" t="str">
        <f>'FR-16(7)(v)-1 Functional'!C95</f>
        <v>DISTRIBUTION PLANT</v>
      </c>
      <c r="D95" s="344" t="str">
        <f>'FR-16(7)(v)-1 Functional'!D95</f>
        <v>D349</v>
      </c>
      <c r="E95" s="196"/>
      <c r="F95" s="479">
        <f>'FR-16(7)(v)-1 Functional'!G95</f>
        <v>0</v>
      </c>
      <c r="G95" s="548">
        <f t="shared" si="22"/>
        <v>0</v>
      </c>
      <c r="H95" s="539">
        <f t="shared" si="23"/>
        <v>0</v>
      </c>
      <c r="I95" s="540">
        <f t="shared" si="24"/>
        <v>0</v>
      </c>
      <c r="J95" s="347">
        <f t="shared" si="25"/>
        <v>0</v>
      </c>
      <c r="K95" s="347">
        <f t="shared" si="26"/>
        <v>0</v>
      </c>
    </row>
    <row r="96" spans="1:11">
      <c r="A96" s="333">
        <v>41</v>
      </c>
      <c r="C96" s="332" t="str">
        <f>'FR-16(7)(v)-1 Functional'!C96</f>
        <v>CUSTOMER ACCOUNTING</v>
      </c>
      <c r="D96" s="344" t="str">
        <f>'FR-16(7)(v)-1 Functional'!D96</f>
        <v>CA19</v>
      </c>
      <c r="E96" s="196"/>
      <c r="F96" s="479">
        <f>'FR-16(7)(v)-1 Functional'!G96</f>
        <v>0</v>
      </c>
      <c r="G96" s="548">
        <f t="shared" si="22"/>
        <v>0</v>
      </c>
      <c r="H96" s="539">
        <f t="shared" si="23"/>
        <v>0</v>
      </c>
      <c r="I96" s="540">
        <f t="shared" si="24"/>
        <v>0</v>
      </c>
      <c r="J96" s="347">
        <f t="shared" si="25"/>
        <v>0</v>
      </c>
      <c r="K96" s="347">
        <f t="shared" si="26"/>
        <v>0</v>
      </c>
    </row>
    <row r="97" spans="1:11">
      <c r="A97" s="333">
        <v>42</v>
      </c>
      <c r="C97" s="332" t="str">
        <f>'FR-16(7)(v)-1 Functional'!C97</f>
        <v>CUSTOMER SERVICE &amp; INFORMATION</v>
      </c>
      <c r="D97" s="344" t="str">
        <f>'FR-16(7)(v)-1 Functional'!D97</f>
        <v>CS19</v>
      </c>
      <c r="E97" s="196"/>
      <c r="F97" s="479">
        <f>'FR-16(7)(v)-1 Functional'!G97</f>
        <v>0</v>
      </c>
      <c r="G97" s="548">
        <f t="shared" si="22"/>
        <v>0</v>
      </c>
      <c r="H97" s="539">
        <f t="shared" si="23"/>
        <v>0</v>
      </c>
      <c r="I97" s="540">
        <f t="shared" si="24"/>
        <v>0</v>
      </c>
      <c r="J97" s="347">
        <f t="shared" si="25"/>
        <v>0</v>
      </c>
      <c r="K97" s="347">
        <f t="shared" si="26"/>
        <v>0</v>
      </c>
    </row>
    <row r="98" spans="1:11">
      <c r="A98" s="333">
        <v>43</v>
      </c>
      <c r="C98" s="365" t="str">
        <f>'FR-16(7)(v)-1 Functional'!C98</f>
        <v>SALES</v>
      </c>
      <c r="D98" s="344" t="str">
        <f>'FR-16(7)(v)-1 Functional'!D98</f>
        <v>SE19</v>
      </c>
      <c r="E98" s="196"/>
      <c r="F98" s="479">
        <f>'FR-16(7)(v)-1 Functional'!G98</f>
        <v>0</v>
      </c>
      <c r="G98" s="548">
        <f t="shared" si="22"/>
        <v>0</v>
      </c>
      <c r="H98" s="539">
        <f t="shared" si="23"/>
        <v>0</v>
      </c>
      <c r="I98" s="540">
        <f t="shared" si="24"/>
        <v>0</v>
      </c>
      <c r="J98" s="347">
        <f t="shared" si="25"/>
        <v>0</v>
      </c>
      <c r="K98" s="347">
        <f t="shared" si="26"/>
        <v>0</v>
      </c>
    </row>
    <row r="99" spans="1:11">
      <c r="A99" s="333">
        <v>44</v>
      </c>
      <c r="C99" s="339" t="str">
        <f>'FR-16(7)(v)-1 Functional'!C99</f>
        <v xml:space="preserve">  COMMON &amp; OTHER PLANT IN SERVICE</v>
      </c>
      <c r="E99" s="196"/>
      <c r="F99" s="348">
        <f t="shared" ref="F99:K99" si="27">SUM(F93:F98)</f>
        <v>1330888</v>
      </c>
      <c r="G99" s="549">
        <f t="shared" si="27"/>
        <v>0</v>
      </c>
      <c r="H99" s="541">
        <f t="shared" si="27"/>
        <v>1330888</v>
      </c>
      <c r="I99" s="542">
        <f t="shared" si="27"/>
        <v>0</v>
      </c>
      <c r="J99" s="348">
        <f t="shared" si="27"/>
        <v>1330888</v>
      </c>
      <c r="K99" s="348">
        <f t="shared" si="27"/>
        <v>0</v>
      </c>
    </row>
    <row r="100" spans="1:11">
      <c r="A100" s="333">
        <v>45</v>
      </c>
      <c r="E100" s="196"/>
      <c r="G100" s="547"/>
      <c r="H100" s="537"/>
      <c r="I100" s="538"/>
    </row>
    <row r="101" spans="1:11">
      <c r="A101" s="333">
        <v>46</v>
      </c>
      <c r="B101" s="332" t="s">
        <v>95</v>
      </c>
      <c r="E101" s="196"/>
      <c r="F101" s="347">
        <f t="shared" ref="F101:K101" si="28">F81+F90+F99</f>
        <v>6658967</v>
      </c>
      <c r="G101" s="550">
        <f t="shared" si="28"/>
        <v>0</v>
      </c>
      <c r="H101" s="543">
        <f t="shared" si="28"/>
        <v>6658967</v>
      </c>
      <c r="I101" s="544">
        <f t="shared" si="28"/>
        <v>0</v>
      </c>
      <c r="J101" s="347">
        <f t="shared" si="28"/>
        <v>6658967</v>
      </c>
      <c r="K101" s="347">
        <f t="shared" si="28"/>
        <v>0</v>
      </c>
    </row>
    <row r="102" spans="1:11">
      <c r="B102" s="343"/>
      <c r="C102" s="196"/>
      <c r="D102" s="344"/>
      <c r="E102" s="196"/>
      <c r="F102" s="196"/>
      <c r="G102" s="196"/>
      <c r="H102" s="196"/>
      <c r="I102" s="196"/>
      <c r="J102" s="196"/>
      <c r="K102" s="196"/>
    </row>
    <row r="103" spans="1:11">
      <c r="A103" s="343" t="str">
        <f>co_name</f>
        <v>DUKE ENERGY KENTUCKY, INC.</v>
      </c>
      <c r="C103" s="196"/>
      <c r="D103" s="344"/>
      <c r="E103" s="196"/>
      <c r="F103" s="196"/>
      <c r="G103" s="196"/>
      <c r="H103" s="196"/>
      <c r="I103" s="196"/>
      <c r="J103" s="196" t="str">
        <f>$J$1</f>
        <v>FR-16(7)(v)-2</v>
      </c>
      <c r="K103" s="196"/>
    </row>
    <row r="104" spans="1:11">
      <c r="A104" s="343" t="str">
        <f>$A$2</f>
        <v>PRODUCTION CLASSIFIED - GAS COST OF SERVICE</v>
      </c>
      <c r="C104" s="196"/>
      <c r="D104" s="344"/>
      <c r="E104" s="196"/>
      <c r="F104" s="196"/>
      <c r="G104" s="196"/>
      <c r="H104" s="196"/>
      <c r="I104" s="196"/>
      <c r="J104" s="196" t="str">
        <f>$J$2</f>
        <v>WITNESS RESPONSIBLE:</v>
      </c>
      <c r="K104" s="196"/>
    </row>
    <row r="105" spans="1:11">
      <c r="A105" s="343" t="str">
        <f>case_name</f>
        <v>CASE NO: 2018-00261</v>
      </c>
      <c r="C105" s="196"/>
      <c r="D105" s="344"/>
      <c r="E105" s="196"/>
      <c r="F105" s="196"/>
      <c r="G105" s="196"/>
      <c r="H105" s="196"/>
      <c r="I105" s="196"/>
      <c r="J105" s="196" t="str">
        <f>Witness</f>
        <v>JAMES E. ZIOLKOWSKI</v>
      </c>
      <c r="K105" s="196"/>
    </row>
    <row r="106" spans="1:11">
      <c r="A106" s="343" t="str">
        <f>data_filing</f>
        <v>DATA: 12 MONTH FORECASTED PERIOD</v>
      </c>
      <c r="C106" s="196"/>
      <c r="D106" s="344"/>
      <c r="E106" s="196"/>
      <c r="F106" s="196"/>
      <c r="G106" s="196"/>
      <c r="H106" s="196"/>
      <c r="I106" s="196"/>
      <c r="J106" s="196" t="str">
        <f>"PAGE "&amp;Pages-15&amp;" OF "&amp;Pages</f>
        <v>PAGE 3 OF 18</v>
      </c>
      <c r="K106" s="196"/>
    </row>
    <row r="107" spans="1:11">
      <c r="A107" s="343" t="str">
        <f>type</f>
        <v xml:space="preserve">TYPE OF FILING: "X" ORIGINAL   UPDATED    REVISED  </v>
      </c>
      <c r="C107" s="196"/>
      <c r="D107" s="344"/>
      <c r="E107" s="196"/>
      <c r="F107" s="196"/>
      <c r="G107" s="196"/>
      <c r="H107" s="196"/>
      <c r="I107" s="196"/>
      <c r="J107" s="196"/>
      <c r="K107" s="196"/>
    </row>
    <row r="108" spans="1:11">
      <c r="A108" s="343"/>
      <c r="C108" s="196"/>
      <c r="D108" s="344"/>
      <c r="E108" s="196"/>
      <c r="F108" s="196"/>
      <c r="G108" s="196"/>
      <c r="H108" s="196"/>
      <c r="I108" s="196"/>
      <c r="J108" s="196"/>
      <c r="K108" s="196"/>
    </row>
    <row r="109" spans="1:11">
      <c r="B109" s="343"/>
      <c r="C109" s="196"/>
      <c r="D109" s="344"/>
      <c r="E109" s="196"/>
      <c r="F109" s="196"/>
      <c r="G109" s="196"/>
      <c r="H109" s="196"/>
      <c r="I109" s="196"/>
      <c r="J109" s="196"/>
      <c r="K109" s="196"/>
    </row>
    <row r="110" spans="1:11">
      <c r="A110" s="344" t="s">
        <v>914</v>
      </c>
      <c r="B110" s="196"/>
      <c r="C110" s="196"/>
      <c r="D110" s="344"/>
      <c r="E110" s="196"/>
      <c r="F110" s="344" t="str">
        <f>$F$8</f>
        <v>TOTAL</v>
      </c>
      <c r="G110" s="545" t="s">
        <v>1005</v>
      </c>
      <c r="H110" s="533"/>
      <c r="I110" s="534"/>
      <c r="J110" s="344" t="s">
        <v>229</v>
      </c>
      <c r="K110" s="344" t="s">
        <v>342</v>
      </c>
    </row>
    <row r="111" spans="1:11">
      <c r="A111" s="346" t="s">
        <v>915</v>
      </c>
      <c r="B111" s="345" t="s">
        <v>22</v>
      </c>
      <c r="C111" s="345"/>
      <c r="D111" s="346" t="s">
        <v>337</v>
      </c>
      <c r="E111" s="345"/>
      <c r="F111" s="346" t="str">
        <f>$F$9</f>
        <v>PRODUCTION</v>
      </c>
      <c r="G111" s="546" t="s">
        <v>847</v>
      </c>
      <c r="H111" s="535" t="s">
        <v>848</v>
      </c>
      <c r="I111" s="536" t="s">
        <v>849</v>
      </c>
      <c r="J111" s="346" t="s">
        <v>341</v>
      </c>
      <c r="K111" s="346" t="s">
        <v>340</v>
      </c>
    </row>
    <row r="112" spans="1:11">
      <c r="C112" s="578" t="s">
        <v>345</v>
      </c>
      <c r="D112" s="344"/>
      <c r="E112" s="196"/>
      <c r="G112" s="800">
        <f>$G$10</f>
        <v>3</v>
      </c>
      <c r="H112" s="801">
        <f>$H$10</f>
        <v>4</v>
      </c>
      <c r="I112" s="802">
        <f>$I$10</f>
        <v>5</v>
      </c>
    </row>
    <row r="113" spans="1:11">
      <c r="A113" s="333">
        <v>1</v>
      </c>
      <c r="B113" s="332" t="s">
        <v>14</v>
      </c>
      <c r="D113" s="344"/>
      <c r="E113" s="196"/>
      <c r="G113" s="547"/>
      <c r="H113" s="537"/>
      <c r="I113" s="538"/>
    </row>
    <row r="114" spans="1:11">
      <c r="A114" s="333">
        <v>2</v>
      </c>
      <c r="C114" s="365" t="str">
        <f>'FR-16(7)(v)-1 Functional'!C114</f>
        <v>PRODUCTION PLANT</v>
      </c>
      <c r="D114" s="344" t="str">
        <f>'FR-16(7)(v)-1 Functional'!D114</f>
        <v>K205</v>
      </c>
      <c r="E114" s="196"/>
      <c r="F114" s="479">
        <f>'FR-16(7)(v)-1 Functional'!G114</f>
        <v>1634598</v>
      </c>
      <c r="G114" s="548">
        <f>F114-SUM(H114:I114)</f>
        <v>0</v>
      </c>
      <c r="H114" s="539">
        <f>ROUND(F114*VLOOKUP(D114,AllocTable_Classified_Production,$H$10,FALSE),0)</f>
        <v>1634598</v>
      </c>
      <c r="I114" s="540">
        <f>ROUND(F114*VLOOKUP(D114,AllocTable_Classified_Production,$I$10,FALSE),0)</f>
        <v>0</v>
      </c>
      <c r="J114" s="347">
        <f>SUM(G114:I114)</f>
        <v>1634598</v>
      </c>
      <c r="K114" s="347">
        <f>F114-J114</f>
        <v>0</v>
      </c>
    </row>
    <row r="115" spans="1:11">
      <c r="A115" s="333">
        <v>3</v>
      </c>
      <c r="C115" s="339" t="str">
        <f>'FR-16(7)(v)-1 Functional'!C115</f>
        <v xml:space="preserve">  TOTAL PROD DEPREC RESERVE</v>
      </c>
      <c r="D115" s="344"/>
      <c r="E115" s="196"/>
      <c r="F115" s="348">
        <f t="shared" ref="F115:K115" si="29">SUM(F114:F114)</f>
        <v>1634598</v>
      </c>
      <c r="G115" s="549">
        <f t="shared" si="29"/>
        <v>0</v>
      </c>
      <c r="H115" s="541">
        <f t="shared" si="29"/>
        <v>1634598</v>
      </c>
      <c r="I115" s="542">
        <f t="shared" si="29"/>
        <v>0</v>
      </c>
      <c r="J115" s="348">
        <f t="shared" si="29"/>
        <v>1634598</v>
      </c>
      <c r="K115" s="348">
        <f t="shared" si="29"/>
        <v>0</v>
      </c>
    </row>
    <row r="116" spans="1:11">
      <c r="A116" s="333">
        <v>4</v>
      </c>
      <c r="D116" s="344"/>
      <c r="E116" s="196"/>
      <c r="G116" s="547"/>
      <c r="H116" s="537"/>
      <c r="I116" s="538"/>
    </row>
    <row r="117" spans="1:11">
      <c r="A117" s="333">
        <v>5</v>
      </c>
      <c r="B117" s="332" t="s">
        <v>15</v>
      </c>
      <c r="D117" s="344"/>
      <c r="E117" s="196"/>
      <c r="G117" s="547"/>
      <c r="H117" s="537"/>
      <c r="I117" s="538"/>
    </row>
    <row r="118" spans="1:11">
      <c r="A118" s="333">
        <v>6</v>
      </c>
      <c r="C118" s="359" t="str">
        <f>'FR-16(7)(v)-1 Functional'!C118</f>
        <v>TRANSMISSION PLANT</v>
      </c>
      <c r="D118" s="344" t="s">
        <v>343</v>
      </c>
      <c r="E118" s="196"/>
      <c r="F118" s="477"/>
      <c r="G118" s="548"/>
      <c r="H118" s="539"/>
      <c r="I118" s="540"/>
      <c r="J118" s="347"/>
      <c r="K118" s="347"/>
    </row>
    <row r="119" spans="1:11">
      <c r="A119" s="333">
        <v>7</v>
      </c>
      <c r="C119" s="332" t="str">
        <f>'FR-16(7)(v)-1 Functional'!C119</f>
        <v>TOTAL TRANS DEPREC RESERVE</v>
      </c>
      <c r="D119" s="344"/>
      <c r="E119" s="196"/>
      <c r="F119" s="348">
        <f t="shared" ref="F119:K119" si="30">SUM(F118:F118)</f>
        <v>0</v>
      </c>
      <c r="G119" s="549">
        <f t="shared" si="30"/>
        <v>0</v>
      </c>
      <c r="H119" s="541">
        <f t="shared" si="30"/>
        <v>0</v>
      </c>
      <c r="I119" s="542">
        <f t="shared" si="30"/>
        <v>0</v>
      </c>
      <c r="J119" s="348">
        <f t="shared" si="30"/>
        <v>0</v>
      </c>
      <c r="K119" s="348">
        <f t="shared" si="30"/>
        <v>0</v>
      </c>
    </row>
    <row r="120" spans="1:11">
      <c r="A120" s="333">
        <v>8</v>
      </c>
      <c r="D120" s="344"/>
      <c r="E120" s="196"/>
      <c r="G120" s="547"/>
      <c r="H120" s="537"/>
      <c r="I120" s="538"/>
    </row>
    <row r="121" spans="1:11">
      <c r="A121" s="333">
        <v>9</v>
      </c>
      <c r="B121" s="332" t="s">
        <v>17</v>
      </c>
      <c r="D121" s="344"/>
      <c r="E121" s="196"/>
      <c r="G121" s="547"/>
      <c r="H121" s="537"/>
      <c r="I121" s="538"/>
    </row>
    <row r="122" spans="1:11">
      <c r="A122" s="333">
        <v>10</v>
      </c>
      <c r="C122" s="332" t="str">
        <f>'FR-16(7)(v)-1 Functional'!C122</f>
        <v>SYSTEM M&amp;R - (2780, 2781)</v>
      </c>
      <c r="D122" s="344" t="str">
        <f>'FR-16(7)(v)-1 Functional'!D122</f>
        <v>K203</v>
      </c>
      <c r="E122" s="196"/>
      <c r="F122" s="479">
        <f>'FR-16(7)(v)-1 Functional'!G122</f>
        <v>0</v>
      </c>
      <c r="G122" s="548">
        <f t="shared" ref="G122:G130" si="31">F122-SUM(H122:I122)</f>
        <v>0</v>
      </c>
      <c r="H122" s="539">
        <f t="shared" ref="H122:H130" si="32">ROUND(F122*VLOOKUP(D122,AllocTable_Classified_Production,$H$10,FALSE),0)</f>
        <v>0</v>
      </c>
      <c r="I122" s="540">
        <f t="shared" ref="I122:I130" si="33">ROUND(F122*VLOOKUP(D122,AllocTable_Classified_Production,$I$10,FALSE),0)</f>
        <v>0</v>
      </c>
      <c r="J122" s="347">
        <f t="shared" ref="J122:J130" si="34">SUM(G122:I122)</f>
        <v>0</v>
      </c>
      <c r="K122" s="347">
        <f t="shared" ref="K122:K130" si="35">F122-J122</f>
        <v>0</v>
      </c>
    </row>
    <row r="123" spans="1:11">
      <c r="A123" s="333">
        <v>11</v>
      </c>
      <c r="C123" s="332" t="str">
        <f>'FR-16(7)(v)-1 Functional'!C123</f>
        <v xml:space="preserve">DIST REG EQUIP &amp; CITY GATE M&amp;R- (2782, 2790) </v>
      </c>
      <c r="D123" s="344" t="str">
        <f>'FR-16(7)(v)-1 Functional'!D123</f>
        <v>K203</v>
      </c>
      <c r="E123" s="196"/>
      <c r="F123" s="479">
        <f>'FR-16(7)(v)-1 Functional'!G123</f>
        <v>0</v>
      </c>
      <c r="G123" s="548">
        <f t="shared" si="31"/>
        <v>0</v>
      </c>
      <c r="H123" s="539">
        <f t="shared" si="32"/>
        <v>0</v>
      </c>
      <c r="I123" s="540">
        <f t="shared" si="33"/>
        <v>0</v>
      </c>
      <c r="J123" s="347">
        <f t="shared" si="34"/>
        <v>0</v>
      </c>
      <c r="K123" s="347">
        <f t="shared" si="35"/>
        <v>0</v>
      </c>
    </row>
    <row r="124" spans="1:11">
      <c r="A124" s="333">
        <v>12</v>
      </c>
      <c r="C124" s="332" t="str">
        <f>'FR-16(7)(v)-1 Functional'!C124</f>
        <v>LARGE IND M&amp;R - (2850, 2851)</v>
      </c>
      <c r="D124" s="344" t="str">
        <f>'FR-16(7)(v)-1 Functional'!D124</f>
        <v>K595</v>
      </c>
      <c r="E124" s="196"/>
      <c r="F124" s="479">
        <f>'FR-16(7)(v)-1 Functional'!G124</f>
        <v>0</v>
      </c>
      <c r="G124" s="548">
        <f t="shared" si="31"/>
        <v>0</v>
      </c>
      <c r="H124" s="539">
        <f t="shared" si="32"/>
        <v>0</v>
      </c>
      <c r="I124" s="540">
        <f t="shared" si="33"/>
        <v>0</v>
      </c>
      <c r="J124" s="347">
        <f t="shared" si="34"/>
        <v>0</v>
      </c>
      <c r="K124" s="347">
        <f t="shared" si="35"/>
        <v>0</v>
      </c>
    </row>
    <row r="125" spans="1:11">
      <c r="A125" s="333">
        <v>13</v>
      </c>
      <c r="C125" s="332" t="str">
        <f>'FR-16(7)(v)-1 Functional'!C125</f>
        <v>MAINS - (2761, 2762, 2763, 2765)</v>
      </c>
      <c r="D125" s="344" t="str">
        <f>'FR-16(7)(v)-1 Functional'!D125</f>
        <v>K415</v>
      </c>
      <c r="E125" s="196"/>
      <c r="F125" s="479">
        <f>'FR-16(7)(v)-1 Functional'!G125</f>
        <v>0</v>
      </c>
      <c r="G125" s="548">
        <f t="shared" si="31"/>
        <v>0</v>
      </c>
      <c r="H125" s="539">
        <f t="shared" si="32"/>
        <v>0</v>
      </c>
      <c r="I125" s="540">
        <f t="shared" si="33"/>
        <v>0</v>
      </c>
      <c r="J125" s="347">
        <f t="shared" si="34"/>
        <v>0</v>
      </c>
      <c r="K125" s="347">
        <f t="shared" si="35"/>
        <v>0</v>
      </c>
    </row>
    <row r="126" spans="1:11">
      <c r="A126" s="333">
        <v>14</v>
      </c>
      <c r="C126" s="332" t="str">
        <f>'FR-16(7)(v)-1 Functional'!C126</f>
        <v>SERVICES - (2801, 2802, 2803)</v>
      </c>
      <c r="D126" s="344" t="str">
        <f>'FR-16(7)(v)-1 Functional'!D126</f>
        <v>K403</v>
      </c>
      <c r="E126" s="196"/>
      <c r="F126" s="479">
        <f>'FR-16(7)(v)-1 Functional'!G126</f>
        <v>0</v>
      </c>
      <c r="G126" s="548">
        <f t="shared" si="31"/>
        <v>0</v>
      </c>
      <c r="H126" s="539">
        <f t="shared" si="32"/>
        <v>0</v>
      </c>
      <c r="I126" s="540">
        <f t="shared" si="33"/>
        <v>0</v>
      </c>
      <c r="J126" s="347">
        <f t="shared" si="34"/>
        <v>0</v>
      </c>
      <c r="K126" s="347">
        <f t="shared" si="35"/>
        <v>0</v>
      </c>
    </row>
    <row r="127" spans="1:11">
      <c r="A127" s="333">
        <v>15</v>
      </c>
      <c r="C127" s="332" t="str">
        <f>'FR-16(7)(v)-1 Functional'!C127</f>
        <v>MTRS &amp; MTR INST (2810, 2811, 2820, 2821)</v>
      </c>
      <c r="D127" s="344" t="str">
        <f>'FR-16(7)(v)-1 Functional'!D127</f>
        <v>K413</v>
      </c>
      <c r="E127" s="196"/>
      <c r="F127" s="479">
        <f>'FR-16(7)(v)-1 Functional'!G127</f>
        <v>0</v>
      </c>
      <c r="G127" s="548">
        <f t="shared" si="31"/>
        <v>0</v>
      </c>
      <c r="H127" s="539">
        <f t="shared" si="32"/>
        <v>0</v>
      </c>
      <c r="I127" s="540">
        <f t="shared" si="33"/>
        <v>0</v>
      </c>
      <c r="J127" s="347">
        <f t="shared" si="34"/>
        <v>0</v>
      </c>
      <c r="K127" s="347">
        <f t="shared" si="35"/>
        <v>0</v>
      </c>
    </row>
    <row r="128" spans="1:11">
      <c r="A128" s="333">
        <v>16</v>
      </c>
      <c r="C128" s="332" t="str">
        <f>'FR-16(7)(v)-1 Functional'!C128</f>
        <v>LAND, R OF W, STRUCT &amp; IMPROV &amp; OTH</v>
      </c>
      <c r="D128" s="344" t="str">
        <f>'FR-16(7)(v)-1 Functional'!D128</f>
        <v>K203</v>
      </c>
      <c r="E128" s="196"/>
      <c r="F128" s="479">
        <f>'FR-16(7)(v)-1 Functional'!G128</f>
        <v>0</v>
      </c>
      <c r="G128" s="548">
        <f t="shared" si="31"/>
        <v>0</v>
      </c>
      <c r="H128" s="539">
        <f t="shared" si="32"/>
        <v>0</v>
      </c>
      <c r="I128" s="540">
        <f t="shared" si="33"/>
        <v>0</v>
      </c>
      <c r="J128" s="347">
        <f t="shared" si="34"/>
        <v>0</v>
      </c>
      <c r="K128" s="347">
        <f t="shared" si="35"/>
        <v>0</v>
      </c>
    </row>
    <row r="129" spans="1:11">
      <c r="A129" s="333">
        <v>17</v>
      </c>
      <c r="C129" s="332" t="str">
        <f>'FR-16(7)(v)-1 Functional'!C129</f>
        <v>HOUSE REG &amp; INSTALL (2830, 2840)</v>
      </c>
      <c r="D129" s="344" t="str">
        <f>'FR-16(7)(v)-1 Functional'!D129</f>
        <v>K417</v>
      </c>
      <c r="E129" s="196"/>
      <c r="F129" s="479">
        <f>'FR-16(7)(v)-1 Functional'!G129</f>
        <v>0</v>
      </c>
      <c r="G129" s="548">
        <f t="shared" si="31"/>
        <v>0</v>
      </c>
      <c r="H129" s="539">
        <f t="shared" si="32"/>
        <v>0</v>
      </c>
      <c r="I129" s="540">
        <f t="shared" si="33"/>
        <v>0</v>
      </c>
      <c r="J129" s="347">
        <f t="shared" si="34"/>
        <v>0</v>
      </c>
      <c r="K129" s="347">
        <f t="shared" si="35"/>
        <v>0</v>
      </c>
    </row>
    <row r="130" spans="1:11">
      <c r="A130" s="333">
        <v>18</v>
      </c>
      <c r="C130" s="359" t="str">
        <f>'FR-16(7)(v)-1 Functional'!C130</f>
        <v>STREET LIGHTING EQUIPMENT &amp; OTH</v>
      </c>
      <c r="D130" s="344" t="str">
        <f>'FR-16(7)(v)-1 Functional'!D130</f>
        <v>K597</v>
      </c>
      <c r="E130" s="196"/>
      <c r="F130" s="479">
        <f>'FR-16(7)(v)-1 Functional'!G130</f>
        <v>0</v>
      </c>
      <c r="G130" s="548">
        <f t="shared" si="31"/>
        <v>0</v>
      </c>
      <c r="H130" s="539">
        <f t="shared" si="32"/>
        <v>0</v>
      </c>
      <c r="I130" s="540">
        <f t="shared" si="33"/>
        <v>0</v>
      </c>
      <c r="J130" s="347">
        <f t="shared" si="34"/>
        <v>0</v>
      </c>
      <c r="K130" s="347">
        <f t="shared" si="35"/>
        <v>0</v>
      </c>
    </row>
    <row r="131" spans="1:11">
      <c r="A131" s="333">
        <v>19</v>
      </c>
      <c r="C131" s="332" t="str">
        <f>'FR-16(7)(v)-1 Functional'!C131</f>
        <v xml:space="preserve">  TOTAL DIST DEPREC RESERVE</v>
      </c>
      <c r="D131" s="344"/>
      <c r="E131" s="196"/>
      <c r="F131" s="348">
        <f t="shared" ref="F131:K131" si="36">SUM(F121:F130)</f>
        <v>0</v>
      </c>
      <c r="G131" s="549">
        <f t="shared" si="36"/>
        <v>0</v>
      </c>
      <c r="H131" s="541">
        <f t="shared" si="36"/>
        <v>0</v>
      </c>
      <c r="I131" s="542">
        <f t="shared" si="36"/>
        <v>0</v>
      </c>
      <c r="J131" s="348">
        <f t="shared" si="36"/>
        <v>0</v>
      </c>
      <c r="K131" s="348">
        <f t="shared" si="36"/>
        <v>0</v>
      </c>
    </row>
    <row r="132" spans="1:11">
      <c r="A132" s="333">
        <v>20</v>
      </c>
      <c r="D132" s="344"/>
      <c r="E132" s="196"/>
      <c r="G132" s="547"/>
      <c r="H132" s="537"/>
      <c r="I132" s="538"/>
    </row>
    <row r="133" spans="1:11">
      <c r="A133" s="333">
        <v>21</v>
      </c>
      <c r="B133" s="332" t="s">
        <v>20</v>
      </c>
      <c r="D133" s="344"/>
      <c r="E133" s="196"/>
      <c r="G133" s="547"/>
      <c r="H133" s="537"/>
      <c r="I133" s="538"/>
    </row>
    <row r="134" spans="1:11">
      <c r="A134" s="333">
        <v>22</v>
      </c>
      <c r="C134" s="332" t="str">
        <f>'FR-16(7)(v)-1 Functional'!C134</f>
        <v>PRODUCTION PLANT</v>
      </c>
      <c r="D134" s="344" t="str">
        <f>'FR-16(7)(v)-1 Functional'!D134</f>
        <v>K201</v>
      </c>
      <c r="E134" s="196"/>
      <c r="F134" s="479">
        <f>'FR-16(7)(v)-1 Functional'!G134</f>
        <v>546802</v>
      </c>
      <c r="G134" s="548">
        <f t="shared" ref="G134:G139" si="37">F134-SUM(H134:I134)</f>
        <v>0</v>
      </c>
      <c r="H134" s="539">
        <f t="shared" ref="H134:H139" si="38">ROUND(F134*VLOOKUP(D134,AllocTable_Classified_Production,$H$10,FALSE),0)</f>
        <v>546802</v>
      </c>
      <c r="I134" s="540">
        <f t="shared" ref="I134:I139" si="39">ROUND(F134*VLOOKUP(D134,AllocTable_Classified_Production,$I$10,FALSE),0)</f>
        <v>0</v>
      </c>
      <c r="J134" s="347">
        <f t="shared" ref="J134:J139" si="40">SUM(G134:I134)</f>
        <v>546802</v>
      </c>
      <c r="K134" s="347">
        <f t="shared" ref="K134:K139" si="41">F134-J134</f>
        <v>0</v>
      </c>
    </row>
    <row r="135" spans="1:11">
      <c r="A135" s="333">
        <v>23</v>
      </c>
      <c r="C135" s="332" t="str">
        <f>'FR-16(7)(v)-1 Functional'!C135</f>
        <v>PRODUCTION PLANT COMMODITY</v>
      </c>
      <c r="D135" s="344" t="str">
        <f>'FR-16(7)(v)-1 Functional'!D135</f>
        <v>P349</v>
      </c>
      <c r="E135" s="196"/>
      <c r="F135" s="479">
        <f>'FR-16(7)(v)-1 Functional'!G135</f>
        <v>427728</v>
      </c>
      <c r="G135" s="548">
        <f t="shared" si="37"/>
        <v>0</v>
      </c>
      <c r="H135" s="539">
        <f t="shared" si="38"/>
        <v>427728</v>
      </c>
      <c r="I135" s="540">
        <f t="shared" si="39"/>
        <v>0</v>
      </c>
      <c r="J135" s="347">
        <f t="shared" si="40"/>
        <v>427728</v>
      </c>
      <c r="K135" s="347">
        <f t="shared" si="41"/>
        <v>0</v>
      </c>
    </row>
    <row r="136" spans="1:11">
      <c r="A136" s="333">
        <v>24</v>
      </c>
      <c r="C136" s="332" t="str">
        <f>'FR-16(7)(v)-1 Functional'!C136</f>
        <v>DISTRIBUTION PLANT</v>
      </c>
      <c r="D136" s="344" t="str">
        <f>'FR-16(7)(v)-1 Functional'!D136</f>
        <v>D349</v>
      </c>
      <c r="E136" s="196"/>
      <c r="F136" s="479">
        <f>'FR-16(7)(v)-1 Functional'!G136</f>
        <v>0</v>
      </c>
      <c r="G136" s="548">
        <f t="shared" si="37"/>
        <v>0</v>
      </c>
      <c r="H136" s="539">
        <f t="shared" si="38"/>
        <v>0</v>
      </c>
      <c r="I136" s="540">
        <f t="shared" si="39"/>
        <v>0</v>
      </c>
      <c r="J136" s="347">
        <f t="shared" si="40"/>
        <v>0</v>
      </c>
      <c r="K136" s="347">
        <f t="shared" si="41"/>
        <v>0</v>
      </c>
    </row>
    <row r="137" spans="1:11">
      <c r="A137" s="333">
        <v>25</v>
      </c>
      <c r="C137" s="332" t="str">
        <f>'FR-16(7)(v)-1 Functional'!C137</f>
        <v>CUSTOMER ACCOUNTING</v>
      </c>
      <c r="D137" s="344" t="str">
        <f>'FR-16(7)(v)-1 Functional'!D137</f>
        <v>CA19</v>
      </c>
      <c r="E137" s="196"/>
      <c r="F137" s="479">
        <f>'FR-16(7)(v)-1 Functional'!G137</f>
        <v>0</v>
      </c>
      <c r="G137" s="548">
        <f t="shared" si="37"/>
        <v>0</v>
      </c>
      <c r="H137" s="539">
        <f t="shared" si="38"/>
        <v>0</v>
      </c>
      <c r="I137" s="540">
        <f t="shared" si="39"/>
        <v>0</v>
      </c>
      <c r="J137" s="347">
        <f t="shared" si="40"/>
        <v>0</v>
      </c>
      <c r="K137" s="347">
        <f t="shared" si="41"/>
        <v>0</v>
      </c>
    </row>
    <row r="138" spans="1:11">
      <c r="A138" s="333">
        <v>26</v>
      </c>
      <c r="C138" s="332" t="str">
        <f>'FR-16(7)(v)-1 Functional'!C138</f>
        <v>CUSTOMER SERVICE &amp; INFORMATION</v>
      </c>
      <c r="D138" s="344" t="str">
        <f>'FR-16(7)(v)-1 Functional'!D138</f>
        <v>CS19</v>
      </c>
      <c r="E138" s="196"/>
      <c r="F138" s="479">
        <f>'FR-16(7)(v)-1 Functional'!G138</f>
        <v>0</v>
      </c>
      <c r="G138" s="548">
        <f t="shared" si="37"/>
        <v>0</v>
      </c>
      <c r="H138" s="539">
        <f t="shared" si="38"/>
        <v>0</v>
      </c>
      <c r="I138" s="540">
        <f t="shared" si="39"/>
        <v>0</v>
      </c>
      <c r="J138" s="347">
        <f t="shared" si="40"/>
        <v>0</v>
      </c>
      <c r="K138" s="347">
        <f t="shared" si="41"/>
        <v>0</v>
      </c>
    </row>
    <row r="139" spans="1:11">
      <c r="A139" s="333">
        <v>27</v>
      </c>
      <c r="C139" s="365" t="str">
        <f>'FR-16(7)(v)-1 Functional'!C139</f>
        <v>SALES</v>
      </c>
      <c r="D139" s="344" t="str">
        <f>'FR-16(7)(v)-1 Functional'!D139</f>
        <v>SE19</v>
      </c>
      <c r="E139" s="196"/>
      <c r="F139" s="479">
        <f>'FR-16(7)(v)-1 Functional'!G139</f>
        <v>0</v>
      </c>
      <c r="G139" s="548">
        <f t="shared" si="37"/>
        <v>0</v>
      </c>
      <c r="H139" s="539">
        <f t="shared" si="38"/>
        <v>0</v>
      </c>
      <c r="I139" s="540">
        <f t="shared" si="39"/>
        <v>0</v>
      </c>
      <c r="J139" s="347">
        <f t="shared" si="40"/>
        <v>0</v>
      </c>
      <c r="K139" s="347">
        <f t="shared" si="41"/>
        <v>0</v>
      </c>
    </row>
    <row r="140" spans="1:11">
      <c r="A140" s="333">
        <v>28</v>
      </c>
      <c r="C140" s="339" t="str">
        <f>'FR-16(7)(v)-1 Functional'!C140</f>
        <v xml:space="preserve">  TOTAL GEN DEPREC RESERVE</v>
      </c>
      <c r="D140" s="344"/>
      <c r="E140" s="196"/>
      <c r="F140" s="348">
        <f t="shared" ref="F140:K140" si="42">SUM(F133:F139)</f>
        <v>974530</v>
      </c>
      <c r="G140" s="549">
        <f t="shared" si="42"/>
        <v>0</v>
      </c>
      <c r="H140" s="541">
        <f t="shared" si="42"/>
        <v>974530</v>
      </c>
      <c r="I140" s="542">
        <f t="shared" si="42"/>
        <v>0</v>
      </c>
      <c r="J140" s="348">
        <f t="shared" si="42"/>
        <v>974530</v>
      </c>
      <c r="K140" s="348">
        <f t="shared" si="42"/>
        <v>0</v>
      </c>
    </row>
    <row r="141" spans="1:11">
      <c r="A141" s="333">
        <v>29</v>
      </c>
      <c r="C141" s="365"/>
      <c r="D141" s="344"/>
      <c r="E141" s="196"/>
      <c r="G141" s="547"/>
      <c r="H141" s="537"/>
      <c r="I141" s="538"/>
    </row>
    <row r="142" spans="1:11">
      <c r="A142" s="333">
        <v>30</v>
      </c>
      <c r="B142" s="332" t="s">
        <v>21</v>
      </c>
      <c r="C142" s="365"/>
      <c r="D142" s="344"/>
      <c r="E142" s="196"/>
      <c r="G142" s="547"/>
      <c r="H142" s="537"/>
      <c r="I142" s="538"/>
    </row>
    <row r="143" spans="1:11">
      <c r="A143" s="333">
        <v>31</v>
      </c>
      <c r="C143" s="365" t="str">
        <f>'FR-16(7)(v)-1 Functional'!C143</f>
        <v>PRODUCTION PLANT</v>
      </c>
      <c r="D143" s="344" t="str">
        <f>'FR-16(7)(v)-1 Functional'!D143</f>
        <v>K201</v>
      </c>
      <c r="E143" s="196"/>
      <c r="F143" s="479">
        <f>'FR-16(7)(v)-1 Functional'!G143</f>
        <v>615843</v>
      </c>
      <c r="G143" s="548">
        <f t="shared" ref="G143:G148" si="43">F143-SUM(H143:I143)</f>
        <v>0</v>
      </c>
      <c r="H143" s="539">
        <f t="shared" ref="H143:H148" si="44">ROUND(F143*VLOOKUP(D143,AllocTable_Classified_Production,$H$10,FALSE),0)</f>
        <v>615843</v>
      </c>
      <c r="I143" s="540">
        <f t="shared" ref="I143:I148" si="45">ROUND(F143*VLOOKUP(D143,AllocTable_Classified_Production,$I$10,FALSE),0)</f>
        <v>0</v>
      </c>
      <c r="J143" s="347">
        <f t="shared" ref="J143:J148" si="46">SUM(G143:I143)</f>
        <v>615843</v>
      </c>
      <c r="K143" s="347">
        <f t="shared" ref="K143:K148" si="47">F143-J143</f>
        <v>0</v>
      </c>
    </row>
    <row r="144" spans="1:11">
      <c r="A144" s="333">
        <v>32</v>
      </c>
      <c r="C144" s="365" t="str">
        <f>'FR-16(7)(v)-1 Functional'!C144</f>
        <v>PRODUCTION PLANT COMMODITY</v>
      </c>
      <c r="D144" s="344" t="str">
        <f>'FR-16(7)(v)-1 Functional'!D144</f>
        <v>P349</v>
      </c>
      <c r="E144" s="196"/>
      <c r="F144" s="479">
        <f>'FR-16(7)(v)-1 Functional'!G144</f>
        <v>481734</v>
      </c>
      <c r="G144" s="548">
        <f t="shared" si="43"/>
        <v>0</v>
      </c>
      <c r="H144" s="539">
        <f t="shared" si="44"/>
        <v>481734</v>
      </c>
      <c r="I144" s="540">
        <f t="shared" si="45"/>
        <v>0</v>
      </c>
      <c r="J144" s="347">
        <f t="shared" si="46"/>
        <v>481734</v>
      </c>
      <c r="K144" s="347">
        <f t="shared" si="47"/>
        <v>0</v>
      </c>
    </row>
    <row r="145" spans="1:11">
      <c r="A145" s="333">
        <v>33</v>
      </c>
      <c r="C145" s="365" t="str">
        <f>'FR-16(7)(v)-1 Functional'!C145</f>
        <v>DISTRIBUTION PLANT</v>
      </c>
      <c r="D145" s="344" t="str">
        <f>'FR-16(7)(v)-1 Functional'!D145</f>
        <v>D349</v>
      </c>
      <c r="E145" s="196"/>
      <c r="F145" s="479">
        <f>'FR-16(7)(v)-1 Functional'!G145</f>
        <v>0</v>
      </c>
      <c r="G145" s="548">
        <f t="shared" si="43"/>
        <v>0</v>
      </c>
      <c r="H145" s="539">
        <f t="shared" si="44"/>
        <v>0</v>
      </c>
      <c r="I145" s="540">
        <f t="shared" si="45"/>
        <v>0</v>
      </c>
      <c r="J145" s="347">
        <f t="shared" si="46"/>
        <v>0</v>
      </c>
      <c r="K145" s="347">
        <f t="shared" si="47"/>
        <v>0</v>
      </c>
    </row>
    <row r="146" spans="1:11">
      <c r="A146" s="333">
        <v>34</v>
      </c>
      <c r="C146" s="365" t="str">
        <f>'FR-16(7)(v)-1 Functional'!C146</f>
        <v>CUSTOMER ACCOUNTING</v>
      </c>
      <c r="D146" s="344" t="str">
        <f>'FR-16(7)(v)-1 Functional'!D146</f>
        <v>CA19</v>
      </c>
      <c r="E146" s="196"/>
      <c r="F146" s="479">
        <f>'FR-16(7)(v)-1 Functional'!G146</f>
        <v>0</v>
      </c>
      <c r="G146" s="548">
        <f t="shared" si="43"/>
        <v>0</v>
      </c>
      <c r="H146" s="539">
        <f t="shared" si="44"/>
        <v>0</v>
      </c>
      <c r="I146" s="540">
        <f t="shared" si="45"/>
        <v>0</v>
      </c>
      <c r="J146" s="347">
        <f t="shared" si="46"/>
        <v>0</v>
      </c>
      <c r="K146" s="347">
        <f t="shared" si="47"/>
        <v>0</v>
      </c>
    </row>
    <row r="147" spans="1:11">
      <c r="A147" s="333">
        <v>35</v>
      </c>
      <c r="C147" s="365" t="str">
        <f>'FR-16(7)(v)-1 Functional'!C147</f>
        <v>CUSTOMER SERVICE &amp; INFORMATION</v>
      </c>
      <c r="D147" s="344" t="str">
        <f>'FR-16(7)(v)-1 Functional'!D147</f>
        <v>CS19</v>
      </c>
      <c r="E147" s="196"/>
      <c r="F147" s="479">
        <f>'FR-16(7)(v)-1 Functional'!G147</f>
        <v>0</v>
      </c>
      <c r="G147" s="548">
        <f t="shared" si="43"/>
        <v>0</v>
      </c>
      <c r="H147" s="539">
        <f t="shared" si="44"/>
        <v>0</v>
      </c>
      <c r="I147" s="540">
        <f t="shared" si="45"/>
        <v>0</v>
      </c>
      <c r="J147" s="347">
        <f t="shared" si="46"/>
        <v>0</v>
      </c>
      <c r="K147" s="347">
        <f t="shared" si="47"/>
        <v>0</v>
      </c>
    </row>
    <row r="148" spans="1:11">
      <c r="A148" s="333">
        <v>36</v>
      </c>
      <c r="C148" s="365" t="str">
        <f>'FR-16(7)(v)-1 Functional'!C148</f>
        <v>SALES</v>
      </c>
      <c r="D148" s="344" t="str">
        <f>'FR-16(7)(v)-1 Functional'!D148</f>
        <v>SE19</v>
      </c>
      <c r="E148" s="196"/>
      <c r="F148" s="479">
        <f>'FR-16(7)(v)-1 Functional'!G148</f>
        <v>0</v>
      </c>
      <c r="G148" s="548">
        <f t="shared" si="43"/>
        <v>0</v>
      </c>
      <c r="H148" s="539">
        <f t="shared" si="44"/>
        <v>0</v>
      </c>
      <c r="I148" s="540">
        <f t="shared" si="45"/>
        <v>0</v>
      </c>
      <c r="J148" s="347">
        <f t="shared" si="46"/>
        <v>0</v>
      </c>
      <c r="K148" s="347">
        <f t="shared" si="47"/>
        <v>0</v>
      </c>
    </row>
    <row r="149" spans="1:11">
      <c r="A149" s="333">
        <v>37</v>
      </c>
      <c r="C149" s="339" t="str">
        <f>'FR-16(7)(v)-1 Functional'!C149</f>
        <v xml:space="preserve">  TOTAL COM &amp; OTHER PLT RESERVE</v>
      </c>
      <c r="D149" s="344"/>
      <c r="E149" s="196"/>
      <c r="F149" s="348">
        <f>SUM(F143:F148)</f>
        <v>1097577</v>
      </c>
      <c r="G149" s="549">
        <f>SUM(G142:G148)</f>
        <v>0</v>
      </c>
      <c r="H149" s="541">
        <f>SUM(H142:H148)</f>
        <v>1097577</v>
      </c>
      <c r="I149" s="542">
        <f>SUM(I142:I148)</f>
        <v>0</v>
      </c>
      <c r="J149" s="348">
        <f>SUM(J142:J148)</f>
        <v>1097577</v>
      </c>
      <c r="K149" s="348">
        <f>SUM(K142:K148)</f>
        <v>0</v>
      </c>
    </row>
    <row r="150" spans="1:11">
      <c r="A150" s="333">
        <v>38</v>
      </c>
      <c r="D150" s="344"/>
      <c r="E150" s="196"/>
      <c r="G150" s="547"/>
      <c r="H150" s="537"/>
      <c r="I150" s="538"/>
    </row>
    <row r="151" spans="1:11">
      <c r="A151" s="333">
        <v>39</v>
      </c>
      <c r="B151" s="332" t="s">
        <v>23</v>
      </c>
      <c r="D151" s="344"/>
      <c r="E151" s="196"/>
      <c r="F151" s="347">
        <f t="shared" ref="F151:K151" si="48">F149+F140+F131+F119+F115</f>
        <v>3706705</v>
      </c>
      <c r="G151" s="550">
        <f t="shared" si="48"/>
        <v>0</v>
      </c>
      <c r="H151" s="543">
        <f t="shared" si="48"/>
        <v>3706705</v>
      </c>
      <c r="I151" s="544">
        <f t="shared" si="48"/>
        <v>0</v>
      </c>
      <c r="J151" s="347">
        <f t="shared" si="48"/>
        <v>3706705</v>
      </c>
      <c r="K151" s="347">
        <f t="shared" si="48"/>
        <v>0</v>
      </c>
    </row>
    <row r="152" spans="1:11">
      <c r="B152" s="343"/>
      <c r="C152" s="196"/>
      <c r="D152" s="344"/>
      <c r="E152" s="196"/>
      <c r="F152" s="196"/>
      <c r="G152" s="196"/>
      <c r="H152" s="196"/>
      <c r="I152" s="196"/>
      <c r="J152" s="196"/>
    </row>
    <row r="153" spans="1:11">
      <c r="A153" s="343" t="str">
        <f>co_name</f>
        <v>DUKE ENERGY KENTUCKY, INC.</v>
      </c>
      <c r="C153" s="196"/>
      <c r="D153" s="344"/>
      <c r="E153" s="196"/>
      <c r="F153" s="196"/>
      <c r="G153" s="196"/>
      <c r="H153" s="196"/>
      <c r="I153" s="196"/>
      <c r="J153" s="196" t="str">
        <f>$J$1</f>
        <v>FR-16(7)(v)-2</v>
      </c>
      <c r="K153" s="196"/>
    </row>
    <row r="154" spans="1:11">
      <c r="A154" s="343" t="str">
        <f>$A$2</f>
        <v>PRODUCTION CLASSIFIED - GAS COST OF SERVICE</v>
      </c>
      <c r="C154" s="196"/>
      <c r="D154" s="344"/>
      <c r="E154" s="196"/>
      <c r="F154" s="196"/>
      <c r="G154" s="196"/>
      <c r="H154" s="196"/>
      <c r="I154" s="196"/>
      <c r="J154" s="196" t="str">
        <f>$J$2</f>
        <v>WITNESS RESPONSIBLE:</v>
      </c>
      <c r="K154" s="196"/>
    </row>
    <row r="155" spans="1:11">
      <c r="A155" s="343" t="str">
        <f>case_name</f>
        <v>CASE NO: 2018-00261</v>
      </c>
      <c r="C155" s="196"/>
      <c r="D155" s="344"/>
      <c r="E155" s="196"/>
      <c r="F155" s="196"/>
      <c r="G155" s="196"/>
      <c r="H155" s="196"/>
      <c r="I155" s="196"/>
      <c r="J155" s="196" t="str">
        <f>Witness</f>
        <v>JAMES E. ZIOLKOWSKI</v>
      </c>
      <c r="K155" s="196"/>
    </row>
    <row r="156" spans="1:11">
      <c r="A156" s="343" t="str">
        <f>data_filing</f>
        <v>DATA: 12 MONTH FORECASTED PERIOD</v>
      </c>
      <c r="C156" s="196"/>
      <c r="D156" s="344"/>
      <c r="E156" s="196"/>
      <c r="F156" s="196"/>
      <c r="G156" s="196"/>
      <c r="H156" s="196"/>
      <c r="I156" s="196"/>
      <c r="J156" s="196" t="str">
        <f>"PAGE "&amp;Pages-14&amp;" OF "&amp;Pages</f>
        <v>PAGE 4 OF 18</v>
      </c>
      <c r="K156" s="196"/>
    </row>
    <row r="157" spans="1:11">
      <c r="A157" s="343" t="str">
        <f>type</f>
        <v xml:space="preserve">TYPE OF FILING: "X" ORIGINAL   UPDATED    REVISED  </v>
      </c>
      <c r="C157" s="196"/>
      <c r="D157" s="344"/>
      <c r="E157" s="196"/>
      <c r="F157" s="196"/>
      <c r="G157" s="196"/>
      <c r="H157" s="196"/>
      <c r="I157" s="196"/>
      <c r="J157" s="196"/>
      <c r="K157" s="196"/>
    </row>
    <row r="158" spans="1:11">
      <c r="A158" s="343"/>
      <c r="C158" s="196"/>
      <c r="D158" s="344"/>
      <c r="E158" s="196"/>
      <c r="F158" s="196"/>
      <c r="G158" s="196"/>
      <c r="H158" s="196"/>
      <c r="I158" s="196"/>
      <c r="J158" s="196"/>
      <c r="K158" s="196"/>
    </row>
    <row r="159" spans="1:11">
      <c r="B159" s="343"/>
      <c r="C159" s="196"/>
      <c r="D159" s="344"/>
      <c r="E159" s="196"/>
      <c r="F159" s="196"/>
      <c r="G159" s="196"/>
      <c r="H159" s="196"/>
      <c r="I159" s="196"/>
      <c r="J159" s="196"/>
    </row>
    <row r="160" spans="1:11">
      <c r="A160" s="344" t="s">
        <v>914</v>
      </c>
      <c r="B160" s="196"/>
      <c r="C160" s="196"/>
      <c r="D160" s="344"/>
      <c r="E160" s="196"/>
      <c r="F160" s="344" t="str">
        <f>$F$8</f>
        <v>TOTAL</v>
      </c>
      <c r="G160" s="545" t="s">
        <v>1005</v>
      </c>
      <c r="H160" s="533"/>
      <c r="I160" s="534"/>
      <c r="J160" s="344" t="s">
        <v>229</v>
      </c>
      <c r="K160" s="344" t="s">
        <v>342</v>
      </c>
    </row>
    <row r="161" spans="1:11">
      <c r="A161" s="346" t="s">
        <v>915</v>
      </c>
      <c r="B161" s="345" t="str">
        <f>"NET GAS PLANT"</f>
        <v>NET GAS PLANT</v>
      </c>
      <c r="C161" s="345"/>
      <c r="D161" s="346" t="s">
        <v>337</v>
      </c>
      <c r="E161" s="345"/>
      <c r="F161" s="346" t="str">
        <f>$F$9</f>
        <v>PRODUCTION</v>
      </c>
      <c r="G161" s="546" t="s">
        <v>847</v>
      </c>
      <c r="H161" s="535" t="s">
        <v>848</v>
      </c>
      <c r="I161" s="536" t="s">
        <v>849</v>
      </c>
      <c r="J161" s="346" t="s">
        <v>341</v>
      </c>
      <c r="K161" s="346" t="s">
        <v>340</v>
      </c>
    </row>
    <row r="162" spans="1:11">
      <c r="C162" s="578" t="s">
        <v>346</v>
      </c>
      <c r="D162" s="344"/>
      <c r="E162" s="196"/>
      <c r="G162" s="800">
        <f>$G$10</f>
        <v>3</v>
      </c>
      <c r="H162" s="801">
        <f>$H$10</f>
        <v>4</v>
      </c>
      <c r="I162" s="802">
        <f>$I$10</f>
        <v>5</v>
      </c>
    </row>
    <row r="163" spans="1:11">
      <c r="A163" s="333">
        <v>1</v>
      </c>
      <c r="B163" s="332" t="s">
        <v>14</v>
      </c>
      <c r="D163" s="344"/>
      <c r="E163" s="196"/>
      <c r="G163" s="547"/>
      <c r="H163" s="537"/>
      <c r="I163" s="538"/>
    </row>
    <row r="164" spans="1:11">
      <c r="A164" s="333">
        <v>2</v>
      </c>
      <c r="C164" s="332" t="str">
        <f>'FR-16(7)(v)-1 Functional'!C164</f>
        <v>PRODUCTION PLANT IN SERVICE</v>
      </c>
      <c r="D164" s="344"/>
      <c r="E164" s="196"/>
      <c r="F164" s="347">
        <f>F59</f>
        <v>2799608</v>
      </c>
      <c r="G164" s="548">
        <f>$G$59</f>
        <v>0</v>
      </c>
      <c r="H164" s="539">
        <f>$H$59</f>
        <v>2799608</v>
      </c>
      <c r="I164" s="540">
        <f>$I$59</f>
        <v>0</v>
      </c>
      <c r="J164" s="347">
        <f>$J$59</f>
        <v>2799608</v>
      </c>
      <c r="K164" s="347">
        <f>F164-J164</f>
        <v>0</v>
      </c>
    </row>
    <row r="165" spans="1:11">
      <c r="A165" s="333">
        <v>3</v>
      </c>
      <c r="C165" s="359" t="str">
        <f>'FR-16(7)(v)-1 Functional'!C165</f>
        <v>TOTAL PROD DEPRC RESERVE</v>
      </c>
      <c r="D165" s="344"/>
      <c r="E165" s="196"/>
      <c r="F165" s="347">
        <f>-F115</f>
        <v>-1634598</v>
      </c>
      <c r="G165" s="548">
        <f>-G115</f>
        <v>0</v>
      </c>
      <c r="H165" s="539">
        <f>-H115</f>
        <v>-1634598</v>
      </c>
      <c r="I165" s="540">
        <f>-I115</f>
        <v>0</v>
      </c>
      <c r="J165" s="347">
        <f>-J115</f>
        <v>-1634598</v>
      </c>
      <c r="K165" s="347">
        <f>F165-J165</f>
        <v>0</v>
      </c>
    </row>
    <row r="166" spans="1:11">
      <c r="A166" s="333">
        <v>4</v>
      </c>
      <c r="C166" s="332" t="str">
        <f>'FR-16(7)(v)-1 Functional'!C166</f>
        <v xml:space="preserve">  NET PRODUCTION PLANT</v>
      </c>
      <c r="D166" s="344"/>
      <c r="E166" s="196"/>
      <c r="F166" s="348">
        <f t="shared" ref="F166:K166" si="49">SUM(F164:F165)</f>
        <v>1165010</v>
      </c>
      <c r="G166" s="549">
        <f t="shared" si="49"/>
        <v>0</v>
      </c>
      <c r="H166" s="541">
        <f t="shared" si="49"/>
        <v>1165010</v>
      </c>
      <c r="I166" s="542">
        <f t="shared" si="49"/>
        <v>0</v>
      </c>
      <c r="J166" s="348">
        <f t="shared" si="49"/>
        <v>1165010</v>
      </c>
      <c r="K166" s="348">
        <f t="shared" si="49"/>
        <v>0</v>
      </c>
    </row>
    <row r="167" spans="1:11">
      <c r="A167" s="333">
        <v>5</v>
      </c>
      <c r="D167" s="344"/>
      <c r="E167" s="196"/>
      <c r="G167" s="547"/>
      <c r="H167" s="537"/>
      <c r="I167" s="538"/>
    </row>
    <row r="168" spans="1:11">
      <c r="A168" s="333">
        <v>6</v>
      </c>
      <c r="B168" s="359" t="s">
        <v>15</v>
      </c>
      <c r="C168" s="359"/>
      <c r="D168" s="344"/>
      <c r="E168" s="196"/>
      <c r="F168" s="347"/>
      <c r="G168" s="548"/>
      <c r="H168" s="539"/>
      <c r="I168" s="540"/>
      <c r="J168" s="347"/>
    </row>
    <row r="169" spans="1:11">
      <c r="A169" s="333">
        <v>7</v>
      </c>
      <c r="C169" s="332" t="str">
        <f>'FR-16(7)(v)-1 Functional'!C169</f>
        <v>TRANSMISSION PLANT IN SERVICE</v>
      </c>
      <c r="D169" s="344"/>
      <c r="E169" s="196"/>
      <c r="F169" s="347">
        <f>F63</f>
        <v>0</v>
      </c>
      <c r="G169" s="548">
        <f>$G$63</f>
        <v>0</v>
      </c>
      <c r="H169" s="539">
        <f>$H$63</f>
        <v>0</v>
      </c>
      <c r="I169" s="540">
        <f>$I$63</f>
        <v>0</v>
      </c>
      <c r="J169" s="347">
        <f>$J$63</f>
        <v>0</v>
      </c>
      <c r="K169" s="347">
        <f>F169-J169</f>
        <v>0</v>
      </c>
    </row>
    <row r="170" spans="1:11">
      <c r="A170" s="333">
        <v>8</v>
      </c>
      <c r="C170" s="332" t="str">
        <f>'FR-16(7)(v)-1 Functional'!C170</f>
        <v>TOTAL TRANS DEPREC RESERVE</v>
      </c>
      <c r="D170" s="344"/>
      <c r="E170" s="196"/>
      <c r="F170" s="347">
        <f>-F119</f>
        <v>0</v>
      </c>
      <c r="G170" s="548">
        <f>-G119</f>
        <v>0</v>
      </c>
      <c r="H170" s="539">
        <f>-H119</f>
        <v>0</v>
      </c>
      <c r="I170" s="540">
        <f>-I119</f>
        <v>0</v>
      </c>
      <c r="J170" s="347">
        <f>-J119</f>
        <v>0</v>
      </c>
      <c r="K170" s="347">
        <f>F170-J170</f>
        <v>0</v>
      </c>
    </row>
    <row r="171" spans="1:11">
      <c r="A171" s="333">
        <v>9</v>
      </c>
      <c r="C171" s="332" t="str">
        <f>'FR-16(7)(v)-1 Functional'!C171</f>
        <v xml:space="preserve">    NET TRANSMISSION PLANT</v>
      </c>
      <c r="D171" s="344"/>
      <c r="E171" s="196"/>
      <c r="F171" s="348">
        <f t="shared" ref="F171:K171" si="50">SUM(F168:F170)</f>
        <v>0</v>
      </c>
      <c r="G171" s="549">
        <f t="shared" si="50"/>
        <v>0</v>
      </c>
      <c r="H171" s="541">
        <f t="shared" si="50"/>
        <v>0</v>
      </c>
      <c r="I171" s="542">
        <f t="shared" si="50"/>
        <v>0</v>
      </c>
      <c r="J171" s="348">
        <f t="shared" si="50"/>
        <v>0</v>
      </c>
      <c r="K171" s="348">
        <f t="shared" si="50"/>
        <v>0</v>
      </c>
    </row>
    <row r="172" spans="1:11">
      <c r="A172" s="333">
        <v>10</v>
      </c>
      <c r="D172" s="344"/>
      <c r="E172" s="196"/>
      <c r="G172" s="547"/>
      <c r="H172" s="537"/>
      <c r="I172" s="538"/>
    </row>
    <row r="173" spans="1:11">
      <c r="A173" s="333">
        <v>11</v>
      </c>
      <c r="B173" s="332" t="s">
        <v>17</v>
      </c>
      <c r="D173" s="344"/>
      <c r="E173" s="196"/>
      <c r="G173" s="547"/>
      <c r="H173" s="537"/>
      <c r="I173" s="538"/>
    </row>
    <row r="174" spans="1:11">
      <c r="A174" s="333">
        <v>12</v>
      </c>
      <c r="C174" s="332" t="str">
        <f>'FR-16(7)(v)-1 Functional'!C174</f>
        <v>DISTRIBUTION PLANT IN SERVICE</v>
      </c>
      <c r="D174" s="344"/>
      <c r="E174" s="196"/>
      <c r="F174" s="347">
        <f>F78</f>
        <v>0</v>
      </c>
      <c r="G174" s="548">
        <f>G78</f>
        <v>0</v>
      </c>
      <c r="H174" s="539">
        <f>H78</f>
        <v>0</v>
      </c>
      <c r="I174" s="540">
        <f>I78</f>
        <v>0</v>
      </c>
      <c r="J174" s="347">
        <f>J78</f>
        <v>0</v>
      </c>
      <c r="K174" s="347">
        <f>F174-J174</f>
        <v>0</v>
      </c>
    </row>
    <row r="175" spans="1:11">
      <c r="A175" s="333">
        <v>13</v>
      </c>
      <c r="C175" s="359" t="str">
        <f>'FR-16(7)(v)-1 Functional'!C175</f>
        <v>TOTAL DIST DEPREC RESERVE</v>
      </c>
      <c r="D175" s="344"/>
      <c r="E175" s="196"/>
      <c r="F175" s="347">
        <f>-F131</f>
        <v>0</v>
      </c>
      <c r="G175" s="548">
        <f>-G131</f>
        <v>0</v>
      </c>
      <c r="H175" s="539">
        <f>-H131</f>
        <v>0</v>
      </c>
      <c r="I175" s="540">
        <f>-I131</f>
        <v>0</v>
      </c>
      <c r="J175" s="347">
        <f>-J131</f>
        <v>0</v>
      </c>
      <c r="K175" s="347">
        <f>F175-J175</f>
        <v>0</v>
      </c>
    </row>
    <row r="176" spans="1:11">
      <c r="A176" s="333">
        <v>14</v>
      </c>
      <c r="C176" s="332" t="str">
        <f>'FR-16(7)(v)-1 Functional'!C176</f>
        <v xml:space="preserve">  NET DISTRIBUTION PLANT</v>
      </c>
      <c r="D176" s="344"/>
      <c r="E176" s="196"/>
      <c r="F176" s="348">
        <f t="shared" ref="F176:K176" si="51">SUM(F173:F175)</f>
        <v>0</v>
      </c>
      <c r="G176" s="549">
        <f t="shared" si="51"/>
        <v>0</v>
      </c>
      <c r="H176" s="541">
        <f t="shared" si="51"/>
        <v>0</v>
      </c>
      <c r="I176" s="542">
        <f t="shared" si="51"/>
        <v>0</v>
      </c>
      <c r="J176" s="348">
        <f t="shared" si="51"/>
        <v>0</v>
      </c>
      <c r="K176" s="348">
        <f t="shared" si="51"/>
        <v>0</v>
      </c>
    </row>
    <row r="177" spans="1:11">
      <c r="A177" s="333">
        <v>15</v>
      </c>
      <c r="D177" s="344"/>
      <c r="E177" s="196"/>
      <c r="G177" s="547"/>
      <c r="H177" s="537"/>
      <c r="I177" s="538"/>
    </row>
    <row r="178" spans="1:11">
      <c r="A178" s="333">
        <v>16</v>
      </c>
      <c r="B178" s="332" t="s">
        <v>430</v>
      </c>
      <c r="D178" s="344"/>
      <c r="E178" s="196"/>
      <c r="F178" s="347">
        <f t="shared" ref="F178:K178" si="52">F176+F171+F166</f>
        <v>1165010</v>
      </c>
      <c r="G178" s="548">
        <f t="shared" si="52"/>
        <v>0</v>
      </c>
      <c r="H178" s="539">
        <f t="shared" si="52"/>
        <v>1165010</v>
      </c>
      <c r="I178" s="540">
        <f t="shared" si="52"/>
        <v>0</v>
      </c>
      <c r="J178" s="347">
        <f t="shared" si="52"/>
        <v>1165010</v>
      </c>
      <c r="K178" s="347">
        <f t="shared" si="52"/>
        <v>0</v>
      </c>
    </row>
    <row r="179" spans="1:11">
      <c r="A179" s="333">
        <v>17</v>
      </c>
      <c r="B179" s="332" t="s">
        <v>24</v>
      </c>
      <c r="D179" s="344"/>
      <c r="E179" s="196"/>
      <c r="F179" s="347">
        <f t="shared" ref="F179:K179" si="53">F176+F171</f>
        <v>0</v>
      </c>
      <c r="G179" s="548">
        <f t="shared" si="53"/>
        <v>0</v>
      </c>
      <c r="H179" s="539">
        <f t="shared" si="53"/>
        <v>0</v>
      </c>
      <c r="I179" s="540">
        <f t="shared" si="53"/>
        <v>0</v>
      </c>
      <c r="J179" s="347">
        <f t="shared" si="53"/>
        <v>0</v>
      </c>
      <c r="K179" s="347">
        <f t="shared" si="53"/>
        <v>0</v>
      </c>
    </row>
    <row r="180" spans="1:11">
      <c r="A180" s="333">
        <v>18</v>
      </c>
      <c r="D180" s="344"/>
      <c r="E180" s="196"/>
      <c r="G180" s="547"/>
      <c r="H180" s="537"/>
      <c r="I180" s="538"/>
    </row>
    <row r="181" spans="1:11">
      <c r="A181" s="333">
        <v>19</v>
      </c>
      <c r="B181" s="332" t="s">
        <v>20</v>
      </c>
      <c r="D181" s="344"/>
      <c r="E181" s="196"/>
      <c r="G181" s="547"/>
      <c r="H181" s="537"/>
      <c r="I181" s="538"/>
    </row>
    <row r="182" spans="1:11">
      <c r="A182" s="333">
        <v>20</v>
      </c>
      <c r="C182" s="332" t="str">
        <f>'FR-16(7)(v)-1 Functional'!C182</f>
        <v>GEN &amp; INTANG PLANT IN SERVICE</v>
      </c>
      <c r="D182" s="344"/>
      <c r="E182" s="196"/>
      <c r="F182" s="347">
        <f>F90</f>
        <v>2528471</v>
      </c>
      <c r="G182" s="548">
        <f>G90</f>
        <v>0</v>
      </c>
      <c r="H182" s="539">
        <f>H90</f>
        <v>2528471</v>
      </c>
      <c r="I182" s="540">
        <f>I90</f>
        <v>0</v>
      </c>
      <c r="J182" s="347">
        <f>J90</f>
        <v>2528471</v>
      </c>
      <c r="K182" s="347">
        <f>F182-J182</f>
        <v>0</v>
      </c>
    </row>
    <row r="183" spans="1:11">
      <c r="A183" s="333">
        <v>21</v>
      </c>
      <c r="C183" s="359" t="str">
        <f>'FR-16(7)(v)-1 Functional'!C183</f>
        <v>TOTAL GEN &amp; INTG DEPREC RESERVE</v>
      </c>
      <c r="D183" s="344"/>
      <c r="E183" s="196"/>
      <c r="F183" s="347">
        <f>-F140</f>
        <v>-974530</v>
      </c>
      <c r="G183" s="548">
        <f>-G140</f>
        <v>0</v>
      </c>
      <c r="H183" s="539">
        <f>-H140</f>
        <v>-974530</v>
      </c>
      <c r="I183" s="540">
        <f>-I140</f>
        <v>0</v>
      </c>
      <c r="J183" s="347">
        <f>-J140</f>
        <v>-974530</v>
      </c>
      <c r="K183" s="347">
        <f>F183-J183</f>
        <v>0</v>
      </c>
    </row>
    <row r="184" spans="1:11">
      <c r="A184" s="333">
        <v>22</v>
      </c>
      <c r="C184" s="332" t="str">
        <f>'FR-16(7)(v)-1 Functional'!C184</f>
        <v xml:space="preserve">  NET GENERAL &amp; INTANG PLANT</v>
      </c>
      <c r="D184" s="344"/>
      <c r="E184" s="196"/>
      <c r="F184" s="348">
        <f t="shared" ref="F184:K184" si="54">SUM(F181:F183)</f>
        <v>1553941</v>
      </c>
      <c r="G184" s="549">
        <f t="shared" si="54"/>
        <v>0</v>
      </c>
      <c r="H184" s="541">
        <f t="shared" si="54"/>
        <v>1553941</v>
      </c>
      <c r="I184" s="542">
        <f t="shared" si="54"/>
        <v>0</v>
      </c>
      <c r="J184" s="348">
        <f t="shared" si="54"/>
        <v>1553941</v>
      </c>
      <c r="K184" s="348">
        <f t="shared" si="54"/>
        <v>0</v>
      </c>
    </row>
    <row r="185" spans="1:11">
      <c r="A185" s="333">
        <v>23</v>
      </c>
      <c r="D185" s="344"/>
      <c r="E185" s="196"/>
      <c r="F185" s="347"/>
      <c r="G185" s="548"/>
      <c r="H185" s="539"/>
      <c r="I185" s="540"/>
      <c r="J185" s="347"/>
    </row>
    <row r="186" spans="1:11">
      <c r="A186" s="333">
        <v>24</v>
      </c>
      <c r="B186" s="332" t="s">
        <v>21</v>
      </c>
      <c r="D186" s="344"/>
      <c r="E186" s="196"/>
      <c r="F186" s="347"/>
      <c r="G186" s="548"/>
      <c r="H186" s="539"/>
      <c r="I186" s="540"/>
      <c r="J186" s="347"/>
    </row>
    <row r="187" spans="1:11">
      <c r="A187" s="333">
        <v>25</v>
      </c>
      <c r="C187" s="332" t="str">
        <f>'FR-16(7)(v)-1 Functional'!C187</f>
        <v>COMMON &amp; OTH PLT IN SERVICE</v>
      </c>
      <c r="D187" s="344"/>
      <c r="E187" s="196"/>
      <c r="F187" s="347">
        <f>F99</f>
        <v>1330888</v>
      </c>
      <c r="G187" s="548">
        <f>G99</f>
        <v>0</v>
      </c>
      <c r="H187" s="539">
        <f>H99</f>
        <v>1330888</v>
      </c>
      <c r="I187" s="540">
        <f>I99</f>
        <v>0</v>
      </c>
      <c r="J187" s="347">
        <f>J99</f>
        <v>1330888</v>
      </c>
      <c r="K187" s="347">
        <f>F187-J187</f>
        <v>0</v>
      </c>
    </row>
    <row r="188" spans="1:11">
      <c r="A188" s="333">
        <v>26</v>
      </c>
      <c r="C188" s="359" t="str">
        <f>'FR-16(7)(v)-1 Functional'!C188</f>
        <v>TOTAL COM &amp; OTH DEPREC RESERVE</v>
      </c>
      <c r="D188" s="344"/>
      <c r="E188" s="196"/>
      <c r="F188" s="347">
        <f>-F149</f>
        <v>-1097577</v>
      </c>
      <c r="G188" s="548">
        <f>-G149</f>
        <v>0</v>
      </c>
      <c r="H188" s="539">
        <f>-H149</f>
        <v>-1097577</v>
      </c>
      <c r="I188" s="540">
        <f>-I149</f>
        <v>0</v>
      </c>
      <c r="J188" s="347">
        <f>-J149</f>
        <v>-1097577</v>
      </c>
      <c r="K188" s="347">
        <f>F188-J188</f>
        <v>0</v>
      </c>
    </row>
    <row r="189" spans="1:11">
      <c r="A189" s="333">
        <v>27</v>
      </c>
      <c r="C189" s="332" t="str">
        <f>'FR-16(7)(v)-1 Functional'!C189</f>
        <v xml:space="preserve">  NET COMMON &amp; OTHER PLANT</v>
      </c>
      <c r="D189" s="344"/>
      <c r="E189" s="196"/>
      <c r="F189" s="348">
        <f t="shared" ref="F189:K189" si="55">SUM(F186:F188)</f>
        <v>233311</v>
      </c>
      <c r="G189" s="549">
        <f t="shared" si="55"/>
        <v>0</v>
      </c>
      <c r="H189" s="541">
        <f t="shared" si="55"/>
        <v>233311</v>
      </c>
      <c r="I189" s="542">
        <f t="shared" si="55"/>
        <v>0</v>
      </c>
      <c r="J189" s="348">
        <f t="shared" si="55"/>
        <v>233311</v>
      </c>
      <c r="K189" s="348">
        <f t="shared" si="55"/>
        <v>0</v>
      </c>
    </row>
    <row r="190" spans="1:11">
      <c r="A190" s="333">
        <v>28</v>
      </c>
      <c r="D190" s="344"/>
      <c r="E190" s="196"/>
      <c r="F190" s="347"/>
      <c r="G190" s="548"/>
      <c r="H190" s="539"/>
      <c r="I190" s="540"/>
      <c r="J190" s="347"/>
      <c r="K190" s="347"/>
    </row>
    <row r="191" spans="1:11">
      <c r="A191" s="333">
        <v>29</v>
      </c>
      <c r="C191" s="332" t="str">
        <f>'FR-16(7)(v)-1 Functional'!C191</f>
        <v>NET GAS PLANT IN SERVICE</v>
      </c>
      <c r="D191" s="344"/>
      <c r="E191" s="196"/>
      <c r="F191" s="347">
        <f t="shared" ref="F191:K191" si="56">F189+F184+F176+F171+F166</f>
        <v>2952262</v>
      </c>
      <c r="G191" s="550">
        <f t="shared" si="56"/>
        <v>0</v>
      </c>
      <c r="H191" s="543">
        <f t="shared" si="56"/>
        <v>2952262</v>
      </c>
      <c r="I191" s="544">
        <f t="shared" si="56"/>
        <v>0</v>
      </c>
      <c r="J191" s="347">
        <f t="shared" si="56"/>
        <v>2952262</v>
      </c>
      <c r="K191" s="347">
        <f t="shared" si="56"/>
        <v>0</v>
      </c>
    </row>
    <row r="192" spans="1:11">
      <c r="B192" s="343"/>
      <c r="C192" s="196"/>
      <c r="D192" s="344"/>
      <c r="E192" s="196"/>
      <c r="F192" s="196"/>
      <c r="G192" s="196"/>
      <c r="H192" s="196"/>
      <c r="I192" s="196"/>
      <c r="J192" s="196"/>
      <c r="K192" s="196"/>
    </row>
    <row r="193" spans="1:11">
      <c r="A193" s="343" t="str">
        <f>co_name</f>
        <v>DUKE ENERGY KENTUCKY, INC.</v>
      </c>
      <c r="C193" s="196"/>
      <c r="D193" s="344"/>
      <c r="E193" s="196"/>
      <c r="F193" s="196"/>
      <c r="G193" s="196"/>
      <c r="H193" s="196"/>
      <c r="I193" s="196"/>
      <c r="J193" s="196" t="str">
        <f>$J$1</f>
        <v>FR-16(7)(v)-2</v>
      </c>
      <c r="K193" s="196"/>
    </row>
    <row r="194" spans="1:11">
      <c r="A194" s="343" t="str">
        <f>$A$2</f>
        <v>PRODUCTION CLASSIFIED - GAS COST OF SERVICE</v>
      </c>
      <c r="C194" s="196"/>
      <c r="D194" s="344"/>
      <c r="E194" s="196"/>
      <c r="F194" s="196"/>
      <c r="G194" s="196"/>
      <c r="H194" s="196"/>
      <c r="I194" s="196"/>
      <c r="J194" s="196" t="str">
        <f>$J$2</f>
        <v>WITNESS RESPONSIBLE:</v>
      </c>
      <c r="K194" s="196"/>
    </row>
    <row r="195" spans="1:11">
      <c r="A195" s="343" t="str">
        <f>case_name</f>
        <v>CASE NO: 2018-00261</v>
      </c>
      <c r="C195" s="196"/>
      <c r="D195" s="344"/>
      <c r="E195" s="196"/>
      <c r="F195" s="196"/>
      <c r="G195" s="196"/>
      <c r="H195" s="196"/>
      <c r="I195" s="196"/>
      <c r="J195" s="196" t="str">
        <f>Witness</f>
        <v>JAMES E. ZIOLKOWSKI</v>
      </c>
      <c r="K195" s="196"/>
    </row>
    <row r="196" spans="1:11">
      <c r="A196" s="343" t="str">
        <f>data_filing</f>
        <v>DATA: 12 MONTH FORECASTED PERIOD</v>
      </c>
      <c r="C196" s="196"/>
      <c r="D196" s="344"/>
      <c r="E196" s="196"/>
      <c r="F196" s="196"/>
      <c r="G196" s="196"/>
      <c r="H196" s="196"/>
      <c r="I196" s="196"/>
      <c r="J196" s="196" t="str">
        <f>"PAGE "&amp;Pages-13&amp;" OF "&amp;Pages</f>
        <v>PAGE 5 OF 18</v>
      </c>
      <c r="K196" s="196"/>
    </row>
    <row r="197" spans="1:11">
      <c r="A197" s="343" t="str">
        <f>type</f>
        <v xml:space="preserve">TYPE OF FILING: "X" ORIGINAL   UPDATED    REVISED  </v>
      </c>
      <c r="C197" s="196"/>
      <c r="D197" s="344"/>
      <c r="E197" s="196"/>
      <c r="F197" s="196"/>
      <c r="G197" s="196"/>
      <c r="H197" s="196"/>
      <c r="I197" s="196"/>
      <c r="J197" s="196"/>
      <c r="K197" s="196"/>
    </row>
    <row r="198" spans="1:11">
      <c r="B198" s="343"/>
      <c r="C198" s="196"/>
      <c r="D198" s="344"/>
      <c r="E198" s="196"/>
      <c r="F198" s="196"/>
      <c r="G198" s="196"/>
      <c r="H198" s="196"/>
      <c r="I198" s="196"/>
      <c r="J198" s="196"/>
      <c r="K198" s="196"/>
    </row>
    <row r="199" spans="1:11">
      <c r="B199" s="343"/>
      <c r="C199" s="196"/>
      <c r="D199" s="344"/>
      <c r="E199" s="196"/>
      <c r="F199" s="196"/>
      <c r="G199" s="196"/>
      <c r="H199" s="196"/>
      <c r="I199" s="196"/>
      <c r="J199" s="196"/>
      <c r="K199" s="196"/>
    </row>
    <row r="200" spans="1:11">
      <c r="A200" s="344" t="s">
        <v>914</v>
      </c>
      <c r="B200" s="196"/>
      <c r="C200" s="196"/>
      <c r="D200" s="344"/>
      <c r="E200" s="196"/>
      <c r="F200" s="344" t="str">
        <f>$F$8</f>
        <v>TOTAL</v>
      </c>
      <c r="G200" s="545" t="s">
        <v>1005</v>
      </c>
      <c r="H200" s="533"/>
      <c r="I200" s="534"/>
      <c r="J200" s="344" t="s">
        <v>229</v>
      </c>
      <c r="K200" s="344" t="s">
        <v>342</v>
      </c>
    </row>
    <row r="201" spans="1:11">
      <c r="A201" s="346" t="s">
        <v>915</v>
      </c>
      <c r="B201" s="345" t="s">
        <v>953</v>
      </c>
      <c r="C201" s="345"/>
      <c r="D201" s="346" t="s">
        <v>337</v>
      </c>
      <c r="E201" s="345"/>
      <c r="F201" s="346" t="str">
        <f>$F$9</f>
        <v>PRODUCTION</v>
      </c>
      <c r="G201" s="546" t="s">
        <v>847</v>
      </c>
      <c r="H201" s="535" t="s">
        <v>848</v>
      </c>
      <c r="I201" s="536" t="s">
        <v>849</v>
      </c>
      <c r="J201" s="346" t="s">
        <v>341</v>
      </c>
      <c r="K201" s="346" t="s">
        <v>340</v>
      </c>
    </row>
    <row r="202" spans="1:11">
      <c r="C202" s="578" t="s">
        <v>347</v>
      </c>
      <c r="D202" s="344"/>
      <c r="E202" s="196"/>
      <c r="G202" s="800">
        <f>$G$10</f>
        <v>3</v>
      </c>
      <c r="H202" s="801">
        <f>$H$10</f>
        <v>4</v>
      </c>
      <c r="I202" s="802">
        <f>$I$10</f>
        <v>5</v>
      </c>
    </row>
    <row r="203" spans="1:11">
      <c r="A203" s="333">
        <v>1</v>
      </c>
      <c r="B203" s="332" t="s">
        <v>26</v>
      </c>
      <c r="D203" s="344"/>
      <c r="E203" s="196"/>
      <c r="G203" s="547"/>
      <c r="H203" s="537"/>
      <c r="I203" s="538"/>
    </row>
    <row r="204" spans="1:11">
      <c r="A204" s="333">
        <v>2</v>
      </c>
      <c r="B204" s="332" t="s">
        <v>823</v>
      </c>
      <c r="D204" s="344"/>
      <c r="E204" s="196"/>
      <c r="G204" s="547"/>
      <c r="H204" s="537"/>
      <c r="I204" s="538"/>
    </row>
    <row r="205" spans="1:11">
      <c r="A205" s="333">
        <v>3</v>
      </c>
      <c r="B205" s="332" t="s">
        <v>27</v>
      </c>
      <c r="D205" s="344"/>
      <c r="E205" s="196"/>
      <c r="G205" s="547"/>
      <c r="H205" s="537"/>
      <c r="I205" s="538"/>
    </row>
    <row r="206" spans="1:11">
      <c r="A206" s="333">
        <v>4</v>
      </c>
      <c r="C206" s="332" t="str">
        <f>'FR-16(7)(v)-1 Functional'!C206</f>
        <v>LIBERALIZED DEPRECIATION</v>
      </c>
      <c r="D206" s="344" t="str">
        <f>'FR-16(7)(v)-1 Functional'!D206</f>
        <v>NP29</v>
      </c>
      <c r="E206" s="332" t="s">
        <v>343</v>
      </c>
      <c r="F206" s="1289">
        <f>'FR-16(7)(v)-1 Functional'!G206</f>
        <v>388726</v>
      </c>
      <c r="G206" s="548">
        <f t="shared" ref="G206:G214" si="57">F206-SUM(H206:I206)</f>
        <v>0</v>
      </c>
      <c r="H206" s="539">
        <f t="shared" ref="H206:H214" si="58">ROUND(F206*VLOOKUP(D206,AllocTable_Classified_Production,$H$10,FALSE),0)</f>
        <v>388726</v>
      </c>
      <c r="I206" s="540">
        <f t="shared" ref="I206:I214" si="59">ROUND(F206*VLOOKUP(D206,AllocTable_Classified_Production,$I$10,FALSE),0)</f>
        <v>0</v>
      </c>
      <c r="J206" s="347">
        <f t="shared" ref="J206:J214" si="60">SUM(G206:I206)</f>
        <v>388726</v>
      </c>
      <c r="K206" s="347">
        <f t="shared" ref="K206:K214" si="61">F206-J206</f>
        <v>0</v>
      </c>
    </row>
    <row r="207" spans="1:11">
      <c r="A207" s="333">
        <v>5</v>
      </c>
      <c r="C207" s="332" t="str">
        <f>'FR-16(7)(v)-1 Functional'!C207</f>
        <v>LEASED METERS</v>
      </c>
      <c r="D207" s="344" t="str">
        <f>'FR-16(7)(v)-1 Functional'!D207</f>
        <v>K413</v>
      </c>
      <c r="E207" s="332" t="s">
        <v>343</v>
      </c>
      <c r="F207" s="1289">
        <f>'FR-16(7)(v)-1 Functional'!G207</f>
        <v>0</v>
      </c>
      <c r="G207" s="548">
        <f t="shared" si="57"/>
        <v>0</v>
      </c>
      <c r="H207" s="539">
        <f t="shared" si="58"/>
        <v>0</v>
      </c>
      <c r="I207" s="540">
        <f t="shared" si="59"/>
        <v>0</v>
      </c>
      <c r="J207" s="347">
        <f t="shared" si="60"/>
        <v>0</v>
      </c>
      <c r="K207" s="347">
        <f t="shared" si="61"/>
        <v>0</v>
      </c>
    </row>
    <row r="208" spans="1:11">
      <c r="A208" s="333">
        <v>6</v>
      </c>
      <c r="C208" s="332" t="str">
        <f>'FR-16(7)(v)-1 Functional'!C208</f>
        <v>CONTRIB AID CONSTR</v>
      </c>
      <c r="D208" s="344" t="str">
        <f>'FR-16(7)(v)-1 Functional'!D208</f>
        <v>D249</v>
      </c>
      <c r="E208" s="332" t="s">
        <v>343</v>
      </c>
      <c r="F208" s="1289">
        <f>'FR-16(7)(v)-1 Functional'!G208</f>
        <v>0</v>
      </c>
      <c r="G208" s="548">
        <f t="shared" si="57"/>
        <v>0</v>
      </c>
      <c r="H208" s="539">
        <f t="shared" si="58"/>
        <v>0</v>
      </c>
      <c r="I208" s="540">
        <f t="shared" si="59"/>
        <v>0</v>
      </c>
      <c r="J208" s="347">
        <f t="shared" si="60"/>
        <v>0</v>
      </c>
      <c r="K208" s="347">
        <f t="shared" si="61"/>
        <v>0</v>
      </c>
    </row>
    <row r="209" spans="1:11">
      <c r="A209" s="333">
        <v>7</v>
      </c>
      <c r="C209" s="332" t="str">
        <f>'FR-16(7)(v)-1 Functional'!C209</f>
        <v>CAPITALIZED INTEREST</v>
      </c>
      <c r="D209" s="344" t="str">
        <f>'FR-16(7)(v)-1 Functional'!D209</f>
        <v>NP29</v>
      </c>
      <c r="E209" s="332" t="s">
        <v>343</v>
      </c>
      <c r="F209" s="1289">
        <f>'FR-16(7)(v)-1 Functional'!G209</f>
        <v>-6912</v>
      </c>
      <c r="G209" s="548">
        <f t="shared" si="57"/>
        <v>0</v>
      </c>
      <c r="H209" s="539">
        <f t="shared" si="58"/>
        <v>-6912</v>
      </c>
      <c r="I209" s="540">
        <f t="shared" si="59"/>
        <v>0</v>
      </c>
      <c r="J209" s="347">
        <f t="shared" si="60"/>
        <v>-6912</v>
      </c>
      <c r="K209" s="347">
        <f t="shared" si="61"/>
        <v>0</v>
      </c>
    </row>
    <row r="210" spans="1:11">
      <c r="A210" s="333">
        <v>8</v>
      </c>
      <c r="C210" s="332" t="str">
        <f>'FR-16(7)(v)-1 Functional'!C210</f>
        <v>AFUDC IN DEBT</v>
      </c>
      <c r="D210" s="344" t="str">
        <f>'FR-16(7)(v)-1 Functional'!D210</f>
        <v>NP29</v>
      </c>
      <c r="E210" s="332" t="s">
        <v>343</v>
      </c>
      <c r="F210" s="1289">
        <f>'FR-16(7)(v)-1 Functional'!G210</f>
        <v>1864</v>
      </c>
      <c r="G210" s="548">
        <f t="shared" si="57"/>
        <v>0</v>
      </c>
      <c r="H210" s="539">
        <f t="shared" si="58"/>
        <v>1864</v>
      </c>
      <c r="I210" s="540">
        <f t="shared" si="59"/>
        <v>0</v>
      </c>
      <c r="J210" s="347">
        <f t="shared" si="60"/>
        <v>1864</v>
      </c>
      <c r="K210" s="347">
        <f t="shared" si="61"/>
        <v>0</v>
      </c>
    </row>
    <row r="211" spans="1:11">
      <c r="A211" s="333">
        <v>9</v>
      </c>
      <c r="C211" s="332" t="str">
        <f>'FR-16(7)(v)-1 Functional'!C211</f>
        <v>CWIP DIFFERENCES</v>
      </c>
      <c r="D211" s="344" t="str">
        <f>'FR-16(7)(v)-1 Functional'!D211</f>
        <v>NP29</v>
      </c>
      <c r="E211" s="332" t="s">
        <v>343</v>
      </c>
      <c r="F211" s="1289">
        <f>'FR-16(7)(v)-1 Functional'!G211</f>
        <v>0</v>
      </c>
      <c r="G211" s="548">
        <f t="shared" si="57"/>
        <v>0</v>
      </c>
      <c r="H211" s="539">
        <f t="shared" si="58"/>
        <v>0</v>
      </c>
      <c r="I211" s="540">
        <f t="shared" si="59"/>
        <v>0</v>
      </c>
      <c r="J211" s="347">
        <f t="shared" si="60"/>
        <v>0</v>
      </c>
      <c r="K211" s="347">
        <f t="shared" si="61"/>
        <v>0</v>
      </c>
    </row>
    <row r="212" spans="1:11">
      <c r="A212" s="333">
        <v>10</v>
      </c>
      <c r="C212" s="332" t="str">
        <f>'FR-16(7)(v)-1 Functional'!C212</f>
        <v>NON-CASH OVERHEADS</v>
      </c>
      <c r="D212" s="344" t="str">
        <f>'FR-16(7)(v)-1 Functional'!D212</f>
        <v>AG39</v>
      </c>
      <c r="E212" s="332" t="s">
        <v>343</v>
      </c>
      <c r="F212" s="1289">
        <f>'FR-16(7)(v)-1 Functional'!G212</f>
        <v>-55497</v>
      </c>
      <c r="G212" s="548">
        <f t="shared" si="57"/>
        <v>0</v>
      </c>
      <c r="H212" s="539">
        <f t="shared" si="58"/>
        <v>-55497</v>
      </c>
      <c r="I212" s="540">
        <f t="shared" si="59"/>
        <v>0</v>
      </c>
      <c r="J212" s="347">
        <f t="shared" si="60"/>
        <v>-55497</v>
      </c>
      <c r="K212" s="347">
        <f t="shared" si="61"/>
        <v>0</v>
      </c>
    </row>
    <row r="213" spans="1:11">
      <c r="A213" s="333">
        <v>11</v>
      </c>
      <c r="C213" s="332" t="str">
        <f>'FR-16(7)(v)-1 Functional'!C213</f>
        <v>PLANT FAS 109</v>
      </c>
      <c r="D213" s="344" t="str">
        <f>'FR-16(7)(v)-1 Functional'!D213</f>
        <v>NP29</v>
      </c>
      <c r="E213" s="332" t="s">
        <v>343</v>
      </c>
      <c r="F213" s="1289">
        <f>'FR-16(7)(v)-1 Functional'!G213</f>
        <v>0</v>
      </c>
      <c r="G213" s="548">
        <f t="shared" si="57"/>
        <v>0</v>
      </c>
      <c r="H213" s="539">
        <f t="shared" si="58"/>
        <v>0</v>
      </c>
      <c r="I213" s="540">
        <f t="shared" si="59"/>
        <v>0</v>
      </c>
      <c r="J213" s="347">
        <f t="shared" si="60"/>
        <v>0</v>
      </c>
      <c r="K213" s="347">
        <f t="shared" si="61"/>
        <v>0</v>
      </c>
    </row>
    <row r="214" spans="1:11">
      <c r="A214" s="333">
        <v>12</v>
      </c>
      <c r="C214" s="365" t="str">
        <f>'FR-16(7)(v)-1 Functional'!C214</f>
        <v>MISCELLANEOUS</v>
      </c>
      <c r="D214" s="344" t="str">
        <f>'FR-16(7)(v)-1 Functional'!D214</f>
        <v>AG39</v>
      </c>
      <c r="F214" s="1289">
        <f>'FR-16(7)(v)-1 Functional'!G214</f>
        <v>977187.85753424652</v>
      </c>
      <c r="G214" s="548">
        <f t="shared" si="57"/>
        <v>-0.14246575348079205</v>
      </c>
      <c r="H214" s="539">
        <f t="shared" si="58"/>
        <v>977188</v>
      </c>
      <c r="I214" s="540">
        <f t="shared" si="59"/>
        <v>0</v>
      </c>
      <c r="J214" s="347">
        <f t="shared" si="60"/>
        <v>977187.85753424652</v>
      </c>
      <c r="K214" s="347">
        <f t="shared" si="61"/>
        <v>0</v>
      </c>
    </row>
    <row r="215" spans="1:11">
      <c r="A215" s="333">
        <v>13</v>
      </c>
      <c r="C215" s="339" t="str">
        <f>'FR-16(7)(v)-1 Functional'!C215</f>
        <v xml:space="preserve">  TOTAL ACCOUNT 282</v>
      </c>
      <c r="D215" s="344"/>
      <c r="F215" s="1290">
        <f t="shared" ref="F215:K215" si="62">SUM(F206:F214)</f>
        <v>1305368.8575342465</v>
      </c>
      <c r="G215" s="549">
        <f t="shared" si="62"/>
        <v>-0.14246575348079205</v>
      </c>
      <c r="H215" s="541">
        <f t="shared" si="62"/>
        <v>1305369</v>
      </c>
      <c r="I215" s="542">
        <f t="shared" si="62"/>
        <v>0</v>
      </c>
      <c r="J215" s="348">
        <f t="shared" si="62"/>
        <v>1305368.8575342465</v>
      </c>
      <c r="K215" s="348">
        <f t="shared" si="62"/>
        <v>0</v>
      </c>
    </row>
    <row r="216" spans="1:11">
      <c r="A216" s="333">
        <v>14</v>
      </c>
      <c r="D216" s="344"/>
      <c r="E216" s="196"/>
      <c r="G216" s="547"/>
      <c r="H216" s="537"/>
      <c r="I216" s="538"/>
    </row>
    <row r="217" spans="1:11">
      <c r="A217" s="333">
        <v>15</v>
      </c>
      <c r="B217" s="332" t="s">
        <v>28</v>
      </c>
      <c r="D217" s="344"/>
      <c r="E217" s="196"/>
      <c r="G217" s="547"/>
      <c r="H217" s="537"/>
      <c r="I217" s="538"/>
    </row>
    <row r="218" spans="1:11">
      <c r="A218" s="333">
        <v>16</v>
      </c>
      <c r="C218" s="332" t="str">
        <f>'FR-16(7)(v)-1 Functional'!C218</f>
        <v>BLANK</v>
      </c>
      <c r="D218" s="344" t="str">
        <f>'FR-16(7)(v)-1 Functional'!D218</f>
        <v>K413</v>
      </c>
      <c r="F218" s="479">
        <f>'FR-16(7)(v)-1 Functional'!G218</f>
        <v>0</v>
      </c>
      <c r="G218" s="548">
        <f t="shared" ref="G218:G228" si="63">F218-SUM(H218:I218)</f>
        <v>0</v>
      </c>
      <c r="H218" s="539">
        <f t="shared" ref="H218:H225" si="64">ROUND(F218*VLOOKUP(D218,AllocTable_Classified_Production,$H$10,FALSE),0)</f>
        <v>0</v>
      </c>
      <c r="I218" s="540">
        <f t="shared" ref="I218:I225" si="65">ROUND(F218*VLOOKUP(D218,AllocTable_Classified_Production,$I$10,FALSE),0)</f>
        <v>0</v>
      </c>
      <c r="J218" s="347">
        <f t="shared" ref="J218:J228" si="66">SUM(G218:I218)</f>
        <v>0</v>
      </c>
      <c r="K218" s="347">
        <f t="shared" ref="K218:K228" si="67">F218-J218</f>
        <v>0</v>
      </c>
    </row>
    <row r="219" spans="1:11">
      <c r="A219" s="333">
        <v>17</v>
      </c>
      <c r="C219" s="332" t="str">
        <f>'FR-16(7)(v)-1 Functional'!C219</f>
        <v>BLANK</v>
      </c>
      <c r="D219" s="344" t="str">
        <f>'FR-16(7)(v)-1 Functional'!D219</f>
        <v>K413</v>
      </c>
      <c r="F219" s="479">
        <f>'FR-16(7)(v)-1 Functional'!G219</f>
        <v>0</v>
      </c>
      <c r="G219" s="548">
        <f t="shared" si="63"/>
        <v>0</v>
      </c>
      <c r="H219" s="539">
        <f t="shared" si="64"/>
        <v>0</v>
      </c>
      <c r="I219" s="540">
        <f t="shared" si="65"/>
        <v>0</v>
      </c>
      <c r="J219" s="347">
        <f t="shared" si="66"/>
        <v>0</v>
      </c>
      <c r="K219" s="347">
        <f t="shared" si="67"/>
        <v>0</v>
      </c>
    </row>
    <row r="220" spans="1:11">
      <c r="A220" s="333">
        <v>18</v>
      </c>
      <c r="C220" s="332" t="str">
        <f>'FR-16(7)(v)-1 Functional'!C220</f>
        <v>UNRECOVERED PURCHASED GAS COST</v>
      </c>
      <c r="D220" s="344" t="str">
        <f>'FR-16(7)(v)-1 Functional'!D220</f>
        <v>AG39</v>
      </c>
      <c r="F220" s="479">
        <f>'FR-16(7)(v)-1 Functional'!G220</f>
        <v>2070</v>
      </c>
      <c r="G220" s="548">
        <f t="shared" si="63"/>
        <v>0</v>
      </c>
      <c r="H220" s="539">
        <f t="shared" si="64"/>
        <v>2070</v>
      </c>
      <c r="I220" s="540">
        <f t="shared" si="65"/>
        <v>0</v>
      </c>
      <c r="J220" s="347">
        <f t="shared" si="66"/>
        <v>2070</v>
      </c>
      <c r="K220" s="347">
        <f t="shared" si="67"/>
        <v>0</v>
      </c>
    </row>
    <row r="221" spans="1:11">
      <c r="A221" s="333">
        <v>19</v>
      </c>
      <c r="C221" s="332" t="str">
        <f>'FR-16(7)(v)-1 Functional'!C221</f>
        <v>ENVIRONMENTAL RESERVE</v>
      </c>
      <c r="D221" s="344" t="str">
        <f>'FR-16(7)(v)-1 Functional'!D221</f>
        <v>NP29</v>
      </c>
      <c r="F221" s="479">
        <f>'FR-16(7)(v)-1 Functional'!G221</f>
        <v>0</v>
      </c>
      <c r="G221" s="548">
        <f t="shared" si="63"/>
        <v>0</v>
      </c>
      <c r="H221" s="539">
        <f t="shared" si="64"/>
        <v>0</v>
      </c>
      <c r="I221" s="540">
        <f t="shared" si="65"/>
        <v>0</v>
      </c>
      <c r="J221" s="347">
        <f t="shared" si="66"/>
        <v>0</v>
      </c>
      <c r="K221" s="347">
        <f t="shared" si="67"/>
        <v>0</v>
      </c>
    </row>
    <row r="222" spans="1:11">
      <c r="A222" s="333">
        <v>20</v>
      </c>
      <c r="C222" s="332" t="str">
        <f>'FR-16(7)(v)-1 Functional'!C222</f>
        <v>POST IN-SERVICE CARRYING COSTS</v>
      </c>
      <c r="D222" s="344" t="str">
        <f>'FR-16(7)(v)-1 Functional'!D222</f>
        <v>K667</v>
      </c>
      <c r="F222" s="479">
        <f>'FR-16(7)(v)-1 Functional'!G222</f>
        <v>0</v>
      </c>
      <c r="G222" s="548">
        <f t="shared" si="63"/>
        <v>0</v>
      </c>
      <c r="H222" s="539">
        <f t="shared" si="64"/>
        <v>0</v>
      </c>
      <c r="I222" s="540">
        <f t="shared" si="65"/>
        <v>0</v>
      </c>
      <c r="J222" s="347">
        <f t="shared" si="66"/>
        <v>0</v>
      </c>
      <c r="K222" s="347">
        <f t="shared" si="67"/>
        <v>0</v>
      </c>
    </row>
    <row r="223" spans="1:11">
      <c r="A223" s="333">
        <v>21</v>
      </c>
      <c r="C223" s="332" t="str">
        <f>'FR-16(7)(v)-1 Functional'!C223</f>
        <v>ARO CUMULATIVE EFFECT</v>
      </c>
      <c r="D223" s="344" t="str">
        <f>'FR-16(7)(v)-1 Functional'!D223</f>
        <v>NP29</v>
      </c>
      <c r="F223" s="479">
        <f>'FR-16(7)(v)-1 Functional'!G223</f>
        <v>0</v>
      </c>
      <c r="G223" s="548">
        <f t="shared" si="63"/>
        <v>0</v>
      </c>
      <c r="H223" s="539">
        <f t="shared" si="64"/>
        <v>0</v>
      </c>
      <c r="I223" s="540">
        <f t="shared" si="65"/>
        <v>0</v>
      </c>
      <c r="J223" s="347">
        <f t="shared" si="66"/>
        <v>0</v>
      </c>
      <c r="K223" s="347">
        <f t="shared" si="67"/>
        <v>0</v>
      </c>
    </row>
    <row r="224" spans="1:11">
      <c r="A224" s="333">
        <v>22</v>
      </c>
      <c r="C224" s="332" t="str">
        <f>'FR-16(7)(v)-1 Functional'!C224</f>
        <v>LOSS ON REACQUIRED DEBT</v>
      </c>
      <c r="D224" s="344" t="str">
        <f>'FR-16(7)(v)-1 Functional'!D224</f>
        <v>NP29</v>
      </c>
      <c r="F224" s="479">
        <f>'FR-16(7)(v)-1 Functional'!G224</f>
        <v>126</v>
      </c>
      <c r="G224" s="548">
        <f t="shared" si="63"/>
        <v>0</v>
      </c>
      <c r="H224" s="539">
        <f t="shared" si="64"/>
        <v>126</v>
      </c>
      <c r="I224" s="540">
        <f t="shared" si="65"/>
        <v>0</v>
      </c>
      <c r="J224" s="347">
        <f t="shared" si="66"/>
        <v>126</v>
      </c>
      <c r="K224" s="347">
        <f t="shared" si="67"/>
        <v>0</v>
      </c>
    </row>
    <row r="225" spans="1:11">
      <c r="A225" s="333">
        <v>23</v>
      </c>
      <c r="C225" s="332" t="str">
        <f>'FR-16(7)(v)-1 Functional'!C225</f>
        <v>VACATION PAY ACCRUAL</v>
      </c>
      <c r="D225" s="344" t="str">
        <f>'FR-16(7)(v)-1 Functional'!D225</f>
        <v>AG39</v>
      </c>
      <c r="F225" s="479">
        <f>'FR-16(7)(v)-1 Functional'!G225</f>
        <v>9485</v>
      </c>
      <c r="G225" s="548">
        <f t="shared" si="63"/>
        <v>0</v>
      </c>
      <c r="H225" s="539">
        <f t="shared" si="64"/>
        <v>9485</v>
      </c>
      <c r="I225" s="540">
        <f t="shared" si="65"/>
        <v>0</v>
      </c>
      <c r="J225" s="347">
        <f t="shared" si="66"/>
        <v>9485</v>
      </c>
      <c r="K225" s="347">
        <f t="shared" si="67"/>
        <v>0</v>
      </c>
    </row>
    <row r="226" spans="1:11">
      <c r="A226" s="333">
        <v>24</v>
      </c>
      <c r="C226" s="618" t="str">
        <f>'FR-16(7)(v)-1 Functional'!C226</f>
        <v>RATE CASE EXPENSE AMORT</v>
      </c>
      <c r="D226" s="344" t="str">
        <f>'FR-16(7)(v)-1 Functional'!D226</f>
        <v>AG39</v>
      </c>
      <c r="F226" s="479">
        <f>'FR-16(7)(v)-1 Functional'!G226</f>
        <v>-2593</v>
      </c>
      <c r="G226" s="548">
        <f>F226-SUM(H226:I226)</f>
        <v>0</v>
      </c>
      <c r="H226" s="539">
        <f>ROUND(F226*VLOOKUP(D226,AllocTable_Classified_Production,$H$10,FALSE),0)</f>
        <v>-2593</v>
      </c>
      <c r="I226" s="540">
        <f>ROUND(F226*VLOOKUP(D226,AllocTable_Classified_Production,$I$10,FALSE),0)</f>
        <v>0</v>
      </c>
      <c r="J226" s="347">
        <f>SUM(G226:I226)</f>
        <v>-2593</v>
      </c>
      <c r="K226" s="347">
        <f>F226-J226</f>
        <v>0</v>
      </c>
    </row>
    <row r="227" spans="1:11">
      <c r="A227" s="333">
        <v>25</v>
      </c>
      <c r="C227" s="332" t="str">
        <f>'FR-16(7)(v)-1 Functional'!C227</f>
        <v>PENSION</v>
      </c>
      <c r="D227" s="344" t="str">
        <f>'FR-16(7)(v)-1 Functional'!D227</f>
        <v>AG39</v>
      </c>
      <c r="F227" s="479">
        <f>'FR-16(7)(v)-1 Functional'!G227</f>
        <v>165705</v>
      </c>
      <c r="G227" s="548">
        <f>F227-SUM(H227:I227)</f>
        <v>0</v>
      </c>
      <c r="H227" s="539">
        <f>ROUND(F227*VLOOKUP(D227,AllocTable_Classified_Production,$H$10,FALSE),0)</f>
        <v>165705</v>
      </c>
      <c r="I227" s="540">
        <f>ROUND(F227*VLOOKUP(D227,AllocTable_Classified_Production,$I$10,FALSE),0)</f>
        <v>0</v>
      </c>
      <c r="J227" s="347">
        <f>SUM(G227:I227)</f>
        <v>165705</v>
      </c>
      <c r="K227" s="347">
        <f>F227-J227</f>
        <v>0</v>
      </c>
    </row>
    <row r="228" spans="1:11">
      <c r="A228" s="333">
        <v>26</v>
      </c>
      <c r="C228" s="365" t="str">
        <f>'FR-16(7)(v)-1 Functional'!C228</f>
        <v>MISCELLANEOUS</v>
      </c>
      <c r="D228" s="344" t="str">
        <f>'FR-16(7)(v)-1 Functional'!D228</f>
        <v>K406</v>
      </c>
      <c r="F228" s="479">
        <f>'FR-16(7)(v)-1 Functional'!G228</f>
        <v>0</v>
      </c>
      <c r="G228" s="548">
        <f t="shared" si="63"/>
        <v>0</v>
      </c>
      <c r="H228" s="539">
        <f>ROUND(F228*VLOOKUP(D228,AllocTable_Classified_Production,$H$10,FALSE),0)</f>
        <v>0</v>
      </c>
      <c r="I228" s="540">
        <f>ROUND(F228*VLOOKUP(D228,AllocTable_Classified_Production,$I$10,FALSE),0)</f>
        <v>0</v>
      </c>
      <c r="J228" s="347">
        <f t="shared" si="66"/>
        <v>0</v>
      </c>
      <c r="K228" s="347">
        <f t="shared" si="67"/>
        <v>0</v>
      </c>
    </row>
    <row r="229" spans="1:11">
      <c r="A229" s="333">
        <v>27</v>
      </c>
      <c r="C229" s="339" t="str">
        <f>'FR-16(7)(v)-1 Functional'!C229</f>
        <v xml:space="preserve">  TOTAL ACCOUNT 283</v>
      </c>
      <c r="D229" s="344"/>
      <c r="F229" s="348">
        <f t="shared" ref="F229:K229" si="68">SUM(F217:F228)</f>
        <v>174793</v>
      </c>
      <c r="G229" s="549">
        <f t="shared" si="68"/>
        <v>0</v>
      </c>
      <c r="H229" s="541">
        <f t="shared" si="68"/>
        <v>174793</v>
      </c>
      <c r="I229" s="542">
        <f t="shared" si="68"/>
        <v>0</v>
      </c>
      <c r="J229" s="348">
        <f t="shared" si="68"/>
        <v>174793</v>
      </c>
      <c r="K229" s="348">
        <f t="shared" si="68"/>
        <v>0</v>
      </c>
    </row>
    <row r="230" spans="1:11">
      <c r="A230" s="333">
        <v>28</v>
      </c>
      <c r="D230" s="344"/>
      <c r="E230" s="196"/>
      <c r="G230" s="547"/>
      <c r="H230" s="537"/>
      <c r="I230" s="538"/>
    </row>
    <row r="231" spans="1:11">
      <c r="A231" s="333">
        <v>29</v>
      </c>
      <c r="B231" s="353" t="s">
        <v>824</v>
      </c>
      <c r="C231" s="353"/>
      <c r="D231" s="344"/>
      <c r="E231" s="196"/>
      <c r="G231" s="547"/>
      <c r="H231" s="537"/>
      <c r="I231" s="538"/>
    </row>
    <row r="232" spans="1:11">
      <c r="A232" s="333">
        <v>30</v>
      </c>
      <c r="C232" s="332" t="str">
        <f>'FR-16(7)(v)-1 Functional'!C232</f>
        <v>CUSTOMER ADVANCES FOR CONSTRUCTION</v>
      </c>
      <c r="D232" s="344" t="s">
        <v>312</v>
      </c>
      <c r="E232" s="196"/>
      <c r="F232" s="479">
        <f>'FR-16(7)(v)-1 Functional'!G232</f>
        <v>0</v>
      </c>
      <c r="G232" s="548">
        <f>F232-SUM(H232:I232)</f>
        <v>0</v>
      </c>
      <c r="H232" s="539">
        <f>ROUND(F232*VLOOKUP(D232,AllocTable_Classified_Production,$H$10,FALSE),0)</f>
        <v>0</v>
      </c>
      <c r="I232" s="540">
        <f>ROUND(F232*VLOOKUP(D232,AllocTable_Classified_Production,$I$10,FALSE),0)</f>
        <v>0</v>
      </c>
      <c r="J232" s="347">
        <f>SUM(G232:I232)</f>
        <v>0</v>
      </c>
      <c r="K232" s="347">
        <f>F232-J232</f>
        <v>0</v>
      </c>
    </row>
    <row r="233" spans="1:11">
      <c r="A233" s="333">
        <v>31</v>
      </c>
      <c r="C233" s="332" t="str">
        <f>'FR-16(7)(v)-1 Functional'!C233</f>
        <v>CUSTOMER SERVICE DEPOSITS</v>
      </c>
      <c r="D233" s="344" t="str">
        <f>'FR-16(7)(v)-1 Functional'!D233</f>
        <v>D249</v>
      </c>
      <c r="E233" s="196"/>
      <c r="F233" s="479">
        <f>'FR-16(7)(v)-1 Functional'!G233</f>
        <v>0</v>
      </c>
      <c r="G233" s="548">
        <f>F233-SUM(H233:I233)</f>
        <v>0</v>
      </c>
      <c r="H233" s="539">
        <f>ROUND(F233*VLOOKUP(D233,AllocTable_Classified_Production,$H$10,FALSE),0)</f>
        <v>0</v>
      </c>
      <c r="I233" s="540">
        <f>ROUND(F233*VLOOKUP(D233,AllocTable_Classified_Production,$I$10,FALSE),0)</f>
        <v>0</v>
      </c>
      <c r="J233" s="347">
        <f>SUM(G233:I233)</f>
        <v>0</v>
      </c>
      <c r="K233" s="347">
        <f>F233-J233</f>
        <v>0</v>
      </c>
    </row>
    <row r="234" spans="1:11">
      <c r="A234" s="333">
        <v>32</v>
      </c>
      <c r="C234" s="332" t="str">
        <f>'FR-16(7)(v)-1 Functional'!C234</f>
        <v>POST RETIREMENT BENEFITS</v>
      </c>
      <c r="D234" s="344" t="str">
        <f>'FR-16(7)(v)-1 Functional'!D234</f>
        <v>AG39</v>
      </c>
      <c r="E234" s="196"/>
      <c r="F234" s="479">
        <f>'FR-16(7)(v)-1 Functional'!G234</f>
        <v>0</v>
      </c>
      <c r="G234" s="548">
        <f>F234-SUM(H234:I234)</f>
        <v>0</v>
      </c>
      <c r="H234" s="539">
        <f>ROUND(F234*VLOOKUP(D234,AllocTable_Classified_Production,$H$10,FALSE),0)</f>
        <v>0</v>
      </c>
      <c r="I234" s="540">
        <f>ROUND(F234*VLOOKUP(D234,AllocTable_Classified_Production,$I$10,FALSE),0)</f>
        <v>0</v>
      </c>
      <c r="J234" s="347">
        <f>SUM(G234:I234)</f>
        <v>0</v>
      </c>
      <c r="K234" s="347">
        <f>F234-J234</f>
        <v>0</v>
      </c>
    </row>
    <row r="235" spans="1:11">
      <c r="A235" s="333">
        <v>33</v>
      </c>
      <c r="C235" s="365" t="str">
        <f>'FR-16(7)(v)-1 Functional'!C235</f>
        <v>EDIT</v>
      </c>
      <c r="D235" s="344" t="str">
        <f>'FR-16(7)(v)-1 Functional'!D235</f>
        <v>NP29</v>
      </c>
      <c r="E235" s="196"/>
      <c r="F235" s="479">
        <f>'FR-16(7)(v)-1 Functional'!G235</f>
        <v>230517</v>
      </c>
      <c r="G235" s="548">
        <f>F235-SUM(H235:I235)</f>
        <v>0</v>
      </c>
      <c r="H235" s="539">
        <f>ROUND(F235*VLOOKUP(D235,AllocTable_Classified_Production,$H$10,FALSE),0)</f>
        <v>230517</v>
      </c>
      <c r="I235" s="540">
        <f>ROUND(F235*VLOOKUP(D235,AllocTable_Classified_Production,$I$10,FALSE),0)</f>
        <v>0</v>
      </c>
      <c r="J235" s="347">
        <f>SUM(G235:I235)</f>
        <v>230517</v>
      </c>
      <c r="K235" s="347">
        <f>F235-J235</f>
        <v>0</v>
      </c>
    </row>
    <row r="236" spans="1:11">
      <c r="A236" s="333">
        <v>34</v>
      </c>
      <c r="C236" s="339" t="str">
        <f>'FR-16(7)(v)-1 Functional'!C236</f>
        <v xml:space="preserve">  TOTAL OTHER SUBTRACTIVE ADJS</v>
      </c>
      <c r="D236" s="344"/>
      <c r="E236" s="196"/>
      <c r="F236" s="348">
        <f t="shared" ref="F236:K236" si="69">SUM(F231:F235)</f>
        <v>230517</v>
      </c>
      <c r="G236" s="549">
        <f t="shared" si="69"/>
        <v>0</v>
      </c>
      <c r="H236" s="541">
        <f t="shared" si="69"/>
        <v>230517</v>
      </c>
      <c r="I236" s="542">
        <f t="shared" si="69"/>
        <v>0</v>
      </c>
      <c r="J236" s="348">
        <f t="shared" si="69"/>
        <v>230517</v>
      </c>
      <c r="K236" s="348">
        <f t="shared" si="69"/>
        <v>0</v>
      </c>
    </row>
    <row r="237" spans="1:11">
      <c r="A237" s="333">
        <v>35</v>
      </c>
      <c r="D237" s="344"/>
      <c r="E237" s="196"/>
      <c r="G237" s="547"/>
      <c r="H237" s="537"/>
      <c r="I237" s="538"/>
    </row>
    <row r="238" spans="1:11">
      <c r="A238" s="333">
        <v>36</v>
      </c>
      <c r="B238" s="332" t="s">
        <v>828</v>
      </c>
      <c r="D238" s="344"/>
      <c r="E238" s="196"/>
      <c r="F238" s="347">
        <f t="shared" ref="F238:K238" si="70">F236+F229+F215</f>
        <v>1710678.8575342465</v>
      </c>
      <c r="G238" s="550">
        <f t="shared" si="70"/>
        <v>-0.14246575348079205</v>
      </c>
      <c r="H238" s="543">
        <f t="shared" si="70"/>
        <v>1710679</v>
      </c>
      <c r="I238" s="544">
        <f t="shared" si="70"/>
        <v>0</v>
      </c>
      <c r="J238" s="347">
        <f t="shared" si="70"/>
        <v>1710678.8575342465</v>
      </c>
      <c r="K238" s="347">
        <f t="shared" si="70"/>
        <v>0</v>
      </c>
    </row>
    <row r="239" spans="1:11">
      <c r="B239" s="343"/>
      <c r="C239" s="196"/>
      <c r="D239" s="344"/>
      <c r="E239" s="196"/>
      <c r="F239" s="196"/>
      <c r="G239" s="196"/>
      <c r="H239" s="196"/>
      <c r="I239" s="196"/>
      <c r="J239" s="196"/>
      <c r="K239" s="196"/>
    </row>
    <row r="240" spans="1:11">
      <c r="A240" s="343" t="str">
        <f>co_name</f>
        <v>DUKE ENERGY KENTUCKY, INC.</v>
      </c>
      <c r="C240" s="196"/>
      <c r="D240" s="344"/>
      <c r="E240" s="196"/>
      <c r="F240" s="196"/>
      <c r="G240" s="196"/>
      <c r="H240" s="196"/>
      <c r="I240" s="196"/>
      <c r="J240" s="196" t="str">
        <f>$J$1</f>
        <v>FR-16(7)(v)-2</v>
      </c>
      <c r="K240" s="196"/>
    </row>
    <row r="241" spans="1:11">
      <c r="A241" s="343" t="str">
        <f>$A$2</f>
        <v>PRODUCTION CLASSIFIED - GAS COST OF SERVICE</v>
      </c>
      <c r="C241" s="196"/>
      <c r="D241" s="344"/>
      <c r="E241" s="196"/>
      <c r="F241" s="196"/>
      <c r="G241" s="196"/>
      <c r="H241" s="196"/>
      <c r="I241" s="196"/>
      <c r="J241" s="196" t="str">
        <f>$J$2</f>
        <v>WITNESS RESPONSIBLE:</v>
      </c>
      <c r="K241" s="196"/>
    </row>
    <row r="242" spans="1:11">
      <c r="A242" s="343" t="str">
        <f>case_name</f>
        <v>CASE NO: 2018-00261</v>
      </c>
      <c r="C242" s="196"/>
      <c r="D242" s="344"/>
      <c r="E242" s="196"/>
      <c r="F242" s="196"/>
      <c r="G242" s="196"/>
      <c r="H242" s="196"/>
      <c r="I242" s="196"/>
      <c r="J242" s="196" t="str">
        <f>Witness</f>
        <v>JAMES E. ZIOLKOWSKI</v>
      </c>
      <c r="K242" s="196"/>
    </row>
    <row r="243" spans="1:11">
      <c r="A243" s="343" t="str">
        <f>data_filing</f>
        <v>DATA: 12 MONTH FORECASTED PERIOD</v>
      </c>
      <c r="C243" s="196"/>
      <c r="D243" s="344"/>
      <c r="E243" s="196"/>
      <c r="F243" s="196"/>
      <c r="G243" s="196"/>
      <c r="H243" s="196"/>
      <c r="I243" s="196"/>
      <c r="J243" s="196" t="str">
        <f>"PAGE "&amp;Pages-12&amp;" OF "&amp;Pages</f>
        <v>PAGE 6 OF 18</v>
      </c>
      <c r="K243" s="196"/>
    </row>
    <row r="244" spans="1:11">
      <c r="A244" s="343" t="str">
        <f>type</f>
        <v xml:space="preserve">TYPE OF FILING: "X" ORIGINAL   UPDATED    REVISED  </v>
      </c>
      <c r="C244" s="196"/>
      <c r="D244" s="344"/>
      <c r="E244" s="196"/>
      <c r="F244" s="196"/>
      <c r="G244" s="196"/>
      <c r="H244" s="196"/>
      <c r="I244" s="196"/>
      <c r="J244" s="196"/>
      <c r="K244" s="196"/>
    </row>
    <row r="245" spans="1:11">
      <c r="B245" s="343"/>
      <c r="C245" s="196"/>
      <c r="D245" s="344"/>
      <c r="E245" s="196"/>
      <c r="F245" s="196"/>
      <c r="G245" s="196"/>
      <c r="H245" s="196"/>
      <c r="I245" s="196"/>
      <c r="J245" s="196"/>
      <c r="K245" s="196"/>
    </row>
    <row r="246" spans="1:11">
      <c r="B246" s="343"/>
      <c r="C246" s="196"/>
      <c r="D246" s="344"/>
      <c r="E246" s="196"/>
      <c r="F246" s="196"/>
      <c r="G246" s="196"/>
      <c r="H246" s="196"/>
      <c r="I246" s="196"/>
      <c r="J246" s="196"/>
      <c r="K246" s="196"/>
    </row>
    <row r="247" spans="1:11">
      <c r="A247" s="344" t="s">
        <v>914</v>
      </c>
      <c r="B247" s="196"/>
      <c r="C247" s="196"/>
      <c r="D247" s="344"/>
      <c r="E247" s="196"/>
      <c r="F247" s="344" t="str">
        <f>$F$8</f>
        <v>TOTAL</v>
      </c>
      <c r="G247" s="545" t="s">
        <v>1005</v>
      </c>
      <c r="H247" s="533"/>
      <c r="I247" s="534"/>
      <c r="J247" s="344" t="s">
        <v>229</v>
      </c>
      <c r="K247" s="344" t="s">
        <v>342</v>
      </c>
    </row>
    <row r="248" spans="1:11">
      <c r="A248" s="346" t="s">
        <v>915</v>
      </c>
      <c r="B248" s="345" t="s">
        <v>954</v>
      </c>
      <c r="C248" s="345"/>
      <c r="D248" s="346" t="s">
        <v>337</v>
      </c>
      <c r="E248" s="345"/>
      <c r="F248" s="346" t="str">
        <f>$F$9</f>
        <v>PRODUCTION</v>
      </c>
      <c r="G248" s="546" t="s">
        <v>847</v>
      </c>
      <c r="H248" s="535" t="s">
        <v>848</v>
      </c>
      <c r="I248" s="536" t="s">
        <v>849</v>
      </c>
      <c r="J248" s="346" t="s">
        <v>341</v>
      </c>
      <c r="K248" s="346" t="s">
        <v>340</v>
      </c>
    </row>
    <row r="249" spans="1:11">
      <c r="C249" s="578" t="s">
        <v>558</v>
      </c>
      <c r="D249" s="344"/>
      <c r="E249" s="196"/>
      <c r="G249" s="800">
        <f>$G$10</f>
        <v>3</v>
      </c>
      <c r="H249" s="801">
        <f>$H$10</f>
        <v>4</v>
      </c>
      <c r="I249" s="802">
        <f>$I$10</f>
        <v>5</v>
      </c>
    </row>
    <row r="250" spans="1:11">
      <c r="A250" s="333">
        <v>1</v>
      </c>
      <c r="B250" s="332" t="s">
        <v>826</v>
      </c>
      <c r="D250" s="344"/>
      <c r="E250" s="196"/>
      <c r="G250" s="551"/>
      <c r="H250" s="552"/>
      <c r="I250" s="553"/>
    </row>
    <row r="251" spans="1:11">
      <c r="A251" s="333">
        <v>2</v>
      </c>
      <c r="B251" s="332" t="s">
        <v>29</v>
      </c>
      <c r="D251" s="344"/>
      <c r="E251" s="196"/>
      <c r="G251" s="547"/>
      <c r="H251" s="537"/>
      <c r="I251" s="538"/>
    </row>
    <row r="252" spans="1:11">
      <c r="A252" s="333">
        <v>3</v>
      </c>
      <c r="C252" s="332" t="str">
        <f>'FR-16(7)(v)-1 Functional'!C252</f>
        <v>UNCOLLECTIBLE ACCTS</v>
      </c>
      <c r="D252" s="344" t="str">
        <f>'FR-16(7)(v)-1 Functional'!D252</f>
        <v>K406</v>
      </c>
      <c r="F252" s="479">
        <f>'FR-16(7)(v)-1 Functional'!G252</f>
        <v>0</v>
      </c>
      <c r="G252" s="548">
        <f>F252-SUM(H252:I252)</f>
        <v>0</v>
      </c>
      <c r="H252" s="539">
        <f t="shared" ref="H252:H274" si="71">ROUND(F252*VLOOKUP(D252,AllocTable_Classified_Production,$H$10,FALSE),0)</f>
        <v>0</v>
      </c>
      <c r="I252" s="540">
        <f t="shared" ref="I252:I274" si="72">ROUND(F252*VLOOKUP(D252,AllocTable_Classified_Production,$I$10,FALSE),0)</f>
        <v>0</v>
      </c>
      <c r="J252" s="347">
        <f t="shared" ref="J252:J274" si="73">SUM(G252:I252)</f>
        <v>0</v>
      </c>
      <c r="K252" s="347">
        <f t="shared" ref="K252:K274" si="74">F252-J252</f>
        <v>0</v>
      </c>
    </row>
    <row r="253" spans="1:11">
      <c r="A253" s="333">
        <v>4</v>
      </c>
      <c r="C253" s="332" t="str">
        <f>'FR-16(7)(v)-1 Functional'!C253</f>
        <v>GAS SUPPLIER REFUND</v>
      </c>
      <c r="D253" s="344" t="str">
        <f>'FR-16(7)(v)-1 Functional'!D253</f>
        <v>K300</v>
      </c>
      <c r="F253" s="479">
        <f>'FR-16(7)(v)-1 Functional'!G253</f>
        <v>40128</v>
      </c>
      <c r="G253" s="548">
        <f t="shared" ref="G253:G274" si="75">F253-SUM(H253:I253)</f>
        <v>0</v>
      </c>
      <c r="H253" s="539">
        <f t="shared" si="71"/>
        <v>40128</v>
      </c>
      <c r="I253" s="540">
        <f t="shared" si="72"/>
        <v>0</v>
      </c>
      <c r="J253" s="347">
        <f t="shared" si="73"/>
        <v>40128</v>
      </c>
      <c r="K253" s="347">
        <f t="shared" si="74"/>
        <v>0</v>
      </c>
    </row>
    <row r="254" spans="1:11">
      <c r="A254" s="333">
        <v>5</v>
      </c>
      <c r="C254" s="332" t="str">
        <f>'FR-16(7)(v)-1 Functional'!C254</f>
        <v>UNBILLED REVENUE - FUEL &amp; RATE REFUNDS</v>
      </c>
      <c r="D254" s="344" t="str">
        <f>'FR-16(7)(v)-1 Functional'!D254</f>
        <v>K300</v>
      </c>
      <c r="F254" s="479">
        <f>'FR-16(7)(v)-1 Functional'!G254</f>
        <v>727162</v>
      </c>
      <c r="G254" s="548">
        <f t="shared" si="75"/>
        <v>0</v>
      </c>
      <c r="H254" s="539">
        <f t="shared" si="71"/>
        <v>727162</v>
      </c>
      <c r="I254" s="540">
        <f t="shared" si="72"/>
        <v>0</v>
      </c>
      <c r="J254" s="347">
        <f t="shared" si="73"/>
        <v>727162</v>
      </c>
      <c r="K254" s="347">
        <f t="shared" si="74"/>
        <v>0</v>
      </c>
    </row>
    <row r="255" spans="1:11">
      <c r="A255" s="333">
        <v>6</v>
      </c>
      <c r="C255" s="353" t="str">
        <f>'FR-16(7)(v)-1 Functional'!C255</f>
        <v>OFFSITE GAS STORAGE</v>
      </c>
      <c r="D255" s="344" t="str">
        <f>'FR-16(7)(v)-1 Functional'!D255</f>
        <v>K300</v>
      </c>
      <c r="F255" s="479">
        <f>'FR-16(7)(v)-1 Functional'!G255</f>
        <v>88650</v>
      </c>
      <c r="G255" s="548">
        <f t="shared" si="75"/>
        <v>0</v>
      </c>
      <c r="H255" s="539">
        <f t="shared" si="71"/>
        <v>88650</v>
      </c>
      <c r="I255" s="540">
        <f t="shared" si="72"/>
        <v>0</v>
      </c>
      <c r="J255" s="347">
        <f t="shared" si="73"/>
        <v>88650</v>
      </c>
      <c r="K255" s="347">
        <f t="shared" si="74"/>
        <v>0</v>
      </c>
    </row>
    <row r="256" spans="1:11">
      <c r="A256" s="333">
        <v>7</v>
      </c>
      <c r="C256" s="332" t="str">
        <f>'FR-16(7)(v)-1 Functional'!C256</f>
        <v>GAS METERS</v>
      </c>
      <c r="D256" s="344" t="str">
        <f>'FR-16(7)(v)-1 Functional'!D256</f>
        <v>K413</v>
      </c>
      <c r="F256" s="479">
        <f>'FR-16(7)(v)-1 Functional'!G256</f>
        <v>0</v>
      </c>
      <c r="G256" s="548">
        <f t="shared" si="75"/>
        <v>0</v>
      </c>
      <c r="H256" s="539">
        <f t="shared" si="71"/>
        <v>0</v>
      </c>
      <c r="I256" s="540">
        <f t="shared" si="72"/>
        <v>0</v>
      </c>
      <c r="J256" s="347">
        <f t="shared" si="73"/>
        <v>0</v>
      </c>
      <c r="K256" s="347">
        <f t="shared" si="74"/>
        <v>0</v>
      </c>
    </row>
    <row r="257" spans="1:11">
      <c r="A257" s="333">
        <v>8</v>
      </c>
      <c r="C257" s="332" t="str">
        <f>'FR-16(7)(v)-1 Functional'!C257</f>
        <v>UNAMORTIZED DEBT PREMIUM</v>
      </c>
      <c r="D257" s="344" t="str">
        <f>'FR-16(7)(v)-1 Functional'!D257</f>
        <v>NP29</v>
      </c>
      <c r="F257" s="479">
        <f>'FR-16(7)(v)-1 Functional'!G257</f>
        <v>-13</v>
      </c>
      <c r="G257" s="548">
        <f t="shared" si="75"/>
        <v>0</v>
      </c>
      <c r="H257" s="539">
        <f t="shared" si="71"/>
        <v>-13</v>
      </c>
      <c r="I257" s="540">
        <f t="shared" si="72"/>
        <v>0</v>
      </c>
      <c r="J257" s="347">
        <f t="shared" si="73"/>
        <v>-13</v>
      </c>
      <c r="K257" s="347">
        <f t="shared" si="74"/>
        <v>0</v>
      </c>
    </row>
    <row r="258" spans="1:11">
      <c r="A258" s="333">
        <v>9</v>
      </c>
      <c r="C258" s="332" t="str">
        <f>'FR-16(7)(v)-1 Functional'!C258</f>
        <v>ARO CUMULATIVE EFFECT</v>
      </c>
      <c r="D258" s="344" t="str">
        <f>'FR-16(7)(v)-1 Functional'!D258</f>
        <v>NP29</v>
      </c>
      <c r="F258" s="479">
        <f>'FR-16(7)(v)-1 Functional'!G258</f>
        <v>0</v>
      </c>
      <c r="G258" s="548">
        <f t="shared" si="75"/>
        <v>0</v>
      </c>
      <c r="H258" s="539">
        <f t="shared" si="71"/>
        <v>0</v>
      </c>
      <c r="I258" s="540">
        <f t="shared" si="72"/>
        <v>0</v>
      </c>
      <c r="J258" s="347">
        <f t="shared" si="73"/>
        <v>0</v>
      </c>
      <c r="K258" s="347">
        <f t="shared" si="74"/>
        <v>0</v>
      </c>
    </row>
    <row r="259" spans="1:11">
      <c r="A259" s="333">
        <v>10</v>
      </c>
      <c r="C259" s="332" t="str">
        <f>'FR-16(7)(v)-1 Functional'!C259</f>
        <v>PENSION EXPENSE</v>
      </c>
      <c r="D259" s="344" t="str">
        <f>'FR-16(7)(v)-1 Functional'!D259</f>
        <v>AG39</v>
      </c>
      <c r="F259" s="479">
        <f>'FR-16(7)(v)-1 Functional'!G259</f>
        <v>19059</v>
      </c>
      <c r="G259" s="548">
        <f t="shared" si="75"/>
        <v>0</v>
      </c>
      <c r="H259" s="539">
        <f t="shared" si="71"/>
        <v>19059</v>
      </c>
      <c r="I259" s="540">
        <f t="shared" si="72"/>
        <v>0</v>
      </c>
      <c r="J259" s="347">
        <f t="shared" si="73"/>
        <v>19059</v>
      </c>
      <c r="K259" s="347">
        <f t="shared" si="74"/>
        <v>0</v>
      </c>
    </row>
    <row r="260" spans="1:11">
      <c r="A260" s="333">
        <v>11</v>
      </c>
      <c r="C260" s="332" t="str">
        <f>'FR-16(7)(v)-1 Functional'!C260</f>
        <v>POST RETIREMENT BENEFITS - LIFE INS</v>
      </c>
      <c r="D260" s="344" t="str">
        <f>'FR-16(7)(v)-1 Functional'!D260</f>
        <v>AG39</v>
      </c>
      <c r="F260" s="479">
        <f>'FR-16(7)(v)-1 Functional'!G260</f>
        <v>0</v>
      </c>
      <c r="G260" s="548">
        <f t="shared" si="75"/>
        <v>0</v>
      </c>
      <c r="H260" s="539">
        <f t="shared" si="71"/>
        <v>0</v>
      </c>
      <c r="I260" s="540">
        <f t="shared" si="72"/>
        <v>0</v>
      </c>
      <c r="J260" s="347">
        <f t="shared" si="73"/>
        <v>0</v>
      </c>
      <c r="K260" s="347">
        <f t="shared" si="74"/>
        <v>0</v>
      </c>
    </row>
    <row r="261" spans="1:11">
      <c r="A261" s="333">
        <v>12</v>
      </c>
      <c r="C261" s="332" t="str">
        <f>'FR-16(7)(v)-1 Functional'!C261</f>
        <v>POST RETIREMENT BENEFITS - HEALTH CARE</v>
      </c>
      <c r="D261" s="344" t="str">
        <f>'FR-16(7)(v)-1 Functional'!D261</f>
        <v>AG39</v>
      </c>
      <c r="F261" s="479">
        <f>'FR-16(7)(v)-1 Functional'!G261</f>
        <v>0</v>
      </c>
      <c r="G261" s="548">
        <f t="shared" si="75"/>
        <v>0</v>
      </c>
      <c r="H261" s="539">
        <f t="shared" si="71"/>
        <v>0</v>
      </c>
      <c r="I261" s="540">
        <f t="shared" si="72"/>
        <v>0</v>
      </c>
      <c r="J261" s="347">
        <f t="shared" si="73"/>
        <v>0</v>
      </c>
      <c r="K261" s="347">
        <f t="shared" si="74"/>
        <v>0</v>
      </c>
    </row>
    <row r="262" spans="1:11">
      <c r="A262" s="333">
        <v>13</v>
      </c>
      <c r="C262" s="332" t="str">
        <f>'FR-16(7)(v)-1 Functional'!C262</f>
        <v>POST EMPLOYMENT BENEFITS - SFAS 112</v>
      </c>
      <c r="D262" s="344" t="str">
        <f>'FR-16(7)(v)-1 Functional'!D262</f>
        <v>AG39</v>
      </c>
      <c r="F262" s="479">
        <f>'FR-16(7)(v)-1 Functional'!G262</f>
        <v>4546</v>
      </c>
      <c r="G262" s="548">
        <f t="shared" si="75"/>
        <v>0</v>
      </c>
      <c r="H262" s="539">
        <f t="shared" si="71"/>
        <v>4546</v>
      </c>
      <c r="I262" s="540">
        <f t="shared" si="72"/>
        <v>0</v>
      </c>
      <c r="J262" s="347">
        <f t="shared" si="73"/>
        <v>4546</v>
      </c>
      <c r="K262" s="347">
        <f t="shared" si="74"/>
        <v>0</v>
      </c>
    </row>
    <row r="263" spans="1:11">
      <c r="A263" s="333">
        <v>14</v>
      </c>
      <c r="C263" s="332" t="str">
        <f>'FR-16(7)(v)-1 Functional'!C263</f>
        <v>OPEB EXPENSE ACCRUAL</v>
      </c>
      <c r="D263" s="344" t="str">
        <f>'FR-16(7)(v)-1 Functional'!D263</f>
        <v>AG39</v>
      </c>
      <c r="F263" s="479">
        <f>'FR-16(7)(v)-1 Functional'!G263</f>
        <v>31281</v>
      </c>
      <c r="G263" s="548">
        <f t="shared" si="75"/>
        <v>0</v>
      </c>
      <c r="H263" s="539">
        <f t="shared" si="71"/>
        <v>31281</v>
      </c>
      <c r="I263" s="540">
        <f t="shared" si="72"/>
        <v>0</v>
      </c>
      <c r="J263" s="347">
        <f t="shared" si="73"/>
        <v>31281</v>
      </c>
      <c r="K263" s="347">
        <f t="shared" si="74"/>
        <v>0</v>
      </c>
    </row>
    <row r="264" spans="1:11">
      <c r="A264" s="333">
        <v>15</v>
      </c>
      <c r="C264" s="332" t="str">
        <f>'FR-16(7)(v)-1 Functional'!C264</f>
        <v>INCENTIVE PLAN</v>
      </c>
      <c r="D264" s="344" t="str">
        <f>'FR-16(7)(v)-1 Functional'!D264</f>
        <v>AG39</v>
      </c>
      <c r="F264" s="479">
        <f>'FR-16(7)(v)-1 Functional'!G264</f>
        <v>0</v>
      </c>
      <c r="G264" s="548">
        <f t="shared" si="75"/>
        <v>0</v>
      </c>
      <c r="H264" s="539">
        <f t="shared" si="71"/>
        <v>0</v>
      </c>
      <c r="I264" s="540">
        <f t="shared" si="72"/>
        <v>0</v>
      </c>
      <c r="J264" s="347">
        <f t="shared" si="73"/>
        <v>0</v>
      </c>
      <c r="K264" s="347">
        <f t="shared" si="74"/>
        <v>0</v>
      </c>
    </row>
    <row r="265" spans="1:11">
      <c r="A265" s="333">
        <v>16</v>
      </c>
      <c r="C265" s="332" t="str">
        <f>'FR-16(7)(v)-1 Functional'!C265</f>
        <v>FEDERAL DEFERRED TAX RECEIVEABLE</v>
      </c>
      <c r="D265" s="344" t="str">
        <f>'FR-16(7)(v)-1 Functional'!D265</f>
        <v>AG39</v>
      </c>
      <c r="F265" s="479">
        <f>'FR-16(7)(v)-1 Functional'!G265</f>
        <v>0</v>
      </c>
      <c r="G265" s="548">
        <f t="shared" si="75"/>
        <v>0</v>
      </c>
      <c r="H265" s="539">
        <f t="shared" si="71"/>
        <v>0</v>
      </c>
      <c r="I265" s="540">
        <f t="shared" si="72"/>
        <v>0</v>
      </c>
      <c r="J265" s="347">
        <f t="shared" si="73"/>
        <v>0</v>
      </c>
      <c r="K265" s="347">
        <f t="shared" si="74"/>
        <v>0</v>
      </c>
    </row>
    <row r="266" spans="1:11">
      <c r="A266" s="333">
        <v>17</v>
      </c>
      <c r="C266" s="332" t="str">
        <f>'FR-16(7)(v)-1 Functional'!C266</f>
        <v>DSM DEFERRAL</v>
      </c>
      <c r="D266" s="344" t="str">
        <f>'FR-16(7)(v)-1 Functional'!D266</f>
        <v>AG39</v>
      </c>
      <c r="F266" s="479">
        <f>'FR-16(7)(v)-1 Functional'!G266</f>
        <v>19371</v>
      </c>
      <c r="G266" s="548">
        <f t="shared" si="75"/>
        <v>0</v>
      </c>
      <c r="H266" s="539">
        <f t="shared" si="71"/>
        <v>19371</v>
      </c>
      <c r="I266" s="540">
        <f t="shared" si="72"/>
        <v>0</v>
      </c>
      <c r="J266" s="347">
        <f t="shared" si="73"/>
        <v>19371</v>
      </c>
      <c r="K266" s="347">
        <f t="shared" si="74"/>
        <v>0</v>
      </c>
    </row>
    <row r="267" spans="1:11">
      <c r="A267" s="333">
        <v>18</v>
      </c>
      <c r="C267" s="332" t="str">
        <f>'FR-16(7)(v)-1 Functional'!C267</f>
        <v>PROPERTY TAX</v>
      </c>
      <c r="D267" s="344" t="str">
        <f>'FR-16(7)(v)-1 Functional'!D267</f>
        <v>P229</v>
      </c>
      <c r="F267" s="479">
        <f>'FR-16(7)(v)-1 Functional'!G267</f>
        <v>0</v>
      </c>
      <c r="G267" s="548">
        <f t="shared" si="75"/>
        <v>0</v>
      </c>
      <c r="H267" s="539">
        <f t="shared" si="71"/>
        <v>0</v>
      </c>
      <c r="I267" s="540">
        <f t="shared" si="72"/>
        <v>0</v>
      </c>
      <c r="J267" s="347">
        <f t="shared" si="73"/>
        <v>0</v>
      </c>
      <c r="K267" s="347">
        <f t="shared" si="74"/>
        <v>0</v>
      </c>
    </row>
    <row r="268" spans="1:11">
      <c r="A268" s="333">
        <v>19</v>
      </c>
      <c r="C268" s="353" t="str">
        <f>'FR-16(7)(v)-1 Functional'!C268</f>
        <v>PROPERTY TAX ON PROPANE</v>
      </c>
      <c r="D268" s="344" t="str">
        <f>'FR-16(7)(v)-1 Functional'!D268</f>
        <v>P229</v>
      </c>
      <c r="F268" s="479">
        <f>'FR-16(7)(v)-1 Functional'!G268</f>
        <v>0</v>
      </c>
      <c r="G268" s="548">
        <f t="shared" si="75"/>
        <v>0</v>
      </c>
      <c r="H268" s="539">
        <f t="shared" si="71"/>
        <v>0</v>
      </c>
      <c r="I268" s="540">
        <f t="shared" si="72"/>
        <v>0</v>
      </c>
      <c r="J268" s="347">
        <f t="shared" si="73"/>
        <v>0</v>
      </c>
      <c r="K268" s="347">
        <f t="shared" si="74"/>
        <v>0</v>
      </c>
    </row>
    <row r="269" spans="1:11">
      <c r="A269" s="333">
        <v>20</v>
      </c>
      <c r="C269" s="489" t="str">
        <f>'FR-16(7)(v)-1 Functional'!C269</f>
        <v>401K INCENTIVE PLAN</v>
      </c>
      <c r="D269" s="344" t="str">
        <f>'FR-16(7)(v)-1 Functional'!D269</f>
        <v>AG39</v>
      </c>
      <c r="F269" s="479">
        <f>'FR-16(7)(v)-1 Functional'!G269</f>
        <v>0</v>
      </c>
      <c r="G269" s="548">
        <f t="shared" si="75"/>
        <v>0</v>
      </c>
      <c r="H269" s="539">
        <f t="shared" si="71"/>
        <v>0</v>
      </c>
      <c r="I269" s="540">
        <f t="shared" si="72"/>
        <v>0</v>
      </c>
      <c r="J269" s="347">
        <f t="shared" si="73"/>
        <v>0</v>
      </c>
      <c r="K269" s="347">
        <f t="shared" si="74"/>
        <v>0</v>
      </c>
    </row>
    <row r="270" spans="1:11">
      <c r="A270" s="333">
        <v>21</v>
      </c>
      <c r="C270" s="332" t="str">
        <f>'FR-16(7)(v)-1 Functional'!C270</f>
        <v>ENVIRONMENTAL RESERVE</v>
      </c>
      <c r="D270" s="344" t="str">
        <f>'FR-16(7)(v)-1 Functional'!D270</f>
        <v>NP29</v>
      </c>
      <c r="F270" s="479">
        <f>'FR-16(7)(v)-1 Functional'!G270</f>
        <v>1172</v>
      </c>
      <c r="G270" s="548">
        <f t="shared" si="75"/>
        <v>0</v>
      </c>
      <c r="H270" s="539">
        <f t="shared" si="71"/>
        <v>1172</v>
      </c>
      <c r="I270" s="540">
        <f t="shared" si="72"/>
        <v>0</v>
      </c>
      <c r="J270" s="347">
        <f t="shared" si="73"/>
        <v>1172</v>
      </c>
      <c r="K270" s="347">
        <f t="shared" si="74"/>
        <v>0</v>
      </c>
    </row>
    <row r="271" spans="1:11">
      <c r="A271" s="333">
        <v>22</v>
      </c>
      <c r="C271" s="332" t="str">
        <f>'FR-16(7)(v)-1 Functional'!C271</f>
        <v>VACATION PAY ACCRUALS</v>
      </c>
      <c r="D271" s="344" t="str">
        <f>'FR-16(7)(v)-1 Functional'!D271</f>
        <v>G129</v>
      </c>
      <c r="F271" s="479">
        <f>'FR-16(7)(v)-1 Functional'!G271</f>
        <v>16939</v>
      </c>
      <c r="G271" s="548">
        <f t="shared" si="75"/>
        <v>0</v>
      </c>
      <c r="H271" s="539">
        <f t="shared" si="71"/>
        <v>16939</v>
      </c>
      <c r="I271" s="540">
        <f t="shared" si="72"/>
        <v>0</v>
      </c>
      <c r="J271" s="347">
        <f t="shared" si="73"/>
        <v>16939</v>
      </c>
      <c r="K271" s="347">
        <f t="shared" si="74"/>
        <v>0</v>
      </c>
    </row>
    <row r="272" spans="1:11">
      <c r="A272" s="333">
        <v>23</v>
      </c>
      <c r="C272" s="332" t="str">
        <f>'FR-16(7)(v)-1 Functional'!C272</f>
        <v>SMART GRID</v>
      </c>
      <c r="D272" s="344" t="str">
        <f>'FR-16(7)(v)-1 Functional'!D272</f>
        <v>K413</v>
      </c>
      <c r="F272" s="479">
        <f>'FR-16(7)(v)-1 Functional'!G272</f>
        <v>0</v>
      </c>
      <c r="G272" s="548">
        <f t="shared" si="75"/>
        <v>0</v>
      </c>
      <c r="H272" s="539">
        <f t="shared" si="71"/>
        <v>0</v>
      </c>
      <c r="I272" s="540">
        <f t="shared" si="72"/>
        <v>0</v>
      </c>
      <c r="J272" s="347">
        <f t="shared" si="73"/>
        <v>0</v>
      </c>
      <c r="K272" s="347">
        <f t="shared" si="74"/>
        <v>0</v>
      </c>
    </row>
    <row r="273" spans="1:11">
      <c r="A273" s="333">
        <v>24</v>
      </c>
      <c r="C273" s="332" t="str">
        <f>'FR-16(7)(v)-1 Functional'!C273</f>
        <v>METERS &amp; TRANSFORMERS</v>
      </c>
      <c r="D273" s="344" t="str">
        <f>'FR-16(7)(v)-1 Functional'!D273</f>
        <v>D249</v>
      </c>
      <c r="F273" s="479">
        <f>'FR-16(7)(v)-1 Functional'!G273</f>
        <v>0</v>
      </c>
      <c r="G273" s="548">
        <f t="shared" si="75"/>
        <v>0</v>
      </c>
      <c r="H273" s="539">
        <f t="shared" si="71"/>
        <v>0</v>
      </c>
      <c r="I273" s="540">
        <f t="shared" si="72"/>
        <v>0</v>
      </c>
      <c r="J273" s="347">
        <f t="shared" si="73"/>
        <v>0</v>
      </c>
      <c r="K273" s="347">
        <f t="shared" si="74"/>
        <v>0</v>
      </c>
    </row>
    <row r="274" spans="1:11">
      <c r="A274" s="333">
        <v>25</v>
      </c>
      <c r="C274" s="359" t="str">
        <f>'FR-16(7)(v)-1 Functional'!C274</f>
        <v>OTHER</v>
      </c>
      <c r="D274" s="344" t="str">
        <f>'FR-16(7)(v)-1 Functional'!D274</f>
        <v>AG39</v>
      </c>
      <c r="F274" s="479">
        <f>'FR-16(7)(v)-1 Functional'!G274</f>
        <v>39212</v>
      </c>
      <c r="G274" s="548">
        <f t="shared" si="75"/>
        <v>0</v>
      </c>
      <c r="H274" s="539">
        <f t="shared" si="71"/>
        <v>39212</v>
      </c>
      <c r="I274" s="540">
        <f t="shared" si="72"/>
        <v>0</v>
      </c>
      <c r="J274" s="347">
        <f t="shared" si="73"/>
        <v>39212</v>
      </c>
      <c r="K274" s="347">
        <f t="shared" si="74"/>
        <v>0</v>
      </c>
    </row>
    <row r="275" spans="1:11">
      <c r="A275" s="333">
        <v>26</v>
      </c>
      <c r="C275" s="332" t="str">
        <f>'FR-16(7)(v)-1 Functional'!C275</f>
        <v xml:space="preserve">  TOTAL ACCOUNT 190</v>
      </c>
      <c r="D275" s="344"/>
      <c r="F275" s="348">
        <f t="shared" ref="F275:K275" si="76">SUM(F251:F274)</f>
        <v>987507</v>
      </c>
      <c r="G275" s="549">
        <f t="shared" si="76"/>
        <v>0</v>
      </c>
      <c r="H275" s="541">
        <f t="shared" si="76"/>
        <v>987507</v>
      </c>
      <c r="I275" s="542">
        <f t="shared" si="76"/>
        <v>0</v>
      </c>
      <c r="J275" s="348">
        <f t="shared" si="76"/>
        <v>987507</v>
      </c>
      <c r="K275" s="348">
        <f t="shared" si="76"/>
        <v>0</v>
      </c>
    </row>
    <row r="276" spans="1:11">
      <c r="A276" s="333">
        <v>27</v>
      </c>
      <c r="D276" s="344"/>
      <c r="E276" s="196"/>
      <c r="G276" s="547"/>
      <c r="H276" s="537"/>
      <c r="I276" s="538"/>
    </row>
    <row r="277" spans="1:11">
      <c r="A277" s="333">
        <v>28</v>
      </c>
      <c r="B277" s="332" t="s">
        <v>30</v>
      </c>
      <c r="D277" s="344"/>
      <c r="E277" s="196"/>
      <c r="G277" s="547"/>
      <c r="H277" s="537"/>
      <c r="I277" s="538"/>
    </row>
    <row r="278" spans="1:11">
      <c r="A278" s="333">
        <v>29</v>
      </c>
      <c r="C278" s="365" t="str">
        <f>'FR-16(7)(v)-1 Functional'!C278</f>
        <v>RESERVED FOR FUTURE USE</v>
      </c>
      <c r="D278" s="344" t="str">
        <f>'FR-16(7)(v)-1 Functional'!D278</f>
        <v>D249</v>
      </c>
      <c r="F278" s="479">
        <f>'FR-16(7)(v)-1 Functional'!G278</f>
        <v>0</v>
      </c>
      <c r="G278" s="548">
        <f>F278-SUM(H278:I278)</f>
        <v>0</v>
      </c>
      <c r="H278" s="539">
        <f>ROUND(F278*VLOOKUP(D278,AllocTable_Classified_Production,$H$10,FALSE),0)</f>
        <v>0</v>
      </c>
      <c r="I278" s="540">
        <f>ROUND(F278*VLOOKUP(D278,AllocTable_Classified_Production,$I$10,FALSE),0)</f>
        <v>0</v>
      </c>
      <c r="J278" s="347">
        <f>SUM(G278:I278)</f>
        <v>0</v>
      </c>
      <c r="K278" s="347">
        <f>F278-J278</f>
        <v>0</v>
      </c>
    </row>
    <row r="279" spans="1:11">
      <c r="A279" s="333">
        <v>30</v>
      </c>
      <c r="C279" s="332" t="str">
        <f>'FR-16(7)(v)-1 Functional'!C279</f>
        <v>ANNUALIZE DEPRECIATION</v>
      </c>
      <c r="D279" s="344" t="str">
        <f>'FR-16(7)(v)-1 Functional'!D279</f>
        <v>NP29</v>
      </c>
      <c r="F279" s="477">
        <f>'FR-16(7)(v)-1 Functional'!G279</f>
        <v>-1989</v>
      </c>
      <c r="G279" s="548">
        <f>ROUND(F279*VLOOKUP(D279,AllocTable_Classified_Production,$G$10,FALSE),0)</f>
        <v>0</v>
      </c>
      <c r="H279" s="539">
        <f>ROUND(F279*VLOOKUP(D279,AllocTable_Classified_Production,$H$10,FALSE),0)</f>
        <v>-1989</v>
      </c>
      <c r="I279" s="540">
        <f>ROUND(F279*VLOOKUP(D279,AllocTable_Classified_Production,$I$10,FALSE),0)</f>
        <v>0</v>
      </c>
      <c r="J279" s="347">
        <f>SUM(G279:I279)</f>
        <v>-1989</v>
      </c>
      <c r="K279" s="347">
        <f>F279-J279</f>
        <v>0</v>
      </c>
    </row>
    <row r="280" spans="1:11">
      <c r="A280" s="333">
        <v>31</v>
      </c>
      <c r="C280" s="332" t="str">
        <f>'FR-16(7)(v)-1 Functional'!C280</f>
        <v>ELIMINATE UNBILLED REVENUE AND GAS COSTS</v>
      </c>
      <c r="D280" s="344" t="str">
        <f>'FR-16(7)(v)-1 Functional'!D280</f>
        <v>K300</v>
      </c>
      <c r="F280" s="477">
        <f>'FR-16(7)(v)-1 Functional'!G280</f>
        <v>-20077</v>
      </c>
      <c r="G280" s="548">
        <f>ROUND(F280*VLOOKUP(D280,AllocTable_Classified_Production,$G$10,FALSE),0)</f>
        <v>0</v>
      </c>
      <c r="H280" s="539">
        <f>ROUND(F280*VLOOKUP(D280,AllocTable_Classified_Production,$H$10,FALSE),0)</f>
        <v>-20077</v>
      </c>
      <c r="I280" s="540">
        <f>ROUND(F280*VLOOKUP(D280,AllocTable_Classified_Production,$I$10,FALSE),0)</f>
        <v>0</v>
      </c>
      <c r="J280" s="347">
        <f>SUM(G280:I280)</f>
        <v>-20077</v>
      </c>
      <c r="K280" s="347">
        <f>F280-J280</f>
        <v>0</v>
      </c>
    </row>
    <row r="281" spans="1:11">
      <c r="A281" s="333">
        <v>32</v>
      </c>
      <c r="C281" s="339" t="str">
        <f>'FR-16(7)(v)-1 Functional'!C281</f>
        <v xml:space="preserve">  OTHER</v>
      </c>
      <c r="D281" s="344"/>
      <c r="F281" s="348">
        <f>SUM(F278:F280)</f>
        <v>-22066</v>
      </c>
      <c r="G281" s="549">
        <f>SUM(G277:G280)</f>
        <v>0</v>
      </c>
      <c r="H281" s="541">
        <f>SUM(H277:H280)</f>
        <v>-22066</v>
      </c>
      <c r="I281" s="542">
        <f>SUM(I277:I280)</f>
        <v>0</v>
      </c>
      <c r="J281" s="348">
        <f>SUM(J277:J280)</f>
        <v>-22066</v>
      </c>
      <c r="K281" s="348">
        <f>SUM(K277:K280)</f>
        <v>0</v>
      </c>
    </row>
    <row r="282" spans="1:11">
      <c r="A282" s="333">
        <v>33</v>
      </c>
      <c r="D282" s="344"/>
      <c r="F282" s="335" t="s">
        <v>343</v>
      </c>
      <c r="G282" s="547"/>
      <c r="H282" s="537"/>
      <c r="I282" s="538"/>
    </row>
    <row r="283" spans="1:11">
      <c r="A283" s="333">
        <v>34</v>
      </c>
      <c r="B283" s="332" t="s">
        <v>825</v>
      </c>
      <c r="D283" s="344"/>
      <c r="F283" s="347">
        <f t="shared" ref="F283:K283" si="77">F275+F281</f>
        <v>965441</v>
      </c>
      <c r="G283" s="550">
        <f t="shared" si="77"/>
        <v>0</v>
      </c>
      <c r="H283" s="543">
        <f t="shared" si="77"/>
        <v>965441</v>
      </c>
      <c r="I283" s="544">
        <f t="shared" si="77"/>
        <v>0</v>
      </c>
      <c r="J283" s="347">
        <f t="shared" si="77"/>
        <v>965441</v>
      </c>
      <c r="K283" s="347">
        <f t="shared" si="77"/>
        <v>0</v>
      </c>
    </row>
    <row r="284" spans="1:11">
      <c r="B284" s="343"/>
      <c r="C284" s="196"/>
      <c r="D284" s="344"/>
      <c r="E284" s="196"/>
      <c r="F284" s="196"/>
      <c r="G284" s="196"/>
      <c r="H284" s="196"/>
      <c r="I284" s="196"/>
      <c r="J284" s="196"/>
      <c r="K284" s="196"/>
    </row>
    <row r="285" spans="1:11">
      <c r="A285" s="343" t="str">
        <f>co_name</f>
        <v>DUKE ENERGY KENTUCKY, INC.</v>
      </c>
      <c r="C285" s="196"/>
      <c r="D285" s="344"/>
      <c r="E285" s="196"/>
      <c r="F285" s="196"/>
      <c r="G285" s="196"/>
      <c r="H285" s="196"/>
      <c r="I285" s="196"/>
      <c r="J285" s="196" t="str">
        <f>$J$1</f>
        <v>FR-16(7)(v)-2</v>
      </c>
      <c r="K285" s="196"/>
    </row>
    <row r="286" spans="1:11">
      <c r="A286" s="343" t="str">
        <f>$A$2</f>
        <v>PRODUCTION CLASSIFIED - GAS COST OF SERVICE</v>
      </c>
      <c r="C286" s="196"/>
      <c r="D286" s="344"/>
      <c r="E286" s="196"/>
      <c r="F286" s="196"/>
      <c r="G286" s="196"/>
      <c r="H286" s="196"/>
      <c r="I286" s="196"/>
      <c r="J286" s="196" t="str">
        <f>$J$2</f>
        <v>WITNESS RESPONSIBLE:</v>
      </c>
      <c r="K286" s="196"/>
    </row>
    <row r="287" spans="1:11">
      <c r="A287" s="343" t="str">
        <f>case_name</f>
        <v>CASE NO: 2018-00261</v>
      </c>
      <c r="C287" s="196"/>
      <c r="D287" s="344"/>
      <c r="E287" s="196"/>
      <c r="F287" s="196"/>
      <c r="G287" s="196"/>
      <c r="H287" s="196"/>
      <c r="I287" s="196"/>
      <c r="J287" s="196" t="str">
        <f>Witness</f>
        <v>JAMES E. ZIOLKOWSKI</v>
      </c>
      <c r="K287" s="196"/>
    </row>
    <row r="288" spans="1:11">
      <c r="A288" s="343" t="str">
        <f>data_filing</f>
        <v>DATA: 12 MONTH FORECASTED PERIOD</v>
      </c>
      <c r="C288" s="196"/>
      <c r="D288" s="344"/>
      <c r="E288" s="196"/>
      <c r="F288" s="196"/>
      <c r="G288" s="196"/>
      <c r="H288" s="196"/>
      <c r="I288" s="196"/>
      <c r="J288" s="196" t="str">
        <f>"PAGE "&amp;Pages-11&amp;" OF "&amp;Pages</f>
        <v>PAGE 7 OF 18</v>
      </c>
      <c r="K288" s="196"/>
    </row>
    <row r="289" spans="1:13">
      <c r="A289" s="343" t="str">
        <f>type</f>
        <v xml:space="preserve">TYPE OF FILING: "X" ORIGINAL   UPDATED    REVISED  </v>
      </c>
      <c r="C289" s="196"/>
      <c r="D289" s="344"/>
      <c r="E289" s="196"/>
      <c r="F289" s="196"/>
      <c r="G289" s="196"/>
      <c r="H289" s="196"/>
      <c r="I289" s="196"/>
      <c r="J289" s="196"/>
      <c r="K289" s="196"/>
    </row>
    <row r="290" spans="1:13">
      <c r="B290" s="343"/>
      <c r="C290" s="196"/>
      <c r="D290" s="344"/>
      <c r="E290" s="196"/>
      <c r="F290" s="196"/>
      <c r="G290" s="196"/>
      <c r="H290" s="196"/>
      <c r="I290" s="196"/>
      <c r="J290" s="196"/>
      <c r="K290" s="196"/>
    </row>
    <row r="291" spans="1:13">
      <c r="B291" s="343"/>
      <c r="C291" s="196"/>
      <c r="D291" s="344"/>
      <c r="E291" s="196"/>
      <c r="F291" s="196"/>
      <c r="G291" s="196"/>
      <c r="H291" s="196"/>
      <c r="I291" s="196"/>
      <c r="J291" s="196"/>
      <c r="K291" s="196"/>
    </row>
    <row r="292" spans="1:13">
      <c r="A292" s="344" t="s">
        <v>914</v>
      </c>
      <c r="B292" s="196"/>
      <c r="C292" s="196"/>
      <c r="D292" s="344"/>
      <c r="E292" s="196"/>
      <c r="F292" s="344" t="str">
        <f>$F$8</f>
        <v>TOTAL</v>
      </c>
      <c r="G292" s="545" t="s">
        <v>1005</v>
      </c>
      <c r="H292" s="533"/>
      <c r="I292" s="534"/>
      <c r="J292" s="344" t="s">
        <v>229</v>
      </c>
      <c r="K292" s="344" t="s">
        <v>342</v>
      </c>
    </row>
    <row r="293" spans="1:13">
      <c r="A293" s="346" t="s">
        <v>915</v>
      </c>
      <c r="B293" s="345" t="s">
        <v>32</v>
      </c>
      <c r="C293" s="345"/>
      <c r="D293" s="346" t="s">
        <v>337</v>
      </c>
      <c r="E293" s="345"/>
      <c r="F293" s="346" t="str">
        <f>$F$9</f>
        <v>PRODUCTION</v>
      </c>
      <c r="G293" s="546" t="s">
        <v>847</v>
      </c>
      <c r="H293" s="535" t="s">
        <v>848</v>
      </c>
      <c r="I293" s="536" t="s">
        <v>849</v>
      </c>
      <c r="J293" s="346" t="s">
        <v>341</v>
      </c>
      <c r="K293" s="346" t="s">
        <v>340</v>
      </c>
    </row>
    <row r="294" spans="1:13">
      <c r="C294" s="578" t="s">
        <v>559</v>
      </c>
      <c r="D294" s="344"/>
      <c r="E294" s="490"/>
      <c r="F294" s="491"/>
      <c r="G294" s="800">
        <f>$G$10</f>
        <v>3</v>
      </c>
      <c r="H294" s="801">
        <f>$H$10</f>
        <v>4</v>
      </c>
      <c r="I294" s="802">
        <f>$I$10</f>
        <v>5</v>
      </c>
      <c r="J294" s="490"/>
      <c r="K294" s="490"/>
    </row>
    <row r="295" spans="1:13">
      <c r="C295" s="578"/>
      <c r="D295" s="344"/>
      <c r="E295" s="490"/>
      <c r="F295" s="491"/>
      <c r="G295" s="800"/>
      <c r="H295" s="801"/>
      <c r="I295" s="802"/>
      <c r="J295" s="490"/>
      <c r="K295" s="490"/>
    </row>
    <row r="296" spans="1:13">
      <c r="A296" s="333">
        <v>1</v>
      </c>
      <c r="B296" s="332" t="s">
        <v>31</v>
      </c>
      <c r="D296" s="344"/>
      <c r="E296" s="196"/>
      <c r="F296" s="347">
        <f t="shared" ref="F296:K296" si="78">F191-F238+F283</f>
        <v>2207024.1424657535</v>
      </c>
      <c r="G296" s="548">
        <f t="shared" si="78"/>
        <v>0.14246575348079205</v>
      </c>
      <c r="H296" s="539">
        <f t="shared" si="78"/>
        <v>2207024</v>
      </c>
      <c r="I296" s="540">
        <f t="shared" si="78"/>
        <v>0</v>
      </c>
      <c r="J296" s="347">
        <f t="shared" si="78"/>
        <v>2207024.1424657535</v>
      </c>
      <c r="K296" s="347">
        <f t="shared" si="78"/>
        <v>0</v>
      </c>
    </row>
    <row r="297" spans="1:13">
      <c r="A297" s="333">
        <v>2</v>
      </c>
      <c r="D297" s="344"/>
      <c r="E297" s="196"/>
      <c r="G297" s="547"/>
      <c r="H297" s="537"/>
      <c r="I297" s="538"/>
    </row>
    <row r="298" spans="1:13">
      <c r="A298" s="333">
        <v>3</v>
      </c>
      <c r="B298" s="332" t="s">
        <v>32</v>
      </c>
      <c r="D298" s="344"/>
      <c r="E298" s="196"/>
      <c r="G298" s="547"/>
      <c r="H298" s="537"/>
      <c r="I298" s="538"/>
    </row>
    <row r="299" spans="1:13">
      <c r="A299" s="333">
        <v>4</v>
      </c>
      <c r="D299" s="344"/>
      <c r="E299" s="196"/>
      <c r="G299" s="547"/>
      <c r="H299" s="537"/>
      <c r="I299" s="538"/>
    </row>
    <row r="300" spans="1:13">
      <c r="A300" s="333">
        <v>5</v>
      </c>
      <c r="B300" s="332" t="s">
        <v>33</v>
      </c>
      <c r="D300" s="344"/>
      <c r="E300" s="196"/>
      <c r="G300" s="547"/>
      <c r="H300" s="537"/>
      <c r="I300" s="538"/>
    </row>
    <row r="301" spans="1:13">
      <c r="A301" s="333">
        <v>6</v>
      </c>
      <c r="C301" s="332" t="str">
        <f>'FR-16(7)(v)-1 Functional'!C301</f>
        <v>GAS ENRICHER LIQUID</v>
      </c>
      <c r="D301" s="344" t="str">
        <f>'FR-16(7)(v)-1 Functional'!D301</f>
        <v>K301</v>
      </c>
      <c r="E301" s="196"/>
      <c r="F301" s="479">
        <f>'FR-16(7)(v)-1 Functional'!G301</f>
        <v>1284114</v>
      </c>
      <c r="G301" s="548">
        <f>ROUND(F301*VLOOKUP(D301,AllocTable_Classified_Production,$G$10,FALSE),0)</f>
        <v>0</v>
      </c>
      <c r="H301" s="539">
        <f>ROUND(F301*VLOOKUP(D301,AllocTable_Classified_Production,$H$10,FALSE),0)</f>
        <v>1284114</v>
      </c>
      <c r="I301" s="540">
        <f>ROUND(F301*VLOOKUP(D301,AllocTable_Classified_Production,$I$10,FALSE),0)</f>
        <v>0</v>
      </c>
      <c r="J301" s="347">
        <f>SUM(G301:I301)</f>
        <v>1284114</v>
      </c>
      <c r="K301" s="347">
        <f>F301-J301</f>
        <v>0</v>
      </c>
      <c r="M301" s="335"/>
    </row>
    <row r="302" spans="1:13">
      <c r="A302" s="333">
        <v>7</v>
      </c>
      <c r="C302" s="359" t="str">
        <f>'FR-16(7)(v)-1 Functional'!C302</f>
        <v>OTHER SUPPLIES</v>
      </c>
      <c r="D302" s="344" t="str">
        <f>'FR-16(7)(v)-1 Functional'!D302</f>
        <v>NP29</v>
      </c>
      <c r="E302" s="196"/>
      <c r="F302" s="479">
        <f>'FR-16(7)(v)-1 Functional'!G302</f>
        <v>8413</v>
      </c>
      <c r="G302" s="548">
        <f>ROUND(F302*VLOOKUP(D302,AllocTable_Classified_Production,$G$10,FALSE),0)</f>
        <v>0</v>
      </c>
      <c r="H302" s="539">
        <f>ROUND(F302*VLOOKUP(D302,AllocTable_Classified_Production,$H$10,FALSE),0)</f>
        <v>8413</v>
      </c>
      <c r="I302" s="540">
        <f>ROUND(F302*VLOOKUP(D302,AllocTable_Classified_Production,$I$10,FALSE),0)</f>
        <v>0</v>
      </c>
      <c r="J302" s="347">
        <f>SUM(G302:I302)</f>
        <v>8413</v>
      </c>
      <c r="K302" s="347">
        <f>F302-J302</f>
        <v>0</v>
      </c>
      <c r="M302" s="335"/>
    </row>
    <row r="303" spans="1:13">
      <c r="A303" s="333">
        <v>8</v>
      </c>
      <c r="C303" s="332" t="str">
        <f>'FR-16(7)(v)-1 Functional'!C303</f>
        <v xml:space="preserve">  TOTAL PLANT MATS. &amp; SUPPLIES</v>
      </c>
      <c r="D303" s="344"/>
      <c r="E303" s="196"/>
      <c r="F303" s="348">
        <f t="shared" ref="F303:K303" si="79">SUM(F300:F302)</f>
        <v>1292527</v>
      </c>
      <c r="G303" s="549">
        <f t="shared" si="79"/>
        <v>0</v>
      </c>
      <c r="H303" s="541">
        <f t="shared" si="79"/>
        <v>1292527</v>
      </c>
      <c r="I303" s="542">
        <f t="shared" si="79"/>
        <v>0</v>
      </c>
      <c r="J303" s="348">
        <f t="shared" si="79"/>
        <v>1292527</v>
      </c>
      <c r="K303" s="348">
        <f t="shared" si="79"/>
        <v>0</v>
      </c>
    </row>
    <row r="304" spans="1:13">
      <c r="A304" s="333">
        <v>9</v>
      </c>
      <c r="B304" s="332" t="s">
        <v>34</v>
      </c>
      <c r="D304" s="344"/>
      <c r="E304" s="196"/>
      <c r="F304" s="347">
        <f t="shared" ref="F304:K304" si="80">F303</f>
        <v>1292527</v>
      </c>
      <c r="G304" s="548">
        <f t="shared" si="80"/>
        <v>0</v>
      </c>
      <c r="H304" s="539">
        <f t="shared" si="80"/>
        <v>1292527</v>
      </c>
      <c r="I304" s="540">
        <f t="shared" si="80"/>
        <v>0</v>
      </c>
      <c r="J304" s="347">
        <f t="shared" si="80"/>
        <v>1292527</v>
      </c>
      <c r="K304" s="347">
        <f t="shared" si="80"/>
        <v>0</v>
      </c>
    </row>
    <row r="305" spans="1:13">
      <c r="A305" s="333">
        <v>10</v>
      </c>
      <c r="D305" s="344"/>
      <c r="E305" s="196"/>
      <c r="G305" s="547"/>
      <c r="H305" s="537"/>
      <c r="I305" s="538"/>
    </row>
    <row r="306" spans="1:13">
      <c r="A306" s="333">
        <v>11</v>
      </c>
      <c r="B306" s="332" t="s">
        <v>35</v>
      </c>
      <c r="D306" s="344"/>
      <c r="E306" s="196"/>
      <c r="G306" s="547"/>
      <c r="H306" s="537"/>
      <c r="I306" s="538"/>
    </row>
    <row r="307" spans="1:13">
      <c r="A307" s="333">
        <v>12</v>
      </c>
      <c r="C307" s="332" t="str">
        <f>'FR-16(7)(v)-1 Functional'!C307</f>
        <v>INSURANCE GENERAL</v>
      </c>
      <c r="D307" s="344" t="str">
        <f>'FR-16(7)(v)-1 Functional'!D307</f>
        <v>OM39</v>
      </c>
      <c r="E307" s="196"/>
      <c r="F307" s="479">
        <f>'FR-16(7)(v)-1 Functional'!G307</f>
        <v>23723</v>
      </c>
      <c r="G307" s="548">
        <f>ROUND(F307*VLOOKUP(D307,AllocTable_Classified_Production,$G$10,FALSE),0)</f>
        <v>0</v>
      </c>
      <c r="H307" s="539">
        <f>ROUND(F307*VLOOKUP(D307,AllocTable_Classified_Production,$H$10,FALSE),0)</f>
        <v>23723</v>
      </c>
      <c r="I307" s="540">
        <f>ROUND(F307*VLOOKUP(D307,AllocTable_Classified_Production,$I$10,FALSE),0)</f>
        <v>0</v>
      </c>
      <c r="J307" s="347">
        <f>SUM(G307:I307)</f>
        <v>23723</v>
      </c>
      <c r="K307" s="347">
        <f>F307-J307</f>
        <v>0</v>
      </c>
      <c r="M307" s="335"/>
    </row>
    <row r="308" spans="1:13">
      <c r="A308" s="333">
        <v>13</v>
      </c>
      <c r="C308" s="332" t="str">
        <f>'FR-16(7)(v)-1 Functional'!C308</f>
        <v>EXCISE TAX</v>
      </c>
      <c r="D308" s="344" t="str">
        <f>'FR-16(7)(v)-1 Functional'!D308</f>
        <v>OM39</v>
      </c>
      <c r="E308" s="196"/>
      <c r="F308" s="479">
        <f>'FR-16(7)(v)-1 Functional'!G308</f>
        <v>0</v>
      </c>
      <c r="G308" s="548">
        <f>ROUND(F308*VLOOKUP(D308,AllocTable_Classified_Production,$G$10,FALSE),0)</f>
        <v>0</v>
      </c>
      <c r="H308" s="539">
        <f>ROUND(F308*VLOOKUP(D308,AllocTable_Classified_Production,$H$10,FALSE),0)</f>
        <v>0</v>
      </c>
      <c r="I308" s="540">
        <f>ROUND(F308*VLOOKUP(D308,AllocTable_Classified_Production,$I$10,FALSE),0)</f>
        <v>0</v>
      </c>
      <c r="J308" s="347">
        <f>SUM(G308:I308)</f>
        <v>0</v>
      </c>
      <c r="K308" s="347">
        <f>F308-J308</f>
        <v>0</v>
      </c>
      <c r="M308" s="335"/>
    </row>
    <row r="309" spans="1:13">
      <c r="A309" s="333">
        <v>14</v>
      </c>
      <c r="C309" s="332" t="str">
        <f>'FR-16(7)(v)-1 Functional'!C309</f>
        <v>GAS PURCHASE</v>
      </c>
      <c r="D309" s="344" t="str">
        <f>'FR-16(7)(v)-1 Functional'!D309</f>
        <v>K301</v>
      </c>
      <c r="E309" s="196"/>
      <c r="F309" s="479">
        <f>'FR-16(7)(v)-1 Functional'!G309</f>
        <v>0</v>
      </c>
      <c r="G309" s="548">
        <f>ROUND(F309*VLOOKUP(D309,AllocTable_Classified_Production,$G$10,FALSE),0)</f>
        <v>0</v>
      </c>
      <c r="H309" s="539">
        <f>ROUND(F309*VLOOKUP(D309,AllocTable_Classified_Production,$H$10,FALSE),0)</f>
        <v>0</v>
      </c>
      <c r="I309" s="540">
        <f>ROUND(F309*VLOOKUP(D309,AllocTable_Classified_Production,$I$10,FALSE),0)</f>
        <v>0</v>
      </c>
      <c r="J309" s="347">
        <f>SUM(G309:I309)</f>
        <v>0</v>
      </c>
      <c r="K309" s="347">
        <f>F309-J309</f>
        <v>0</v>
      </c>
      <c r="M309" s="335"/>
    </row>
    <row r="310" spans="1:13">
      <c r="A310" s="333">
        <v>15</v>
      </c>
      <c r="C310" s="339" t="str">
        <f>'FR-16(7)(v)-1 Functional'!C310</f>
        <v xml:space="preserve">  TOTAL PREPAYMENTS</v>
      </c>
      <c r="D310" s="344"/>
      <c r="E310" s="196"/>
      <c r="F310" s="579">
        <f t="shared" ref="F310:K310" si="81">SUM(F306:F309)</f>
        <v>23723</v>
      </c>
      <c r="G310" s="580">
        <f t="shared" si="81"/>
        <v>0</v>
      </c>
      <c r="H310" s="581">
        <f t="shared" si="81"/>
        <v>23723</v>
      </c>
      <c r="I310" s="582">
        <f t="shared" si="81"/>
        <v>0</v>
      </c>
      <c r="J310" s="579">
        <f t="shared" si="81"/>
        <v>23723</v>
      </c>
      <c r="K310" s="579">
        <f t="shared" si="81"/>
        <v>0</v>
      </c>
    </row>
    <row r="311" spans="1:13">
      <c r="A311" s="333">
        <v>16</v>
      </c>
      <c r="D311" s="344"/>
      <c r="E311" s="196"/>
      <c r="G311" s="547"/>
      <c r="H311" s="537"/>
      <c r="I311" s="538"/>
    </row>
    <row r="312" spans="1:13">
      <c r="A312" s="333">
        <v>17</v>
      </c>
      <c r="B312" s="332" t="s">
        <v>36</v>
      </c>
      <c r="D312" s="344"/>
      <c r="E312" s="196"/>
      <c r="F312" s="347">
        <f>IF(WorkingCap="No",0,ROUND((F433-F348-F353)/8,0))</f>
        <v>212325</v>
      </c>
      <c r="G312" s="548">
        <f>IF(WorkingCap="No",0,ROUND((G433-G348-G353)/8,0))</f>
        <v>0</v>
      </c>
      <c r="H312" s="539">
        <f>IF(WorkingCap="No",0,ROUND((H433-H348-H353)/8,0))</f>
        <v>212325</v>
      </c>
      <c r="I312" s="540">
        <f>IF(WorkingCap="No",0,ROUND((I433-I348-I353)/8,0))</f>
        <v>0</v>
      </c>
      <c r="J312" s="347">
        <f>SUM(G312:I312)</f>
        <v>212325</v>
      </c>
      <c r="K312" s="347">
        <f>F312-J312</f>
        <v>0</v>
      </c>
    </row>
    <row r="313" spans="1:13">
      <c r="A313" s="333">
        <v>18</v>
      </c>
      <c r="B313" s="332" t="s">
        <v>37</v>
      </c>
      <c r="D313" s="344"/>
      <c r="E313" s="196"/>
      <c r="F313" s="347">
        <f t="shared" ref="F313:K313" si="82">F312</f>
        <v>212325</v>
      </c>
      <c r="G313" s="548">
        <f t="shared" si="82"/>
        <v>0</v>
      </c>
      <c r="H313" s="539">
        <f t="shared" si="82"/>
        <v>212325</v>
      </c>
      <c r="I313" s="540">
        <f t="shared" si="82"/>
        <v>0</v>
      </c>
      <c r="J313" s="347">
        <f t="shared" si="82"/>
        <v>212325</v>
      </c>
      <c r="K313" s="347">
        <f t="shared" si="82"/>
        <v>0</v>
      </c>
    </row>
    <row r="314" spans="1:13">
      <c r="A314" s="333">
        <v>19</v>
      </c>
      <c r="D314" s="344"/>
      <c r="E314" s="196"/>
      <c r="G314" s="547"/>
      <c r="H314" s="537"/>
      <c r="I314" s="538"/>
    </row>
    <row r="315" spans="1:13">
      <c r="A315" s="333">
        <v>20</v>
      </c>
      <c r="B315" s="332" t="s">
        <v>38</v>
      </c>
      <c r="D315" s="344"/>
      <c r="E315" s="196"/>
      <c r="G315" s="547"/>
      <c r="H315" s="537"/>
      <c r="I315" s="538"/>
    </row>
    <row r="316" spans="1:13">
      <c r="A316" s="333">
        <v>21</v>
      </c>
      <c r="C316" s="353" t="str">
        <f>'FR-16(7)(v)-1 Functional'!C316</f>
        <v>GAS STORED UNDERGROUND</v>
      </c>
      <c r="D316" s="344" t="str">
        <f>'FR-16(7)(v)-1 Functional'!D316</f>
        <v>K301</v>
      </c>
      <c r="E316" s="196"/>
      <c r="F316" s="479">
        <f>'FR-16(7)(v)-1 Functional'!G316</f>
        <v>2958880</v>
      </c>
      <c r="G316" s="548">
        <f>ROUND(F316*VLOOKUP(D316,AllocTable_Classified_Production,$G$10,FALSE),0)</f>
        <v>0</v>
      </c>
      <c r="H316" s="539">
        <f>ROUND(F316*VLOOKUP(D316,AllocTable_Classified_Production,$H$10,FALSE),0)</f>
        <v>2958880</v>
      </c>
      <c r="I316" s="540">
        <f>ROUND(F316*VLOOKUP(D316,AllocTable_Classified_Production,$I$10,FALSE),0)</f>
        <v>0</v>
      </c>
      <c r="J316" s="347">
        <f>SUM(G316:I316)</f>
        <v>2958880</v>
      </c>
      <c r="K316" s="347">
        <f>F316-J316</f>
        <v>0</v>
      </c>
      <c r="M316" s="335"/>
    </row>
    <row r="317" spans="1:13">
      <c r="A317" s="333">
        <v>22</v>
      </c>
      <c r="C317" s="353" t="str">
        <f>'FR-16(7)(v)-1 Functional'!C317</f>
        <v>PIPP UNCOLLECTIBLES</v>
      </c>
      <c r="D317" s="344" t="str">
        <f>'FR-16(7)(v)-1 Functional'!D317</f>
        <v>K406</v>
      </c>
      <c r="E317" s="196"/>
      <c r="F317" s="479">
        <f>'FR-16(7)(v)-1 Functional'!G317</f>
        <v>0</v>
      </c>
      <c r="G317" s="548">
        <f>ROUND(F317*VLOOKUP(D317,AllocTable_Classified_Production,$G$10,FALSE),0)</f>
        <v>0</v>
      </c>
      <c r="H317" s="539">
        <f>ROUND(F317*VLOOKUP(D317,AllocTable_Classified_Production,$H$10,FALSE),0)</f>
        <v>0</v>
      </c>
      <c r="I317" s="540">
        <f>ROUND(F317*VLOOKUP(D317,AllocTable_Classified_Production,$I$10,FALSE),0)</f>
        <v>0</v>
      </c>
      <c r="J317" s="347">
        <f>SUM(G317:I317)</f>
        <v>0</v>
      </c>
      <c r="K317" s="347">
        <f>F317-J317</f>
        <v>0</v>
      </c>
      <c r="M317" s="335"/>
    </row>
    <row r="318" spans="1:13">
      <c r="A318" s="333">
        <v>23</v>
      </c>
      <c r="C318" s="511" t="str">
        <f>'FR-16(7)(v)-1 Functional'!C318</f>
        <v>RESERVED FOR FUTURE USE</v>
      </c>
      <c r="D318" s="344" t="str">
        <f>'FR-16(7)(v)-1 Functional'!D318</f>
        <v>D249</v>
      </c>
      <c r="E318" s="196"/>
      <c r="F318" s="479">
        <f>'FR-16(7)(v)-1 Functional'!G318</f>
        <v>0</v>
      </c>
      <c r="G318" s="548">
        <f>ROUND(F318*VLOOKUP(D318,AllocTable_Classified_Production,$G$10,FALSE),0)</f>
        <v>0</v>
      </c>
      <c r="H318" s="539">
        <f>ROUND(F318*VLOOKUP(D318,AllocTable_Classified_Production,$H$10,FALSE),0)</f>
        <v>0</v>
      </c>
      <c r="I318" s="540">
        <f>ROUND(F318*VLOOKUP(D318,AllocTable_Classified_Production,$I$10,FALSE),0)</f>
        <v>0</v>
      </c>
      <c r="J318" s="347">
        <f>SUM(G318:I318)</f>
        <v>0</v>
      </c>
      <c r="K318" s="347">
        <f>F318-J318</f>
        <v>0</v>
      </c>
      <c r="M318" s="335"/>
    </row>
    <row r="319" spans="1:13">
      <c r="A319" s="333">
        <v>24</v>
      </c>
      <c r="C319" s="332" t="str">
        <f>'FR-16(7)(v)-1 Functional'!C319</f>
        <v xml:space="preserve">  TOTAL MISC WORK CAPITAL</v>
      </c>
      <c r="D319" s="344"/>
      <c r="E319" s="196"/>
      <c r="F319" s="348">
        <f t="shared" ref="F319:K319" si="83">SUM(F315:F318)</f>
        <v>2958880</v>
      </c>
      <c r="G319" s="549">
        <f t="shared" si="83"/>
        <v>0</v>
      </c>
      <c r="H319" s="541">
        <f t="shared" si="83"/>
        <v>2958880</v>
      </c>
      <c r="I319" s="542">
        <f t="shared" si="83"/>
        <v>0</v>
      </c>
      <c r="J319" s="348">
        <f t="shared" si="83"/>
        <v>2958880</v>
      </c>
      <c r="K319" s="348">
        <f t="shared" si="83"/>
        <v>0</v>
      </c>
    </row>
    <row r="320" spans="1:13">
      <c r="A320" s="333">
        <v>25</v>
      </c>
      <c r="D320" s="344"/>
      <c r="E320" s="196"/>
      <c r="G320" s="547"/>
      <c r="H320" s="537"/>
      <c r="I320" s="538"/>
    </row>
    <row r="321" spans="1:13">
      <c r="A321" s="333">
        <v>26</v>
      </c>
      <c r="B321" s="332" t="s">
        <v>39</v>
      </c>
      <c r="D321" s="344"/>
      <c r="E321" s="196"/>
      <c r="F321" s="347">
        <f t="shared" ref="F321:K321" si="84">F304+F310+F313+F319</f>
        <v>4487455</v>
      </c>
      <c r="G321" s="548">
        <f t="shared" si="84"/>
        <v>0</v>
      </c>
      <c r="H321" s="539">
        <f t="shared" si="84"/>
        <v>4487455</v>
      </c>
      <c r="I321" s="540">
        <f t="shared" si="84"/>
        <v>0</v>
      </c>
      <c r="J321" s="347">
        <f t="shared" si="84"/>
        <v>4487455</v>
      </c>
      <c r="K321" s="347">
        <f t="shared" si="84"/>
        <v>0</v>
      </c>
    </row>
    <row r="322" spans="1:13">
      <c r="A322" s="333">
        <v>27</v>
      </c>
      <c r="B322" s="332" t="s">
        <v>40</v>
      </c>
      <c r="D322" s="344"/>
      <c r="E322" s="196"/>
      <c r="G322" s="547"/>
      <c r="H322" s="537"/>
      <c r="I322" s="538"/>
    </row>
    <row r="323" spans="1:13">
      <c r="A323" s="333">
        <v>28</v>
      </c>
      <c r="C323" s="332" t="str">
        <f>'FR-16(7)(v)-1 Functional'!C323</f>
        <v>TOTAL ACCUMULATED DEFERRED INCOME TAXES</v>
      </c>
      <c r="D323" s="344"/>
      <c r="E323" s="196"/>
      <c r="F323" s="347">
        <f t="shared" ref="F323:K323" si="85">-F238</f>
        <v>-1710678.8575342465</v>
      </c>
      <c r="G323" s="548">
        <f t="shared" si="85"/>
        <v>0.14246575348079205</v>
      </c>
      <c r="H323" s="539">
        <f t="shared" si="85"/>
        <v>-1710679</v>
      </c>
      <c r="I323" s="540">
        <f t="shared" si="85"/>
        <v>0</v>
      </c>
      <c r="J323" s="347">
        <f t="shared" si="85"/>
        <v>-1710678.8575342465</v>
      </c>
      <c r="K323" s="347">
        <f t="shared" si="85"/>
        <v>0</v>
      </c>
      <c r="M323" s="335"/>
    </row>
    <row r="324" spans="1:13">
      <c r="A324" s="333">
        <v>29</v>
      </c>
      <c r="C324" s="332" t="str">
        <f>'FR-16(7)(v)-1 Functional'!C324</f>
        <v>TOTAL OTHER ACCUMULATED DEFERRED INCOME TAXES</v>
      </c>
      <c r="D324" s="344"/>
      <c r="E324" s="196"/>
      <c r="F324" s="347">
        <f t="shared" ref="F324:K324" si="86">F283</f>
        <v>965441</v>
      </c>
      <c r="G324" s="548">
        <f t="shared" si="86"/>
        <v>0</v>
      </c>
      <c r="H324" s="539">
        <f t="shared" si="86"/>
        <v>965441</v>
      </c>
      <c r="I324" s="540">
        <f t="shared" si="86"/>
        <v>0</v>
      </c>
      <c r="J324" s="347">
        <f t="shared" si="86"/>
        <v>965441</v>
      </c>
      <c r="K324" s="347">
        <f t="shared" si="86"/>
        <v>0</v>
      </c>
      <c r="M324" s="335"/>
    </row>
    <row r="325" spans="1:13">
      <c r="A325" s="333">
        <v>30</v>
      </c>
      <c r="C325" s="359" t="str">
        <f>'FR-16(7)(v)-1 Functional'!C325</f>
        <v>TOTAL WORKING CAPITAL</v>
      </c>
      <c r="D325" s="344"/>
      <c r="E325" s="196"/>
      <c r="F325" s="347">
        <f t="shared" ref="F325:K325" si="87">F321</f>
        <v>4487455</v>
      </c>
      <c r="G325" s="548">
        <f t="shared" si="87"/>
        <v>0</v>
      </c>
      <c r="H325" s="539">
        <f t="shared" si="87"/>
        <v>4487455</v>
      </c>
      <c r="I325" s="540">
        <f t="shared" si="87"/>
        <v>0</v>
      </c>
      <c r="J325" s="347">
        <f t="shared" si="87"/>
        <v>4487455</v>
      </c>
      <c r="K325" s="347">
        <f t="shared" si="87"/>
        <v>0</v>
      </c>
      <c r="M325" s="335"/>
    </row>
    <row r="326" spans="1:13">
      <c r="A326" s="333">
        <v>31</v>
      </c>
      <c r="C326" s="332" t="str">
        <f>'FR-16(7)(v)-1 Functional'!C326</f>
        <v xml:space="preserve">  TOTAL RATE BASE ADJUSTMENTS</v>
      </c>
      <c r="D326" s="344"/>
      <c r="E326" s="196"/>
      <c r="F326" s="348">
        <f t="shared" ref="F326:K326" si="88">SUM(F322:F325)</f>
        <v>3742217.1424657535</v>
      </c>
      <c r="G326" s="549">
        <f t="shared" si="88"/>
        <v>0.14246575348079205</v>
      </c>
      <c r="H326" s="541">
        <f t="shared" si="88"/>
        <v>3742217</v>
      </c>
      <c r="I326" s="542">
        <f t="shared" si="88"/>
        <v>0</v>
      </c>
      <c r="J326" s="348">
        <f>SUM(J322:J325)</f>
        <v>3742217.1424657535</v>
      </c>
      <c r="K326" s="348">
        <f t="shared" si="88"/>
        <v>0</v>
      </c>
    </row>
    <row r="327" spans="1:13">
      <c r="A327" s="333">
        <v>32</v>
      </c>
      <c r="D327" s="344"/>
      <c r="E327" s="196"/>
      <c r="G327" s="547"/>
      <c r="H327" s="537"/>
      <c r="I327" s="538"/>
    </row>
    <row r="328" spans="1:13">
      <c r="A328" s="333">
        <v>33</v>
      </c>
      <c r="B328" s="332" t="s">
        <v>41</v>
      </c>
      <c r="D328" s="344"/>
      <c r="E328" s="196"/>
      <c r="G328" s="547"/>
      <c r="H328" s="537"/>
      <c r="I328" s="538"/>
    </row>
    <row r="329" spans="1:13">
      <c r="A329" s="333">
        <v>34</v>
      </c>
      <c r="C329" s="332" t="str">
        <f>'FR-16(7)(v)-1 Functional'!C329</f>
        <v>NET GAS PLANT IN SERVICE</v>
      </c>
      <c r="D329" s="344"/>
      <c r="E329" s="196"/>
      <c r="F329" s="347">
        <f t="shared" ref="F329:K329" si="89">F191</f>
        <v>2952262</v>
      </c>
      <c r="G329" s="548">
        <f t="shared" si="89"/>
        <v>0</v>
      </c>
      <c r="H329" s="539">
        <f t="shared" si="89"/>
        <v>2952262</v>
      </c>
      <c r="I329" s="540">
        <f t="shared" si="89"/>
        <v>0</v>
      </c>
      <c r="J329" s="347">
        <f t="shared" si="89"/>
        <v>2952262</v>
      </c>
      <c r="K329" s="347">
        <f t="shared" si="89"/>
        <v>0</v>
      </c>
    </row>
    <row r="330" spans="1:13">
      <c r="A330" s="333">
        <v>35</v>
      </c>
      <c r="C330" s="359" t="str">
        <f>'FR-16(7)(v)-1 Functional'!C330</f>
        <v>TOTAL RATE BASE ADJUSTMENTS</v>
      </c>
      <c r="D330" s="344"/>
      <c r="E330" s="196"/>
      <c r="F330" s="347">
        <f t="shared" ref="F330:K330" si="90">F326</f>
        <v>3742217.1424657535</v>
      </c>
      <c r="G330" s="548">
        <f t="shared" si="90"/>
        <v>0.14246575348079205</v>
      </c>
      <c r="H330" s="539">
        <f t="shared" si="90"/>
        <v>3742217</v>
      </c>
      <c r="I330" s="540">
        <f t="shared" si="90"/>
        <v>0</v>
      </c>
      <c r="J330" s="347">
        <f t="shared" si="90"/>
        <v>3742217.1424657535</v>
      </c>
      <c r="K330" s="347">
        <f t="shared" si="90"/>
        <v>0</v>
      </c>
    </row>
    <row r="331" spans="1:13">
      <c r="A331" s="333">
        <v>36</v>
      </c>
      <c r="C331" s="332" t="str">
        <f>'FR-16(7)(v)-1 Functional'!C331</f>
        <v xml:space="preserve">  TOTAL RATE BASE</v>
      </c>
      <c r="D331" s="344"/>
      <c r="E331" s="196"/>
      <c r="F331" s="348">
        <f t="shared" ref="F331:K331" si="91">SUM(F328:F330)</f>
        <v>6694479.1424657535</v>
      </c>
      <c r="G331" s="549">
        <f t="shared" si="91"/>
        <v>0.14246575348079205</v>
      </c>
      <c r="H331" s="541">
        <f t="shared" si="91"/>
        <v>6694479</v>
      </c>
      <c r="I331" s="542">
        <f t="shared" si="91"/>
        <v>0</v>
      </c>
      <c r="J331" s="348">
        <f>SUM(J328:J330)</f>
        <v>6694479.1424657535</v>
      </c>
      <c r="K331" s="348">
        <f t="shared" si="91"/>
        <v>0</v>
      </c>
    </row>
    <row r="332" spans="1:13">
      <c r="A332" s="333">
        <v>37</v>
      </c>
      <c r="D332" s="344"/>
      <c r="E332" s="196"/>
      <c r="G332" s="547"/>
      <c r="H332" s="537"/>
      <c r="I332" s="538"/>
    </row>
    <row r="333" spans="1:13">
      <c r="A333" s="333">
        <v>38</v>
      </c>
      <c r="B333" s="332" t="s">
        <v>42</v>
      </c>
      <c r="D333" s="344"/>
      <c r="E333" s="196"/>
      <c r="F333" s="350">
        <f>$F$688</f>
        <v>7.1809999999999999E-2</v>
      </c>
      <c r="G333" s="1278">
        <f>F688</f>
        <v>7.1809999999999999E-2</v>
      </c>
      <c r="H333" s="1279">
        <f>F688</f>
        <v>7.1809999999999999E-2</v>
      </c>
      <c r="I333" s="1280">
        <f>F688</f>
        <v>7.1809999999999999E-2</v>
      </c>
      <c r="J333" s="350">
        <f>F688</f>
        <v>7.1809999999999999E-2</v>
      </c>
      <c r="K333" s="350">
        <f>'FR-16(7)(v)-1 Functional'!F688</f>
        <v>7.1809999999999999E-2</v>
      </c>
    </row>
    <row r="334" spans="1:13">
      <c r="A334" s="333">
        <v>39</v>
      </c>
      <c r="B334" s="332" t="s">
        <v>43</v>
      </c>
      <c r="D334" s="344"/>
      <c r="E334" s="196"/>
      <c r="F334" s="1496">
        <f>ROUND(F333*F331,0)+1</f>
        <v>480732</v>
      </c>
      <c r="G334" s="554">
        <f>ROUND(G331*G333,0)</f>
        <v>0</v>
      </c>
      <c r="H334" s="1277">
        <f>ROUND(H331*H333,0)+1</f>
        <v>480732</v>
      </c>
      <c r="I334" s="556">
        <f>ROUND(I331*I333,0)</f>
        <v>0</v>
      </c>
      <c r="J334" s="347">
        <f>SUM(G334:I334)</f>
        <v>480732</v>
      </c>
      <c r="K334" s="347">
        <f>ROUND(K331*K333,0)</f>
        <v>0</v>
      </c>
    </row>
    <row r="335" spans="1:13">
      <c r="B335" s="343"/>
      <c r="C335" s="196"/>
      <c r="D335" s="344"/>
      <c r="E335" s="196"/>
      <c r="F335" s="196"/>
      <c r="G335" s="196"/>
      <c r="H335" s="196"/>
      <c r="I335" s="196"/>
      <c r="J335" s="196"/>
      <c r="K335" s="196"/>
    </row>
    <row r="336" spans="1:13">
      <c r="A336" s="343" t="str">
        <f>co_name</f>
        <v>DUKE ENERGY KENTUCKY, INC.</v>
      </c>
      <c r="C336" s="196"/>
      <c r="D336" s="344"/>
      <c r="E336" s="196"/>
      <c r="F336" s="196"/>
      <c r="G336" s="196"/>
      <c r="H336" s="196"/>
      <c r="I336" s="196"/>
      <c r="J336" s="196" t="str">
        <f>$J$1</f>
        <v>FR-16(7)(v)-2</v>
      </c>
      <c r="K336" s="196"/>
    </row>
    <row r="337" spans="1:11">
      <c r="A337" s="343" t="str">
        <f>$A$2</f>
        <v>PRODUCTION CLASSIFIED - GAS COST OF SERVICE</v>
      </c>
      <c r="C337" s="196"/>
      <c r="D337" s="344"/>
      <c r="E337" s="196"/>
      <c r="F337" s="196"/>
      <c r="G337" s="196"/>
      <c r="H337" s="196"/>
      <c r="I337" s="196"/>
      <c r="J337" s="196" t="str">
        <f>$J$2</f>
        <v>WITNESS RESPONSIBLE:</v>
      </c>
      <c r="K337" s="196"/>
    </row>
    <row r="338" spans="1:11">
      <c r="A338" s="343" t="str">
        <f>case_name</f>
        <v>CASE NO: 2018-00261</v>
      </c>
      <c r="C338" s="196"/>
      <c r="D338" s="344"/>
      <c r="E338" s="196"/>
      <c r="F338" s="196"/>
      <c r="G338" s="196"/>
      <c r="H338" s="196"/>
      <c r="I338" s="196"/>
      <c r="J338" s="196" t="str">
        <f>Witness</f>
        <v>JAMES E. ZIOLKOWSKI</v>
      </c>
      <c r="K338" s="196"/>
    </row>
    <row r="339" spans="1:11">
      <c r="A339" s="343" t="str">
        <f>data_filing</f>
        <v>DATA: 12 MONTH FORECASTED PERIOD</v>
      </c>
      <c r="C339" s="196"/>
      <c r="D339" s="344"/>
      <c r="E339" s="196"/>
      <c r="F339" s="196"/>
      <c r="G339" s="196"/>
      <c r="H339" s="196"/>
      <c r="I339" s="196"/>
      <c r="J339" s="196" t="str">
        <f>"PAGE "&amp;Pages-10&amp;" OF "&amp;Pages</f>
        <v>PAGE 8 OF 18</v>
      </c>
      <c r="K339" s="196"/>
    </row>
    <row r="340" spans="1:11">
      <c r="A340" s="343" t="str">
        <f>type</f>
        <v xml:space="preserve">TYPE OF FILING: "X" ORIGINAL   UPDATED    REVISED  </v>
      </c>
      <c r="C340" s="196"/>
      <c r="D340" s="344"/>
      <c r="E340" s="196"/>
      <c r="F340" s="196"/>
      <c r="G340" s="196"/>
      <c r="H340" s="196"/>
      <c r="I340" s="196"/>
      <c r="J340" s="196"/>
      <c r="K340" s="196"/>
    </row>
    <row r="341" spans="1:11">
      <c r="B341" s="343"/>
      <c r="C341" s="196"/>
      <c r="D341" s="344"/>
      <c r="E341" s="196"/>
      <c r="F341" s="196"/>
      <c r="G341" s="196"/>
      <c r="H341" s="196"/>
      <c r="I341" s="196"/>
      <c r="J341" s="196"/>
      <c r="K341" s="196"/>
    </row>
    <row r="342" spans="1:11">
      <c r="B342" s="343"/>
      <c r="C342" s="196"/>
      <c r="D342" s="344"/>
      <c r="E342" s="196"/>
      <c r="F342" s="196"/>
      <c r="G342" s="196"/>
      <c r="H342" s="196"/>
      <c r="I342" s="196"/>
      <c r="J342" s="196"/>
      <c r="K342" s="196"/>
    </row>
    <row r="343" spans="1:11">
      <c r="A343" s="344" t="s">
        <v>914</v>
      </c>
      <c r="B343" s="196"/>
      <c r="C343" s="196"/>
      <c r="D343" s="344"/>
      <c r="E343" s="196"/>
      <c r="F343" s="344" t="str">
        <f>$F$8</f>
        <v>TOTAL</v>
      </c>
      <c r="G343" s="545" t="s">
        <v>1005</v>
      </c>
      <c r="H343" s="533"/>
      <c r="I343" s="534"/>
      <c r="J343" s="344" t="s">
        <v>229</v>
      </c>
      <c r="K343" s="344" t="s">
        <v>342</v>
      </c>
    </row>
    <row r="344" spans="1:11">
      <c r="A344" s="346" t="s">
        <v>915</v>
      </c>
      <c r="B344" s="345" t="s">
        <v>44</v>
      </c>
      <c r="C344" s="345"/>
      <c r="D344" s="346" t="s">
        <v>337</v>
      </c>
      <c r="E344" s="345"/>
      <c r="F344" s="346" t="str">
        <f>$F$9</f>
        <v>PRODUCTION</v>
      </c>
      <c r="G344" s="546" t="s">
        <v>847</v>
      </c>
      <c r="H344" s="535" t="s">
        <v>848</v>
      </c>
      <c r="I344" s="536" t="s">
        <v>849</v>
      </c>
      <c r="J344" s="346" t="s">
        <v>341</v>
      </c>
      <c r="K344" s="346" t="s">
        <v>340</v>
      </c>
    </row>
    <row r="345" spans="1:11">
      <c r="C345" s="578" t="s">
        <v>348</v>
      </c>
      <c r="D345" s="344"/>
      <c r="E345" s="196"/>
      <c r="G345" s="800">
        <f>$G$10</f>
        <v>3</v>
      </c>
      <c r="H345" s="801">
        <f>$H$10</f>
        <v>4</v>
      </c>
      <c r="I345" s="802">
        <f>$I$10</f>
        <v>5</v>
      </c>
    </row>
    <row r="346" spans="1:11">
      <c r="A346" s="333">
        <v>1</v>
      </c>
      <c r="B346" s="332" t="s">
        <v>45</v>
      </c>
      <c r="D346" s="344"/>
      <c r="E346" s="196"/>
      <c r="G346" s="547"/>
      <c r="H346" s="537"/>
      <c r="I346" s="538"/>
    </row>
    <row r="347" spans="1:11">
      <c r="A347" s="333">
        <v>2</v>
      </c>
      <c r="B347" s="332" t="s">
        <v>46</v>
      </c>
      <c r="D347" s="344"/>
      <c r="E347" s="196"/>
      <c r="G347" s="547"/>
      <c r="H347" s="537"/>
      <c r="I347" s="538"/>
    </row>
    <row r="348" spans="1:11">
      <c r="A348" s="333">
        <v>3</v>
      </c>
      <c r="C348" s="332" t="str">
        <f>'FR-16(7)(v)-1 Functional'!C348</f>
        <v>ANNUALIZED GAS COST</v>
      </c>
      <c r="D348" s="344" t="str">
        <f>'FR-16(7)(v)-1 Functional'!D348</f>
        <v>K301</v>
      </c>
      <c r="E348" s="196"/>
      <c r="F348" s="479">
        <f>'FR-16(7)(v)-1 Functional'!G348</f>
        <v>36334092</v>
      </c>
      <c r="G348" s="548">
        <f>F348-SUM(H348:I348)</f>
        <v>0</v>
      </c>
      <c r="H348" s="539">
        <f>ROUND(F348*VLOOKUP(D348,AllocTable_Classified_Production,$H$10,FALSE),0)</f>
        <v>36334092</v>
      </c>
      <c r="I348" s="540">
        <f>ROUND(F348*VLOOKUP(D348,AllocTable_Classified_Production,$I$10,FALSE),0)</f>
        <v>0</v>
      </c>
      <c r="J348" s="347">
        <f>SUM(G348:I348)</f>
        <v>36334092</v>
      </c>
      <c r="K348" s="347">
        <f>F348-J348</f>
        <v>0</v>
      </c>
    </row>
    <row r="349" spans="1:11">
      <c r="A349" s="333">
        <v>4</v>
      </c>
      <c r="C349" s="359" t="str">
        <f>'FR-16(7)(v)-1 Functional'!C349</f>
        <v>OTHER ASSOCIATED COST</v>
      </c>
      <c r="D349" s="344" t="str">
        <f>'FR-16(7)(v)-1 Functional'!D349</f>
        <v>K300</v>
      </c>
      <c r="E349" s="196"/>
      <c r="F349" s="479">
        <f>'FR-16(7)(v)-1 Functional'!G349</f>
        <v>972828</v>
      </c>
      <c r="G349" s="548">
        <f>F349-SUM(H349:I349)</f>
        <v>0</v>
      </c>
      <c r="H349" s="539">
        <f>ROUND(F349*VLOOKUP(D349,AllocTable_Classified_Production,$H$10,FALSE),0)</f>
        <v>972828</v>
      </c>
      <c r="I349" s="540">
        <f>ROUND(F349*VLOOKUP(D349,AllocTable_Classified_Production,$I$10,FALSE),0)</f>
        <v>0</v>
      </c>
      <c r="J349" s="347">
        <f>SUM(G349:I349)</f>
        <v>972828</v>
      </c>
      <c r="K349" s="347">
        <f>F349-J349</f>
        <v>0</v>
      </c>
    </row>
    <row r="350" spans="1:11">
      <c r="A350" s="333">
        <v>5</v>
      </c>
      <c r="C350" s="332" t="str">
        <f>'FR-16(7)(v)-1 Functional'!C350</f>
        <v xml:space="preserve">  TOTAL COMMODITY RELATED</v>
      </c>
      <c r="D350" s="344"/>
      <c r="E350" s="196"/>
      <c r="F350" s="348">
        <f t="shared" ref="F350:K350" si="92">SUM(F348:F349)</f>
        <v>37306920</v>
      </c>
      <c r="G350" s="549">
        <f t="shared" si="92"/>
        <v>0</v>
      </c>
      <c r="H350" s="541">
        <f t="shared" si="92"/>
        <v>37306920</v>
      </c>
      <c r="I350" s="542">
        <f t="shared" si="92"/>
        <v>0</v>
      </c>
      <c r="J350" s="348">
        <f t="shared" si="92"/>
        <v>37306920</v>
      </c>
      <c r="K350" s="348">
        <f t="shared" si="92"/>
        <v>0</v>
      </c>
    </row>
    <row r="351" spans="1:11">
      <c r="A351" s="333">
        <v>6</v>
      </c>
      <c r="D351" s="344"/>
      <c r="E351" s="196"/>
      <c r="G351" s="547"/>
      <c r="H351" s="537"/>
      <c r="I351" s="538"/>
    </row>
    <row r="352" spans="1:11">
      <c r="A352" s="333">
        <v>7</v>
      </c>
      <c r="B352" s="359" t="s">
        <v>47</v>
      </c>
      <c r="C352" s="359"/>
      <c r="D352" s="344"/>
      <c r="E352" s="196"/>
      <c r="F352" s="347"/>
      <c r="G352" s="548"/>
      <c r="H352" s="539"/>
      <c r="I352" s="540"/>
      <c r="J352" s="347"/>
      <c r="K352" s="347"/>
    </row>
    <row r="353" spans="1:11">
      <c r="A353" s="333">
        <v>8</v>
      </c>
      <c r="C353" s="332" t="str">
        <f>'FR-16(7)(v)-1 Functional'!C353</f>
        <v>ANNUALIZED GAS COST - DEMAND</v>
      </c>
      <c r="D353" s="344" t="s">
        <v>290</v>
      </c>
      <c r="E353" s="196"/>
      <c r="F353" s="477">
        <v>0</v>
      </c>
      <c r="G353" s="548">
        <f>ROUND(F353*VLOOKUP(D353,AllocTable_Classified_Production,$G$10,FALSE),0)</f>
        <v>0</v>
      </c>
      <c r="H353" s="539">
        <f>ROUND(F353*VLOOKUP(D353,AllocTable_Classified_Production,$H$10,FALSE),0)</f>
        <v>0</v>
      </c>
      <c r="I353" s="540">
        <f>ROUND(F353*VLOOKUP(D353,AllocTable_Classified_Production,$I$10,FALSE),0)</f>
        <v>0</v>
      </c>
      <c r="J353" s="347">
        <f>SUM(G353:I353)</f>
        <v>0</v>
      </c>
      <c r="K353" s="347">
        <f>F353-J353</f>
        <v>0</v>
      </c>
    </row>
    <row r="354" spans="1:11">
      <c r="A354" s="333">
        <v>9</v>
      </c>
      <c r="C354" s="332" t="str">
        <f>'FR-16(7)(v)-1 Functional'!C354</f>
        <v xml:space="preserve">  TOTAL DEMAND RELATED</v>
      </c>
      <c r="D354" s="344"/>
      <c r="E354" s="196"/>
      <c r="F354" s="348">
        <f t="shared" ref="F354:K354" si="93">SUM(F352:F353)</f>
        <v>0</v>
      </c>
      <c r="G354" s="549">
        <f t="shared" si="93"/>
        <v>0</v>
      </c>
      <c r="H354" s="541">
        <f t="shared" si="93"/>
        <v>0</v>
      </c>
      <c r="I354" s="542">
        <f t="shared" si="93"/>
        <v>0</v>
      </c>
      <c r="J354" s="348">
        <f t="shared" si="93"/>
        <v>0</v>
      </c>
      <c r="K354" s="348">
        <f t="shared" si="93"/>
        <v>0</v>
      </c>
    </row>
    <row r="355" spans="1:11">
      <c r="A355" s="333">
        <v>10</v>
      </c>
      <c r="D355" s="344"/>
      <c r="E355" s="196"/>
      <c r="G355" s="547"/>
      <c r="H355" s="537"/>
      <c r="I355" s="538"/>
    </row>
    <row r="356" spans="1:11">
      <c r="A356" s="333">
        <v>11</v>
      </c>
      <c r="B356" s="332" t="s">
        <v>1010</v>
      </c>
      <c r="D356" s="344"/>
      <c r="E356" s="196"/>
      <c r="G356" s="547"/>
      <c r="H356" s="537"/>
      <c r="I356" s="538"/>
    </row>
    <row r="357" spans="1:11">
      <c r="A357" s="333">
        <v>12</v>
      </c>
      <c r="C357" s="359" t="str">
        <f>'FR-16(7)(v)-1 Functional'!C357</f>
        <v>PRODUCTION EXPENSES</v>
      </c>
      <c r="D357" s="344" t="str">
        <f>'FR-16(7)(v)-1 Functional'!D357</f>
        <v>K201</v>
      </c>
      <c r="E357" s="196"/>
      <c r="F357" s="479">
        <f>'FR-16(7)(v)-1 Functional'!G357</f>
        <v>0</v>
      </c>
      <c r="G357" s="548">
        <f>F357-SUM(H357:I357)</f>
        <v>0</v>
      </c>
      <c r="H357" s="539">
        <f>ROUND(F357*VLOOKUP(D357,AllocTable_Classified_Production,$H$10,FALSE),0)</f>
        <v>0</v>
      </c>
      <c r="I357" s="540">
        <f>ROUND(F357*VLOOKUP(D357,AllocTable_Classified_Production,$I$10,FALSE),0)</f>
        <v>0</v>
      </c>
      <c r="J357" s="347">
        <f>SUM(G357:I357)</f>
        <v>0</v>
      </c>
      <c r="K357" s="347">
        <f>F357-J357</f>
        <v>0</v>
      </c>
    </row>
    <row r="358" spans="1:11">
      <c r="A358" s="333">
        <v>13</v>
      </c>
      <c r="C358" s="332" t="str">
        <f>'FR-16(7)(v)-1 Functional'!C358</f>
        <v xml:space="preserve">  TOTAL DEM REL &amp; OTH PROD O&amp;M </v>
      </c>
      <c r="D358" s="344"/>
      <c r="E358" s="196"/>
      <c r="F358" s="348">
        <f t="shared" ref="F358:K358" si="94">SUM(F356:F357)</f>
        <v>0</v>
      </c>
      <c r="G358" s="549">
        <f t="shared" si="94"/>
        <v>0</v>
      </c>
      <c r="H358" s="541">
        <f t="shared" si="94"/>
        <v>0</v>
      </c>
      <c r="I358" s="542">
        <f t="shared" si="94"/>
        <v>0</v>
      </c>
      <c r="J358" s="348">
        <f t="shared" si="94"/>
        <v>0</v>
      </c>
      <c r="K358" s="348">
        <f t="shared" si="94"/>
        <v>0</v>
      </c>
    </row>
    <row r="359" spans="1:11">
      <c r="A359" s="333">
        <v>14</v>
      </c>
      <c r="D359" s="344"/>
      <c r="E359" s="196"/>
      <c r="F359" s="347"/>
      <c r="G359" s="548"/>
      <c r="H359" s="539"/>
      <c r="I359" s="540"/>
      <c r="J359" s="347"/>
      <c r="K359" s="347"/>
    </row>
    <row r="360" spans="1:11">
      <c r="A360" s="333">
        <v>15</v>
      </c>
      <c r="B360" s="332" t="s">
        <v>48</v>
      </c>
      <c r="D360" s="344"/>
      <c r="E360" s="196" t="s">
        <v>343</v>
      </c>
      <c r="F360" s="347">
        <f t="shared" ref="F360:K360" si="95">F358+F354+F350</f>
        <v>37306920</v>
      </c>
      <c r="G360" s="548">
        <f t="shared" si="95"/>
        <v>0</v>
      </c>
      <c r="H360" s="539">
        <f t="shared" si="95"/>
        <v>37306920</v>
      </c>
      <c r="I360" s="540">
        <f t="shared" si="95"/>
        <v>0</v>
      </c>
      <c r="J360" s="347">
        <f t="shared" si="95"/>
        <v>37306920</v>
      </c>
      <c r="K360" s="347">
        <f t="shared" si="95"/>
        <v>0</v>
      </c>
    </row>
    <row r="361" spans="1:11">
      <c r="A361" s="333">
        <v>16</v>
      </c>
      <c r="D361" s="344"/>
      <c r="E361" s="196"/>
      <c r="G361" s="547"/>
      <c r="H361" s="537"/>
      <c r="I361" s="538"/>
    </row>
    <row r="362" spans="1:11">
      <c r="A362" s="333">
        <v>17</v>
      </c>
      <c r="B362" s="332" t="s">
        <v>49</v>
      </c>
      <c r="D362" s="344"/>
      <c r="E362" s="196"/>
      <c r="G362" s="547"/>
      <c r="H362" s="537"/>
      <c r="I362" s="538"/>
    </row>
    <row r="363" spans="1:11">
      <c r="A363" s="333">
        <v>18</v>
      </c>
      <c r="C363" s="359" t="str">
        <f>'FR-16(7)(v)-1 Functional'!C363</f>
        <v>TRANSMISSION O &amp; M</v>
      </c>
      <c r="D363" s="344" t="s">
        <v>343</v>
      </c>
      <c r="E363" s="196"/>
      <c r="F363" s="477"/>
      <c r="G363" s="548"/>
      <c r="H363" s="539"/>
      <c r="I363" s="540"/>
      <c r="J363" s="347"/>
      <c r="K363" s="347"/>
    </row>
    <row r="364" spans="1:11">
      <c r="A364" s="333">
        <v>19</v>
      </c>
      <c r="C364" s="332" t="str">
        <f>'FR-16(7)(v)-1 Functional'!C364</f>
        <v xml:space="preserve">  TOTAL TRANSMISSION O &amp; M</v>
      </c>
      <c r="D364" s="344"/>
      <c r="E364" s="196"/>
      <c r="F364" s="348">
        <f t="shared" ref="F364:K364" si="96">SUM(F363)</f>
        <v>0</v>
      </c>
      <c r="G364" s="549">
        <f t="shared" si="96"/>
        <v>0</v>
      </c>
      <c r="H364" s="541">
        <f t="shared" si="96"/>
        <v>0</v>
      </c>
      <c r="I364" s="542">
        <f t="shared" si="96"/>
        <v>0</v>
      </c>
      <c r="J364" s="348">
        <f t="shared" si="96"/>
        <v>0</v>
      </c>
      <c r="K364" s="348">
        <f t="shared" si="96"/>
        <v>0</v>
      </c>
    </row>
    <row r="365" spans="1:11">
      <c r="A365" s="333">
        <v>20</v>
      </c>
      <c r="D365" s="344"/>
      <c r="E365" s="196"/>
      <c r="G365" s="547"/>
      <c r="H365" s="537"/>
      <c r="I365" s="538"/>
    </row>
    <row r="366" spans="1:11">
      <c r="A366" s="333">
        <v>21</v>
      </c>
      <c r="B366" s="332" t="s">
        <v>50</v>
      </c>
      <c r="D366" s="344"/>
      <c r="E366" s="196"/>
      <c r="G366" s="547"/>
      <c r="H366" s="537"/>
      <c r="I366" s="538"/>
    </row>
    <row r="367" spans="1:11">
      <c r="A367" s="333">
        <v>22</v>
      </c>
      <c r="C367" s="332" t="str">
        <f>'FR-16(7)(v)-1 Functional'!C367</f>
        <v>LOAD DISPATCHING</v>
      </c>
      <c r="D367" s="344" t="str">
        <f>'FR-16(7)(v)-1 Functional'!D367</f>
        <v>K203</v>
      </c>
      <c r="E367" s="196"/>
      <c r="F367" s="479">
        <f>'FR-16(7)(v)-1 Functional'!G367</f>
        <v>0</v>
      </c>
      <c r="G367" s="548">
        <f t="shared" ref="G367:G377" si="97">F367-SUM(H367:I367)</f>
        <v>0</v>
      </c>
      <c r="H367" s="539">
        <f t="shared" ref="H367:H377" si="98">ROUND(F367*VLOOKUP(D367,AllocTable_Classified_Production,$H$10,FALSE),0)</f>
        <v>0</v>
      </c>
      <c r="I367" s="540">
        <f t="shared" ref="I367:I377" si="99">ROUND(F367*VLOOKUP(D367,AllocTable_Classified_Production,$I$10,FALSE),0)</f>
        <v>0</v>
      </c>
      <c r="J367" s="347">
        <f t="shared" ref="J367:J377" si="100">SUM(G367:I367)</f>
        <v>0</v>
      </c>
      <c r="K367" s="347">
        <f t="shared" ref="K367:K377" si="101">F367-J367</f>
        <v>0</v>
      </c>
    </row>
    <row r="368" spans="1:11">
      <c r="A368" s="333">
        <v>23</v>
      </c>
      <c r="C368" s="332" t="str">
        <f>'FR-16(7)(v)-1 Functional'!C368</f>
        <v>MAINS &amp; SERVICES OPER</v>
      </c>
      <c r="D368" s="344" t="str">
        <f>'FR-16(7)(v)-1 Functional'!D368</f>
        <v>K667</v>
      </c>
      <c r="E368" s="196"/>
      <c r="F368" s="479">
        <f>'FR-16(7)(v)-1 Functional'!G368</f>
        <v>0</v>
      </c>
      <c r="G368" s="548">
        <f t="shared" si="97"/>
        <v>0</v>
      </c>
      <c r="H368" s="539">
        <f t="shared" si="98"/>
        <v>0</v>
      </c>
      <c r="I368" s="540">
        <f t="shared" si="99"/>
        <v>0</v>
      </c>
      <c r="J368" s="347">
        <f t="shared" si="100"/>
        <v>0</v>
      </c>
      <c r="K368" s="347">
        <f t="shared" si="101"/>
        <v>0</v>
      </c>
    </row>
    <row r="369" spans="1:11">
      <c r="A369" s="333">
        <v>24</v>
      </c>
      <c r="C369" s="332" t="str">
        <f>'FR-16(7)(v)-1 Functional'!C369</f>
        <v>M &amp; R STATION GENERAL</v>
      </c>
      <c r="D369" s="344" t="str">
        <f>'FR-16(7)(v)-1 Functional'!D369</f>
        <v>K203</v>
      </c>
      <c r="E369" s="196"/>
      <c r="F369" s="479">
        <f>'FR-16(7)(v)-1 Functional'!G369</f>
        <v>0</v>
      </c>
      <c r="G369" s="548">
        <f t="shared" si="97"/>
        <v>0</v>
      </c>
      <c r="H369" s="539">
        <f t="shared" si="98"/>
        <v>0</v>
      </c>
      <c r="I369" s="540">
        <f t="shared" si="99"/>
        <v>0</v>
      </c>
      <c r="J369" s="347">
        <f t="shared" si="100"/>
        <v>0</v>
      </c>
      <c r="K369" s="347">
        <f t="shared" si="101"/>
        <v>0</v>
      </c>
    </row>
    <row r="370" spans="1:11">
      <c r="A370" s="333">
        <v>25</v>
      </c>
      <c r="C370" s="332" t="str">
        <f>'FR-16(7)(v)-1 Functional'!C370</f>
        <v>CUSTOMER INST &amp; OTHER</v>
      </c>
      <c r="D370" s="344" t="str">
        <f>'FR-16(7)(v)-1 Functional'!D370</f>
        <v>K415</v>
      </c>
      <c r="E370" s="196"/>
      <c r="F370" s="479">
        <f>'FR-16(7)(v)-1 Functional'!G370</f>
        <v>0</v>
      </c>
      <c r="G370" s="548">
        <f t="shared" si="97"/>
        <v>0</v>
      </c>
      <c r="H370" s="539">
        <f t="shared" si="98"/>
        <v>0</v>
      </c>
      <c r="I370" s="540">
        <f t="shared" si="99"/>
        <v>0</v>
      </c>
      <c r="J370" s="347">
        <f t="shared" si="100"/>
        <v>0</v>
      </c>
      <c r="K370" s="347">
        <f t="shared" si="101"/>
        <v>0</v>
      </c>
    </row>
    <row r="371" spans="1:11">
      <c r="A371" s="333">
        <v>26</v>
      </c>
      <c r="C371" s="332" t="str">
        <f>'FR-16(7)(v)-1 Functional'!C371</f>
        <v>METERS &amp; HOUSE REG</v>
      </c>
      <c r="D371" s="344" t="str">
        <f>'FR-16(7)(v)-1 Functional'!D371</f>
        <v>K697</v>
      </c>
      <c r="E371" s="196"/>
      <c r="F371" s="479">
        <f>'FR-16(7)(v)-1 Functional'!G371</f>
        <v>0</v>
      </c>
      <c r="G371" s="548">
        <f t="shared" si="97"/>
        <v>0</v>
      </c>
      <c r="H371" s="539">
        <f t="shared" si="98"/>
        <v>0</v>
      </c>
      <c r="I371" s="540">
        <f t="shared" si="99"/>
        <v>0</v>
      </c>
      <c r="J371" s="347">
        <f t="shared" si="100"/>
        <v>0</v>
      </c>
      <c r="K371" s="347">
        <f t="shared" si="101"/>
        <v>0</v>
      </c>
    </row>
    <row r="372" spans="1:11">
      <c r="A372" s="333">
        <v>27</v>
      </c>
      <c r="C372" s="332" t="str">
        <f>'FR-16(7)(v)-1 Functional'!C372</f>
        <v>MAINS</v>
      </c>
      <c r="D372" s="344" t="str">
        <f>'FR-16(7)(v)-1 Functional'!D372</f>
        <v>K415</v>
      </c>
      <c r="E372" s="196"/>
      <c r="F372" s="479">
        <f>'FR-16(7)(v)-1 Functional'!G372</f>
        <v>0</v>
      </c>
      <c r="G372" s="548">
        <f t="shared" si="97"/>
        <v>0</v>
      </c>
      <c r="H372" s="539">
        <f t="shared" si="98"/>
        <v>0</v>
      </c>
      <c r="I372" s="540">
        <f t="shared" si="99"/>
        <v>0</v>
      </c>
      <c r="J372" s="347">
        <f t="shared" si="100"/>
        <v>0</v>
      </c>
      <c r="K372" s="347">
        <f t="shared" si="101"/>
        <v>0</v>
      </c>
    </row>
    <row r="373" spans="1:11">
      <c r="A373" s="333">
        <v>28</v>
      </c>
      <c r="C373" s="332" t="str">
        <f>'FR-16(7)(v)-1 Functional'!C373</f>
        <v>SERVICES</v>
      </c>
      <c r="D373" s="344" t="str">
        <f>'FR-16(7)(v)-1 Functional'!D373</f>
        <v>K403</v>
      </c>
      <c r="E373" s="196"/>
      <c r="F373" s="479">
        <f>'FR-16(7)(v)-1 Functional'!G373</f>
        <v>0</v>
      </c>
      <c r="G373" s="548">
        <f t="shared" si="97"/>
        <v>0</v>
      </c>
      <c r="H373" s="539">
        <f t="shared" si="98"/>
        <v>0</v>
      </c>
      <c r="I373" s="540">
        <f t="shared" si="99"/>
        <v>0</v>
      </c>
      <c r="J373" s="347">
        <f t="shared" si="100"/>
        <v>0</v>
      </c>
      <c r="K373" s="347">
        <f t="shared" si="101"/>
        <v>0</v>
      </c>
    </row>
    <row r="374" spans="1:11">
      <c r="A374" s="333">
        <v>29</v>
      </c>
      <c r="C374" s="332" t="str">
        <f>'FR-16(7)(v)-1 Functional'!C374</f>
        <v>SUPV &amp; ENG</v>
      </c>
      <c r="D374" s="344" t="str">
        <f>'FR-16(7)(v)-1 Functional'!D374</f>
        <v>D249</v>
      </c>
      <c r="E374" s="196"/>
      <c r="F374" s="479">
        <f>'FR-16(7)(v)-1 Functional'!G374</f>
        <v>0</v>
      </c>
      <c r="G374" s="548">
        <f t="shared" si="97"/>
        <v>0</v>
      </c>
      <c r="H374" s="539">
        <f t="shared" si="98"/>
        <v>0</v>
      </c>
      <c r="I374" s="540">
        <f t="shared" si="99"/>
        <v>0</v>
      </c>
      <c r="J374" s="347">
        <f t="shared" si="100"/>
        <v>0</v>
      </c>
      <c r="K374" s="347">
        <f t="shared" si="101"/>
        <v>0</v>
      </c>
    </row>
    <row r="375" spans="1:11">
      <c r="A375" s="333">
        <v>30</v>
      </c>
      <c r="C375" s="332" t="str">
        <f>'FR-16(7)(v)-1 Functional'!C375</f>
        <v>ELIMINATE NON-KY CUSTOMER</v>
      </c>
      <c r="D375" s="344" t="str">
        <f>'FR-16(7)(v)-1 Functional'!D375</f>
        <v>K595</v>
      </c>
      <c r="E375" s="196"/>
      <c r="F375" s="479">
        <f>'FR-16(7)(v)-1 Functional'!G375</f>
        <v>0</v>
      </c>
      <c r="G375" s="548">
        <f t="shared" si="97"/>
        <v>0</v>
      </c>
      <c r="H375" s="539">
        <f t="shared" si="98"/>
        <v>0</v>
      </c>
      <c r="I375" s="540">
        <f t="shared" si="99"/>
        <v>0</v>
      </c>
      <c r="J375" s="347">
        <f t="shared" si="100"/>
        <v>0</v>
      </c>
      <c r="K375" s="347">
        <f t="shared" si="101"/>
        <v>0</v>
      </c>
    </row>
    <row r="376" spans="1:11">
      <c r="A376" s="333">
        <v>31</v>
      </c>
      <c r="C376" s="332" t="str">
        <f>'FR-16(7)(v)-1 Functional'!C376</f>
        <v>INTEGRITY MANAGEMENT EXPENSES</v>
      </c>
      <c r="D376" s="344" t="str">
        <f>'FR-16(7)(v)-1 Functional'!D376</f>
        <v>K203</v>
      </c>
      <c r="E376" s="196"/>
      <c r="F376" s="479">
        <f>'FR-16(7)(v)-1 Functional'!G376</f>
        <v>0</v>
      </c>
      <c r="G376" s="548">
        <f t="shared" si="97"/>
        <v>0</v>
      </c>
      <c r="H376" s="539">
        <f t="shared" si="98"/>
        <v>0</v>
      </c>
      <c r="I376" s="540">
        <f t="shared" si="99"/>
        <v>0</v>
      </c>
      <c r="J376" s="347">
        <f t="shared" si="100"/>
        <v>0</v>
      </c>
      <c r="K376" s="347">
        <f t="shared" si="101"/>
        <v>0</v>
      </c>
    </row>
    <row r="377" spans="1:11">
      <c r="A377" s="333">
        <v>32</v>
      </c>
      <c r="C377" s="359" t="str">
        <f>'FR-16(7)(v)-1 Functional'!C377</f>
        <v>OTHER DISTRIBUTION EXPENSES</v>
      </c>
      <c r="D377" s="344" t="str">
        <f>'FR-16(7)(v)-1 Functional'!D377</f>
        <v>K415</v>
      </c>
      <c r="E377" s="196"/>
      <c r="F377" s="479">
        <f>'FR-16(7)(v)-1 Functional'!G377</f>
        <v>0</v>
      </c>
      <c r="G377" s="548">
        <f t="shared" si="97"/>
        <v>0</v>
      </c>
      <c r="H377" s="539">
        <f t="shared" si="98"/>
        <v>0</v>
      </c>
      <c r="I377" s="540">
        <f t="shared" si="99"/>
        <v>0</v>
      </c>
      <c r="J377" s="347">
        <f t="shared" si="100"/>
        <v>0</v>
      </c>
      <c r="K377" s="347">
        <f t="shared" si="101"/>
        <v>0</v>
      </c>
    </row>
    <row r="378" spans="1:11">
      <c r="A378" s="333">
        <v>33</v>
      </c>
      <c r="C378" s="332" t="str">
        <f>'FR-16(7)(v)-1 Functional'!C378</f>
        <v xml:space="preserve">  TOTAL DISTRIBUTION O &amp; M</v>
      </c>
      <c r="D378" s="344"/>
      <c r="E378" s="196" t="s">
        <v>343</v>
      </c>
      <c r="F378" s="348">
        <f t="shared" ref="F378:K378" si="102">SUM(F366:F377)</f>
        <v>0</v>
      </c>
      <c r="G378" s="549">
        <f t="shared" si="102"/>
        <v>0</v>
      </c>
      <c r="H378" s="541">
        <f t="shared" si="102"/>
        <v>0</v>
      </c>
      <c r="I378" s="542">
        <f t="shared" si="102"/>
        <v>0</v>
      </c>
      <c r="J378" s="348">
        <f t="shared" si="102"/>
        <v>0</v>
      </c>
      <c r="K378" s="348">
        <f t="shared" si="102"/>
        <v>0</v>
      </c>
    </row>
    <row r="379" spans="1:11">
      <c r="A379" s="333">
        <v>34</v>
      </c>
      <c r="C379" s="332" t="s">
        <v>343</v>
      </c>
      <c r="D379" s="344"/>
      <c r="E379" s="196"/>
      <c r="G379" s="547"/>
      <c r="H379" s="537"/>
      <c r="I379" s="538"/>
    </row>
    <row r="380" spans="1:11">
      <c r="A380" s="333">
        <v>35</v>
      </c>
      <c r="B380" s="332" t="s">
        <v>51</v>
      </c>
      <c r="D380" s="344"/>
      <c r="E380" s="196"/>
      <c r="F380" s="332" t="s">
        <v>343</v>
      </c>
      <c r="G380" s="547"/>
      <c r="H380" s="537"/>
      <c r="I380" s="538"/>
    </row>
    <row r="381" spans="1:11">
      <c r="A381" s="333">
        <v>36</v>
      </c>
      <c r="C381" s="332" t="str">
        <f>'FR-16(7)(v)-1 Functional'!C381</f>
        <v>SUPERVISION &amp; ENGINEERING</v>
      </c>
      <c r="D381" s="344" t="str">
        <f>'FR-16(7)(v)-1 Functional'!D381</f>
        <v>K405</v>
      </c>
      <c r="E381" s="196"/>
      <c r="F381" s="479">
        <f>'FR-16(7)(v)-1 Functional'!G381</f>
        <v>0</v>
      </c>
      <c r="G381" s="548">
        <f t="shared" ref="G381:G388" si="103">F381-SUM(H381:I381)</f>
        <v>0</v>
      </c>
      <c r="H381" s="539">
        <f t="shared" ref="H381:H388" si="104">ROUND(F381*VLOOKUP(D381,AllocTable_Classified_Production,$H$10,FALSE),0)</f>
        <v>0</v>
      </c>
      <c r="I381" s="540">
        <f t="shared" ref="I381:I388" si="105">ROUND(F381*VLOOKUP(D381,AllocTable_Classified_Production,$I$10,FALSE),0)</f>
        <v>0</v>
      </c>
      <c r="J381" s="347">
        <f t="shared" ref="J381:J388" si="106">SUM(G381:I381)</f>
        <v>0</v>
      </c>
      <c r="K381" s="347">
        <f t="shared" ref="K381:K388" si="107">F381-J381</f>
        <v>0</v>
      </c>
    </row>
    <row r="382" spans="1:11">
      <c r="A382" s="333">
        <v>37</v>
      </c>
      <c r="C382" s="332" t="str">
        <f>'FR-16(7)(v)-1 Functional'!C382</f>
        <v>METER READING</v>
      </c>
      <c r="D382" s="344" t="str">
        <f>'FR-16(7)(v)-1 Functional'!D382</f>
        <v>K405</v>
      </c>
      <c r="E382" s="196"/>
      <c r="F382" s="479">
        <f>'FR-16(7)(v)-1 Functional'!G382</f>
        <v>0</v>
      </c>
      <c r="G382" s="548">
        <f t="shared" si="103"/>
        <v>0</v>
      </c>
      <c r="H382" s="539">
        <f t="shared" si="104"/>
        <v>0</v>
      </c>
      <c r="I382" s="540">
        <f t="shared" si="105"/>
        <v>0</v>
      </c>
      <c r="J382" s="347">
        <f t="shared" si="106"/>
        <v>0</v>
      </c>
      <c r="K382" s="347">
        <f t="shared" si="107"/>
        <v>0</v>
      </c>
    </row>
    <row r="383" spans="1:11">
      <c r="A383" s="333">
        <v>38</v>
      </c>
      <c r="C383" s="332" t="str">
        <f>'FR-16(7)(v)-1 Functional'!C383</f>
        <v>CUSTOMER BILLING &amp; COLLECTIONS</v>
      </c>
      <c r="D383" s="344" t="str">
        <f>'FR-16(7)(v)-1 Functional'!D383</f>
        <v>K405</v>
      </c>
      <c r="E383" s="196"/>
      <c r="F383" s="479">
        <f>'FR-16(7)(v)-1 Functional'!G383</f>
        <v>0</v>
      </c>
      <c r="G383" s="548">
        <f t="shared" si="103"/>
        <v>0</v>
      </c>
      <c r="H383" s="539">
        <f t="shared" si="104"/>
        <v>0</v>
      </c>
      <c r="I383" s="540">
        <f t="shared" si="105"/>
        <v>0</v>
      </c>
      <c r="J383" s="347">
        <f t="shared" si="106"/>
        <v>0</v>
      </c>
      <c r="K383" s="347">
        <f t="shared" si="107"/>
        <v>0</v>
      </c>
    </row>
    <row r="384" spans="1:11">
      <c r="A384" s="333">
        <v>39</v>
      </c>
      <c r="C384" s="332" t="str">
        <f>'FR-16(7)(v)-1 Functional'!C384</f>
        <v>UNCOLLECTIBLE EXP</v>
      </c>
      <c r="D384" s="344" t="str">
        <f>'FR-16(7)(v)-1 Functional'!D384</f>
        <v>K406</v>
      </c>
      <c r="E384" s="196"/>
      <c r="F384" s="479">
        <f>'FR-16(7)(v)-1 Functional'!G384</f>
        <v>0</v>
      </c>
      <c r="G384" s="548">
        <f t="shared" si="103"/>
        <v>0</v>
      </c>
      <c r="H384" s="539">
        <f t="shared" si="104"/>
        <v>0</v>
      </c>
      <c r="I384" s="540">
        <f t="shared" si="105"/>
        <v>0</v>
      </c>
      <c r="J384" s="347">
        <f t="shared" si="106"/>
        <v>0</v>
      </c>
      <c r="K384" s="347">
        <f t="shared" si="107"/>
        <v>0</v>
      </c>
    </row>
    <row r="385" spans="1:11">
      <c r="A385" s="333">
        <v>40</v>
      </c>
      <c r="C385" s="332" t="str">
        <f>'FR-16(7)(v)-1 Functional'!C385</f>
        <v>ELIMINATE MISC EXPENSES</v>
      </c>
      <c r="D385" s="344" t="str">
        <f>'FR-16(7)(v)-1 Functional'!D385</f>
        <v>K406</v>
      </c>
      <c r="E385" s="196"/>
      <c r="F385" s="479">
        <f>'FR-16(7)(v)-1 Functional'!G385</f>
        <v>0</v>
      </c>
      <c r="G385" s="548">
        <f t="shared" si="103"/>
        <v>0</v>
      </c>
      <c r="H385" s="539">
        <f t="shared" si="104"/>
        <v>0</v>
      </c>
      <c r="I385" s="540">
        <f t="shared" si="105"/>
        <v>0</v>
      </c>
      <c r="J385" s="347">
        <f t="shared" si="106"/>
        <v>0</v>
      </c>
      <c r="K385" s="347">
        <f t="shared" si="107"/>
        <v>0</v>
      </c>
    </row>
    <row r="386" spans="1:11">
      <c r="A386" s="333">
        <v>41</v>
      </c>
      <c r="C386" s="332" t="str">
        <f>'FR-16(7)(v)-1 Functional'!C386</f>
        <v>SALE OF A/R</v>
      </c>
      <c r="D386" s="344" t="str">
        <f>'FR-16(7)(v)-1 Functional'!D386</f>
        <v>K406</v>
      </c>
      <c r="E386" s="196"/>
      <c r="F386" s="479">
        <f>'FR-16(7)(v)-1 Functional'!G386</f>
        <v>0</v>
      </c>
      <c r="G386" s="548">
        <f t="shared" si="103"/>
        <v>0</v>
      </c>
      <c r="H386" s="539">
        <f t="shared" si="104"/>
        <v>0</v>
      </c>
      <c r="I386" s="540">
        <f t="shared" si="105"/>
        <v>0</v>
      </c>
      <c r="J386" s="347">
        <f t="shared" si="106"/>
        <v>0</v>
      </c>
      <c r="K386" s="347">
        <f t="shared" si="107"/>
        <v>0</v>
      </c>
    </row>
    <row r="387" spans="1:11">
      <c r="A387" s="333">
        <v>42</v>
      </c>
      <c r="C387" s="332" t="str">
        <f>'FR-16(7)(v)-1 Functional'!C387</f>
        <v>INTEREST ON CUSTOMER SERVICE DEPOSITS</v>
      </c>
      <c r="D387" s="344" t="str">
        <f>'FR-16(7)(v)-1 Functional'!D387</f>
        <v>K405</v>
      </c>
      <c r="E387" s="196"/>
      <c r="F387" s="479">
        <f>'FR-16(7)(v)-1 Functional'!G387</f>
        <v>0</v>
      </c>
      <c r="G387" s="548">
        <f t="shared" si="103"/>
        <v>0</v>
      </c>
      <c r="H387" s="539">
        <f t="shared" si="104"/>
        <v>0</v>
      </c>
      <c r="I387" s="540">
        <f t="shared" si="105"/>
        <v>0</v>
      </c>
      <c r="J387" s="347">
        <f t="shared" si="106"/>
        <v>0</v>
      </c>
      <c r="K387" s="347">
        <f t="shared" si="107"/>
        <v>0</v>
      </c>
    </row>
    <row r="388" spans="1:11">
      <c r="A388" s="333">
        <v>43</v>
      </c>
      <c r="C388" s="359" t="str">
        <f>'FR-16(7)(v)-1 Functional'!C388</f>
        <v>ANNUALIZED UNCOLL EXP ON INCR</v>
      </c>
      <c r="D388" s="344" t="str">
        <f>'FR-16(7)(v)-1 Functional'!D388</f>
        <v>K406</v>
      </c>
      <c r="E388" s="196"/>
      <c r="F388" s="479">
        <f>'FR-16(7)(v)-1 Functional'!G388</f>
        <v>0</v>
      </c>
      <c r="G388" s="548">
        <f t="shared" si="103"/>
        <v>0</v>
      </c>
      <c r="H388" s="539">
        <f t="shared" si="104"/>
        <v>0</v>
      </c>
      <c r="I388" s="540">
        <f t="shared" si="105"/>
        <v>0</v>
      </c>
      <c r="J388" s="347">
        <f t="shared" si="106"/>
        <v>0</v>
      </c>
      <c r="K388" s="347">
        <f t="shared" si="107"/>
        <v>0</v>
      </c>
    </row>
    <row r="389" spans="1:11">
      <c r="A389" s="333">
        <v>44</v>
      </c>
      <c r="C389" s="332" t="str">
        <f>'FR-16(7)(v)-1 Functional'!C389</f>
        <v xml:space="preserve">  TOTAL CUSTOMER ACCT EXPENSE</v>
      </c>
      <c r="D389" s="344"/>
      <c r="E389" s="196" t="s">
        <v>343</v>
      </c>
      <c r="F389" s="348">
        <f t="shared" ref="F389:K389" si="108">SUM(F380:F388)</f>
        <v>0</v>
      </c>
      <c r="G389" s="557">
        <f t="shared" si="108"/>
        <v>0</v>
      </c>
      <c r="H389" s="558">
        <f t="shared" si="108"/>
        <v>0</v>
      </c>
      <c r="I389" s="559">
        <f t="shared" si="108"/>
        <v>0</v>
      </c>
      <c r="J389" s="348">
        <f t="shared" si="108"/>
        <v>0</v>
      </c>
      <c r="K389" s="348">
        <f t="shared" si="108"/>
        <v>0</v>
      </c>
    </row>
    <row r="390" spans="1:11">
      <c r="B390" s="343"/>
      <c r="C390" s="196"/>
      <c r="D390" s="344"/>
      <c r="E390" s="196"/>
      <c r="F390" s="196"/>
      <c r="G390" s="196"/>
      <c r="H390" s="196"/>
      <c r="I390" s="196"/>
      <c r="J390" s="196"/>
      <c r="K390" s="196"/>
    </row>
    <row r="391" spans="1:11">
      <c r="A391" s="343" t="str">
        <f>co_name</f>
        <v>DUKE ENERGY KENTUCKY, INC.</v>
      </c>
      <c r="C391" s="196"/>
      <c r="D391" s="344"/>
      <c r="E391" s="196"/>
      <c r="F391" s="196"/>
      <c r="G391" s="196"/>
      <c r="H391" s="196"/>
      <c r="I391" s="196"/>
      <c r="J391" s="196" t="str">
        <f>$J$1</f>
        <v>FR-16(7)(v)-2</v>
      </c>
      <c r="K391" s="196"/>
    </row>
    <row r="392" spans="1:11">
      <c r="A392" s="343" t="str">
        <f>$A$2</f>
        <v>PRODUCTION CLASSIFIED - GAS COST OF SERVICE</v>
      </c>
      <c r="C392" s="196"/>
      <c r="D392" s="344"/>
      <c r="E392" s="196"/>
      <c r="F392" s="196"/>
      <c r="G392" s="196"/>
      <c r="H392" s="196"/>
      <c r="I392" s="196"/>
      <c r="J392" s="196" t="str">
        <f>$J$2</f>
        <v>WITNESS RESPONSIBLE:</v>
      </c>
      <c r="K392" s="196"/>
    </row>
    <row r="393" spans="1:11">
      <c r="A393" s="343" t="str">
        <f>case_name</f>
        <v>CASE NO: 2018-00261</v>
      </c>
      <c r="C393" s="196"/>
      <c r="D393" s="344"/>
      <c r="E393" s="196"/>
      <c r="F393" s="196"/>
      <c r="G393" s="196"/>
      <c r="H393" s="196"/>
      <c r="I393" s="196"/>
      <c r="J393" s="196" t="str">
        <f>Witness</f>
        <v>JAMES E. ZIOLKOWSKI</v>
      </c>
      <c r="K393" s="196"/>
    </row>
    <row r="394" spans="1:11">
      <c r="A394" s="343" t="str">
        <f>data_filing</f>
        <v>DATA: 12 MONTH FORECASTED PERIOD</v>
      </c>
      <c r="C394" s="196"/>
      <c r="D394" s="344"/>
      <c r="E394" s="196"/>
      <c r="F394" s="196"/>
      <c r="G394" s="196"/>
      <c r="H394" s="196"/>
      <c r="I394" s="196"/>
      <c r="J394" s="196" t="str">
        <f>"PAGE "&amp;Pages-9&amp;" OF "&amp;Pages</f>
        <v>PAGE 9 OF 18</v>
      </c>
      <c r="K394" s="196"/>
    </row>
    <row r="395" spans="1:11">
      <c r="A395" s="343" t="str">
        <f>type</f>
        <v xml:space="preserve">TYPE OF FILING: "X" ORIGINAL   UPDATED    REVISED  </v>
      </c>
      <c r="C395" s="196"/>
      <c r="D395" s="344"/>
      <c r="E395" s="196"/>
      <c r="F395" s="196"/>
      <c r="G395" s="196"/>
      <c r="H395" s="196"/>
      <c r="I395" s="196"/>
      <c r="J395" s="196"/>
      <c r="K395" s="196"/>
    </row>
    <row r="396" spans="1:11">
      <c r="B396" s="343"/>
      <c r="C396" s="196"/>
      <c r="D396" s="344"/>
      <c r="E396" s="196"/>
      <c r="F396" s="196"/>
      <c r="G396" s="196"/>
      <c r="H396" s="196"/>
      <c r="I396" s="196"/>
      <c r="J396" s="196"/>
      <c r="K396" s="196"/>
    </row>
    <row r="397" spans="1:11">
      <c r="B397" s="343"/>
      <c r="C397" s="196"/>
      <c r="D397" s="344"/>
      <c r="E397" s="196"/>
      <c r="F397" s="196"/>
      <c r="G397" s="196"/>
      <c r="H397" s="196"/>
      <c r="I397" s="196"/>
      <c r="J397" s="196"/>
      <c r="K397" s="196"/>
    </row>
    <row r="398" spans="1:11">
      <c r="A398" s="344" t="s">
        <v>914</v>
      </c>
      <c r="B398" s="196"/>
      <c r="C398" s="196"/>
      <c r="D398" s="344"/>
      <c r="E398" s="196"/>
      <c r="F398" s="344" t="str">
        <f>$F$8</f>
        <v>TOTAL</v>
      </c>
      <c r="G398" s="545" t="s">
        <v>1005</v>
      </c>
      <c r="H398" s="533"/>
      <c r="I398" s="534"/>
      <c r="J398" s="344" t="s">
        <v>229</v>
      </c>
      <c r="K398" s="344" t="s">
        <v>342</v>
      </c>
    </row>
    <row r="399" spans="1:11">
      <c r="A399" s="346" t="s">
        <v>915</v>
      </c>
      <c r="B399" s="345" t="s">
        <v>44</v>
      </c>
      <c r="C399" s="345"/>
      <c r="D399" s="346" t="s">
        <v>337</v>
      </c>
      <c r="E399" s="345"/>
      <c r="F399" s="346" t="str">
        <f>$F$9</f>
        <v>PRODUCTION</v>
      </c>
      <c r="G399" s="546" t="s">
        <v>847</v>
      </c>
      <c r="H399" s="535" t="s">
        <v>848</v>
      </c>
      <c r="I399" s="536" t="s">
        <v>849</v>
      </c>
      <c r="J399" s="346" t="s">
        <v>341</v>
      </c>
      <c r="K399" s="346" t="s">
        <v>340</v>
      </c>
    </row>
    <row r="400" spans="1:11">
      <c r="C400" s="578" t="s">
        <v>560</v>
      </c>
      <c r="D400" s="344"/>
      <c r="E400" s="196"/>
      <c r="G400" s="800">
        <f>$G$10</f>
        <v>3</v>
      </c>
      <c r="H400" s="801">
        <f>$H$10</f>
        <v>4</v>
      </c>
      <c r="I400" s="802">
        <f>$I$10</f>
        <v>5</v>
      </c>
    </row>
    <row r="401" spans="1:11">
      <c r="A401" s="333">
        <v>1</v>
      </c>
      <c r="B401" s="332" t="s">
        <v>52</v>
      </c>
      <c r="D401" s="344"/>
      <c r="E401" s="196"/>
      <c r="G401" s="547"/>
      <c r="H401" s="537"/>
      <c r="I401" s="538"/>
    </row>
    <row r="402" spans="1:11">
      <c r="A402" s="333">
        <v>2</v>
      </c>
      <c r="C402" s="359" t="str">
        <f>'FR-16(7)(v)-1 Functional'!C402</f>
        <v>TOTAL CUST SERVICE &amp; INFO</v>
      </c>
      <c r="D402" s="344" t="str">
        <f>'FR-16(7)(v)-1 Functional'!D402</f>
        <v>K407</v>
      </c>
      <c r="E402" s="196"/>
      <c r="F402" s="479">
        <f>'FR-16(7)(v)-1 Functional'!G402</f>
        <v>0</v>
      </c>
      <c r="G402" s="548">
        <f>F402-SUM(H402:I402)</f>
        <v>0</v>
      </c>
      <c r="H402" s="539">
        <f>ROUND(F402*VLOOKUP(D402,AllocTable_Classified_Production,$H$10,FALSE),0)</f>
        <v>0</v>
      </c>
      <c r="I402" s="540">
        <f>ROUND(F402*VLOOKUP(D402,AllocTable_Classified_Production,$I$10,FALSE),0)</f>
        <v>0</v>
      </c>
      <c r="J402" s="347">
        <f>SUM(G402:I402)</f>
        <v>0</v>
      </c>
      <c r="K402" s="347">
        <f>F402-J402</f>
        <v>0</v>
      </c>
    </row>
    <row r="403" spans="1:11">
      <c r="A403" s="333">
        <v>3</v>
      </c>
      <c r="C403" s="332" t="str">
        <f>'FR-16(7)(v)-1 Functional'!C403</f>
        <v xml:space="preserve">  TOTAL CUSTOMER SERV. &amp; INFO.</v>
      </c>
      <c r="D403" s="344"/>
      <c r="E403" s="196" t="s">
        <v>343</v>
      </c>
      <c r="F403" s="348">
        <f t="shared" ref="F403:K403" si="109">SUM(F402:F402)</f>
        <v>0</v>
      </c>
      <c r="G403" s="549">
        <f t="shared" si="109"/>
        <v>0</v>
      </c>
      <c r="H403" s="541">
        <f t="shared" si="109"/>
        <v>0</v>
      </c>
      <c r="I403" s="542">
        <f t="shared" si="109"/>
        <v>0</v>
      </c>
      <c r="J403" s="348">
        <f t="shared" si="109"/>
        <v>0</v>
      </c>
      <c r="K403" s="348">
        <f t="shared" si="109"/>
        <v>0</v>
      </c>
    </row>
    <row r="404" spans="1:11">
      <c r="A404" s="333">
        <v>4</v>
      </c>
      <c r="D404" s="344"/>
      <c r="E404" s="196"/>
      <c r="F404" s="347"/>
      <c r="G404" s="548"/>
      <c r="H404" s="539"/>
      <c r="I404" s="540"/>
      <c r="J404" s="347"/>
      <c r="K404" s="347"/>
    </row>
    <row r="405" spans="1:11">
      <c r="A405" s="333">
        <v>5</v>
      </c>
      <c r="B405" s="332" t="s">
        <v>53</v>
      </c>
      <c r="D405" s="344"/>
      <c r="E405" s="196"/>
      <c r="F405" s="347"/>
      <c r="G405" s="548"/>
      <c r="H405" s="539"/>
      <c r="I405" s="540"/>
      <c r="J405" s="347"/>
      <c r="K405" s="347"/>
    </row>
    <row r="406" spans="1:11">
      <c r="A406" s="333">
        <v>6</v>
      </c>
      <c r="C406" s="359" t="str">
        <f>'FR-16(7)(v)-1 Functional'!C406</f>
        <v>SALES EXPENSE</v>
      </c>
      <c r="D406" s="344" t="str">
        <f>'FR-16(7)(v)-1 Functional'!D406</f>
        <v>K408</v>
      </c>
      <c r="E406" s="196" t="s">
        <v>343</v>
      </c>
      <c r="F406" s="479">
        <f>'FR-16(7)(v)-1 Functional'!G406</f>
        <v>0</v>
      </c>
      <c r="G406" s="548">
        <f>F406-SUM(H406:I406)</f>
        <v>0</v>
      </c>
      <c r="H406" s="539">
        <f>ROUND(F406*VLOOKUP(D406,AllocTable_Classified_Production,$H$10,FALSE),0)</f>
        <v>0</v>
      </c>
      <c r="I406" s="540">
        <f>ROUND(F406*VLOOKUP(D406,AllocTable_Classified_Production,$I$10,FALSE),0)</f>
        <v>0</v>
      </c>
      <c r="J406" s="347">
        <f>SUM(G406:I406)</f>
        <v>0</v>
      </c>
      <c r="K406" s="347">
        <f>F406-J406</f>
        <v>0</v>
      </c>
    </row>
    <row r="407" spans="1:11">
      <c r="A407" s="333">
        <v>7</v>
      </c>
      <c r="C407" s="332" t="str">
        <f>'FR-16(7)(v)-1 Functional'!C407</f>
        <v xml:space="preserve">  TOTAL SALES EXPENSE</v>
      </c>
      <c r="D407" s="344"/>
      <c r="E407" s="196" t="s">
        <v>343</v>
      </c>
      <c r="F407" s="348">
        <f t="shared" ref="F407:K407" si="110">SUM(F405:F406)</f>
        <v>0</v>
      </c>
      <c r="G407" s="549">
        <f t="shared" si="110"/>
        <v>0</v>
      </c>
      <c r="H407" s="541">
        <f t="shared" si="110"/>
        <v>0</v>
      </c>
      <c r="I407" s="542">
        <f t="shared" si="110"/>
        <v>0</v>
      </c>
      <c r="J407" s="348">
        <f t="shared" si="110"/>
        <v>0</v>
      </c>
      <c r="K407" s="348">
        <f t="shared" si="110"/>
        <v>0</v>
      </c>
    </row>
    <row r="408" spans="1:11">
      <c r="A408" s="333">
        <v>8</v>
      </c>
      <c r="D408" s="344"/>
      <c r="E408" s="196"/>
      <c r="G408" s="547"/>
      <c r="H408" s="537"/>
      <c r="I408" s="538"/>
    </row>
    <row r="409" spans="1:11">
      <c r="A409" s="333">
        <v>9</v>
      </c>
      <c r="B409" s="332" t="s">
        <v>54</v>
      </c>
      <c r="D409" s="344"/>
      <c r="E409" s="196"/>
      <c r="G409" s="547"/>
      <c r="H409" s="537"/>
      <c r="I409" s="538"/>
    </row>
    <row r="410" spans="1:11">
      <c r="A410" s="333">
        <v>10</v>
      </c>
      <c r="C410" s="332" t="str">
        <f>'FR-16(7)(v)-1 Functional'!C410</f>
        <v>PRODUCTION PLANT DEMAND</v>
      </c>
      <c r="D410" s="344" t="str">
        <f>'FR-16(7)(v)-1 Functional'!D410</f>
        <v>P349</v>
      </c>
      <c r="E410" s="196"/>
      <c r="F410" s="479">
        <f>'FR-16(7)(v)-1 Functional'!G410</f>
        <v>403815</v>
      </c>
      <c r="G410" s="548">
        <f t="shared" ref="G410:G415" si="111">F410-SUM(H410:I410)</f>
        <v>0</v>
      </c>
      <c r="H410" s="539">
        <f t="shared" ref="H410:H415" si="112">ROUND(F410*VLOOKUP(D410,AllocTable_Classified_Production,$H$10,FALSE),0)</f>
        <v>403815</v>
      </c>
      <c r="I410" s="540">
        <f t="shared" ref="I410:I415" si="113">ROUND(F410*VLOOKUP(D410,AllocTable_Classified_Production,$I$10,FALSE),0)</f>
        <v>0</v>
      </c>
      <c r="J410" s="347">
        <f t="shared" ref="J410:J415" si="114">SUM(G410:I410)</f>
        <v>403815</v>
      </c>
      <c r="K410" s="347">
        <f t="shared" ref="K410:K415" si="115">F410-J410</f>
        <v>0</v>
      </c>
    </row>
    <row r="411" spans="1:11">
      <c r="A411" s="333">
        <v>11</v>
      </c>
      <c r="C411" s="332" t="str">
        <f>'FR-16(7)(v)-1 Functional'!C411</f>
        <v>PRODUCTION PLANT COMMODITY</v>
      </c>
      <c r="D411" s="344" t="str">
        <f>'FR-16(7)(v)-1 Functional'!D411</f>
        <v>K301</v>
      </c>
      <c r="E411" s="196"/>
      <c r="F411" s="479">
        <f>'FR-16(7)(v)-1 Functional'!G411</f>
        <v>315879</v>
      </c>
      <c r="G411" s="548">
        <f t="shared" si="111"/>
        <v>0</v>
      </c>
      <c r="H411" s="539">
        <f t="shared" si="112"/>
        <v>315879</v>
      </c>
      <c r="I411" s="540">
        <f t="shared" si="113"/>
        <v>0</v>
      </c>
      <c r="J411" s="347">
        <f t="shared" si="114"/>
        <v>315879</v>
      </c>
      <c r="K411" s="347">
        <f t="shared" si="115"/>
        <v>0</v>
      </c>
    </row>
    <row r="412" spans="1:11">
      <c r="A412" s="333">
        <v>12</v>
      </c>
      <c r="C412" s="332" t="str">
        <f>'FR-16(7)(v)-1 Functional'!C412</f>
        <v>DISTRIBUTION PLANT</v>
      </c>
      <c r="D412" s="344" t="str">
        <f>'FR-16(7)(v)-1 Functional'!D412</f>
        <v>D349</v>
      </c>
      <c r="E412" s="196"/>
      <c r="F412" s="479">
        <f>'FR-16(7)(v)-1 Functional'!G412</f>
        <v>0</v>
      </c>
      <c r="G412" s="548">
        <f t="shared" si="111"/>
        <v>0</v>
      </c>
      <c r="H412" s="539">
        <f t="shared" si="112"/>
        <v>0</v>
      </c>
      <c r="I412" s="540">
        <f t="shared" si="113"/>
        <v>0</v>
      </c>
      <c r="J412" s="347">
        <f t="shared" si="114"/>
        <v>0</v>
      </c>
      <c r="K412" s="347">
        <f t="shared" si="115"/>
        <v>0</v>
      </c>
    </row>
    <row r="413" spans="1:11">
      <c r="A413" s="333">
        <v>13</v>
      </c>
      <c r="C413" s="332" t="str">
        <f>'FR-16(7)(v)-1 Functional'!C413</f>
        <v>CUSTOMER ACCOUNTING</v>
      </c>
      <c r="D413" s="344" t="str">
        <f>'FR-16(7)(v)-1 Functional'!D413</f>
        <v>CA19</v>
      </c>
      <c r="E413" s="196"/>
      <c r="F413" s="479">
        <f>'FR-16(7)(v)-1 Functional'!G413</f>
        <v>0</v>
      </c>
      <c r="G413" s="548">
        <f t="shared" si="111"/>
        <v>0</v>
      </c>
      <c r="H413" s="539">
        <f t="shared" si="112"/>
        <v>0</v>
      </c>
      <c r="I413" s="540">
        <f t="shared" si="113"/>
        <v>0</v>
      </c>
      <c r="J413" s="347">
        <f t="shared" si="114"/>
        <v>0</v>
      </c>
      <c r="K413" s="347">
        <f t="shared" si="115"/>
        <v>0</v>
      </c>
    </row>
    <row r="414" spans="1:11">
      <c r="A414" s="333">
        <v>14</v>
      </c>
      <c r="C414" s="332" t="str">
        <f>'FR-16(7)(v)-1 Functional'!C414</f>
        <v>CUSTOMER SERVICE &amp; INFORMATION</v>
      </c>
      <c r="D414" s="344" t="str">
        <f>'FR-16(7)(v)-1 Functional'!D414</f>
        <v>CS19</v>
      </c>
      <c r="E414" s="196"/>
      <c r="F414" s="479">
        <f>'FR-16(7)(v)-1 Functional'!G414</f>
        <v>0</v>
      </c>
      <c r="G414" s="548">
        <f t="shared" si="111"/>
        <v>0</v>
      </c>
      <c r="H414" s="539">
        <f t="shared" si="112"/>
        <v>0</v>
      </c>
      <c r="I414" s="540">
        <f t="shared" si="113"/>
        <v>0</v>
      </c>
      <c r="J414" s="347">
        <f t="shared" si="114"/>
        <v>0</v>
      </c>
      <c r="K414" s="347">
        <f t="shared" si="115"/>
        <v>0</v>
      </c>
    </row>
    <row r="415" spans="1:11">
      <c r="A415" s="333">
        <v>15</v>
      </c>
      <c r="C415" s="359" t="str">
        <f>'FR-16(7)(v)-1 Functional'!C415</f>
        <v>SALES</v>
      </c>
      <c r="D415" s="344" t="str">
        <f>'FR-16(7)(v)-1 Functional'!D415</f>
        <v>SE19</v>
      </c>
      <c r="E415" s="196"/>
      <c r="F415" s="479">
        <f>'FR-16(7)(v)-1 Functional'!G415</f>
        <v>0</v>
      </c>
      <c r="G415" s="548">
        <f t="shared" si="111"/>
        <v>0</v>
      </c>
      <c r="H415" s="539">
        <f t="shared" si="112"/>
        <v>0</v>
      </c>
      <c r="I415" s="540">
        <f t="shared" si="113"/>
        <v>0</v>
      </c>
      <c r="J415" s="502">
        <f t="shared" si="114"/>
        <v>0</v>
      </c>
      <c r="K415" s="502">
        <f t="shared" si="115"/>
        <v>0</v>
      </c>
    </row>
    <row r="416" spans="1:11">
      <c r="A416" s="333">
        <v>16</v>
      </c>
      <c r="C416" s="332" t="str">
        <f>'FR-16(7)(v)-1 Functional'!C416</f>
        <v xml:space="preserve"> TOT ADMIN &amp; GEN LESS REG EXP</v>
      </c>
      <c r="D416" s="344" t="s">
        <v>343</v>
      </c>
      <c r="E416" s="196"/>
      <c r="F416" s="503">
        <f t="shared" ref="F416:K416" si="116">SUM(F410:F415)</f>
        <v>719694</v>
      </c>
      <c r="G416" s="563">
        <f t="shared" si="116"/>
        <v>0</v>
      </c>
      <c r="H416" s="564">
        <f t="shared" si="116"/>
        <v>719694</v>
      </c>
      <c r="I416" s="565">
        <f t="shared" si="116"/>
        <v>0</v>
      </c>
      <c r="J416" s="477">
        <f t="shared" si="116"/>
        <v>719694</v>
      </c>
      <c r="K416" s="477">
        <f t="shared" si="116"/>
        <v>0</v>
      </c>
    </row>
    <row r="417" spans="1:11">
      <c r="A417" s="333">
        <v>17</v>
      </c>
      <c r="C417" s="332" t="str">
        <f>'FR-16(7)(v)-1 Functional'!C417</f>
        <v>AMORTIZATION RATE CASE EXPENSE</v>
      </c>
      <c r="D417" s="344" t="str">
        <f>'FR-16(7)(v)-1 Functional'!D417</f>
        <v>AG39</v>
      </c>
      <c r="E417" s="196"/>
      <c r="F417" s="479">
        <f>'FR-16(7)(v)-1 Functional'!G417</f>
        <v>11896</v>
      </c>
      <c r="G417" s="548">
        <f t="shared" ref="G417:G430" si="117">F417-SUM(H417:I417)</f>
        <v>0</v>
      </c>
      <c r="H417" s="539">
        <f t="shared" ref="H417:H430" si="118">ROUND(F417*VLOOKUP(D417,AllocTable_Classified_Production,$H$10,FALSE),0)</f>
        <v>11896</v>
      </c>
      <c r="I417" s="540">
        <f t="shared" ref="I417:I430" si="119">ROUND(F417*VLOOKUP(D417,AllocTable_Classified_Production,$I$10,FALSE),0)</f>
        <v>0</v>
      </c>
      <c r="J417" s="347">
        <f t="shared" ref="J417:J430" si="120">SUM(G417:I417)</f>
        <v>11896</v>
      </c>
      <c r="K417" s="347">
        <f t="shared" ref="K417:K430" si="121">F417-J417</f>
        <v>0</v>
      </c>
    </row>
    <row r="418" spans="1:11">
      <c r="A418" s="333">
        <v>18</v>
      </c>
      <c r="C418" s="332" t="str">
        <f>'FR-16(7)(v)-1 Functional'!C418</f>
        <v>INCENTIVE COMPENSATION</v>
      </c>
      <c r="D418" s="344" t="str">
        <f>'FR-16(7)(v)-1 Functional'!D418</f>
        <v>AG39</v>
      </c>
      <c r="E418" s="196"/>
      <c r="F418" s="479">
        <f>'FR-16(7)(v)-1 Functional'!G418</f>
        <v>-28656</v>
      </c>
      <c r="G418" s="548">
        <f t="shared" si="117"/>
        <v>0</v>
      </c>
      <c r="H418" s="539">
        <f t="shared" si="118"/>
        <v>-28656</v>
      </c>
      <c r="I418" s="540">
        <f t="shared" si="119"/>
        <v>0</v>
      </c>
      <c r="J418" s="347">
        <f t="shared" si="120"/>
        <v>-28656</v>
      </c>
      <c r="K418" s="347">
        <f t="shared" si="121"/>
        <v>0</v>
      </c>
    </row>
    <row r="419" spans="1:11">
      <c r="A419" s="333">
        <v>19</v>
      </c>
      <c r="C419" s="332" t="str">
        <f>'FR-16(7)(v)-1 Functional'!C419</f>
        <v>ELIMINATE MISCELLANEOUS EXPENSES</v>
      </c>
      <c r="D419" s="344" t="str">
        <f>'FR-16(7)(v)-1 Functional'!D419</f>
        <v>AG39</v>
      </c>
      <c r="E419" s="196"/>
      <c r="F419" s="479">
        <f>'FR-16(7)(v)-1 Functional'!G419</f>
        <v>-33286</v>
      </c>
      <c r="G419" s="548">
        <f t="shared" si="117"/>
        <v>0</v>
      </c>
      <c r="H419" s="539">
        <f t="shared" si="118"/>
        <v>-33286</v>
      </c>
      <c r="I419" s="540">
        <f t="shared" si="119"/>
        <v>0</v>
      </c>
      <c r="J419" s="347">
        <f t="shared" si="120"/>
        <v>-33286</v>
      </c>
      <c r="K419" s="347">
        <f t="shared" si="121"/>
        <v>0</v>
      </c>
    </row>
    <row r="420" spans="1:11">
      <c r="A420" s="333">
        <v>20</v>
      </c>
      <c r="C420" s="332" t="str">
        <f>'FR-16(7)(v)-1 Functional'!C420</f>
        <v>ELIMINATE NON-JURISDICTIONAL EXPENSES</v>
      </c>
      <c r="D420" s="344" t="str">
        <f>'FR-16(7)(v)-1 Functional'!D420</f>
        <v>NP29</v>
      </c>
      <c r="E420" s="196"/>
      <c r="F420" s="479">
        <f>'FR-16(7)(v)-1 Functional'!G420</f>
        <v>0</v>
      </c>
      <c r="G420" s="548">
        <f t="shared" si="117"/>
        <v>0</v>
      </c>
      <c r="H420" s="539">
        <f t="shared" si="118"/>
        <v>0</v>
      </c>
      <c r="I420" s="540">
        <f t="shared" si="119"/>
        <v>0</v>
      </c>
      <c r="J420" s="347">
        <f t="shared" si="120"/>
        <v>0</v>
      </c>
      <c r="K420" s="347">
        <f t="shared" si="121"/>
        <v>0</v>
      </c>
    </row>
    <row r="421" spans="1:11">
      <c r="A421" s="333">
        <v>21</v>
      </c>
      <c r="C421" s="332" t="str">
        <f>'FR-16(7)(v)-1 Functional'!C421</f>
        <v xml:space="preserve">AMORTIZATION OF DEFERRED EXP </v>
      </c>
      <c r="D421" s="344" t="str">
        <f>'FR-16(7)(v)-1 Functional'!D421</f>
        <v>AG39</v>
      </c>
      <c r="E421" s="196"/>
      <c r="F421" s="479">
        <f>'FR-16(7)(v)-1 Functional'!G421</f>
        <v>56123</v>
      </c>
      <c r="G421" s="548">
        <f t="shared" si="117"/>
        <v>0</v>
      </c>
      <c r="H421" s="539">
        <f t="shared" si="118"/>
        <v>56123</v>
      </c>
      <c r="I421" s="540">
        <f t="shared" si="119"/>
        <v>0</v>
      </c>
      <c r="J421" s="347">
        <f t="shared" si="120"/>
        <v>56123</v>
      </c>
      <c r="K421" s="347">
        <f t="shared" si="121"/>
        <v>0</v>
      </c>
    </row>
    <row r="422" spans="1:11">
      <c r="A422" s="333">
        <v>22</v>
      </c>
      <c r="C422" s="332" t="str">
        <f>'FR-16(7)(v)-1 Functional'!C422</f>
        <v>STATE REG COMMISSION EXPENSES</v>
      </c>
      <c r="D422" s="344" t="str">
        <f>'FR-16(7)(v)-1 Functional'!D422</f>
        <v>AG39</v>
      </c>
      <c r="E422" s="196"/>
      <c r="F422" s="479">
        <f>'FR-16(7)(v)-1 Functional'!G422</f>
        <v>0</v>
      </c>
      <c r="G422" s="548">
        <f t="shared" si="117"/>
        <v>0</v>
      </c>
      <c r="H422" s="539">
        <f t="shared" si="118"/>
        <v>0</v>
      </c>
      <c r="I422" s="540">
        <f t="shared" si="119"/>
        <v>0</v>
      </c>
      <c r="J422" s="347">
        <f t="shared" si="120"/>
        <v>0</v>
      </c>
      <c r="K422" s="347">
        <f t="shared" si="121"/>
        <v>0</v>
      </c>
    </row>
    <row r="423" spans="1:11">
      <c r="A423" s="333">
        <v>23</v>
      </c>
      <c r="C423" s="332" t="str">
        <f>'FR-16(7)(v)-1 Functional'!C423</f>
        <v>STATE REG COM EXP ANN ADJ.</v>
      </c>
      <c r="D423" s="344" t="str">
        <f>'FR-16(7)(v)-1 Functional'!D423</f>
        <v>AG39</v>
      </c>
      <c r="E423" s="196"/>
      <c r="F423" s="479">
        <f>'FR-16(7)(v)-1 Functional'!G423</f>
        <v>0</v>
      </c>
      <c r="G423" s="548">
        <f t="shared" si="117"/>
        <v>0</v>
      </c>
      <c r="H423" s="539">
        <f t="shared" si="118"/>
        <v>0</v>
      </c>
      <c r="I423" s="540">
        <f t="shared" si="119"/>
        <v>0</v>
      </c>
      <c r="J423" s="347">
        <f t="shared" si="120"/>
        <v>0</v>
      </c>
      <c r="K423" s="347">
        <f t="shared" si="121"/>
        <v>0</v>
      </c>
    </row>
    <row r="424" spans="1:11">
      <c r="A424" s="333">
        <v>24</v>
      </c>
      <c r="C424" s="332" t="str">
        <f>'FR-16(7)(v)-1 Functional'!C424</f>
        <v>AMORTIZE CAMERA WORK</v>
      </c>
      <c r="D424" s="344" t="str">
        <f>'FR-16(7)(v)-1 Functional'!D424</f>
        <v>AG39</v>
      </c>
      <c r="E424" s="196"/>
      <c r="F424" s="479">
        <f>'FR-16(7)(v)-1 Functional'!G424</f>
        <v>0</v>
      </c>
      <c r="G424" s="548">
        <f t="shared" ref="G424:G429" si="122">F424-SUM(H424:I424)</f>
        <v>0</v>
      </c>
      <c r="H424" s="539">
        <f t="shared" si="118"/>
        <v>0</v>
      </c>
      <c r="I424" s="540">
        <f t="shared" si="119"/>
        <v>0</v>
      </c>
      <c r="J424" s="347">
        <f t="shared" ref="J424:J429" si="123">SUM(G424:I424)</f>
        <v>0</v>
      </c>
      <c r="K424" s="347">
        <f t="shared" ref="K424:K429" si="124">F424-J424</f>
        <v>0</v>
      </c>
    </row>
    <row r="425" spans="1:11">
      <c r="A425" s="333">
        <v>25</v>
      </c>
      <c r="C425" s="332" t="str">
        <f>'FR-16(7)(v)-1 Functional'!C425</f>
        <v>ELIMINATE MERGER EXPENSE</v>
      </c>
      <c r="D425" s="344" t="str">
        <f>'FR-16(7)(v)-1 Functional'!D425</f>
        <v>AG39</v>
      </c>
      <c r="E425" s="196"/>
      <c r="F425" s="479">
        <f>'FR-16(7)(v)-1 Functional'!G425</f>
        <v>0</v>
      </c>
      <c r="G425" s="548">
        <f t="shared" si="122"/>
        <v>0</v>
      </c>
      <c r="H425" s="539">
        <f t="shared" si="118"/>
        <v>0</v>
      </c>
      <c r="I425" s="540">
        <f t="shared" si="119"/>
        <v>0</v>
      </c>
      <c r="J425" s="347">
        <f t="shared" si="123"/>
        <v>0</v>
      </c>
      <c r="K425" s="347">
        <f t="shared" si="124"/>
        <v>0</v>
      </c>
    </row>
    <row r="426" spans="1:11">
      <c r="A426" s="333">
        <v>26</v>
      </c>
      <c r="C426" s="332" t="str">
        <f>'FR-16(7)(v)-1 Functional'!C426</f>
        <v>SMART GRID AMORTIZATION ADJUSTMENT</v>
      </c>
      <c r="D426" s="344" t="str">
        <f>'FR-16(7)(v)-1 Functional'!D426</f>
        <v>K413</v>
      </c>
      <c r="E426" s="196"/>
      <c r="F426" s="479">
        <f>'FR-16(7)(v)-1 Functional'!G426</f>
        <v>0</v>
      </c>
      <c r="G426" s="548">
        <f t="shared" si="122"/>
        <v>0</v>
      </c>
      <c r="H426" s="539">
        <f t="shared" si="118"/>
        <v>0</v>
      </c>
      <c r="I426" s="540">
        <f t="shared" si="119"/>
        <v>0</v>
      </c>
      <c r="J426" s="347">
        <f t="shared" si="123"/>
        <v>0</v>
      </c>
      <c r="K426" s="347">
        <f t="shared" si="124"/>
        <v>0</v>
      </c>
    </row>
    <row r="427" spans="1:11">
      <c r="A427" s="333">
        <v>27</v>
      </c>
      <c r="C427" s="332" t="str">
        <f>'FR-16(7)(v)-1 Functional'!C427</f>
        <v>AMORTIZE 2011 SMART GRID DEFERRED O&amp;M</v>
      </c>
      <c r="D427" s="344" t="str">
        <f>'FR-16(7)(v)-1 Functional'!D427</f>
        <v>K413</v>
      </c>
      <c r="E427" s="196"/>
      <c r="F427" s="479">
        <f>'FR-16(7)(v)-1 Functional'!G427</f>
        <v>0</v>
      </c>
      <c r="G427" s="548">
        <f t="shared" si="122"/>
        <v>0</v>
      </c>
      <c r="H427" s="539">
        <f t="shared" si="118"/>
        <v>0</v>
      </c>
      <c r="I427" s="540">
        <f t="shared" si="119"/>
        <v>0</v>
      </c>
      <c r="J427" s="347">
        <f t="shared" si="123"/>
        <v>0</v>
      </c>
      <c r="K427" s="347">
        <f t="shared" si="124"/>
        <v>0</v>
      </c>
    </row>
    <row r="428" spans="1:11">
      <c r="A428" s="333">
        <v>28</v>
      </c>
      <c r="C428" s="332" t="str">
        <f>'FR-16(7)(v)-1 Functional'!C428</f>
        <v>INCREASED MEDICAL COSTS</v>
      </c>
      <c r="D428" s="344" t="str">
        <f>'FR-16(7)(v)-1 Functional'!D428</f>
        <v>AG39</v>
      </c>
      <c r="E428" s="196"/>
      <c r="F428" s="479">
        <f>'FR-16(7)(v)-1 Functional'!G428</f>
        <v>0</v>
      </c>
      <c r="G428" s="548">
        <f t="shared" si="122"/>
        <v>0</v>
      </c>
      <c r="H428" s="539">
        <f t="shared" si="118"/>
        <v>0</v>
      </c>
      <c r="I428" s="540">
        <f t="shared" si="119"/>
        <v>0</v>
      </c>
      <c r="J428" s="347">
        <f t="shared" si="123"/>
        <v>0</v>
      </c>
      <c r="K428" s="347">
        <f t="shared" si="124"/>
        <v>0</v>
      </c>
    </row>
    <row r="429" spans="1:11">
      <c r="A429" s="333">
        <v>29</v>
      </c>
      <c r="C429" s="332" t="str">
        <f>'FR-16(7)(v)-1 Functional'!C429</f>
        <v>AMORTIZE GAS FURNACE PROGRAM</v>
      </c>
      <c r="D429" s="344" t="str">
        <f>'FR-16(7)(v)-1 Functional'!D429</f>
        <v>NP29</v>
      </c>
      <c r="E429" s="196"/>
      <c r="F429" s="479">
        <f>'FR-16(7)(v)-1 Functional'!G429</f>
        <v>0</v>
      </c>
      <c r="G429" s="548">
        <f t="shared" si="122"/>
        <v>0</v>
      </c>
      <c r="H429" s="539">
        <f t="shared" si="118"/>
        <v>0</v>
      </c>
      <c r="I429" s="540">
        <f t="shared" si="119"/>
        <v>0</v>
      </c>
      <c r="J429" s="347">
        <f t="shared" si="123"/>
        <v>0</v>
      </c>
      <c r="K429" s="347">
        <f t="shared" si="124"/>
        <v>0</v>
      </c>
    </row>
    <row r="430" spans="1:11">
      <c r="A430" s="333">
        <v>30</v>
      </c>
      <c r="C430" s="359" t="str">
        <f>'FR-16(7)(v)-1 Functional'!C430</f>
        <v>AMORTIZATION OF MGP DEFERRED EXP</v>
      </c>
      <c r="D430" s="344" t="str">
        <f>'FR-16(7)(v)-1 Functional'!D430</f>
        <v>NP29</v>
      </c>
      <c r="E430" s="196"/>
      <c r="F430" s="479">
        <f>'FR-16(7)(v)-1 Functional'!G430</f>
        <v>0</v>
      </c>
      <c r="G430" s="548">
        <f t="shared" si="117"/>
        <v>0</v>
      </c>
      <c r="H430" s="539">
        <f t="shared" si="118"/>
        <v>0</v>
      </c>
      <c r="I430" s="540">
        <f t="shared" si="119"/>
        <v>0</v>
      </c>
      <c r="J430" s="347">
        <f t="shared" si="120"/>
        <v>0</v>
      </c>
      <c r="K430" s="347">
        <f t="shared" si="121"/>
        <v>0</v>
      </c>
    </row>
    <row r="431" spans="1:11">
      <c r="A431" s="333">
        <v>31</v>
      </c>
      <c r="C431" s="332" t="str">
        <f>'FR-16(7)(v)-1 Functional'!C431</f>
        <v xml:space="preserve">  TOTAL ADMIN. &amp; GENERAL</v>
      </c>
      <c r="D431" s="344"/>
      <c r="E431" s="196" t="s">
        <v>343</v>
      </c>
      <c r="F431" s="348">
        <f t="shared" ref="F431:K431" si="125">SUM(F416:F430)</f>
        <v>725771</v>
      </c>
      <c r="G431" s="549">
        <f t="shared" si="125"/>
        <v>0</v>
      </c>
      <c r="H431" s="541">
        <f t="shared" si="125"/>
        <v>725771</v>
      </c>
      <c r="I431" s="542">
        <f t="shared" si="125"/>
        <v>0</v>
      </c>
      <c r="J431" s="348">
        <f t="shared" si="125"/>
        <v>725771</v>
      </c>
      <c r="K431" s="348">
        <f t="shared" si="125"/>
        <v>0</v>
      </c>
    </row>
    <row r="432" spans="1:11">
      <c r="A432" s="333">
        <v>32</v>
      </c>
      <c r="D432" s="344"/>
      <c r="E432" s="196"/>
      <c r="F432" s="335"/>
      <c r="G432" s="548"/>
      <c r="H432" s="539"/>
      <c r="I432" s="540"/>
      <c r="J432" s="347"/>
      <c r="K432" s="347"/>
    </row>
    <row r="433" spans="1:11">
      <c r="A433" s="333">
        <v>33</v>
      </c>
      <c r="C433" s="332" t="str">
        <f>'FR-16(7)(v)-1 Functional'!C433</f>
        <v>TOTAL O &amp; M EXPENSE</v>
      </c>
      <c r="D433" s="344"/>
      <c r="E433" s="196"/>
      <c r="F433" s="347">
        <f t="shared" ref="F433:K433" si="126">F431+F407+F403+F389+F378+F364+F360</f>
        <v>38032691</v>
      </c>
      <c r="G433" s="550">
        <f t="shared" si="126"/>
        <v>0</v>
      </c>
      <c r="H433" s="543">
        <f t="shared" si="126"/>
        <v>38032691</v>
      </c>
      <c r="I433" s="544">
        <f t="shared" si="126"/>
        <v>0</v>
      </c>
      <c r="J433" s="347">
        <f t="shared" si="126"/>
        <v>38032691</v>
      </c>
      <c r="K433" s="347">
        <f t="shared" si="126"/>
        <v>0</v>
      </c>
    </row>
    <row r="434" spans="1:11">
      <c r="B434" s="343"/>
      <c r="C434" s="196"/>
      <c r="D434" s="344"/>
      <c r="E434" s="196"/>
      <c r="F434" s="196"/>
      <c r="G434" s="196"/>
      <c r="H434" s="196"/>
      <c r="I434" s="196"/>
      <c r="J434" s="196"/>
      <c r="K434" s="196"/>
    </row>
    <row r="435" spans="1:11">
      <c r="A435" s="343" t="str">
        <f>co_name</f>
        <v>DUKE ENERGY KENTUCKY, INC.</v>
      </c>
      <c r="C435" s="196"/>
      <c r="D435" s="344"/>
      <c r="E435" s="196"/>
      <c r="F435" s="196"/>
      <c r="G435" s="196"/>
      <c r="H435" s="196"/>
      <c r="I435" s="196"/>
      <c r="J435" s="196" t="str">
        <f>$J$1</f>
        <v>FR-16(7)(v)-2</v>
      </c>
      <c r="K435" s="196"/>
    </row>
    <row r="436" spans="1:11">
      <c r="A436" s="343" t="str">
        <f>$A$2</f>
        <v>PRODUCTION CLASSIFIED - GAS COST OF SERVICE</v>
      </c>
      <c r="C436" s="196"/>
      <c r="D436" s="344"/>
      <c r="E436" s="196"/>
      <c r="F436" s="196"/>
      <c r="G436" s="196"/>
      <c r="H436" s="196"/>
      <c r="I436" s="196"/>
      <c r="J436" s="196" t="str">
        <f>$J$2</f>
        <v>WITNESS RESPONSIBLE:</v>
      </c>
      <c r="K436" s="196"/>
    </row>
    <row r="437" spans="1:11">
      <c r="A437" s="343" t="str">
        <f>case_name</f>
        <v>CASE NO: 2018-00261</v>
      </c>
      <c r="C437" s="196"/>
      <c r="D437" s="344"/>
      <c r="E437" s="196"/>
      <c r="F437" s="196"/>
      <c r="G437" s="196"/>
      <c r="H437" s="196"/>
      <c r="I437" s="196"/>
      <c r="J437" s="196" t="str">
        <f>Witness</f>
        <v>JAMES E. ZIOLKOWSKI</v>
      </c>
      <c r="K437" s="196"/>
    </row>
    <row r="438" spans="1:11">
      <c r="A438" s="343" t="str">
        <f>data_filing</f>
        <v>DATA: 12 MONTH FORECASTED PERIOD</v>
      </c>
      <c r="C438" s="196"/>
      <c r="D438" s="344"/>
      <c r="E438" s="196"/>
      <c r="F438" s="196"/>
      <c r="G438" s="196"/>
      <c r="H438" s="196"/>
      <c r="I438" s="196"/>
      <c r="J438" s="196" t="str">
        <f>"PAGE "&amp;Pages-8&amp;" OF "&amp;Pages</f>
        <v>PAGE 10 OF 18</v>
      </c>
      <c r="K438" s="196"/>
    </row>
    <row r="439" spans="1:11">
      <c r="A439" s="343" t="str">
        <f>type</f>
        <v xml:space="preserve">TYPE OF FILING: "X" ORIGINAL   UPDATED    REVISED  </v>
      </c>
      <c r="C439" s="196"/>
      <c r="D439" s="344"/>
      <c r="E439" s="196"/>
      <c r="F439" s="196"/>
      <c r="G439" s="196"/>
      <c r="H439" s="196"/>
      <c r="I439" s="196"/>
      <c r="J439" s="196"/>
      <c r="K439" s="196"/>
    </row>
    <row r="440" spans="1:11">
      <c r="B440" s="343"/>
      <c r="C440" s="196"/>
      <c r="D440" s="344"/>
      <c r="E440" s="196"/>
      <c r="F440" s="196"/>
      <c r="G440" s="196"/>
      <c r="H440" s="196"/>
      <c r="I440" s="196"/>
      <c r="J440" s="196"/>
      <c r="K440" s="196"/>
    </row>
    <row r="441" spans="1:11">
      <c r="B441" s="343"/>
      <c r="C441" s="196"/>
      <c r="D441" s="344"/>
      <c r="E441" s="196"/>
      <c r="F441" s="196"/>
      <c r="G441" s="196"/>
      <c r="H441" s="196"/>
      <c r="I441" s="196"/>
      <c r="J441" s="196"/>
      <c r="K441" s="196"/>
    </row>
    <row r="442" spans="1:11">
      <c r="A442" s="344" t="s">
        <v>914</v>
      </c>
      <c r="B442" s="196"/>
      <c r="C442" s="196"/>
      <c r="D442" s="344"/>
      <c r="E442" s="196"/>
      <c r="F442" s="344" t="str">
        <f>$F$8</f>
        <v>TOTAL</v>
      </c>
      <c r="G442" s="545" t="s">
        <v>1005</v>
      </c>
      <c r="H442" s="533"/>
      <c r="I442" s="534"/>
      <c r="J442" s="344" t="s">
        <v>229</v>
      </c>
      <c r="K442" s="344" t="s">
        <v>342</v>
      </c>
    </row>
    <row r="443" spans="1:11">
      <c r="A443" s="346" t="s">
        <v>915</v>
      </c>
      <c r="B443" s="345" t="s">
        <v>55</v>
      </c>
      <c r="C443" s="345"/>
      <c r="D443" s="346" t="s">
        <v>337</v>
      </c>
      <c r="E443" s="345"/>
      <c r="F443" s="346" t="str">
        <f>$F$9</f>
        <v>PRODUCTION</v>
      </c>
      <c r="G443" s="546" t="s">
        <v>847</v>
      </c>
      <c r="H443" s="535" t="s">
        <v>848</v>
      </c>
      <c r="I443" s="536" t="s">
        <v>849</v>
      </c>
      <c r="J443" s="346" t="s">
        <v>341</v>
      </c>
      <c r="K443" s="346" t="s">
        <v>340</v>
      </c>
    </row>
    <row r="444" spans="1:11">
      <c r="C444" s="578" t="s">
        <v>349</v>
      </c>
      <c r="D444" s="344"/>
      <c r="E444" s="196"/>
      <c r="F444" s="510"/>
      <c r="G444" s="800">
        <f>$G$10</f>
        <v>3</v>
      </c>
      <c r="H444" s="801">
        <f>$H$10</f>
        <v>4</v>
      </c>
      <c r="I444" s="802">
        <f>$I$10</f>
        <v>5</v>
      </c>
      <c r="J444" s="510"/>
      <c r="K444" s="510"/>
    </row>
    <row r="445" spans="1:11">
      <c r="A445" s="333">
        <v>1</v>
      </c>
      <c r="B445" s="353" t="s">
        <v>56</v>
      </c>
      <c r="C445" s="353"/>
      <c r="D445" s="344"/>
      <c r="E445" s="196"/>
      <c r="G445" s="547"/>
      <c r="H445" s="537"/>
      <c r="I445" s="538"/>
    </row>
    <row r="446" spans="1:11">
      <c r="A446" s="333">
        <v>2</v>
      </c>
      <c r="B446" s="353"/>
      <c r="C446" s="511" t="str">
        <f>'FR-16(7)(v)-1 Functional'!C446</f>
        <v>PRODUCTION DEPRECIATION</v>
      </c>
      <c r="D446" s="344" t="str">
        <f>'FR-16(7)(v)-1 Functional'!D446</f>
        <v>P229</v>
      </c>
      <c r="E446" s="196"/>
      <c r="F446" s="479">
        <f>'FR-16(7)(v)-1 Functional'!G446</f>
        <v>217881</v>
      </c>
      <c r="G446" s="548">
        <f>F446-SUM(H446:I446)</f>
        <v>0</v>
      </c>
      <c r="H446" s="539">
        <f>ROUND(F446*VLOOKUP(D446,AllocTable_Classified_Production,$H$10,FALSE),0)</f>
        <v>217881</v>
      </c>
      <c r="I446" s="540">
        <f>ROUND(F446*VLOOKUP(D446,AllocTable_Classified_Production,$I$10,FALSE),0)</f>
        <v>0</v>
      </c>
      <c r="J446" s="347">
        <f>SUM(G446:I446)</f>
        <v>217881</v>
      </c>
      <c r="K446" s="347">
        <f>F446-J446</f>
        <v>0</v>
      </c>
    </row>
    <row r="447" spans="1:11">
      <c r="A447" s="333">
        <v>3</v>
      </c>
      <c r="B447" s="353"/>
      <c r="C447" s="353" t="str">
        <f>'FR-16(7)(v)-1 Functional'!C447</f>
        <v xml:space="preserve">  TOTAL PRODUCTION DEPREC EXP.</v>
      </c>
      <c r="D447" s="344"/>
      <c r="E447" s="196"/>
      <c r="F447" s="348">
        <f t="shared" ref="F447:K447" si="127">SUM(F446:F446)</f>
        <v>217881</v>
      </c>
      <c r="G447" s="549">
        <f t="shared" si="127"/>
        <v>0</v>
      </c>
      <c r="H447" s="541">
        <f t="shared" si="127"/>
        <v>217881</v>
      </c>
      <c r="I447" s="542">
        <f t="shared" si="127"/>
        <v>0</v>
      </c>
      <c r="J447" s="348">
        <f t="shared" si="127"/>
        <v>217881</v>
      </c>
      <c r="K447" s="348">
        <f t="shared" si="127"/>
        <v>0</v>
      </c>
    </row>
    <row r="448" spans="1:11">
      <c r="A448" s="333">
        <v>4</v>
      </c>
      <c r="B448" s="353"/>
      <c r="C448" s="353"/>
      <c r="D448" s="344"/>
      <c r="E448" s="196"/>
      <c r="F448" s="353"/>
      <c r="G448" s="547"/>
      <c r="H448" s="537"/>
      <c r="I448" s="538"/>
    </row>
    <row r="449" spans="1:11">
      <c r="A449" s="333">
        <v>5</v>
      </c>
      <c r="B449" s="511" t="s">
        <v>57</v>
      </c>
      <c r="C449" s="511"/>
      <c r="D449" s="344"/>
      <c r="E449" s="196"/>
      <c r="F449" s="349"/>
      <c r="G449" s="548"/>
      <c r="H449" s="539"/>
      <c r="I449" s="540"/>
      <c r="J449" s="347"/>
      <c r="K449" s="347"/>
    </row>
    <row r="450" spans="1:11">
      <c r="A450" s="333">
        <v>6</v>
      </c>
      <c r="B450" s="353"/>
      <c r="C450" s="353" t="str">
        <f>'FR-16(7)(v)-1 Functional'!C450</f>
        <v xml:space="preserve">  TOTAL TRANSMISSION DEP. EXP.</v>
      </c>
      <c r="D450" s="344"/>
      <c r="E450" s="196"/>
      <c r="F450" s="348">
        <f t="shared" ref="F450:K450" si="128">SUM(F449)</f>
        <v>0</v>
      </c>
      <c r="G450" s="549">
        <f t="shared" si="128"/>
        <v>0</v>
      </c>
      <c r="H450" s="541">
        <f t="shared" si="128"/>
        <v>0</v>
      </c>
      <c r="I450" s="542">
        <f t="shared" si="128"/>
        <v>0</v>
      </c>
      <c r="J450" s="348">
        <f t="shared" si="128"/>
        <v>0</v>
      </c>
      <c r="K450" s="348">
        <f t="shared" si="128"/>
        <v>0</v>
      </c>
    </row>
    <row r="451" spans="1:11">
      <c r="A451" s="333">
        <v>7</v>
      </c>
      <c r="B451" s="353"/>
      <c r="C451" s="353"/>
      <c r="D451" s="344"/>
      <c r="E451" s="196"/>
      <c r="F451" s="353"/>
      <c r="G451" s="547"/>
      <c r="H451" s="537"/>
      <c r="I451" s="538"/>
    </row>
    <row r="452" spans="1:11">
      <c r="A452" s="333">
        <v>8</v>
      </c>
      <c r="B452" s="353" t="s">
        <v>58</v>
      </c>
      <c r="C452" s="353"/>
      <c r="D452" s="344"/>
      <c r="E452" s="196"/>
      <c r="F452" s="353"/>
      <c r="G452" s="547"/>
      <c r="H452" s="537"/>
      <c r="I452" s="538"/>
    </row>
    <row r="453" spans="1:11">
      <c r="A453" s="333">
        <v>9</v>
      </c>
      <c r="B453" s="353"/>
      <c r="C453" s="511" t="str">
        <f>'FR-16(7)(v)-1 Functional'!C453</f>
        <v>DISTRIBUTION DEPRECIATION</v>
      </c>
      <c r="D453" s="344" t="str">
        <f>'FR-16(7)(v)-1 Functional'!D453</f>
        <v>D249</v>
      </c>
      <c r="E453" s="196"/>
      <c r="F453" s="479">
        <f>'FR-16(7)(v)-1 Functional'!G453</f>
        <v>0</v>
      </c>
      <c r="G453" s="548">
        <f>F453-SUM(H453:I453)</f>
        <v>0</v>
      </c>
      <c r="H453" s="539">
        <f>ROUND(F453*VLOOKUP(D453,AllocTable_Classified_Production,$H$10,FALSE),0)</f>
        <v>0</v>
      </c>
      <c r="I453" s="540">
        <f>ROUND(F453*VLOOKUP(D453,AllocTable_Classified_Production,$I$10,FALSE),0)</f>
        <v>0</v>
      </c>
      <c r="J453" s="347">
        <f>SUM(G453:I453)</f>
        <v>0</v>
      </c>
      <c r="K453" s="347">
        <f>F453-J453</f>
        <v>0</v>
      </c>
    </row>
    <row r="454" spans="1:11">
      <c r="A454" s="333">
        <v>10</v>
      </c>
      <c r="B454" s="353"/>
      <c r="C454" s="353" t="str">
        <f>'FR-16(7)(v)-1 Functional'!C454</f>
        <v xml:space="preserve">  TOTAL DIST. DEPREC EXP.</v>
      </c>
      <c r="D454" s="344"/>
      <c r="E454" s="196"/>
      <c r="F454" s="348">
        <f t="shared" ref="F454:K454" si="129">SUM(F453:F453)</f>
        <v>0</v>
      </c>
      <c r="G454" s="549">
        <f t="shared" si="129"/>
        <v>0</v>
      </c>
      <c r="H454" s="541">
        <f t="shared" si="129"/>
        <v>0</v>
      </c>
      <c r="I454" s="542">
        <f t="shared" si="129"/>
        <v>0</v>
      </c>
      <c r="J454" s="348">
        <f t="shared" si="129"/>
        <v>0</v>
      </c>
      <c r="K454" s="348">
        <f t="shared" si="129"/>
        <v>0</v>
      </c>
    </row>
    <row r="455" spans="1:11">
      <c r="A455" s="333">
        <v>11</v>
      </c>
      <c r="B455" s="353"/>
      <c r="C455" s="353"/>
      <c r="D455" s="344"/>
      <c r="E455" s="196"/>
      <c r="F455" s="353" t="s">
        <v>343</v>
      </c>
      <c r="G455" s="547"/>
      <c r="H455" s="537"/>
      <c r="I455" s="538"/>
    </row>
    <row r="456" spans="1:11">
      <c r="A456" s="333">
        <v>12</v>
      </c>
      <c r="B456" s="353" t="s">
        <v>59</v>
      </c>
      <c r="C456" s="353"/>
      <c r="D456" s="344"/>
      <c r="E456" s="196"/>
      <c r="F456" s="353"/>
      <c r="G456" s="547"/>
      <c r="H456" s="537"/>
      <c r="I456" s="538"/>
    </row>
    <row r="457" spans="1:11">
      <c r="A457" s="333">
        <v>13</v>
      </c>
      <c r="B457" s="353"/>
      <c r="C457" s="511" t="str">
        <f>'FR-16(7)(v)-1 Functional'!C457</f>
        <v>GENERAL DEPRECIATION</v>
      </c>
      <c r="D457" s="344" t="str">
        <f>'FR-16(7)(v)-1 Functional'!D457</f>
        <v>G229</v>
      </c>
      <c r="E457" s="196"/>
      <c r="F457" s="479">
        <f>'FR-16(7)(v)-1 Functional'!G457</f>
        <v>226854</v>
      </c>
      <c r="G457" s="548">
        <f>F457-SUM(H457:I457)</f>
        <v>0</v>
      </c>
      <c r="H457" s="539">
        <f>ROUND(F457*VLOOKUP(D457,AllocTable_Classified_Production,$H$10,FALSE),0)</f>
        <v>226854</v>
      </c>
      <c r="I457" s="540">
        <f>ROUND(F457*VLOOKUP(D457,AllocTable_Classified_Production,$I$10,FALSE),0)</f>
        <v>0</v>
      </c>
      <c r="J457" s="347">
        <f>SUM(G457:I457)</f>
        <v>226854</v>
      </c>
      <c r="K457" s="347">
        <f>F457-J457</f>
        <v>0</v>
      </c>
    </row>
    <row r="458" spans="1:11">
      <c r="A458" s="333">
        <v>14</v>
      </c>
      <c r="B458" s="353"/>
      <c r="C458" s="353" t="str">
        <f>'FR-16(7)(v)-1 Functional'!C458</f>
        <v xml:space="preserve">  TOTAL GENERAL DEPREC EXP.</v>
      </c>
      <c r="D458" s="344"/>
      <c r="E458" s="196"/>
      <c r="F458" s="348">
        <f t="shared" ref="F458:K458" si="130">SUM(F457:F457)</f>
        <v>226854</v>
      </c>
      <c r="G458" s="549">
        <f t="shared" si="130"/>
        <v>0</v>
      </c>
      <c r="H458" s="541">
        <f t="shared" si="130"/>
        <v>226854</v>
      </c>
      <c r="I458" s="542">
        <f t="shared" si="130"/>
        <v>0</v>
      </c>
      <c r="J458" s="348">
        <f t="shared" si="130"/>
        <v>226854</v>
      </c>
      <c r="K458" s="348">
        <f t="shared" si="130"/>
        <v>0</v>
      </c>
    </row>
    <row r="459" spans="1:11">
      <c r="A459" s="333">
        <v>15</v>
      </c>
      <c r="B459" s="353"/>
      <c r="C459" s="353"/>
      <c r="D459" s="344"/>
      <c r="E459" s="196"/>
      <c r="F459" s="353"/>
      <c r="G459" s="547"/>
      <c r="H459" s="537"/>
      <c r="I459" s="538"/>
    </row>
    <row r="460" spans="1:11">
      <c r="A460" s="333">
        <v>16</v>
      </c>
      <c r="B460" s="353" t="s">
        <v>60</v>
      </c>
      <c r="C460" s="353"/>
      <c r="D460" s="344"/>
      <c r="E460" s="196"/>
      <c r="F460" s="476"/>
      <c r="G460" s="548"/>
      <c r="H460" s="539"/>
      <c r="I460" s="540"/>
      <c r="J460" s="347"/>
      <c r="K460" s="347"/>
    </row>
    <row r="461" spans="1:11">
      <c r="A461" s="333">
        <v>17</v>
      </c>
      <c r="B461" s="353"/>
      <c r="C461" s="511" t="str">
        <f>'FR-16(7)(v)-1 Functional'!C461</f>
        <v>COMMON DEPRECIATION</v>
      </c>
      <c r="D461" s="344" t="str">
        <f>'FR-16(7)(v)-1 Functional'!D461</f>
        <v>C229</v>
      </c>
      <c r="E461" s="196"/>
      <c r="F461" s="479">
        <f>'FR-16(7)(v)-1 Functional'!G461</f>
        <v>13170.067599999995</v>
      </c>
      <c r="G461" s="548">
        <f>F461-SUM(H461:I461)</f>
        <v>6.7599999994854443E-2</v>
      </c>
      <c r="H461" s="539">
        <f>ROUND(F461*VLOOKUP(D461,AllocTable_Classified_Production,$H$10,FALSE),0)</f>
        <v>13170</v>
      </c>
      <c r="I461" s="540">
        <f>ROUND(F461*VLOOKUP(D461,AllocTable_Classified_Production,$I$10,FALSE),0)</f>
        <v>0</v>
      </c>
      <c r="J461" s="347">
        <f>SUM(G461:I461)</f>
        <v>13170.067599999995</v>
      </c>
      <c r="K461" s="347">
        <f>F461-J461</f>
        <v>0</v>
      </c>
    </row>
    <row r="462" spans="1:11">
      <c r="A462" s="333">
        <v>18</v>
      </c>
      <c r="B462" s="353"/>
      <c r="C462" s="353" t="str">
        <f>'FR-16(7)(v)-1 Functional'!C462</f>
        <v xml:space="preserve">  TOTAL COM &amp; OTHER DEPREC EXP.</v>
      </c>
      <c r="D462" s="344"/>
      <c r="E462" s="196"/>
      <c r="F462" s="348">
        <f t="shared" ref="F462:K462" si="131">SUM(F461:F461)</f>
        <v>13170.067599999995</v>
      </c>
      <c r="G462" s="549">
        <f t="shared" si="131"/>
        <v>6.7599999994854443E-2</v>
      </c>
      <c r="H462" s="541">
        <f t="shared" si="131"/>
        <v>13170</v>
      </c>
      <c r="I462" s="542">
        <f t="shared" si="131"/>
        <v>0</v>
      </c>
      <c r="J462" s="348">
        <f t="shared" si="131"/>
        <v>13170.067599999995</v>
      </c>
      <c r="K462" s="348">
        <f t="shared" si="131"/>
        <v>0</v>
      </c>
    </row>
    <row r="463" spans="1:11">
      <c r="A463" s="333">
        <v>19</v>
      </c>
      <c r="B463" s="353"/>
      <c r="C463" s="353"/>
      <c r="D463" s="344"/>
      <c r="E463" s="196"/>
      <c r="G463" s="547"/>
      <c r="H463" s="537"/>
      <c r="I463" s="538"/>
    </row>
    <row r="464" spans="1:11">
      <c r="A464" s="333">
        <v>20</v>
      </c>
      <c r="B464" s="353"/>
      <c r="C464" s="353"/>
      <c r="D464" s="344"/>
      <c r="E464" s="196"/>
      <c r="G464" s="547"/>
      <c r="H464" s="537"/>
      <c r="I464" s="538"/>
    </row>
    <row r="465" spans="1:12">
      <c r="A465" s="333">
        <v>21</v>
      </c>
      <c r="B465" s="353" t="s">
        <v>61</v>
      </c>
      <c r="C465" s="353"/>
      <c r="D465" s="344"/>
      <c r="E465" s="332" t="s">
        <v>343</v>
      </c>
      <c r="F465" s="347">
        <f t="shared" ref="F465:K465" si="132">F462+F458+F454+F450+F447</f>
        <v>457905.06760000001</v>
      </c>
      <c r="G465" s="550">
        <f t="shared" si="132"/>
        <v>6.7599999994854443E-2</v>
      </c>
      <c r="H465" s="543">
        <f t="shared" si="132"/>
        <v>457905</v>
      </c>
      <c r="I465" s="544">
        <f t="shared" si="132"/>
        <v>0</v>
      </c>
      <c r="J465" s="347">
        <f t="shared" si="132"/>
        <v>457905.06760000001</v>
      </c>
      <c r="K465" s="347">
        <f t="shared" si="132"/>
        <v>0</v>
      </c>
    </row>
    <row r="466" spans="1:12">
      <c r="B466" s="343"/>
      <c r="C466" s="196"/>
      <c r="D466" s="344"/>
      <c r="E466" s="196"/>
      <c r="F466" s="196"/>
      <c r="G466" s="196"/>
      <c r="H466" s="196"/>
      <c r="I466" s="196"/>
      <c r="J466" s="196"/>
      <c r="K466" s="196"/>
    </row>
    <row r="467" spans="1:12">
      <c r="A467" s="343" t="str">
        <f>co_name</f>
        <v>DUKE ENERGY KENTUCKY, INC.</v>
      </c>
      <c r="C467" s="196"/>
      <c r="D467" s="344"/>
      <c r="E467" s="196"/>
      <c r="F467" s="196"/>
      <c r="G467" s="196"/>
      <c r="H467" s="196"/>
      <c r="I467" s="196"/>
      <c r="J467" s="196" t="str">
        <f>$J$1</f>
        <v>FR-16(7)(v)-2</v>
      </c>
      <c r="K467" s="196"/>
    </row>
    <row r="468" spans="1:12">
      <c r="A468" s="343" t="str">
        <f>$A$2</f>
        <v>PRODUCTION CLASSIFIED - GAS COST OF SERVICE</v>
      </c>
      <c r="C468" s="196"/>
      <c r="D468" s="344"/>
      <c r="E468" s="196"/>
      <c r="F468" s="196"/>
      <c r="G468" s="196"/>
      <c r="H468" s="196"/>
      <c r="I468" s="196"/>
      <c r="J468" s="196" t="str">
        <f>$J$2</f>
        <v>WITNESS RESPONSIBLE:</v>
      </c>
      <c r="K468" s="196"/>
    </row>
    <row r="469" spans="1:12">
      <c r="A469" s="343" t="str">
        <f>case_name</f>
        <v>CASE NO: 2018-00261</v>
      </c>
      <c r="C469" s="196"/>
      <c r="D469" s="344"/>
      <c r="E469" s="196"/>
      <c r="F469" s="196"/>
      <c r="G469" s="196"/>
      <c r="H469" s="196"/>
      <c r="I469" s="196"/>
      <c r="J469" s="196" t="str">
        <f>Witness</f>
        <v>JAMES E. ZIOLKOWSKI</v>
      </c>
      <c r="K469" s="196"/>
    </row>
    <row r="470" spans="1:12">
      <c r="A470" s="343" t="str">
        <f>data_filing</f>
        <v>DATA: 12 MONTH FORECASTED PERIOD</v>
      </c>
      <c r="C470" s="196"/>
      <c r="D470" s="344"/>
      <c r="E470" s="196"/>
      <c r="F470" s="196"/>
      <c r="G470" s="196"/>
      <c r="H470" s="196"/>
      <c r="I470" s="196"/>
      <c r="J470" s="196" t="str">
        <f>"PAGE "&amp;Pages-7&amp;" OF "&amp;Pages</f>
        <v>PAGE 11 OF 18</v>
      </c>
      <c r="K470" s="196"/>
    </row>
    <row r="471" spans="1:12">
      <c r="A471" s="343" t="str">
        <f>type</f>
        <v xml:space="preserve">TYPE OF FILING: "X" ORIGINAL   UPDATED    REVISED  </v>
      </c>
      <c r="C471" s="196"/>
      <c r="D471" s="344"/>
      <c r="E471" s="196"/>
      <c r="F471" s="196"/>
      <c r="G471" s="196"/>
      <c r="H471" s="196"/>
      <c r="I471" s="196"/>
      <c r="J471" s="196"/>
      <c r="K471" s="196"/>
    </row>
    <row r="472" spans="1:12">
      <c r="B472" s="343"/>
      <c r="C472" s="196"/>
      <c r="D472" s="344"/>
      <c r="E472" s="196"/>
      <c r="F472" s="196"/>
      <c r="G472" s="196"/>
      <c r="H472" s="196"/>
      <c r="I472" s="196"/>
      <c r="J472" s="196"/>
      <c r="K472" s="196"/>
    </row>
    <row r="473" spans="1:12">
      <c r="B473" s="343"/>
      <c r="C473" s="196"/>
      <c r="D473" s="344"/>
      <c r="E473" s="196"/>
      <c r="F473" s="196"/>
      <c r="G473" s="196"/>
      <c r="H473" s="196"/>
      <c r="I473" s="196"/>
      <c r="J473" s="196"/>
      <c r="K473" s="196"/>
    </row>
    <row r="474" spans="1:12">
      <c r="A474" s="344" t="s">
        <v>914</v>
      </c>
      <c r="B474" s="196"/>
      <c r="C474" s="196"/>
      <c r="D474" s="344"/>
      <c r="E474" s="196"/>
      <c r="F474" s="344" t="str">
        <f>$F$8</f>
        <v>TOTAL</v>
      </c>
      <c r="G474" s="545" t="s">
        <v>1005</v>
      </c>
      <c r="H474" s="533"/>
      <c r="I474" s="534"/>
      <c r="J474" s="344" t="s">
        <v>229</v>
      </c>
      <c r="K474" s="344" t="s">
        <v>342</v>
      </c>
    </row>
    <row r="475" spans="1:12">
      <c r="A475" s="346" t="s">
        <v>915</v>
      </c>
      <c r="B475" s="345" t="s">
        <v>62</v>
      </c>
      <c r="C475" s="345"/>
      <c r="D475" s="346" t="s">
        <v>337</v>
      </c>
      <c r="E475" s="345"/>
      <c r="F475" s="346" t="str">
        <f>$F$9</f>
        <v>PRODUCTION</v>
      </c>
      <c r="G475" s="546" t="s">
        <v>847</v>
      </c>
      <c r="H475" s="535" t="s">
        <v>848</v>
      </c>
      <c r="I475" s="536" t="s">
        <v>849</v>
      </c>
      <c r="J475" s="346" t="s">
        <v>341</v>
      </c>
      <c r="K475" s="346" t="s">
        <v>340</v>
      </c>
      <c r="L475" s="365"/>
    </row>
    <row r="476" spans="1:12">
      <c r="C476" s="578" t="s">
        <v>350</v>
      </c>
      <c r="D476" s="344"/>
      <c r="E476" s="196"/>
      <c r="F476" s="510"/>
      <c r="G476" s="800">
        <f>$G$10</f>
        <v>3</v>
      </c>
      <c r="H476" s="801">
        <f>$H$10</f>
        <v>4</v>
      </c>
      <c r="I476" s="802">
        <f>$I$10</f>
        <v>5</v>
      </c>
      <c r="J476" s="510"/>
      <c r="K476" s="510"/>
    </row>
    <row r="477" spans="1:12">
      <c r="A477" s="333">
        <v>1</v>
      </c>
      <c r="B477" s="332" t="s">
        <v>63</v>
      </c>
      <c r="D477" s="344"/>
      <c r="E477" s="196"/>
      <c r="G477" s="547"/>
      <c r="H477" s="537"/>
      <c r="I477" s="538"/>
    </row>
    <row r="478" spans="1:12">
      <c r="A478" s="333">
        <v>2</v>
      </c>
      <c r="B478" s="332" t="s">
        <v>64</v>
      </c>
      <c r="D478" s="344"/>
      <c r="E478" s="196"/>
      <c r="G478" s="547"/>
      <c r="H478" s="537"/>
      <c r="I478" s="538"/>
    </row>
    <row r="479" spans="1:12">
      <c r="A479" s="333">
        <v>3</v>
      </c>
      <c r="C479" s="332" t="str">
        <f>'FR-16(7)(v)-1 Functional'!C479</f>
        <v>REAL ESTATE &amp; PROPERTY TAX</v>
      </c>
      <c r="D479" s="344" t="str">
        <f>'FR-16(7)(v)-1 Functional'!D479</f>
        <v>NP29</v>
      </c>
      <c r="E479" s="196"/>
      <c r="F479" s="479">
        <f>'FR-16(7)(v)-1 Functional'!G479</f>
        <v>24941</v>
      </c>
      <c r="G479" s="548">
        <f>F479-SUM($H$479:$I$479)</f>
        <v>0</v>
      </c>
      <c r="H479" s="539">
        <f>ROUND(F479*VLOOKUP(D479,AllocTable_Classified_Production,$H$10,FALSE),0)</f>
        <v>24941</v>
      </c>
      <c r="I479" s="540">
        <f>ROUND(F479*VLOOKUP(D479,AllocTable_Classified_Production,$I$10,FALSE),0)</f>
        <v>0</v>
      </c>
      <c r="J479" s="347">
        <f>SUM($G$479:$I$479)</f>
        <v>24941</v>
      </c>
      <c r="K479" s="347">
        <f>F479-$J$479</f>
        <v>0</v>
      </c>
    </row>
    <row r="480" spans="1:12">
      <c r="A480" s="333">
        <v>4</v>
      </c>
      <c r="C480" s="359" t="str">
        <f>'FR-16(7)(v)-1 Functional'!C480</f>
        <v>ANNUALIZE PROPERTY TAX</v>
      </c>
      <c r="D480" s="344" t="str">
        <f>'FR-16(7)(v)-1 Functional'!D480</f>
        <v>NP29</v>
      </c>
      <c r="E480" s="196" t="s">
        <v>343</v>
      </c>
      <c r="F480" s="479">
        <f>'FR-16(7)(v)-1 Functional'!G480</f>
        <v>0</v>
      </c>
      <c r="G480" s="548">
        <f>F480-SUM($H$480:$I$480)</f>
        <v>0</v>
      </c>
      <c r="H480" s="539">
        <f>ROUND(F480*VLOOKUP(D480,AllocTable_Classified_Production,$H$10,FALSE),0)</f>
        <v>0</v>
      </c>
      <c r="I480" s="540">
        <f>ROUND(F480*VLOOKUP(D480,AllocTable_Classified_Production,$I$10,FALSE),0)</f>
        <v>0</v>
      </c>
      <c r="J480" s="347">
        <f>SUM($G$480:$I$480)</f>
        <v>0</v>
      </c>
      <c r="K480" s="347">
        <f>F480-$J$480</f>
        <v>0</v>
      </c>
    </row>
    <row r="481" spans="1:11">
      <c r="A481" s="333">
        <v>5</v>
      </c>
      <c r="C481" s="332" t="str">
        <f>'FR-16(7)(v)-1 Functional'!C481</f>
        <v xml:space="preserve">  TOTAL REAL ESTATE &amp; PROPERTY TAX</v>
      </c>
      <c r="D481" s="344"/>
      <c r="E481" s="196"/>
      <c r="F481" s="348">
        <f>SUM(F479:F480)</f>
        <v>24941</v>
      </c>
      <c r="G481" s="549">
        <f>SUM($G$479:$G$480)</f>
        <v>0</v>
      </c>
      <c r="H481" s="541">
        <f>SUM($H$479:$H$480)</f>
        <v>24941</v>
      </c>
      <c r="I481" s="542">
        <f>SUM($I$479:$I$480)</f>
        <v>0</v>
      </c>
      <c r="J481" s="348">
        <f>SUM($J$479:$J$480)</f>
        <v>24941</v>
      </c>
      <c r="K481" s="348">
        <f>SUM($K$479:$K$480)</f>
        <v>0</v>
      </c>
    </row>
    <row r="482" spans="1:11">
      <c r="A482" s="333">
        <v>6</v>
      </c>
      <c r="D482" s="344"/>
      <c r="E482" s="196"/>
      <c r="F482" s="353"/>
      <c r="G482" s="547"/>
      <c r="H482" s="537"/>
      <c r="I482" s="538"/>
    </row>
    <row r="483" spans="1:11">
      <c r="A483" s="333">
        <v>7</v>
      </c>
      <c r="B483" s="332" t="s">
        <v>65</v>
      </c>
      <c r="D483" s="344"/>
      <c r="E483" s="196"/>
      <c r="F483" s="353"/>
      <c r="G483" s="547"/>
      <c r="H483" s="537"/>
      <c r="I483" s="538"/>
    </row>
    <row r="484" spans="1:11">
      <c r="A484" s="333">
        <v>8</v>
      </c>
      <c r="C484" s="332" t="str">
        <f>'FR-16(7)(v)-1 Functional'!C484</f>
        <v>PAYROLL &amp; HIGHWAY</v>
      </c>
      <c r="D484" s="344" t="str">
        <f>'FR-16(7)(v)-1 Functional'!D484</f>
        <v>AG39</v>
      </c>
      <c r="E484" s="196"/>
      <c r="F484" s="479">
        <f>'FR-16(7)(v)-1 Functional'!G484</f>
        <v>73271</v>
      </c>
      <c r="G484" s="548">
        <f>F484-SUM($H$484:$I$484)</f>
        <v>0</v>
      </c>
      <c r="H484" s="539">
        <f>ROUND(F484*VLOOKUP(D484,AllocTable_Classified_Production,$H$10,FALSE),0)</f>
        <v>73271</v>
      </c>
      <c r="I484" s="540">
        <f>ROUND(F484*VLOOKUP(D484,AllocTable_Classified_Production,$I$10,FALSE),0)</f>
        <v>0</v>
      </c>
      <c r="J484" s="347">
        <f>SUM($G$484:$I$484)</f>
        <v>73271</v>
      </c>
      <c r="K484" s="347">
        <f>F484-$J$484</f>
        <v>0</v>
      </c>
    </row>
    <row r="485" spans="1:11">
      <c r="A485" s="333">
        <v>9</v>
      </c>
      <c r="C485" s="332" t="str">
        <f>'FR-16(7)(v)-1 Functional'!C485</f>
        <v>UNEMPLOYMENT COMPENSATION</v>
      </c>
      <c r="D485" s="344" t="str">
        <f>'FR-16(7)(v)-1 Functional'!D485</f>
        <v>AG39</v>
      </c>
      <c r="E485" s="196"/>
      <c r="F485" s="479">
        <f>'FR-16(7)(v)-1 Functional'!G485</f>
        <v>0</v>
      </c>
      <c r="G485" s="548">
        <f>F485-SUM($H$485:$I$485)</f>
        <v>0</v>
      </c>
      <c r="H485" s="539">
        <f>ROUND(F485*VLOOKUP(D485,AllocTable_Classified_Production,$H$10,FALSE),0)</f>
        <v>0</v>
      </c>
      <c r="I485" s="540">
        <f>ROUND(F485*VLOOKUP(D485,AllocTable_Classified_Production,$I$10,FALSE),0)</f>
        <v>0</v>
      </c>
      <c r="J485" s="347">
        <f>SUM($G$485:$I$485)</f>
        <v>0</v>
      </c>
      <c r="K485" s="347">
        <f>F485-$J$485</f>
        <v>0</v>
      </c>
    </row>
    <row r="486" spans="1:11">
      <c r="A486" s="333">
        <v>10</v>
      </c>
      <c r="C486" s="332" t="str">
        <f>'FR-16(7)(v)-1 Functional'!C486</f>
        <v>OHIO EXCISE TAX</v>
      </c>
      <c r="D486" s="354" t="str">
        <f>'FR-16(7)(v)-1 Functional'!D486</f>
        <v>OM39</v>
      </c>
      <c r="E486" s="196"/>
      <c r="F486" s="479">
        <f>'FR-16(7)(v)-1 Functional'!G486</f>
        <v>0</v>
      </c>
      <c r="G486" s="548">
        <f>F486-SUM($H$486:$I$486)</f>
        <v>0</v>
      </c>
      <c r="H486" s="539">
        <f>ROUND(F486*VLOOKUP(D486,AllocTable_Classified_Production,$H$10,FALSE),0)</f>
        <v>0</v>
      </c>
      <c r="I486" s="540">
        <f>ROUND(F486*VLOOKUP(D486,AllocTable_Classified_Production,$I$10,FALSE),0)</f>
        <v>0</v>
      </c>
      <c r="J486" s="347">
        <f>SUM($G$486:$I$486)</f>
        <v>0</v>
      </c>
      <c r="K486" s="347">
        <f>F486-$J$486</f>
        <v>0</v>
      </c>
    </row>
    <row r="487" spans="1:11">
      <c r="A487" s="333">
        <v>11</v>
      </c>
      <c r="C487" s="359" t="str">
        <f>'FR-16(7)(v)-1 Functional'!C487</f>
        <v>STATE TAX RIDER</v>
      </c>
      <c r="D487" s="354" t="str">
        <f>'FR-16(7)(v)-1 Functional'!D487</f>
        <v>OM39</v>
      </c>
      <c r="E487" s="196"/>
      <c r="F487" s="479">
        <f>'FR-16(7)(v)-1 Functional'!G487</f>
        <v>0</v>
      </c>
      <c r="G487" s="548">
        <f>F487-SUM($H$487:$I$487)</f>
        <v>0</v>
      </c>
      <c r="H487" s="539">
        <f>ROUND(F487*VLOOKUP(D487,AllocTable_Classified_Production,$H$10,FALSE),0)</f>
        <v>0</v>
      </c>
      <c r="I487" s="540">
        <f>ROUND(F487*VLOOKUP(D487,AllocTable_Classified_Production,$I$10,FALSE),0)</f>
        <v>0</v>
      </c>
      <c r="J487" s="347">
        <f>SUM($G$487:$I$487)</f>
        <v>0</v>
      </c>
      <c r="K487" s="347">
        <f>F487-$J$487</f>
        <v>0</v>
      </c>
    </row>
    <row r="488" spans="1:11">
      <c r="A488" s="333">
        <v>12</v>
      </c>
      <c r="C488" s="332" t="str">
        <f>'FR-16(7)(v)-1 Functional'!C488</f>
        <v xml:space="preserve">  TOTAL MISCELLANEOUS TAXES</v>
      </c>
      <c r="D488" s="344"/>
      <c r="E488" s="196"/>
      <c r="F488" s="348">
        <f>SUM(F484:F487)</f>
        <v>73271</v>
      </c>
      <c r="G488" s="549">
        <f>SUM($G$484:$G$487)</f>
        <v>0</v>
      </c>
      <c r="H488" s="541">
        <f>SUM($H$484:$H$487)</f>
        <v>73271</v>
      </c>
      <c r="I488" s="542">
        <f>SUM($I$484:$I$487)</f>
        <v>0</v>
      </c>
      <c r="J488" s="348">
        <f>SUM($J$484:$J$487)</f>
        <v>73271</v>
      </c>
      <c r="K488" s="348">
        <f>SUM($K$484:$K$487)</f>
        <v>0</v>
      </c>
    </row>
    <row r="489" spans="1:11">
      <c r="A489" s="333">
        <v>13</v>
      </c>
      <c r="D489" s="344"/>
      <c r="E489" s="196"/>
      <c r="F489" s="353"/>
      <c r="G489" s="547"/>
      <c r="H489" s="537"/>
      <c r="I489" s="538"/>
    </row>
    <row r="490" spans="1:11">
      <c r="A490" s="333">
        <v>14</v>
      </c>
      <c r="B490" s="332" t="s">
        <v>66</v>
      </c>
      <c r="D490" s="344"/>
      <c r="E490" s="196"/>
      <c r="F490" s="353"/>
      <c r="G490" s="547"/>
      <c r="H490" s="537"/>
      <c r="I490" s="538"/>
    </row>
    <row r="491" spans="1:11">
      <c r="A491" s="333">
        <v>15</v>
      </c>
      <c r="C491" s="332" t="str">
        <f>'FR-16(7)(v)-1 Functional'!C491</f>
        <v>PSC MAINT. EXP ON INCREASE</v>
      </c>
      <c r="D491" s="344" t="str">
        <f>'FR-16(7)(v)-1 Functional'!D491</f>
        <v>AG39</v>
      </c>
      <c r="E491" s="196"/>
      <c r="F491" s="479">
        <f>'FR-16(7)(v)-1 Functional'!G491</f>
        <v>2179</v>
      </c>
      <c r="G491" s="548">
        <f>F491-SUM($H$491:$I$491)</f>
        <v>0</v>
      </c>
      <c r="H491" s="539">
        <f>ROUND(F491*VLOOKUP(D491,AllocTable_Classified_Production,$H$10,FALSE),0)</f>
        <v>2179</v>
      </c>
      <c r="I491" s="540">
        <f>ROUND(F491*VLOOKUP(D491,AllocTable_Classified_Production,$I$10,FALSE),0)</f>
        <v>0</v>
      </c>
      <c r="J491" s="347">
        <f>SUM($G$491:$I$491)</f>
        <v>2179</v>
      </c>
      <c r="K491" s="347">
        <f>F491-$J$491</f>
        <v>0</v>
      </c>
    </row>
    <row r="492" spans="1:11">
      <c r="A492" s="333">
        <v>16</v>
      </c>
      <c r="C492" s="359" t="str">
        <f>'FR-16(7)(v)-1 Functional'!C492</f>
        <v>RESERVED FOR FUTURE USE</v>
      </c>
      <c r="D492" s="344" t="str">
        <f>'FR-16(7)(v)-1 Functional'!D492</f>
        <v>AG39</v>
      </c>
      <c r="E492" s="196"/>
      <c r="F492" s="479">
        <f>'FR-16(7)(v)-1 Functional'!G492</f>
        <v>0</v>
      </c>
      <c r="G492" s="548">
        <f>F492-SUM($H$492:$I$492)</f>
        <v>0</v>
      </c>
      <c r="H492" s="539">
        <f>ROUND(F492*VLOOKUP(D492,AllocTable_Classified_Production,$H$10,FALSE),0)</f>
        <v>0</v>
      </c>
      <c r="I492" s="540">
        <f>ROUND(F492*VLOOKUP(D492,AllocTable_Classified_Production,$I$10,FALSE),0)</f>
        <v>0</v>
      </c>
      <c r="J492" s="347">
        <f>SUM($G$492:$I$492)</f>
        <v>0</v>
      </c>
      <c r="K492" s="347">
        <f>F492-$J$492</f>
        <v>0</v>
      </c>
    </row>
    <row r="493" spans="1:11">
      <c r="A493" s="333">
        <v>17</v>
      </c>
      <c r="C493" s="332" t="str">
        <f>'FR-16(7)(v)-1 Functional'!C493</f>
        <v xml:space="preserve">  TOTAL MISCELLANEOUS EXPENSES</v>
      </c>
      <c r="D493" s="344"/>
      <c r="E493" s="196"/>
      <c r="F493" s="480">
        <f>SUM(F491:F492)</f>
        <v>2179</v>
      </c>
      <c r="G493" s="549">
        <f>SUM($G$491:$G$492)</f>
        <v>0</v>
      </c>
      <c r="H493" s="541">
        <f>SUM($H$491:$H$492)</f>
        <v>2179</v>
      </c>
      <c r="I493" s="542">
        <f>SUM($I$491:$I$492)</f>
        <v>0</v>
      </c>
      <c r="J493" s="348">
        <f>SUM($J$491:$J$492)</f>
        <v>2179</v>
      </c>
      <c r="K493" s="348">
        <f>SUM($K$491:$K$492)</f>
        <v>0</v>
      </c>
    </row>
    <row r="494" spans="1:11">
      <c r="A494" s="333">
        <v>18</v>
      </c>
      <c r="D494" s="344"/>
      <c r="E494" s="196"/>
      <c r="G494" s="547"/>
      <c r="H494" s="537"/>
      <c r="I494" s="538"/>
    </row>
    <row r="495" spans="1:11">
      <c r="A495" s="333">
        <v>19</v>
      </c>
      <c r="B495" s="332" t="s">
        <v>67</v>
      </c>
      <c r="D495" s="344"/>
      <c r="E495" s="196" t="s">
        <v>343</v>
      </c>
      <c r="F495" s="347">
        <f>F488+F481+F493</f>
        <v>100391</v>
      </c>
      <c r="G495" s="548">
        <f>$G$488+$G$481+$G$493</f>
        <v>0</v>
      </c>
      <c r="H495" s="539">
        <f>$H$488+$H$481+$H$493</f>
        <v>100391</v>
      </c>
      <c r="I495" s="540">
        <f>$I$488+$I$481+$I$493</f>
        <v>0</v>
      </c>
      <c r="J495" s="347">
        <f>$J$488+$J$481+$J$493</f>
        <v>100391</v>
      </c>
      <c r="K495" s="347">
        <f>$K$488+$K$481+$K$493</f>
        <v>0</v>
      </c>
    </row>
    <row r="496" spans="1:11">
      <c r="A496" s="333">
        <v>20</v>
      </c>
      <c r="D496" s="344"/>
      <c r="E496" s="196"/>
      <c r="G496" s="547"/>
      <c r="H496" s="537"/>
      <c r="I496" s="538"/>
    </row>
    <row r="497" spans="1:11">
      <c r="A497" s="333">
        <v>21</v>
      </c>
      <c r="B497" s="332" t="s">
        <v>40</v>
      </c>
      <c r="D497" s="344"/>
      <c r="E497" s="196"/>
      <c r="G497" s="547"/>
      <c r="H497" s="537"/>
      <c r="I497" s="538"/>
    </row>
    <row r="498" spans="1:11">
      <c r="A498" s="333">
        <v>22</v>
      </c>
      <c r="C498" s="332" t="str">
        <f>'FR-16(7)(v)-1 Functional'!C498</f>
        <v>TOTAL O&amp;M EXPENSE</v>
      </c>
      <c r="D498" s="344"/>
      <c r="E498" s="196"/>
      <c r="F498" s="347">
        <f t="shared" ref="F498:K498" si="133">F433</f>
        <v>38032691</v>
      </c>
      <c r="G498" s="548">
        <f t="shared" si="133"/>
        <v>0</v>
      </c>
      <c r="H498" s="539">
        <f t="shared" si="133"/>
        <v>38032691</v>
      </c>
      <c r="I498" s="540">
        <f t="shared" si="133"/>
        <v>0</v>
      </c>
      <c r="J498" s="347">
        <f t="shared" si="133"/>
        <v>38032691</v>
      </c>
      <c r="K498" s="347">
        <f t="shared" si="133"/>
        <v>0</v>
      </c>
    </row>
    <row r="499" spans="1:11">
      <c r="A499" s="333">
        <v>23</v>
      </c>
      <c r="C499" s="332" t="str">
        <f>'FR-16(7)(v)-1 Functional'!C499</f>
        <v>TOTAL DEPRECIATION EXPENSE</v>
      </c>
      <c r="D499" s="344"/>
      <c r="E499" s="196"/>
      <c r="F499" s="347">
        <f t="shared" ref="F499:K499" si="134">F465</f>
        <v>457905.06760000001</v>
      </c>
      <c r="G499" s="548">
        <f t="shared" si="134"/>
        <v>6.7599999994854443E-2</v>
      </c>
      <c r="H499" s="539">
        <f t="shared" si="134"/>
        <v>457905</v>
      </c>
      <c r="I499" s="540">
        <f t="shared" si="134"/>
        <v>0</v>
      </c>
      <c r="J499" s="347">
        <f t="shared" si="134"/>
        <v>457905.06760000001</v>
      </c>
      <c r="K499" s="347">
        <f t="shared" si="134"/>
        <v>0</v>
      </c>
    </row>
    <row r="500" spans="1:11">
      <c r="A500" s="333">
        <v>24</v>
      </c>
      <c r="C500" s="359" t="str">
        <f>'FR-16(7)(v)-1 Functional'!C500</f>
        <v>TOTAL OTHER TAX &amp; MISC EXPENSE</v>
      </c>
      <c r="D500" s="344"/>
      <c r="E500" s="196"/>
      <c r="F500" s="347">
        <f>F495</f>
        <v>100391</v>
      </c>
      <c r="G500" s="548">
        <f>$G$495</f>
        <v>0</v>
      </c>
      <c r="H500" s="539">
        <f>$H$495</f>
        <v>100391</v>
      </c>
      <c r="I500" s="540">
        <f>$I$495</f>
        <v>0</v>
      </c>
      <c r="J500" s="347">
        <f>$J$495</f>
        <v>100391</v>
      </c>
      <c r="K500" s="347">
        <f>$K$495</f>
        <v>0</v>
      </c>
    </row>
    <row r="501" spans="1:11">
      <c r="A501" s="333">
        <v>25</v>
      </c>
      <c r="C501" s="332" t="str">
        <f>'FR-16(7)(v)-1 Functional'!C501</f>
        <v xml:space="preserve">  TOTAL OPER EXP EXCL INCOME &amp; REV TAX</v>
      </c>
      <c r="D501" s="344"/>
      <c r="E501" s="196"/>
      <c r="F501" s="348">
        <f>SUM(F498:F500)</f>
        <v>38590987.067599997</v>
      </c>
      <c r="G501" s="557">
        <f>SUM($G$498:$G$500)</f>
        <v>6.7599999994854443E-2</v>
      </c>
      <c r="H501" s="558">
        <f>SUM($H$498:$H$500)</f>
        <v>38590987</v>
      </c>
      <c r="I501" s="559">
        <f>SUM($I$498:$I$500)</f>
        <v>0</v>
      </c>
      <c r="J501" s="348">
        <f>SUM($J$498:$J$500)</f>
        <v>38590987.067599997</v>
      </c>
      <c r="K501" s="348">
        <f>SUM($K$498:$K$500)</f>
        <v>0</v>
      </c>
    </row>
    <row r="502" spans="1:11">
      <c r="B502" s="343"/>
      <c r="C502" s="196"/>
      <c r="D502" s="344"/>
      <c r="E502" s="196"/>
      <c r="F502" s="196"/>
      <c r="G502" s="196"/>
      <c r="H502" s="196"/>
      <c r="I502" s="196"/>
      <c r="J502" s="196"/>
      <c r="K502" s="196"/>
    </row>
    <row r="503" spans="1:11">
      <c r="A503" s="343" t="str">
        <f>co_name</f>
        <v>DUKE ENERGY KENTUCKY, INC.</v>
      </c>
      <c r="C503" s="196"/>
      <c r="D503" s="344"/>
      <c r="E503" s="196"/>
      <c r="F503" s="196"/>
      <c r="G503" s="196"/>
      <c r="H503" s="196"/>
      <c r="I503" s="196"/>
      <c r="J503" s="196" t="str">
        <f>$J$1</f>
        <v>FR-16(7)(v)-2</v>
      </c>
      <c r="K503" s="196"/>
    </row>
    <row r="504" spans="1:11">
      <c r="A504" s="343" t="str">
        <f>$A$2</f>
        <v>PRODUCTION CLASSIFIED - GAS COST OF SERVICE</v>
      </c>
      <c r="C504" s="196"/>
      <c r="D504" s="344"/>
      <c r="E504" s="196"/>
      <c r="F504" s="196"/>
      <c r="G504" s="196"/>
      <c r="H504" s="196"/>
      <c r="I504" s="196"/>
      <c r="J504" s="196" t="str">
        <f>$J$2</f>
        <v>WITNESS RESPONSIBLE:</v>
      </c>
      <c r="K504" s="196"/>
    </row>
    <row r="505" spans="1:11">
      <c r="A505" s="343" t="str">
        <f>case_name</f>
        <v>CASE NO: 2018-00261</v>
      </c>
      <c r="C505" s="196"/>
      <c r="D505" s="344"/>
      <c r="E505" s="196"/>
      <c r="F505" s="196"/>
      <c r="G505" s="196"/>
      <c r="H505" s="196"/>
      <c r="I505" s="196"/>
      <c r="J505" s="196" t="str">
        <f>Witness</f>
        <v>JAMES E. ZIOLKOWSKI</v>
      </c>
      <c r="K505" s="196"/>
    </row>
    <row r="506" spans="1:11">
      <c r="A506" s="343" t="str">
        <f>data_filing</f>
        <v>DATA: 12 MONTH FORECASTED PERIOD</v>
      </c>
      <c r="C506" s="196"/>
      <c r="D506" s="344"/>
      <c r="E506" s="196"/>
      <c r="F506" s="196"/>
      <c r="G506" s="196"/>
      <c r="H506" s="196"/>
      <c r="I506" s="196"/>
      <c r="J506" s="196" t="str">
        <f>"PAGE "&amp;Pages-6&amp;" OF "&amp;Pages</f>
        <v>PAGE 12 OF 18</v>
      </c>
      <c r="K506" s="196"/>
    </row>
    <row r="507" spans="1:11">
      <c r="A507" s="343" t="str">
        <f>type</f>
        <v xml:space="preserve">TYPE OF FILING: "X" ORIGINAL   UPDATED    REVISED  </v>
      </c>
      <c r="C507" s="196"/>
      <c r="D507" s="344"/>
      <c r="E507" s="196"/>
      <c r="F507" s="196"/>
      <c r="G507" s="196"/>
      <c r="H507" s="196"/>
      <c r="I507" s="196"/>
      <c r="J507" s="196"/>
      <c r="K507" s="196"/>
    </row>
    <row r="508" spans="1:11">
      <c r="B508" s="343"/>
      <c r="C508" s="196"/>
      <c r="D508" s="344"/>
      <c r="E508" s="196"/>
      <c r="F508" s="196"/>
      <c r="G508" s="196"/>
      <c r="H508" s="196"/>
      <c r="I508" s="196"/>
      <c r="J508" s="196"/>
      <c r="K508" s="196"/>
    </row>
    <row r="509" spans="1:11">
      <c r="B509" s="343"/>
      <c r="C509" s="196"/>
      <c r="D509" s="344"/>
      <c r="E509" s="196"/>
      <c r="F509" s="196"/>
      <c r="G509" s="196"/>
      <c r="H509" s="196"/>
      <c r="I509" s="196"/>
      <c r="J509" s="196"/>
      <c r="K509" s="196"/>
    </row>
    <row r="510" spans="1:11">
      <c r="A510" s="344" t="s">
        <v>914</v>
      </c>
      <c r="B510" s="196"/>
      <c r="C510" s="196"/>
      <c r="D510" s="344"/>
      <c r="E510" s="196"/>
      <c r="F510" s="344" t="str">
        <f>$F$8</f>
        <v>TOTAL</v>
      </c>
      <c r="G510" s="545" t="s">
        <v>1005</v>
      </c>
      <c r="H510" s="533"/>
      <c r="I510" s="534"/>
      <c r="J510" s="344" t="s">
        <v>229</v>
      </c>
      <c r="K510" s="344" t="s">
        <v>342</v>
      </c>
    </row>
    <row r="511" spans="1:11">
      <c r="A511" s="346" t="s">
        <v>915</v>
      </c>
      <c r="B511" s="345" t="str">
        <f>'FR-16(7)(v)-1 Functional'!B511</f>
        <v>FEDERAL INCOME TAX BASED ON RETURN</v>
      </c>
      <c r="C511" s="345"/>
      <c r="D511" s="346" t="s">
        <v>337</v>
      </c>
      <c r="E511" s="345"/>
      <c r="F511" s="346" t="str">
        <f>$F$9</f>
        <v>PRODUCTION</v>
      </c>
      <c r="G511" s="546" t="s">
        <v>847</v>
      </c>
      <c r="H511" s="535" t="s">
        <v>848</v>
      </c>
      <c r="I511" s="536" t="s">
        <v>849</v>
      </c>
      <c r="J511" s="346" t="s">
        <v>341</v>
      </c>
      <c r="K511" s="346" t="s">
        <v>340</v>
      </c>
    </row>
    <row r="512" spans="1:11">
      <c r="C512" s="578" t="s">
        <v>351</v>
      </c>
      <c r="D512" s="344"/>
      <c r="E512" s="196"/>
      <c r="G512" s="800">
        <f>$G$10</f>
        <v>3</v>
      </c>
      <c r="H512" s="801">
        <f>$H$10</f>
        <v>4</v>
      </c>
      <c r="I512" s="802">
        <f>$I$10</f>
        <v>5</v>
      </c>
    </row>
    <row r="513" spans="1:11">
      <c r="A513" s="333">
        <v>1</v>
      </c>
      <c r="B513" s="332" t="s">
        <v>69</v>
      </c>
      <c r="D513" s="344"/>
      <c r="E513" s="196"/>
      <c r="G513" s="547"/>
      <c r="H513" s="537"/>
      <c r="I513" s="538"/>
    </row>
    <row r="514" spans="1:11">
      <c r="A514" s="333">
        <v>2</v>
      </c>
      <c r="B514" s="332" t="s">
        <v>70</v>
      </c>
      <c r="D514" s="344"/>
      <c r="E514" s="196"/>
      <c r="F514" s="332" t="s">
        <v>343</v>
      </c>
      <c r="G514" s="547"/>
      <c r="H514" s="537"/>
      <c r="I514" s="538"/>
    </row>
    <row r="515" spans="1:11">
      <c r="A515" s="333">
        <v>3</v>
      </c>
      <c r="C515" s="359" t="str">
        <f>'FR-16(7)(v)-1 Functional'!C515</f>
        <v>AUTO PROC INTEREST DED</v>
      </c>
      <c r="D515" s="344" t="str">
        <f>'FR-16(7)(v)-1 Functional'!D515</f>
        <v>RB99</v>
      </c>
      <c r="E515" s="196"/>
      <c r="F515" s="479">
        <f>'FR-16(7)(v)-1 Functional'!G515</f>
        <v>144290</v>
      </c>
      <c r="G515" s="548">
        <f>F515-SUM($H$515:$I$515)</f>
        <v>0</v>
      </c>
      <c r="H515" s="539">
        <f>ROUND(F515*VLOOKUP(D515,AllocTable_Classified_Production,$H$10,FALSE),0)</f>
        <v>144290</v>
      </c>
      <c r="I515" s="540">
        <f>ROUND(F515*VLOOKUP(D515,AllocTable_Classified_Production,$I$10,FALSE),0)</f>
        <v>0</v>
      </c>
      <c r="J515" s="347">
        <f>SUM($G$515:$I$515)</f>
        <v>144290</v>
      </c>
      <c r="K515" s="347">
        <f>F515-$J$515</f>
        <v>0</v>
      </c>
    </row>
    <row r="516" spans="1:11">
      <c r="A516" s="333">
        <v>4</v>
      </c>
      <c r="C516" s="332" t="str">
        <f>'FR-16(7)(v)-1 Functional'!C516</f>
        <v xml:space="preserve">  TOTAL INTEREST EXPENSE</v>
      </c>
      <c r="D516" s="344"/>
      <c r="E516" s="196"/>
      <c r="F516" s="348">
        <f>F515</f>
        <v>144290</v>
      </c>
      <c r="G516" s="549">
        <f>$G$515</f>
        <v>0</v>
      </c>
      <c r="H516" s="541">
        <f>$H$515</f>
        <v>144290</v>
      </c>
      <c r="I516" s="542">
        <f>$I$515</f>
        <v>0</v>
      </c>
      <c r="J516" s="348">
        <f>$J$515</f>
        <v>144290</v>
      </c>
      <c r="K516" s="348">
        <f>$K$515</f>
        <v>0</v>
      </c>
    </row>
    <row r="517" spans="1:11">
      <c r="A517" s="333">
        <v>5</v>
      </c>
      <c r="D517" s="344"/>
      <c r="E517" s="196"/>
      <c r="F517" s="353"/>
      <c r="G517" s="547"/>
      <c r="H517" s="537"/>
      <c r="I517" s="538"/>
    </row>
    <row r="518" spans="1:11">
      <c r="A518" s="333">
        <v>6</v>
      </c>
      <c r="B518" s="332" t="s">
        <v>71</v>
      </c>
      <c r="D518" s="344"/>
      <c r="E518" s="196"/>
      <c r="F518" s="353"/>
      <c r="G518" s="547"/>
      <c r="H518" s="537"/>
      <c r="I518" s="538"/>
    </row>
    <row r="519" spans="1:11">
      <c r="A519" s="333">
        <v>7</v>
      </c>
      <c r="C519" s="332" t="str">
        <f>'FR-16(7)(v)-1 Functional'!C519</f>
        <v>DEPREC EXCESS TAX-BOOK</v>
      </c>
      <c r="D519" s="344" t="str">
        <f>'FR-16(7)(v)-1 Functional'!D519</f>
        <v>DE49</v>
      </c>
      <c r="E519" s="196"/>
      <c r="F519" s="479">
        <f>'FR-16(7)(v)-1 Functional'!G519</f>
        <v>202584</v>
      </c>
      <c r="G519" s="548">
        <f>F519-SUM($H$519:$I$519)</f>
        <v>0</v>
      </c>
      <c r="H519" s="539">
        <f>ROUND(F519*VLOOKUP(D519,AllocTable_Classified_Production,$H$10,FALSE),0)</f>
        <v>202584</v>
      </c>
      <c r="I519" s="540">
        <f>ROUND(F519*VLOOKUP(D519,AllocTable_Classified_Production,$I$10,FALSE),0)</f>
        <v>0</v>
      </c>
      <c r="J519" s="347">
        <f>SUM($G$519:$I$519)</f>
        <v>202584</v>
      </c>
      <c r="K519" s="347">
        <f>F519-$J$519</f>
        <v>0</v>
      </c>
    </row>
    <row r="520" spans="1:11">
      <c r="A520" s="333">
        <v>8</v>
      </c>
      <c r="C520" s="332" t="str">
        <f>'FR-16(7)(v)-1 Functional'!C520</f>
        <v>PERMANENT DIFFERENCES</v>
      </c>
      <c r="D520" s="344" t="str">
        <f>'FR-16(7)(v)-1 Functional'!D520</f>
        <v>AG39</v>
      </c>
      <c r="E520" s="196"/>
      <c r="F520" s="479">
        <f>'FR-16(7)(v)-1 Functional'!G520</f>
        <v>-10299</v>
      </c>
      <c r="G520" s="548">
        <f>F520-SUM($H$520:$I$520)</f>
        <v>0</v>
      </c>
      <c r="H520" s="539">
        <f>ROUND(F520*VLOOKUP(D520,AllocTable_Classified_Production,$H$10,FALSE),0)</f>
        <v>-10299</v>
      </c>
      <c r="I520" s="540">
        <f>ROUND(F520*VLOOKUP(D520,AllocTable_Classified_Production,$I$10,FALSE),0)</f>
        <v>0</v>
      </c>
      <c r="J520" s="347">
        <f>SUM($G$520:$I$520)</f>
        <v>-10299</v>
      </c>
      <c r="K520" s="347">
        <f>F520-$J$520</f>
        <v>0</v>
      </c>
    </row>
    <row r="521" spans="1:11">
      <c r="A521" s="333">
        <v>9</v>
      </c>
      <c r="C521" s="359" t="str">
        <f>'FR-16(7)(v)-1 Functional'!C521</f>
        <v>TEMPORARY DIFFERENCES</v>
      </c>
      <c r="D521" s="344" t="str">
        <f>'FR-16(7)(v)-1 Functional'!D521</f>
        <v>DE49</v>
      </c>
      <c r="E521" s="196"/>
      <c r="F521" s="479">
        <f>'FR-16(7)(v)-1 Functional'!G521</f>
        <v>7348</v>
      </c>
      <c r="G521" s="548">
        <f>F521-SUM($H$521:$I$521)</f>
        <v>0</v>
      </c>
      <c r="H521" s="539">
        <f>ROUND(F521*VLOOKUP(D521,AllocTable_Classified_Production,$H$10,FALSE),0)</f>
        <v>7348</v>
      </c>
      <c r="I521" s="540">
        <f>ROUND(F521*VLOOKUP(D521,AllocTable_Classified_Production,$I$10,FALSE),0)</f>
        <v>0</v>
      </c>
      <c r="J521" s="347">
        <f>SUM($G$521:$I$521)</f>
        <v>7348</v>
      </c>
      <c r="K521" s="347">
        <f>F521-$J$521</f>
        <v>0</v>
      </c>
    </row>
    <row r="522" spans="1:11">
      <c r="A522" s="333">
        <v>10</v>
      </c>
      <c r="C522" s="332" t="str">
        <f>'FR-16(7)(v)-1 Functional'!C522</f>
        <v xml:space="preserve">  TOTAL OTHER DEDUCTIONS</v>
      </c>
      <c r="D522" s="344"/>
      <c r="E522" s="196"/>
      <c r="F522" s="348">
        <f>SUM(F519:F521)</f>
        <v>199633</v>
      </c>
      <c r="G522" s="549">
        <f>SUM($G$519:$G$521)</f>
        <v>0</v>
      </c>
      <c r="H522" s="541">
        <f>SUM($H$519:$H$521)</f>
        <v>199633</v>
      </c>
      <c r="I522" s="542">
        <f>SUM($I$519:$I$521)</f>
        <v>0</v>
      </c>
      <c r="J522" s="348">
        <f>SUM($J$519:$J$521)</f>
        <v>199633</v>
      </c>
      <c r="K522" s="480">
        <f>SUM($K$519:$K$521)</f>
        <v>0</v>
      </c>
    </row>
    <row r="523" spans="1:11">
      <c r="A523" s="333">
        <v>11</v>
      </c>
      <c r="D523" s="344"/>
      <c r="E523" s="196"/>
      <c r="F523" s="353"/>
      <c r="G523" s="547"/>
      <c r="H523" s="537"/>
      <c r="I523" s="538"/>
    </row>
    <row r="524" spans="1:11">
      <c r="A524" s="333">
        <v>12</v>
      </c>
      <c r="B524" s="332" t="s">
        <v>72</v>
      </c>
      <c r="D524" s="344"/>
      <c r="E524" s="196"/>
      <c r="F524" s="349">
        <f>F522+F516</f>
        <v>343923</v>
      </c>
      <c r="G524" s="548">
        <f>$G$522+$G$516</f>
        <v>0</v>
      </c>
      <c r="H524" s="539">
        <f>$H$522+$H$516</f>
        <v>343923</v>
      </c>
      <c r="I524" s="540">
        <f>$I$522+$I$516</f>
        <v>0</v>
      </c>
      <c r="J524" s="347">
        <f>$J$522+$J$516</f>
        <v>343923</v>
      </c>
      <c r="K524" s="347">
        <f>$K$522+$K$516</f>
        <v>0</v>
      </c>
    </row>
    <row r="525" spans="1:11">
      <c r="A525" s="333">
        <v>13</v>
      </c>
      <c r="D525" s="344"/>
      <c r="E525" s="196"/>
      <c r="F525" s="353"/>
      <c r="G525" s="547"/>
      <c r="H525" s="537"/>
      <c r="I525" s="538"/>
    </row>
    <row r="526" spans="1:11">
      <c r="A526" s="333">
        <v>14</v>
      </c>
      <c r="B526" s="340" t="s">
        <v>544</v>
      </c>
      <c r="D526" s="344"/>
      <c r="E526" s="196"/>
      <c r="F526" s="353"/>
      <c r="G526" s="547"/>
      <c r="H526" s="537"/>
      <c r="I526" s="538"/>
    </row>
    <row r="527" spans="1:11">
      <c r="A527" s="333">
        <v>15</v>
      </c>
      <c r="C527" s="332" t="str">
        <f>'FR-16(7)(v)-1 Functional'!C527</f>
        <v>DEFERRED INCOME TAXES - NET</v>
      </c>
      <c r="D527" s="344" t="str">
        <f>'FR-16(7)(v)-1 Functional'!D527</f>
        <v>OM39</v>
      </c>
      <c r="E527" s="196"/>
      <c r="F527" s="479">
        <f>'FR-16(7)(v)-1 Functional'!G527</f>
        <v>803280</v>
      </c>
      <c r="G527" s="548">
        <f>F527-SUM($H$527:$I$527)</f>
        <v>0</v>
      </c>
      <c r="H527" s="539">
        <f>ROUND(F527*VLOOKUP(D527,AllocTable_Classified_Production,$H$10,FALSE),0)</f>
        <v>803280</v>
      </c>
      <c r="I527" s="540">
        <f>ROUND(F527*VLOOKUP(D527,AllocTable_Classified_Production,$I$10,FALSE),0)</f>
        <v>0</v>
      </c>
      <c r="J527" s="347">
        <f>SUM($G$527:$I$527)</f>
        <v>803280</v>
      </c>
      <c r="K527" s="347">
        <f>F527-$J$527</f>
        <v>0</v>
      </c>
    </row>
    <row r="528" spans="1:11">
      <c r="A528" s="333">
        <v>16</v>
      </c>
      <c r="C528" s="332" t="str">
        <f>'FR-16(7)(v)-1 Functional'!C528</f>
        <v>AMORT OF DEFERRED MERGER COST</v>
      </c>
      <c r="D528" s="344" t="str">
        <f>'FR-16(7)(v)-1 Functional'!D528</f>
        <v>AG39</v>
      </c>
      <c r="E528" s="196"/>
      <c r="F528" s="479">
        <f>'FR-16(7)(v)-1 Functional'!G528</f>
        <v>0</v>
      </c>
      <c r="G528" s="548">
        <f>F528-SUM($H$528:$I$528)</f>
        <v>0</v>
      </c>
      <c r="H528" s="539">
        <f>ROUND(F528*VLOOKUP(D528,AllocTable_Classified_Production,$H$10,FALSE),0)</f>
        <v>0</v>
      </c>
      <c r="I528" s="540">
        <f>ROUND(F528*VLOOKUP(D528,AllocTable_Classified_Production,$I$10,FALSE),0)</f>
        <v>0</v>
      </c>
      <c r="J528" s="347">
        <f>SUM($G$528:$I$528)</f>
        <v>0</v>
      </c>
      <c r="K528" s="347">
        <f>F528-$J$528</f>
        <v>0</v>
      </c>
    </row>
    <row r="529" spans="1:11">
      <c r="A529" s="333">
        <v>17</v>
      </c>
      <c r="C529" s="618" t="str">
        <f>'FR-16(7)(v)-1 Functional'!C529</f>
        <v>DIT ADJUSTMENT - S/L DEPRECIATION</v>
      </c>
      <c r="D529" s="344" t="str">
        <f>'FR-16(7)(v)-1 Functional'!D529</f>
        <v>DE49</v>
      </c>
      <c r="E529" s="196"/>
      <c r="F529" s="479">
        <f>'FR-16(7)(v)-1 Functional'!G529</f>
        <v>0</v>
      </c>
      <c r="G529" s="548">
        <f>F529-SUM($H$529:$I$529)</f>
        <v>0</v>
      </c>
      <c r="H529" s="539">
        <f>ROUND(F529*VLOOKUP(D529,AllocTable_Classified_Production,$H$10,FALSE),0)</f>
        <v>0</v>
      </c>
      <c r="I529" s="540">
        <f>ROUND(F529*VLOOKUP(D529,AllocTable_Classified_Production,$I$10,FALSE),0)</f>
        <v>0</v>
      </c>
      <c r="J529" s="347">
        <f>SUM($G$529:$I$529)</f>
        <v>0</v>
      </c>
      <c r="K529" s="347">
        <f>F529-$J$529</f>
        <v>0</v>
      </c>
    </row>
    <row r="530" spans="1:11">
      <c r="A530" s="333">
        <v>18</v>
      </c>
      <c r="C530" s="332" t="str">
        <f>'FR-16(7)(v)-1 Functional'!C530</f>
        <v>DIT ADJUSTMENT - ARAM</v>
      </c>
      <c r="D530" s="344" t="str">
        <f>'FR-16(7)(v)-1 Functional'!D530</f>
        <v>K201</v>
      </c>
      <c r="E530" s="196"/>
      <c r="F530" s="479">
        <f>'FR-16(7)(v)-1 Functional'!G530</f>
        <v>-16534</v>
      </c>
      <c r="G530" s="548">
        <f>F530-SUM($H$530:$I$530)</f>
        <v>0</v>
      </c>
      <c r="H530" s="539">
        <f>ROUND(F530*VLOOKUP(D530,AllocTable_Classified_Production,$H$10,FALSE),0)</f>
        <v>-16534</v>
      </c>
      <c r="I530" s="540">
        <f>ROUND(F530*VLOOKUP(D530,AllocTable_Classified_Production,$I$10,FALSE),0)</f>
        <v>0</v>
      </c>
      <c r="J530" s="347">
        <f>SUM($G$530:$I$530)</f>
        <v>-16534</v>
      </c>
      <c r="K530" s="347">
        <f>F530-$J$530</f>
        <v>0</v>
      </c>
    </row>
    <row r="531" spans="1:11">
      <c r="A531" s="333">
        <v>19</v>
      </c>
      <c r="C531" s="359" t="s">
        <v>1495</v>
      </c>
      <c r="D531" s="344" t="str">
        <f>'FR-16(7)(v)-1 Functional'!D531</f>
        <v>AG39</v>
      </c>
      <c r="E531" s="196"/>
      <c r="F531" s="479">
        <f>'FR-16(7)(v)-1 Functional'!G531</f>
        <v>-60558</v>
      </c>
      <c r="G531" s="548">
        <f>F531-SUM($H$531:$I$531)</f>
        <v>0</v>
      </c>
      <c r="H531" s="539">
        <f>ROUND(F531*VLOOKUP(D531,AllocTable_Classified_Production,$H$10,FALSE),0)</f>
        <v>-60558</v>
      </c>
      <c r="I531" s="540">
        <f>ROUND(F531*VLOOKUP(D531,AllocTable_Classified_Production,$I$10,FALSE),0)</f>
        <v>0</v>
      </c>
      <c r="J531" s="347">
        <f>SUM($G$531:$I$531)</f>
        <v>-60558</v>
      </c>
      <c r="K531" s="347">
        <f>F531-$J$531</f>
        <v>0</v>
      </c>
    </row>
    <row r="532" spans="1:11">
      <c r="A532" s="333">
        <v>20</v>
      </c>
      <c r="C532" s="332" t="str">
        <f>'FR-16(7)(v)-1 Functional'!C532</f>
        <v xml:space="preserve">  TOTAL FED DEF IT (410 &amp; 411)</v>
      </c>
      <c r="D532" s="344"/>
      <c r="E532" s="196"/>
      <c r="F532" s="348">
        <f>SUM(F527:F531)</f>
        <v>726188</v>
      </c>
      <c r="G532" s="549">
        <f>SUM($G$527:$G$531)</f>
        <v>0</v>
      </c>
      <c r="H532" s="541">
        <f>SUM($H$527:$H$531)</f>
        <v>726188</v>
      </c>
      <c r="I532" s="542">
        <f>SUM($I$527:$I$531)</f>
        <v>0</v>
      </c>
      <c r="J532" s="348">
        <f>SUM($J$527:$J$531)</f>
        <v>726188</v>
      </c>
      <c r="K532" s="480">
        <f>SUM($K$527:$K$531)</f>
        <v>0</v>
      </c>
    </row>
    <row r="533" spans="1:11">
      <c r="A533" s="333">
        <v>21</v>
      </c>
      <c r="D533" s="344"/>
      <c r="E533" s="196"/>
      <c r="F533" s="353"/>
      <c r="G533" s="547"/>
      <c r="H533" s="537"/>
      <c r="I533" s="538"/>
    </row>
    <row r="534" spans="1:11">
      <c r="A534" s="333">
        <v>22</v>
      </c>
      <c r="B534" s="332" t="s">
        <v>419</v>
      </c>
      <c r="D534" s="344"/>
      <c r="E534" s="196"/>
      <c r="F534" s="353"/>
      <c r="G534" s="547"/>
      <c r="H534" s="537"/>
      <c r="I534" s="538"/>
    </row>
    <row r="535" spans="1:11">
      <c r="A535" s="333">
        <v>23</v>
      </c>
      <c r="C535" s="359" t="str">
        <f>'FR-16(7)(v)-1 Functional'!C535</f>
        <v>AMORTIZE ITC</v>
      </c>
      <c r="D535" s="344" t="str">
        <f>'FR-16(7)(v)-1 Functional'!D535</f>
        <v>NP29</v>
      </c>
      <c r="E535" s="196"/>
      <c r="F535" s="479">
        <f>'FR-16(7)(v)-1 Functional'!G535</f>
        <v>486</v>
      </c>
      <c r="G535" s="548">
        <f>F535-SUM($H$535:$I$535)</f>
        <v>0</v>
      </c>
      <c r="H535" s="539">
        <f>ROUND(F535*VLOOKUP(D535,AllocTable_Classified_Production,$H$10,FALSE),0)</f>
        <v>486</v>
      </c>
      <c r="I535" s="540">
        <f>ROUND(F535*VLOOKUP(D535,AllocTable_Classified_Production,$I$10,FALSE),0)</f>
        <v>0</v>
      </c>
      <c r="J535" s="512">
        <f>SUM($G$535:$I$535)</f>
        <v>486</v>
      </c>
      <c r="K535" s="512">
        <f>F535-$J$535</f>
        <v>0</v>
      </c>
    </row>
    <row r="536" spans="1:11">
      <c r="A536" s="333">
        <v>24</v>
      </c>
      <c r="C536" s="332" t="str">
        <f>'FR-16(7)(v)-1 Functional'!C536</f>
        <v xml:space="preserve">  TOTAL AMORTIZED ITC</v>
      </c>
      <c r="D536" s="344"/>
      <c r="E536" s="196"/>
      <c r="F536" s="348">
        <f>SUM(F535:F535)</f>
        <v>486</v>
      </c>
      <c r="G536" s="549">
        <f>SUM($G$535:$G$535)</f>
        <v>0</v>
      </c>
      <c r="H536" s="541">
        <f>SUM($H$535:$H$535)</f>
        <v>486</v>
      </c>
      <c r="I536" s="542">
        <f>SUM($I$535:$I$535)</f>
        <v>0</v>
      </c>
      <c r="J536" s="348">
        <f>SUM($J$535:$J$535)</f>
        <v>486</v>
      </c>
      <c r="K536" s="348">
        <f>SUM($K$535:$K$535)</f>
        <v>0</v>
      </c>
    </row>
    <row r="537" spans="1:11">
      <c r="A537" s="333">
        <v>25</v>
      </c>
      <c r="D537" s="344"/>
      <c r="E537" s="196"/>
      <c r="F537" s="510"/>
      <c r="G537" s="572"/>
      <c r="H537" s="573"/>
      <c r="I537" s="574"/>
      <c r="J537" s="510"/>
      <c r="K537" s="510"/>
    </row>
    <row r="538" spans="1:11" ht="15.75">
      <c r="A538" s="333">
        <v>26</v>
      </c>
      <c r="B538" s="332" t="s">
        <v>73</v>
      </c>
      <c r="D538" s="735"/>
      <c r="E538" s="1"/>
      <c r="F538" s="510"/>
      <c r="G538" s="572"/>
      <c r="H538" s="573"/>
      <c r="I538" s="574"/>
      <c r="J538" s="510"/>
      <c r="K538" s="510"/>
    </row>
    <row r="539" spans="1:11">
      <c r="A539" s="333">
        <v>27</v>
      </c>
      <c r="C539" s="332" t="str">
        <f>'FR-16(7)(v)-1 Functional'!C539</f>
        <v>PROV INVEST TAX CREDIT</v>
      </c>
      <c r="D539" s="344" t="s">
        <v>315</v>
      </c>
      <c r="F539" s="479">
        <v>0</v>
      </c>
      <c r="G539" s="548">
        <f>ROUND(F539*VLOOKUP(D539,AllocTable_Classified_Production,$G$10,FALSE),0)</f>
        <v>0</v>
      </c>
      <c r="H539" s="539">
        <f>ROUND(F539*VLOOKUP(D539,AllocTable_Classified_Production,$H$10,FALSE),0)</f>
        <v>0</v>
      </c>
      <c r="I539" s="540">
        <f>ROUND(F539*VLOOKUP(D539,AllocTable_Classified_Production,$I$10,FALSE),0)</f>
        <v>0</v>
      </c>
      <c r="J539" s="347">
        <f>SUM($G$539:$I$539)</f>
        <v>0</v>
      </c>
      <c r="K539" s="347">
        <f>F539-$J$539</f>
        <v>0</v>
      </c>
    </row>
    <row r="540" spans="1:11" ht="15.75">
      <c r="A540" s="333">
        <v>28</v>
      </c>
      <c r="C540" s="339" t="str">
        <f>'FR-16(7)(v)-1 Functional'!C540</f>
        <v xml:space="preserve">  TEST YEAR INV TAX CREDIT</v>
      </c>
      <c r="D540" s="735"/>
      <c r="E540" s="1"/>
      <c r="F540" s="348">
        <f>SUM(F539:F539)</f>
        <v>0</v>
      </c>
      <c r="G540" s="549">
        <f>SUM($G$539:$G$539)</f>
        <v>0</v>
      </c>
      <c r="H540" s="541">
        <f>SUM($H$539:$H$539)</f>
        <v>0</v>
      </c>
      <c r="I540" s="542">
        <f>SUM($I$539:$I$539)</f>
        <v>0</v>
      </c>
      <c r="J540" s="348">
        <f>SUM($J$539:$J$539)</f>
        <v>0</v>
      </c>
      <c r="K540" s="348">
        <f>SUM($K$539:$K$539)</f>
        <v>0</v>
      </c>
    </row>
    <row r="541" spans="1:11" ht="15.75">
      <c r="A541" s="333">
        <v>29</v>
      </c>
      <c r="B541" s="193"/>
      <c r="C541" s="193"/>
      <c r="D541" s="735"/>
      <c r="E541" s="1"/>
      <c r="F541" s="510"/>
      <c r="G541" s="572"/>
      <c r="H541" s="573"/>
      <c r="I541" s="574"/>
      <c r="J541" s="510"/>
      <c r="K541" s="510"/>
    </row>
    <row r="542" spans="1:11" ht="15.75">
      <c r="A542" s="333">
        <v>30</v>
      </c>
      <c r="B542" s="332" t="s">
        <v>40</v>
      </c>
      <c r="C542" s="193"/>
      <c r="D542" s="735"/>
      <c r="E542" s="1"/>
      <c r="F542" s="510"/>
      <c r="G542" s="572"/>
      <c r="H542" s="573"/>
      <c r="I542" s="574"/>
      <c r="J542" s="510"/>
      <c r="K542" s="510"/>
    </row>
    <row r="543" spans="1:11">
      <c r="A543" s="333">
        <v>31</v>
      </c>
      <c r="C543" s="332" t="str">
        <f>'FR-16(7)(v)-1 Functional'!C543</f>
        <v>TOTAL FED DEF IT (410 &amp; 411)</v>
      </c>
      <c r="D543" s="344"/>
      <c r="E543" s="196"/>
      <c r="F543" s="349">
        <f>F532</f>
        <v>726188</v>
      </c>
      <c r="G543" s="548">
        <f>$G$532</f>
        <v>0</v>
      </c>
      <c r="H543" s="539">
        <f>$H$532</f>
        <v>726188</v>
      </c>
      <c r="I543" s="540">
        <f>$I$532</f>
        <v>0</v>
      </c>
      <c r="J543" s="347">
        <f>$J$532</f>
        <v>726188</v>
      </c>
      <c r="K543" s="347">
        <f>$K$532</f>
        <v>0</v>
      </c>
    </row>
    <row r="544" spans="1:11">
      <c r="A544" s="333">
        <v>32</v>
      </c>
      <c r="C544" s="359" t="str">
        <f>'FR-16(7)(v)-1 Functional'!C544</f>
        <v>TOTAL AMORTIZED ITC</v>
      </c>
      <c r="D544" s="344"/>
      <c r="E544" s="196"/>
      <c r="F544" s="349">
        <f>-F536</f>
        <v>-486</v>
      </c>
      <c r="G544" s="548">
        <f>-$G$536</f>
        <v>0</v>
      </c>
      <c r="H544" s="539">
        <f>-$H$536</f>
        <v>-486</v>
      </c>
      <c r="I544" s="540">
        <f>-$I$536</f>
        <v>0</v>
      </c>
      <c r="J544" s="347">
        <f>-$J$536</f>
        <v>-486</v>
      </c>
      <c r="K544" s="347">
        <f>-$K$536</f>
        <v>0</v>
      </c>
    </row>
    <row r="545" spans="1:11">
      <c r="A545" s="333">
        <v>33</v>
      </c>
      <c r="C545" s="332" t="str">
        <f>'FR-16(7)(v)-1 Functional'!C545</f>
        <v xml:space="preserve">  TOTAL FEDERAL TAX ADJUSTMENTS</v>
      </c>
      <c r="D545" s="344"/>
      <c r="E545" s="196"/>
      <c r="F545" s="348">
        <f>SUM(F543:F544)</f>
        <v>725702</v>
      </c>
      <c r="G545" s="549">
        <f>SUM($G$543:$G$544)</f>
        <v>0</v>
      </c>
      <c r="H545" s="541">
        <f>SUM($H$543:$H$544)</f>
        <v>725702</v>
      </c>
      <c r="I545" s="542">
        <f>SUM($I$543:$I$544)</f>
        <v>0</v>
      </c>
      <c r="J545" s="348">
        <f>SUM($J$543:$J$544)</f>
        <v>725702</v>
      </c>
      <c r="K545" s="348">
        <f>SUM($K$543:$K$544)</f>
        <v>0</v>
      </c>
    </row>
    <row r="546" spans="1:11">
      <c r="A546" s="333">
        <v>34</v>
      </c>
      <c r="D546" s="344"/>
      <c r="E546" s="196"/>
      <c r="F546" s="353"/>
      <c r="G546" s="547"/>
      <c r="H546" s="537"/>
      <c r="I546" s="538"/>
    </row>
    <row r="547" spans="1:11">
      <c r="A547" s="333">
        <v>35</v>
      </c>
      <c r="B547" s="332" t="s">
        <v>74</v>
      </c>
      <c r="D547" s="344"/>
      <c r="E547" s="196"/>
      <c r="F547" s="353"/>
      <c r="G547" s="547"/>
      <c r="H547" s="537"/>
      <c r="I547" s="538"/>
    </row>
    <row r="548" spans="1:11">
      <c r="A548" s="333">
        <v>36</v>
      </c>
      <c r="C548" s="332" t="str">
        <f>'FR-16(7)(v)-1 Functional'!C548</f>
        <v>RETURN ON RATE BASE</v>
      </c>
      <c r="D548" s="344"/>
      <c r="E548" s="196"/>
      <c r="F548" s="349">
        <f t="shared" ref="F548:K548" si="135">F334</f>
        <v>480732</v>
      </c>
      <c r="G548" s="548">
        <f t="shared" si="135"/>
        <v>0</v>
      </c>
      <c r="H548" s="539">
        <f t="shared" si="135"/>
        <v>480732</v>
      </c>
      <c r="I548" s="540">
        <f t="shared" si="135"/>
        <v>0</v>
      </c>
      <c r="J548" s="347">
        <f t="shared" si="135"/>
        <v>480732</v>
      </c>
      <c r="K548" s="347">
        <f t="shared" si="135"/>
        <v>0</v>
      </c>
    </row>
    <row r="549" spans="1:11">
      <c r="A549" s="333">
        <v>37</v>
      </c>
      <c r="C549" s="332" t="str">
        <f>'FR-16(7)(v)-1 Functional'!C549</f>
        <v>NET DEDUCTIONS AND ADDITIONS</v>
      </c>
      <c r="D549" s="344"/>
      <c r="E549" s="196"/>
      <c r="F549" s="349">
        <f>-F524</f>
        <v>-343923</v>
      </c>
      <c r="G549" s="548">
        <f>-$G$524</f>
        <v>0</v>
      </c>
      <c r="H549" s="539">
        <f>-$H$524</f>
        <v>-343923</v>
      </c>
      <c r="I549" s="540">
        <f>-$I$524</f>
        <v>0</v>
      </c>
      <c r="J549" s="347">
        <f>-$J$524</f>
        <v>-343923</v>
      </c>
      <c r="K549" s="347">
        <f>-$K$524</f>
        <v>0</v>
      </c>
    </row>
    <row r="550" spans="1:11">
      <c r="A550" s="333">
        <v>38</v>
      </c>
      <c r="C550" s="332" t="s">
        <v>1496</v>
      </c>
      <c r="D550" s="344"/>
      <c r="E550" s="196"/>
      <c r="F550" s="349">
        <f t="shared" ref="F550:K550" si="136">F591</f>
        <v>3319</v>
      </c>
      <c r="G550" s="548">
        <f t="shared" si="136"/>
        <v>0</v>
      </c>
      <c r="H550" s="539">
        <f t="shared" si="136"/>
        <v>3319</v>
      </c>
      <c r="I550" s="540">
        <f t="shared" si="136"/>
        <v>0</v>
      </c>
      <c r="J550" s="347">
        <f t="shared" si="136"/>
        <v>3319</v>
      </c>
      <c r="K550" s="347">
        <f t="shared" si="136"/>
        <v>0</v>
      </c>
    </row>
    <row r="551" spans="1:11">
      <c r="A551" s="333">
        <v>39</v>
      </c>
      <c r="C551" s="359" t="str">
        <f>'FR-16(7)(v)-1 Functional'!C551</f>
        <v>TOTAL FEDERAL TAX ADJUSTMENTS</v>
      </c>
      <c r="D551" s="344"/>
      <c r="E551" s="196"/>
      <c r="F551" s="349">
        <f>F545</f>
        <v>725702</v>
      </c>
      <c r="G551" s="548">
        <f>$G$545</f>
        <v>0</v>
      </c>
      <c r="H551" s="539">
        <f>$H$545</f>
        <v>725702</v>
      </c>
      <c r="I551" s="540">
        <f>$I$545</f>
        <v>0</v>
      </c>
      <c r="J551" s="347">
        <f>$J$545</f>
        <v>725702</v>
      </c>
      <c r="K551" s="347">
        <f>$K$545</f>
        <v>0</v>
      </c>
    </row>
    <row r="552" spans="1:11">
      <c r="A552" s="333">
        <v>40</v>
      </c>
      <c r="C552" s="332" t="str">
        <f>'FR-16(7)(v)-1 Functional'!C552</f>
        <v xml:space="preserve">  BASE FOR FIT COMPUATION</v>
      </c>
      <c r="D552" s="344"/>
      <c r="E552" s="196"/>
      <c r="F552" s="348">
        <f>SUM(F548:F551)</f>
        <v>865830</v>
      </c>
      <c r="G552" s="549">
        <f>SUM($G$548:$G$551)</f>
        <v>0</v>
      </c>
      <c r="H552" s="541">
        <f>SUM($H$548:$H$551)</f>
        <v>865830</v>
      </c>
      <c r="I552" s="542">
        <f>SUM($I$548:$I$551)</f>
        <v>0</v>
      </c>
      <c r="J552" s="348">
        <f>SUM($J$548:$J$551)</f>
        <v>865830</v>
      </c>
      <c r="K552" s="348">
        <f>SUM($K$548:$K$551)</f>
        <v>0</v>
      </c>
    </row>
    <row r="553" spans="1:11">
      <c r="A553" s="333">
        <v>41</v>
      </c>
      <c r="D553" s="344"/>
      <c r="E553" s="196"/>
      <c r="F553" s="353"/>
      <c r="G553" s="547"/>
      <c r="H553" s="537"/>
      <c r="I553" s="538"/>
    </row>
    <row r="554" spans="1:11">
      <c r="A554" s="333">
        <v>42</v>
      </c>
      <c r="C554" s="332" t="str">
        <f>'FR-16(7)(v)-1 Functional'!C554</f>
        <v>FIT FACTOR K190/(1-K190)</v>
      </c>
      <c r="D554" s="344"/>
      <c r="E554" s="196"/>
      <c r="F554" s="356">
        <f>ROUND(F692/(1-F692),9)</f>
        <v>0.26582278500000001</v>
      </c>
      <c r="G554" s="566">
        <f>ROUND(G692/(1-G692),9)</f>
        <v>0.26582278500000001</v>
      </c>
      <c r="H554" s="567">
        <f>ROUND(H692/(1-H692),9)</f>
        <v>0.26582278500000001</v>
      </c>
      <c r="I554" s="568">
        <f>ROUND(I692/(1-I692),9)</f>
        <v>0.26582278500000001</v>
      </c>
      <c r="J554" s="350"/>
      <c r="K554" s="350">
        <f>ROUND(K692/(1-K692),9)</f>
        <v>0.26582278500000001</v>
      </c>
    </row>
    <row r="555" spans="1:11">
      <c r="A555" s="333">
        <v>43</v>
      </c>
      <c r="C555" s="332" t="str">
        <f>'FR-16(7)(v)-1 Functional'!C555</f>
        <v>PRELIM FED INCOME TAX</v>
      </c>
      <c r="D555" s="344"/>
      <c r="E555" s="196"/>
      <c r="F555" s="349">
        <f>ROUND(F554*F552,0)</f>
        <v>230157</v>
      </c>
      <c r="G555" s="560">
        <f>ROUND($G$552*$G$554,0)</f>
        <v>0</v>
      </c>
      <c r="H555" s="561">
        <f>ROUND($H$552*$H$554,0)</f>
        <v>230157</v>
      </c>
      <c r="I555" s="562">
        <f>ROUND($I$552*$I$554,0)</f>
        <v>0</v>
      </c>
      <c r="J555" s="347">
        <f>SUM($G$555:$I$555)</f>
        <v>230157</v>
      </c>
      <c r="K555" s="347">
        <f>ROUND($K$552*$K$554,0)</f>
        <v>0</v>
      </c>
    </row>
    <row r="556" spans="1:11">
      <c r="A556" s="333">
        <v>44</v>
      </c>
      <c r="C556" s="359" t="str">
        <f>'FR-16(7)(v)-1 Functional'!C556</f>
        <v>TOTAL FEDERAL TAX ADJUSTMENTS</v>
      </c>
      <c r="D556" s="344"/>
      <c r="E556" s="196"/>
      <c r="F556" s="349">
        <f>F545</f>
        <v>725702</v>
      </c>
      <c r="G556" s="548">
        <f>$G$545</f>
        <v>0</v>
      </c>
      <c r="H556" s="539">
        <f>$H$545</f>
        <v>725702</v>
      </c>
      <c r="I556" s="540">
        <f>$I$545</f>
        <v>0</v>
      </c>
      <c r="J556" s="347">
        <f>$J$545</f>
        <v>725702</v>
      </c>
      <c r="K556" s="347">
        <f>$K$545</f>
        <v>0</v>
      </c>
    </row>
    <row r="557" spans="1:11">
      <c r="A557" s="333">
        <v>45</v>
      </c>
      <c r="C557" s="353" t="str">
        <f>'FR-16(7)(v)-1 Functional'!C557</f>
        <v xml:space="preserve">  NET FED INCOME TAX ALLOWABLE</v>
      </c>
      <c r="D557" s="344"/>
      <c r="E557" s="196"/>
      <c r="F557" s="348">
        <f>SUM(F555:F556)</f>
        <v>955859</v>
      </c>
      <c r="G557" s="549">
        <f>SUM($G$555:$G$556)</f>
        <v>0</v>
      </c>
      <c r="H557" s="541">
        <f>SUM($H$555:$H$556)</f>
        <v>955859</v>
      </c>
      <c r="I557" s="542">
        <f>SUM($I$555:$I$556)</f>
        <v>0</v>
      </c>
      <c r="J557" s="348">
        <f>SUM($J$555:$J$556)</f>
        <v>955859</v>
      </c>
      <c r="K557" s="348">
        <f>SUM($K$555:$K$556)</f>
        <v>0</v>
      </c>
    </row>
    <row r="558" spans="1:11">
      <c r="A558" s="333">
        <v>46</v>
      </c>
      <c r="D558" s="344"/>
      <c r="E558" s="196"/>
      <c r="F558" s="353"/>
      <c r="G558" s="547"/>
      <c r="H558" s="537"/>
      <c r="I558" s="538"/>
    </row>
    <row r="559" spans="1:11">
      <c r="A559" s="333">
        <v>47</v>
      </c>
      <c r="B559" s="332" t="s">
        <v>68</v>
      </c>
      <c r="D559" s="344"/>
      <c r="E559" s="196"/>
      <c r="F559" s="353"/>
      <c r="G559" s="547"/>
      <c r="H559" s="537"/>
      <c r="I559" s="538"/>
    </row>
    <row r="560" spans="1:11">
      <c r="A560" s="333">
        <v>48</v>
      </c>
      <c r="B560" s="332" t="s">
        <v>75</v>
      </c>
      <c r="D560" s="344"/>
      <c r="E560" s="196"/>
      <c r="F560" s="353"/>
      <c r="G560" s="547"/>
      <c r="H560" s="537"/>
      <c r="I560" s="538"/>
    </row>
    <row r="561" spans="1:11">
      <c r="A561" s="333">
        <v>49</v>
      </c>
      <c r="C561" s="332" t="str">
        <f>'FR-16(7)(v)-1 Functional'!C561</f>
        <v>PRELIM FEDERAL INCOME TAX</v>
      </c>
      <c r="D561" s="344"/>
      <c r="E561" s="196"/>
      <c r="F561" s="349">
        <f>F555</f>
        <v>230157</v>
      </c>
      <c r="G561" s="548">
        <f>$G$555</f>
        <v>0</v>
      </c>
      <c r="H561" s="539">
        <f>$H$555</f>
        <v>230157</v>
      </c>
      <c r="I561" s="540">
        <f>$I$555</f>
        <v>0</v>
      </c>
      <c r="J561" s="347">
        <f>$J$555</f>
        <v>230157</v>
      </c>
      <c r="K561" s="347">
        <f>$K$555</f>
        <v>0</v>
      </c>
    </row>
    <row r="562" spans="1:11">
      <c r="A562" s="333">
        <v>50</v>
      </c>
      <c r="C562" s="359" t="str">
        <f>'FR-16(7)(v)-1 Functional'!C562</f>
        <v>TEST YEAR INV TAX CREDIT</v>
      </c>
      <c r="D562" s="344"/>
      <c r="E562" s="196"/>
      <c r="F562" s="347">
        <f>-F540</f>
        <v>0</v>
      </c>
      <c r="G562" s="550">
        <f>-$G$540</f>
        <v>0</v>
      </c>
      <c r="H562" s="543">
        <f>-$H$540</f>
        <v>0</v>
      </c>
      <c r="I562" s="544">
        <f>-$I$540</f>
        <v>0</v>
      </c>
      <c r="J562" s="347">
        <f>-$J$540</f>
        <v>0</v>
      </c>
      <c r="K562" s="347">
        <f>-$K$540</f>
        <v>0</v>
      </c>
    </row>
    <row r="563" spans="1:11">
      <c r="A563" s="333">
        <v>51</v>
      </c>
      <c r="C563" s="332" t="str">
        <f>'FR-16(7)(v)-1 Functional'!C563</f>
        <v xml:space="preserve">  NET FED INCOME TAX PAYABLE</v>
      </c>
      <c r="D563" s="344"/>
      <c r="E563" s="196"/>
      <c r="F563" s="348">
        <f>SUM(F560:F562)</f>
        <v>230157</v>
      </c>
      <c r="G563" s="549">
        <f>SUM($G$560:$G$562)</f>
        <v>0</v>
      </c>
      <c r="H563" s="541">
        <f>SUM($H$560:$H$562)</f>
        <v>230157</v>
      </c>
      <c r="I563" s="542">
        <f>SUM($I$560:$I$562)</f>
        <v>0</v>
      </c>
      <c r="J563" s="348">
        <f>SUM($J$560:$J$562)</f>
        <v>230157</v>
      </c>
      <c r="K563" s="348">
        <f>SUM($K$560:$K$562)</f>
        <v>0</v>
      </c>
    </row>
    <row r="564" spans="1:11">
      <c r="A564" s="333">
        <v>52</v>
      </c>
      <c r="D564" s="344"/>
      <c r="E564" s="196"/>
      <c r="G564" s="547"/>
      <c r="H564" s="537"/>
      <c r="I564" s="538"/>
    </row>
    <row r="565" spans="1:11">
      <c r="A565" s="333">
        <v>53</v>
      </c>
      <c r="B565" s="332" t="s">
        <v>76</v>
      </c>
      <c r="D565" s="344"/>
      <c r="E565" s="196"/>
      <c r="F565" s="332">
        <f>ROUND((F693*(1-F692))+((1-F693)*(1-F692)*F694)+F692,5)</f>
        <v>0.21</v>
      </c>
      <c r="G565" s="569">
        <f>ROUND((G693*(1-G692))+((1-G693)*(1-G692)*G694)+G692,5)</f>
        <v>0.24925</v>
      </c>
      <c r="H565" s="570">
        <f>ROUND((H693*(1-H692))+((1-H693)*(1-H692)*H694)+H692,5)</f>
        <v>0.24925</v>
      </c>
      <c r="I565" s="571">
        <f>ROUND((I693*(1-I692))+((1-I693)*(1-I692)*I694)+I692,5)</f>
        <v>0.24925</v>
      </c>
      <c r="K565" s="332">
        <f>ROUND((K693*(1-K692))+((1-K693)*(1-K692)*K694)+K692,5)</f>
        <v>0.24925</v>
      </c>
    </row>
    <row r="566" spans="1:11">
      <c r="B566" s="343"/>
      <c r="C566" s="196"/>
      <c r="D566" s="344"/>
      <c r="E566" s="196"/>
      <c r="F566" s="196"/>
      <c r="G566" s="196"/>
      <c r="H566" s="196"/>
      <c r="I566" s="196"/>
      <c r="J566" s="196"/>
      <c r="K566" s="196"/>
    </row>
    <row r="567" spans="1:11">
      <c r="A567" s="343" t="str">
        <f>co_name</f>
        <v>DUKE ENERGY KENTUCKY, INC.</v>
      </c>
      <c r="C567" s="196"/>
      <c r="D567" s="344"/>
      <c r="E567" s="196"/>
      <c r="F567" s="196"/>
      <c r="G567" s="196"/>
      <c r="H567" s="196"/>
      <c r="I567" s="196"/>
      <c r="J567" s="196" t="str">
        <f>$J$1</f>
        <v>FR-16(7)(v)-2</v>
      </c>
      <c r="K567" s="196"/>
    </row>
    <row r="568" spans="1:11">
      <c r="A568" s="343" t="str">
        <f>$A$2</f>
        <v>PRODUCTION CLASSIFIED - GAS COST OF SERVICE</v>
      </c>
      <c r="C568" s="196"/>
      <c r="D568" s="344"/>
      <c r="E568" s="196"/>
      <c r="F568" s="196"/>
      <c r="G568" s="196"/>
      <c r="H568" s="196"/>
      <c r="I568" s="196"/>
      <c r="J568" s="196" t="str">
        <f>$J$2</f>
        <v>WITNESS RESPONSIBLE:</v>
      </c>
      <c r="K568" s="196"/>
    </row>
    <row r="569" spans="1:11">
      <c r="A569" s="343" t="str">
        <f>case_name</f>
        <v>CASE NO: 2018-00261</v>
      </c>
      <c r="C569" s="196"/>
      <c r="D569" s="344"/>
      <c r="E569" s="196"/>
      <c r="F569" s="196"/>
      <c r="G569" s="196"/>
      <c r="H569" s="196"/>
      <c r="I569" s="196"/>
      <c r="J569" s="196" t="str">
        <f>Witness</f>
        <v>JAMES E. ZIOLKOWSKI</v>
      </c>
      <c r="K569" s="196"/>
    </row>
    <row r="570" spans="1:11">
      <c r="A570" s="343" t="str">
        <f>data_filing</f>
        <v>DATA: 12 MONTH FORECASTED PERIOD</v>
      </c>
      <c r="C570" s="196"/>
      <c r="D570" s="344"/>
      <c r="E570" s="196"/>
      <c r="F570" s="196"/>
      <c r="G570" s="196"/>
      <c r="H570" s="196"/>
      <c r="I570" s="196"/>
      <c r="J570" s="196" t="str">
        <f>"PAGE "&amp;Pages-5&amp;" OF "&amp;Pages</f>
        <v>PAGE 13 OF 18</v>
      </c>
      <c r="K570" s="196"/>
    </row>
    <row r="571" spans="1:11">
      <c r="A571" s="343" t="str">
        <f>type</f>
        <v xml:space="preserve">TYPE OF FILING: "X" ORIGINAL   UPDATED    REVISED  </v>
      </c>
      <c r="C571" s="196"/>
      <c r="D571" s="344"/>
      <c r="E571" s="196"/>
      <c r="F571" s="196"/>
      <c r="G571" s="196"/>
      <c r="H571" s="196"/>
      <c r="I571" s="196"/>
      <c r="J571" s="196"/>
      <c r="K571" s="196"/>
    </row>
    <row r="574" spans="1:11">
      <c r="A574" s="344" t="s">
        <v>914</v>
      </c>
      <c r="B574" s="1392"/>
      <c r="C574" s="1091"/>
      <c r="D574" s="1091"/>
      <c r="E574" s="342"/>
      <c r="F574" s="354" t="s">
        <v>229</v>
      </c>
      <c r="G574" s="545" t="s">
        <v>1005</v>
      </c>
      <c r="H574" s="533"/>
      <c r="I574" s="534"/>
      <c r="J574" s="344" t="s">
        <v>229</v>
      </c>
      <c r="K574" s="344" t="s">
        <v>342</v>
      </c>
    </row>
    <row r="575" spans="1:11">
      <c r="A575" s="346" t="s">
        <v>915</v>
      </c>
      <c r="B575" s="1394" t="s">
        <v>1453</v>
      </c>
      <c r="C575" s="1395"/>
      <c r="D575" s="1396" t="s">
        <v>1454</v>
      </c>
      <c r="E575" s="1397"/>
      <c r="F575" s="355" t="str">
        <f>$F$9</f>
        <v>PRODUCTION</v>
      </c>
      <c r="G575" s="546" t="s">
        <v>847</v>
      </c>
      <c r="H575" s="535" t="s">
        <v>848</v>
      </c>
      <c r="I575" s="536" t="s">
        <v>849</v>
      </c>
      <c r="J575" s="346" t="s">
        <v>341</v>
      </c>
      <c r="K575" s="346" t="s">
        <v>340</v>
      </c>
    </row>
    <row r="576" spans="1:11" ht="15">
      <c r="A576" s="1398"/>
      <c r="B576" s="1399"/>
      <c r="C576" s="1400" t="s">
        <v>1455</v>
      </c>
      <c r="D576" s="1401"/>
      <c r="E576" s="342"/>
      <c r="F576" s="353"/>
      <c r="G576" s="1447">
        <f>$G$10</f>
        <v>3</v>
      </c>
      <c r="H576" s="1448">
        <f>$H$10</f>
        <v>4</v>
      </c>
      <c r="I576" s="1449">
        <f>$I$10</f>
        <v>5</v>
      </c>
    </row>
    <row r="577" spans="1:11">
      <c r="A577" s="968">
        <v>1</v>
      </c>
      <c r="B577" s="1405" t="s">
        <v>1456</v>
      </c>
      <c r="C577" s="1392"/>
      <c r="D577" s="1392"/>
      <c r="E577" s="342"/>
      <c r="F577" s="342"/>
      <c r="G577" s="1450"/>
      <c r="H577" s="1451"/>
      <c r="I577" s="1452"/>
      <c r="J577" s="196"/>
      <c r="K577" s="196"/>
    </row>
    <row r="578" spans="1:11">
      <c r="A578" s="968">
        <v>2</v>
      </c>
      <c r="B578" s="1409" t="s">
        <v>1457</v>
      </c>
      <c r="C578" s="1392"/>
      <c r="D578" s="1410" t="s">
        <v>315</v>
      </c>
      <c r="E578" s="342"/>
      <c r="F578" s="479">
        <f>'FR-16(7)(v)-1 Functional'!G578</f>
        <v>41813</v>
      </c>
      <c r="G578" s="548">
        <f>F578-SUM(H578:I578)</f>
        <v>0</v>
      </c>
      <c r="H578" s="539">
        <f>ROUND(F578*VLOOKUP(D578,AllocTable_Classified_Production,$H$10,FALSE),0)</f>
        <v>41813</v>
      </c>
      <c r="I578" s="540">
        <f>ROUND(F578*VLOOKUP(D578,AllocTable_Classified_Production,$I$10,FALSE),0)</f>
        <v>0</v>
      </c>
      <c r="J578" s="347">
        <f>SUM(G578:I578)</f>
        <v>41813</v>
      </c>
      <c r="K578" s="347">
        <f>F578-J578</f>
        <v>0</v>
      </c>
    </row>
    <row r="579" spans="1:11">
      <c r="A579" s="968">
        <v>3</v>
      </c>
      <c r="B579" s="1409" t="s">
        <v>1171</v>
      </c>
      <c r="C579" s="1411"/>
      <c r="D579" s="1410" t="s">
        <v>315</v>
      </c>
      <c r="E579" s="342"/>
      <c r="F579" s="1412"/>
      <c r="G579" s="550">
        <f>ROUND(F579*VLOOKUP(D579,AllocTable_Functional,$G$10,FALSE),0)</f>
        <v>0</v>
      </c>
      <c r="H579" s="543">
        <f>ROUND(F579*VLOOKUP(D579,AllocTable_Functional,$H$10,FALSE),0)</f>
        <v>0</v>
      </c>
      <c r="I579" s="544">
        <f>ROUND(F579*VLOOKUP(D579,AllocTable_Functional,$I$10,FALSE),0)</f>
        <v>0</v>
      </c>
      <c r="J579" s="502">
        <f>SUM(G579:I579)</f>
        <v>0</v>
      </c>
      <c r="K579" s="502">
        <f>F579-J579</f>
        <v>0</v>
      </c>
    </row>
    <row r="580" spans="1:11">
      <c r="A580" s="968">
        <v>4</v>
      </c>
      <c r="B580" s="1413" t="s">
        <v>1458</v>
      </c>
      <c r="C580" s="1392"/>
      <c r="D580" s="1414"/>
      <c r="E580" s="342"/>
      <c r="F580" s="1291">
        <f t="shared" ref="F580:K580" si="137">SUM(F578:F579)</f>
        <v>41813</v>
      </c>
      <c r="G580" s="1453">
        <f t="shared" si="137"/>
        <v>0</v>
      </c>
      <c r="H580" s="1454">
        <f t="shared" si="137"/>
        <v>41813</v>
      </c>
      <c r="I580" s="1455">
        <f t="shared" si="137"/>
        <v>0</v>
      </c>
      <c r="J580" s="335">
        <f t="shared" si="137"/>
        <v>41813</v>
      </c>
      <c r="K580" s="335">
        <f t="shared" si="137"/>
        <v>0</v>
      </c>
    </row>
    <row r="581" spans="1:11" ht="15">
      <c r="A581" s="968">
        <v>5</v>
      </c>
      <c r="B581" s="1398"/>
      <c r="C581" s="1401"/>
      <c r="D581" s="1415"/>
      <c r="E581" s="342"/>
      <c r="F581" s="353"/>
      <c r="G581" s="547"/>
      <c r="H581" s="537"/>
      <c r="I581" s="538"/>
    </row>
    <row r="582" spans="1:11">
      <c r="A582" s="968">
        <v>6</v>
      </c>
      <c r="B582" s="1416" t="s">
        <v>1459</v>
      </c>
      <c r="C582" s="1392"/>
      <c r="D582" s="1414"/>
      <c r="E582" s="342"/>
      <c r="F582" s="353"/>
      <c r="G582" s="547"/>
      <c r="H582" s="537"/>
      <c r="I582" s="538"/>
    </row>
    <row r="583" spans="1:11">
      <c r="A583" s="968">
        <v>7</v>
      </c>
      <c r="B583" s="1417" t="s">
        <v>1460</v>
      </c>
      <c r="C583" s="1392"/>
      <c r="D583" s="1414"/>
      <c r="E583" s="342"/>
      <c r="F583" s="353"/>
      <c r="G583" s="547"/>
      <c r="H583" s="537"/>
      <c r="I583" s="538"/>
    </row>
    <row r="584" spans="1:11">
      <c r="A584" s="968">
        <v>8</v>
      </c>
      <c r="B584" s="1418" t="s">
        <v>1461</v>
      </c>
      <c r="C584" s="1411"/>
      <c r="D584" s="1410" t="s">
        <v>315</v>
      </c>
      <c r="E584" s="342"/>
      <c r="F584" s="1471">
        <f>'FR-16(7)(v)-1 Functional'!G584</f>
        <v>3319</v>
      </c>
      <c r="G584" s="550">
        <f>F584-SUM(H584:I584)</f>
        <v>0</v>
      </c>
      <c r="H584" s="543">
        <f>ROUND(F584*VLOOKUP(D584,AllocTable_Classified_Production,$H$10,FALSE),0)</f>
        <v>3319</v>
      </c>
      <c r="I584" s="544">
        <f>ROUND(F584*VLOOKUP(D584,AllocTable_Classified_Production,$I$10,FALSE),0)</f>
        <v>0</v>
      </c>
      <c r="J584" s="502">
        <f>SUM(G584:I584)</f>
        <v>3319</v>
      </c>
      <c r="K584" s="502">
        <f>F584-J584</f>
        <v>0</v>
      </c>
    </row>
    <row r="585" spans="1:11">
      <c r="A585" s="968">
        <v>9</v>
      </c>
      <c r="B585" s="1413" t="s">
        <v>1463</v>
      </c>
      <c r="C585" s="1392"/>
      <c r="D585" s="1414"/>
      <c r="E585" s="342"/>
      <c r="F585" s="1291">
        <f t="shared" ref="F585:K585" si="138">SUM(F584)</f>
        <v>3319</v>
      </c>
      <c r="G585" s="1453">
        <f t="shared" si="138"/>
        <v>0</v>
      </c>
      <c r="H585" s="1454">
        <f t="shared" si="138"/>
        <v>3319</v>
      </c>
      <c r="I585" s="1455">
        <f t="shared" si="138"/>
        <v>0</v>
      </c>
      <c r="J585" s="335">
        <f t="shared" si="138"/>
        <v>3319</v>
      </c>
      <c r="K585" s="335">
        <f t="shared" si="138"/>
        <v>0</v>
      </c>
    </row>
    <row r="586" spans="1:11">
      <c r="A586" s="968">
        <v>10</v>
      </c>
      <c r="B586" s="1090"/>
      <c r="C586" s="1392"/>
      <c r="D586" s="1414"/>
      <c r="E586" s="342"/>
      <c r="F586" s="353"/>
      <c r="G586" s="547"/>
      <c r="H586" s="537"/>
      <c r="I586" s="538"/>
    </row>
    <row r="587" spans="1:11">
      <c r="A587" s="968">
        <v>11</v>
      </c>
      <c r="B587" s="1419" t="s">
        <v>1464</v>
      </c>
      <c r="C587" s="1420"/>
      <c r="D587" s="1421"/>
      <c r="E587" s="342"/>
      <c r="F587" s="353"/>
      <c r="G587" s="547"/>
      <c r="H587" s="537"/>
      <c r="I587" s="538"/>
    </row>
    <row r="588" spans="1:11">
      <c r="A588" s="968">
        <v>12</v>
      </c>
      <c r="B588" s="1409" t="s">
        <v>1465</v>
      </c>
      <c r="C588" s="1411"/>
      <c r="D588" s="1410" t="s">
        <v>315</v>
      </c>
      <c r="E588" s="342"/>
      <c r="F588" s="1471">
        <f>'FR-16(7)(v)-1 Functional'!F588</f>
        <v>0</v>
      </c>
      <c r="G588" s="550">
        <f>ROUND(F588*VLOOKUP(D588,AllocTable_Functional,$G$10,FALSE),0)</f>
        <v>0</v>
      </c>
      <c r="H588" s="543">
        <f>ROUND(F588*VLOOKUP(D588,AllocTable_Functional,$H$10,FALSE),0)</f>
        <v>0</v>
      </c>
      <c r="I588" s="544">
        <f>ROUND(F588*VLOOKUP(D588,AllocTable_Functional,$I$10,FALSE),0)</f>
        <v>0</v>
      </c>
      <c r="J588" s="502">
        <f>SUM(G588:I588)</f>
        <v>0</v>
      </c>
      <c r="K588" s="502">
        <f>F588-J588</f>
        <v>0</v>
      </c>
    </row>
    <row r="589" spans="1:11">
      <c r="A589" s="968">
        <v>13</v>
      </c>
      <c r="B589" s="1413" t="s">
        <v>1466</v>
      </c>
      <c r="C589" s="1392"/>
      <c r="D589" s="1414"/>
      <c r="E589" s="342"/>
      <c r="F589" s="1291">
        <f t="shared" ref="F589:K589" si="139">SUM(F588)</f>
        <v>0</v>
      </c>
      <c r="G589" s="1453">
        <f t="shared" si="139"/>
        <v>0</v>
      </c>
      <c r="H589" s="1454">
        <f t="shared" si="139"/>
        <v>0</v>
      </c>
      <c r="I589" s="1455">
        <f t="shared" si="139"/>
        <v>0</v>
      </c>
      <c r="J589" s="335">
        <f t="shared" si="139"/>
        <v>0</v>
      </c>
      <c r="K589" s="335">
        <f t="shared" si="139"/>
        <v>0</v>
      </c>
    </row>
    <row r="590" spans="1:11">
      <c r="A590" s="968">
        <v>14</v>
      </c>
      <c r="B590" s="1392"/>
      <c r="C590" s="1392"/>
      <c r="D590" s="1414"/>
      <c r="E590" s="342"/>
      <c r="F590" s="353"/>
      <c r="G590" s="547"/>
      <c r="H590" s="537"/>
      <c r="I590" s="538"/>
    </row>
    <row r="591" spans="1:11">
      <c r="A591" s="968">
        <v>15</v>
      </c>
      <c r="B591" s="1392" t="s">
        <v>1467</v>
      </c>
      <c r="C591" s="1392"/>
      <c r="D591" s="1414"/>
      <c r="E591" s="342"/>
      <c r="F591" s="1291">
        <f>F589+F585</f>
        <v>3319</v>
      </c>
      <c r="G591" s="1453">
        <f t="shared" ref="G591:K591" si="140">G589+G585</f>
        <v>0</v>
      </c>
      <c r="H591" s="1454">
        <f t="shared" si="140"/>
        <v>3319</v>
      </c>
      <c r="I591" s="1455">
        <f t="shared" si="140"/>
        <v>0</v>
      </c>
      <c r="J591" s="335">
        <f t="shared" si="140"/>
        <v>3319</v>
      </c>
      <c r="K591" s="335">
        <f t="shared" si="140"/>
        <v>0</v>
      </c>
    </row>
    <row r="592" spans="1:11">
      <c r="A592" s="968">
        <v>16</v>
      </c>
      <c r="B592" s="1392"/>
      <c r="C592" s="1392"/>
      <c r="D592" s="1414"/>
      <c r="E592" s="342"/>
      <c r="F592" s="353"/>
      <c r="G592" s="547"/>
      <c r="H592" s="537"/>
      <c r="I592" s="538"/>
    </row>
    <row r="593" spans="1:11">
      <c r="A593" s="968">
        <v>17</v>
      </c>
      <c r="B593" s="1422" t="s">
        <v>68</v>
      </c>
      <c r="C593" s="1423"/>
      <c r="D593" s="968"/>
      <c r="E593" s="342"/>
      <c r="F593" s="353"/>
      <c r="G593" s="547"/>
      <c r="H593" s="537"/>
      <c r="I593" s="538"/>
    </row>
    <row r="594" spans="1:11">
      <c r="A594" s="968">
        <v>18</v>
      </c>
      <c r="B594" s="1417" t="s">
        <v>1468</v>
      </c>
      <c r="C594" s="1392"/>
      <c r="D594" s="1414"/>
      <c r="E594" s="342"/>
      <c r="F594" s="353"/>
      <c r="G594" s="547"/>
      <c r="H594" s="537"/>
      <c r="I594" s="538"/>
    </row>
    <row r="595" spans="1:11">
      <c r="A595" s="968">
        <v>19</v>
      </c>
      <c r="B595" s="1392" t="s">
        <v>43</v>
      </c>
      <c r="C595" s="1392"/>
      <c r="D595" s="1414"/>
      <c r="E595" s="342"/>
      <c r="F595" s="1291">
        <f>F334</f>
        <v>480732</v>
      </c>
      <c r="G595" s="1453">
        <f>G334</f>
        <v>0</v>
      </c>
      <c r="H595" s="1454">
        <f t="shared" ref="H595:K595" si="141">H334</f>
        <v>480732</v>
      </c>
      <c r="I595" s="1455">
        <f t="shared" si="141"/>
        <v>0</v>
      </c>
      <c r="J595" s="1291">
        <f t="shared" si="141"/>
        <v>480732</v>
      </c>
      <c r="K595" s="1291">
        <f t="shared" si="141"/>
        <v>0</v>
      </c>
    </row>
    <row r="596" spans="1:11">
      <c r="A596" s="968">
        <v>20</v>
      </c>
      <c r="B596" s="1392" t="s">
        <v>199</v>
      </c>
      <c r="C596" s="1392"/>
      <c r="D596" s="1414"/>
      <c r="E596" s="342"/>
      <c r="F596" s="1291">
        <f t="shared" ref="F596" si="142">F557</f>
        <v>955859</v>
      </c>
      <c r="G596" s="1453">
        <f t="shared" ref="G596:K596" si="143">G557</f>
        <v>0</v>
      </c>
      <c r="H596" s="1454">
        <f t="shared" si="143"/>
        <v>955859</v>
      </c>
      <c r="I596" s="1455">
        <f t="shared" si="143"/>
        <v>0</v>
      </c>
      <c r="J596" s="335">
        <f t="shared" si="143"/>
        <v>955859</v>
      </c>
      <c r="K596" s="335">
        <f t="shared" si="143"/>
        <v>0</v>
      </c>
    </row>
    <row r="597" spans="1:11">
      <c r="A597" s="968">
        <v>21</v>
      </c>
      <c r="B597" s="1392" t="s">
        <v>1469</v>
      </c>
      <c r="C597" s="1392"/>
      <c r="D597" s="1414"/>
      <c r="E597" s="342"/>
      <c r="F597" s="1291">
        <f t="shared" ref="F597:K597" si="144">-F524</f>
        <v>-343923</v>
      </c>
      <c r="G597" s="1453">
        <f t="shared" si="144"/>
        <v>0</v>
      </c>
      <c r="H597" s="1454">
        <f t="shared" si="144"/>
        <v>-343923</v>
      </c>
      <c r="I597" s="1455">
        <f t="shared" si="144"/>
        <v>0</v>
      </c>
      <c r="J597" s="335">
        <f t="shared" si="144"/>
        <v>-343923</v>
      </c>
      <c r="K597" s="335">
        <f t="shared" si="144"/>
        <v>0</v>
      </c>
    </row>
    <row r="598" spans="1:11">
      <c r="A598" s="968">
        <v>22</v>
      </c>
      <c r="B598" s="1392" t="s">
        <v>1470</v>
      </c>
      <c r="C598" s="1392"/>
      <c r="D598" s="1414"/>
      <c r="E598" s="342"/>
      <c r="F598" s="1291">
        <f t="shared" ref="F598" si="145">-F580</f>
        <v>-41813</v>
      </c>
      <c r="G598" s="1453">
        <f t="shared" ref="G598:K598" si="146">-G580</f>
        <v>0</v>
      </c>
      <c r="H598" s="1454">
        <f t="shared" si="146"/>
        <v>-41813</v>
      </c>
      <c r="I598" s="1455">
        <f t="shared" si="146"/>
        <v>0</v>
      </c>
      <c r="J598" s="335">
        <f t="shared" si="146"/>
        <v>-41813</v>
      </c>
      <c r="K598" s="335">
        <f t="shared" si="146"/>
        <v>0</v>
      </c>
    </row>
    <row r="599" spans="1:11">
      <c r="A599" s="968">
        <v>23</v>
      </c>
      <c r="B599" s="1411" t="s">
        <v>1471</v>
      </c>
      <c r="C599" s="1411"/>
      <c r="D599" s="1414"/>
      <c r="E599" s="342"/>
      <c r="F599" s="1424">
        <f t="shared" ref="F599" si="147">F591</f>
        <v>3319</v>
      </c>
      <c r="G599" s="1456">
        <f t="shared" ref="G599:K599" si="148">G591</f>
        <v>0</v>
      </c>
      <c r="H599" s="1457">
        <f t="shared" si="148"/>
        <v>3319</v>
      </c>
      <c r="I599" s="1458">
        <f t="shared" si="148"/>
        <v>0</v>
      </c>
      <c r="J599" s="1428">
        <f t="shared" si="148"/>
        <v>3319</v>
      </c>
      <c r="K599" s="1428">
        <f t="shared" si="148"/>
        <v>0</v>
      </c>
    </row>
    <row r="600" spans="1:11">
      <c r="A600" s="968">
        <v>24</v>
      </c>
      <c r="B600" s="1090" t="s">
        <v>1472</v>
      </c>
      <c r="C600" s="1392"/>
      <c r="D600" s="1414"/>
      <c r="E600" s="342"/>
      <c r="F600" s="1291">
        <f t="shared" ref="F600" si="149">SUM(F595:F599)</f>
        <v>1054174</v>
      </c>
      <c r="G600" s="1453">
        <f t="shared" ref="G600:K600" si="150">SUM(G595:G599)</f>
        <v>0</v>
      </c>
      <c r="H600" s="1454">
        <f t="shared" si="150"/>
        <v>1054174</v>
      </c>
      <c r="I600" s="1455">
        <f t="shared" si="150"/>
        <v>0</v>
      </c>
      <c r="J600" s="335">
        <f t="shared" si="150"/>
        <v>1054174</v>
      </c>
      <c r="K600" s="335">
        <f t="shared" si="150"/>
        <v>0</v>
      </c>
    </row>
    <row r="601" spans="1:11">
      <c r="A601" s="968">
        <v>25</v>
      </c>
      <c r="B601" s="1392"/>
      <c r="C601" s="1392"/>
      <c r="D601" s="1414"/>
      <c r="E601" s="342"/>
      <c r="F601" s="353"/>
      <c r="G601" s="547"/>
      <c r="H601" s="537"/>
      <c r="I601" s="538"/>
    </row>
    <row r="602" spans="1:11">
      <c r="A602" s="968">
        <v>26</v>
      </c>
      <c r="B602" s="1392" t="s">
        <v>1473</v>
      </c>
      <c r="C602" s="1392"/>
      <c r="D602" s="1414"/>
      <c r="E602" s="342"/>
      <c r="F602" s="1429">
        <f>ROUND(SIT/(1-SIT),8)</f>
        <v>5.2282660000000002E-2</v>
      </c>
      <c r="G602" s="1459">
        <f t="shared" ref="G602:K602" si="151">ROUND(SIT/(1-SIT),8)</f>
        <v>5.2282660000000002E-2</v>
      </c>
      <c r="H602" s="1460">
        <f t="shared" si="151"/>
        <v>5.2282660000000002E-2</v>
      </c>
      <c r="I602" s="1461">
        <f t="shared" si="151"/>
        <v>5.2282660000000002E-2</v>
      </c>
      <c r="J602" s="1429">
        <f t="shared" si="151"/>
        <v>5.2282660000000002E-2</v>
      </c>
      <c r="K602" s="1429">
        <f t="shared" si="151"/>
        <v>5.2282660000000002E-2</v>
      </c>
    </row>
    <row r="603" spans="1:11">
      <c r="A603" s="968">
        <v>27</v>
      </c>
      <c r="B603" s="1392" t="s">
        <v>1474</v>
      </c>
      <c r="C603" s="1392"/>
      <c r="D603" s="1433" t="s">
        <v>1475</v>
      </c>
      <c r="E603" s="342"/>
      <c r="F603" s="1434">
        <f>ROUND(F600*F602,0)</f>
        <v>55115</v>
      </c>
      <c r="G603" s="1454">
        <f>ROUND(G600*G602,0)</f>
        <v>0</v>
      </c>
      <c r="H603" s="1454">
        <f>ROUND(H600*H602,0)</f>
        <v>55115</v>
      </c>
      <c r="I603" s="1455">
        <f>ROUND(I600*I602,0)</f>
        <v>0</v>
      </c>
      <c r="J603" s="347">
        <f>SUM(G603:I603)</f>
        <v>55115</v>
      </c>
      <c r="K603" s="347">
        <f>F603-J603</f>
        <v>0</v>
      </c>
    </row>
    <row r="604" spans="1:11">
      <c r="A604" s="968">
        <v>28</v>
      </c>
      <c r="B604" s="1411" t="s">
        <v>1476</v>
      </c>
      <c r="C604" s="1411"/>
      <c r="D604" s="1414"/>
      <c r="E604" s="1435"/>
      <c r="F604" s="1434">
        <f>F591</f>
        <v>3319</v>
      </c>
      <c r="G604" s="1462">
        <f>G591</f>
        <v>0</v>
      </c>
      <c r="H604" s="1463">
        <f>H591</f>
        <v>3319</v>
      </c>
      <c r="I604" s="1464">
        <f>I591</f>
        <v>0</v>
      </c>
      <c r="J604" s="347">
        <f>SUM(G604:I604)</f>
        <v>3319</v>
      </c>
      <c r="K604" s="347">
        <f>F604-J604</f>
        <v>0</v>
      </c>
    </row>
    <row r="605" spans="1:11">
      <c r="A605" s="968">
        <v>29</v>
      </c>
      <c r="B605" s="1090" t="s">
        <v>1477</v>
      </c>
      <c r="C605" s="1392"/>
      <c r="D605" s="1414"/>
      <c r="E605" s="342"/>
      <c r="F605" s="1439">
        <f t="shared" ref="F605:K605" si="152">F604+F603</f>
        <v>58434</v>
      </c>
      <c r="G605" s="1465">
        <f t="shared" si="152"/>
        <v>0</v>
      </c>
      <c r="H605" s="1466">
        <f t="shared" si="152"/>
        <v>58434</v>
      </c>
      <c r="I605" s="1467">
        <f t="shared" si="152"/>
        <v>0</v>
      </c>
      <c r="J605" s="1439">
        <f t="shared" si="152"/>
        <v>58434</v>
      </c>
      <c r="K605" s="1439">
        <f t="shared" si="152"/>
        <v>0</v>
      </c>
    </row>
    <row r="606" spans="1:11">
      <c r="A606" s="968">
        <v>30</v>
      </c>
      <c r="B606" s="1392"/>
      <c r="C606" s="1392"/>
      <c r="D606" s="1414"/>
      <c r="E606" s="342"/>
      <c r="F606" s="353"/>
      <c r="G606" s="547"/>
      <c r="H606" s="537"/>
      <c r="I606" s="538"/>
    </row>
    <row r="607" spans="1:11">
      <c r="A607" s="968">
        <v>31</v>
      </c>
      <c r="B607" s="1392" t="s">
        <v>1478</v>
      </c>
      <c r="C607" s="1392"/>
      <c r="D607" s="1414"/>
      <c r="E607" s="342"/>
      <c r="F607" s="353"/>
      <c r="G607" s="547"/>
      <c r="H607" s="537"/>
      <c r="I607" s="538"/>
    </row>
    <row r="608" spans="1:11">
      <c r="A608" s="968">
        <v>32</v>
      </c>
      <c r="B608" s="1392" t="s">
        <v>1474</v>
      </c>
      <c r="C608" s="1392"/>
      <c r="D608" s="1414"/>
      <c r="E608" s="342"/>
      <c r="F608" s="1434">
        <f t="shared" ref="F608:K608" si="153">F603</f>
        <v>55115</v>
      </c>
      <c r="G608" s="1462">
        <f t="shared" si="153"/>
        <v>0</v>
      </c>
      <c r="H608" s="1463">
        <f t="shared" si="153"/>
        <v>55115</v>
      </c>
      <c r="I608" s="1464">
        <f t="shared" si="153"/>
        <v>0</v>
      </c>
      <c r="J608" s="1434">
        <f t="shared" si="153"/>
        <v>55115</v>
      </c>
      <c r="K608" s="1434">
        <f t="shared" si="153"/>
        <v>0</v>
      </c>
    </row>
    <row r="609" spans="1:11">
      <c r="A609" s="968">
        <v>33</v>
      </c>
      <c r="B609" s="1411" t="s">
        <v>1464</v>
      </c>
      <c r="C609" s="1411"/>
      <c r="D609" s="1414"/>
      <c r="E609" s="342"/>
      <c r="F609" s="1434">
        <f t="shared" ref="F609:K609" si="154">F589</f>
        <v>0</v>
      </c>
      <c r="G609" s="1462">
        <f t="shared" si="154"/>
        <v>0</v>
      </c>
      <c r="H609" s="1463">
        <f t="shared" si="154"/>
        <v>0</v>
      </c>
      <c r="I609" s="1464">
        <f t="shared" si="154"/>
        <v>0</v>
      </c>
      <c r="J609" s="1434">
        <f t="shared" si="154"/>
        <v>0</v>
      </c>
      <c r="K609" s="1434">
        <f t="shared" si="154"/>
        <v>0</v>
      </c>
    </row>
    <row r="610" spans="1:11">
      <c r="A610" s="968">
        <v>34</v>
      </c>
      <c r="B610" s="1090" t="s">
        <v>1479</v>
      </c>
      <c r="C610" s="1392"/>
      <c r="D610" s="1414"/>
      <c r="E610" s="342"/>
      <c r="F610" s="1439">
        <f t="shared" ref="F610:K610" si="155">F608+F609</f>
        <v>55115</v>
      </c>
      <c r="G610" s="1465">
        <f t="shared" si="155"/>
        <v>0</v>
      </c>
      <c r="H610" s="1466">
        <f t="shared" si="155"/>
        <v>55115</v>
      </c>
      <c r="I610" s="1467">
        <f t="shared" si="155"/>
        <v>0</v>
      </c>
      <c r="J610" s="1439">
        <f t="shared" si="155"/>
        <v>55115</v>
      </c>
      <c r="K610" s="1439">
        <f t="shared" si="155"/>
        <v>0</v>
      </c>
    </row>
    <row r="611" spans="1:11">
      <c r="A611" s="968">
        <v>35</v>
      </c>
      <c r="B611" s="1392"/>
      <c r="C611" s="1392"/>
      <c r="D611" s="1392"/>
      <c r="E611" s="342"/>
      <c r="F611" s="1434"/>
      <c r="G611" s="1462"/>
      <c r="H611" s="1463"/>
      <c r="I611" s="1464"/>
      <c r="J611" s="1434"/>
      <c r="K611" s="1434"/>
    </row>
    <row r="612" spans="1:11">
      <c r="A612" s="968">
        <v>36</v>
      </c>
      <c r="B612" s="1392" t="s">
        <v>76</v>
      </c>
      <c r="C612" s="1392"/>
      <c r="D612" s="1392"/>
      <c r="E612" s="342"/>
      <c r="F612" s="1443">
        <f t="shared" ref="F612:K612" si="156">(SIT*(1-FIT))+((1-SIT)*(1-FIT)*RevTax)+FIT</f>
        <v>0.24925115</v>
      </c>
      <c r="G612" s="1468">
        <f t="shared" si="156"/>
        <v>0.24925115</v>
      </c>
      <c r="H612" s="1469">
        <f t="shared" si="156"/>
        <v>0.24925115</v>
      </c>
      <c r="I612" s="1470">
        <f t="shared" si="156"/>
        <v>0.24925115</v>
      </c>
      <c r="J612" s="1443">
        <f t="shared" si="156"/>
        <v>0.24925115</v>
      </c>
      <c r="K612" s="1443">
        <f t="shared" si="156"/>
        <v>0.24925115</v>
      </c>
    </row>
    <row r="614" spans="1:11">
      <c r="A614" s="343" t="str">
        <f>co_name</f>
        <v>DUKE ENERGY KENTUCKY, INC.</v>
      </c>
      <c r="C614" s="196"/>
      <c r="D614" s="344"/>
      <c r="E614" s="196"/>
      <c r="F614" s="196"/>
      <c r="G614" s="196"/>
      <c r="H614" s="196"/>
      <c r="I614" s="196"/>
      <c r="J614" s="196" t="str">
        <f>$J$1</f>
        <v>FR-16(7)(v)-2</v>
      </c>
      <c r="K614" s="196"/>
    </row>
    <row r="615" spans="1:11">
      <c r="A615" s="343" t="str">
        <f>$A$2</f>
        <v>PRODUCTION CLASSIFIED - GAS COST OF SERVICE</v>
      </c>
      <c r="C615" s="196"/>
      <c r="D615" s="344"/>
      <c r="E615" s="196"/>
      <c r="F615" s="196"/>
      <c r="G615" s="196"/>
      <c r="H615" s="196"/>
      <c r="I615" s="196"/>
      <c r="J615" s="196" t="str">
        <f>$J$2</f>
        <v>WITNESS RESPONSIBLE:</v>
      </c>
      <c r="K615" s="196"/>
    </row>
    <row r="616" spans="1:11">
      <c r="A616" s="343" t="str">
        <f>case_name</f>
        <v>CASE NO: 2018-00261</v>
      </c>
      <c r="C616" s="196"/>
      <c r="D616" s="344"/>
      <c r="E616" s="196"/>
      <c r="F616" s="196"/>
      <c r="G616" s="196"/>
      <c r="H616" s="196"/>
      <c r="I616" s="196"/>
      <c r="J616" s="196" t="str">
        <f>Witness</f>
        <v>JAMES E. ZIOLKOWSKI</v>
      </c>
      <c r="K616" s="196"/>
    </row>
    <row r="617" spans="1:11">
      <c r="A617" s="343" t="str">
        <f>data_filing</f>
        <v>DATA: 12 MONTH FORECASTED PERIOD</v>
      </c>
      <c r="C617" s="196"/>
      <c r="D617" s="344"/>
      <c r="E617" s="196"/>
      <c r="F617" s="196"/>
      <c r="G617" s="196"/>
      <c r="H617" s="196"/>
      <c r="I617" s="196"/>
      <c r="J617" s="196" t="str">
        <f>"PAGE "&amp;Pages-4&amp;" OF "&amp;Pages</f>
        <v>PAGE 14 OF 18</v>
      </c>
      <c r="K617" s="196"/>
    </row>
    <row r="618" spans="1:11">
      <c r="A618" s="343" t="str">
        <f>type</f>
        <v xml:space="preserve">TYPE OF FILING: "X" ORIGINAL   UPDATED    REVISED  </v>
      </c>
      <c r="C618" s="196"/>
      <c r="D618" s="344"/>
      <c r="E618" s="196"/>
      <c r="F618" s="196"/>
      <c r="G618" s="196"/>
      <c r="H618" s="196"/>
      <c r="I618" s="196"/>
      <c r="J618" s="196"/>
      <c r="K618" s="196"/>
    </row>
    <row r="619" spans="1:11">
      <c r="B619" s="343"/>
      <c r="C619" s="196"/>
      <c r="D619" s="344"/>
      <c r="E619" s="196"/>
      <c r="F619" s="196"/>
      <c r="G619" s="196"/>
      <c r="H619" s="196"/>
      <c r="I619" s="196"/>
      <c r="J619" s="196"/>
      <c r="K619" s="196"/>
    </row>
    <row r="620" spans="1:11">
      <c r="B620" s="343"/>
      <c r="C620" s="196"/>
      <c r="D620" s="344"/>
      <c r="E620" s="196"/>
      <c r="F620" s="196"/>
      <c r="G620" s="196"/>
      <c r="H620" s="196"/>
      <c r="I620" s="196"/>
      <c r="J620" s="196"/>
      <c r="K620" s="196"/>
    </row>
    <row r="621" spans="1:11">
      <c r="A621" s="344" t="s">
        <v>914</v>
      </c>
      <c r="B621" s="196"/>
      <c r="C621" s="196"/>
      <c r="D621" s="344"/>
      <c r="E621" s="196"/>
      <c r="F621" s="344" t="str">
        <f>$F$8</f>
        <v>TOTAL</v>
      </c>
      <c r="G621" s="545" t="s">
        <v>1005</v>
      </c>
      <c r="H621" s="533"/>
      <c r="I621" s="534"/>
      <c r="J621" s="344" t="s">
        <v>229</v>
      </c>
      <c r="K621" s="344" t="s">
        <v>342</v>
      </c>
    </row>
    <row r="622" spans="1:11">
      <c r="A622" s="346" t="s">
        <v>915</v>
      </c>
      <c r="B622" s="345" t="s">
        <v>77</v>
      </c>
      <c r="C622" s="345"/>
      <c r="D622" s="346" t="s">
        <v>337</v>
      </c>
      <c r="E622" s="345"/>
      <c r="F622" s="346" t="str">
        <f>$F$9</f>
        <v>PRODUCTION</v>
      </c>
      <c r="G622" s="546" t="s">
        <v>847</v>
      </c>
      <c r="H622" s="535" t="s">
        <v>848</v>
      </c>
      <c r="I622" s="536" t="s">
        <v>849</v>
      </c>
      <c r="J622" s="346" t="s">
        <v>341</v>
      </c>
      <c r="K622" s="346" t="s">
        <v>340</v>
      </c>
    </row>
    <row r="623" spans="1:11">
      <c r="C623" s="578" t="s">
        <v>352</v>
      </c>
      <c r="D623" s="344"/>
      <c r="E623" s="196"/>
      <c r="G623" s="800">
        <f>$G$10</f>
        <v>3</v>
      </c>
      <c r="H623" s="801">
        <f>$H$10</f>
        <v>4</v>
      </c>
      <c r="I623" s="802">
        <f>$I$10</f>
        <v>5</v>
      </c>
    </row>
    <row r="624" spans="1:11">
      <c r="A624" s="333">
        <v>1</v>
      </c>
      <c r="B624" s="332" t="s">
        <v>78</v>
      </c>
      <c r="D624" s="344"/>
      <c r="E624" s="196"/>
      <c r="G624" s="547"/>
      <c r="H624" s="537"/>
      <c r="I624" s="538"/>
    </row>
    <row r="625" spans="1:11">
      <c r="A625" s="333">
        <v>2</v>
      </c>
      <c r="C625" s="332" t="str">
        <f>'FR-16(7)(v)-1 Functional'!C625</f>
        <v>MISC SERVICE REVENUE</v>
      </c>
      <c r="D625" s="344" t="str">
        <f>'FR-16(7)(v)-1 Functional'!D625</f>
        <v>K401</v>
      </c>
      <c r="E625" s="196"/>
      <c r="F625" s="479">
        <f>'FR-16(7)(v)-1 Functional'!G625</f>
        <v>0</v>
      </c>
      <c r="G625" s="548">
        <f>ROUND(F625*VLOOKUP(D625,AllocTable_Classified_Production,$G$10,FALSE),0)</f>
        <v>0</v>
      </c>
      <c r="H625" s="539">
        <f>ROUND(F625*VLOOKUP(D625,AllocTable_Classified_Production,$H$10,FALSE),0)</f>
        <v>0</v>
      </c>
      <c r="I625" s="540">
        <f>ROUND(F625*VLOOKUP(D625,AllocTable_Classified_Production,$I$10,FALSE),0)</f>
        <v>0</v>
      </c>
      <c r="J625" s="347">
        <f>SUM($G$625:$I$625)</f>
        <v>0</v>
      </c>
      <c r="K625" s="347">
        <f>F625-$J$625</f>
        <v>0</v>
      </c>
    </row>
    <row r="626" spans="1:11">
      <c r="A626" s="333">
        <v>3</v>
      </c>
      <c r="C626" s="332" t="str">
        <f>'FR-16(7)(v)-1 Functional'!C626</f>
        <v>INTERDEPARTMENTAL</v>
      </c>
      <c r="D626" s="344" t="str">
        <f>'FR-16(7)(v)-1 Functional'!D626</f>
        <v>AG39</v>
      </c>
      <c r="E626" s="196"/>
      <c r="F626" s="479">
        <f>'FR-16(7)(v)-1 Functional'!G626</f>
        <v>2870</v>
      </c>
      <c r="G626" s="548">
        <f>ROUND(F626*VLOOKUP(D626,AllocTable_Classified_Production,$G$10,FALSE),0)</f>
        <v>0</v>
      </c>
      <c r="H626" s="539">
        <f>ROUND(F626*VLOOKUP(D626,AllocTable_Classified_Production,$H$10,FALSE),0)</f>
        <v>2870</v>
      </c>
      <c r="I626" s="540">
        <f>ROUND(F626*VLOOKUP(D626,AllocTable_Classified_Production,$I$10,FALSE),0)</f>
        <v>0</v>
      </c>
      <c r="J626" s="347">
        <f>SUM($G$626:$I$626)</f>
        <v>2870</v>
      </c>
      <c r="K626" s="347">
        <f>F626-$J$626</f>
        <v>0</v>
      </c>
    </row>
    <row r="627" spans="1:11">
      <c r="A627" s="333">
        <v>4</v>
      </c>
      <c r="C627" s="332" t="str">
        <f>'FR-16(7)(v)-1 Functional'!C627</f>
        <v>OTH MISC REVENUE</v>
      </c>
      <c r="D627" s="344" t="str">
        <f>'FR-16(7)(v)-1 Functional'!D627</f>
        <v>K401</v>
      </c>
      <c r="E627" s="196"/>
      <c r="F627" s="479">
        <f>'FR-16(7)(v)-1 Functional'!G627</f>
        <v>0</v>
      </c>
      <c r="G627" s="548">
        <f>ROUND(F627*VLOOKUP(D627,AllocTable_Classified_Production,$G$10,FALSE),0)</f>
        <v>0</v>
      </c>
      <c r="H627" s="539">
        <f>ROUND(F627*VLOOKUP(D627,AllocTable_Classified_Production,$H$10,FALSE),0)</f>
        <v>0</v>
      </c>
      <c r="I627" s="540">
        <f>ROUND(F627*VLOOKUP(D627,AllocTable_Classified_Production,$I$10,FALSE),0)</f>
        <v>0</v>
      </c>
      <c r="J627" s="347">
        <f>SUM($G$627:$I$627)</f>
        <v>0</v>
      </c>
      <c r="K627" s="347">
        <f>F627-$J$627</f>
        <v>0</v>
      </c>
    </row>
    <row r="628" spans="1:11">
      <c r="A628" s="333">
        <v>5</v>
      </c>
      <c r="C628" s="332" t="str">
        <f>'FR-16(7)(v)-1 Functional'!C628</f>
        <v>RENTS</v>
      </c>
      <c r="D628" s="344" t="str">
        <f>'FR-16(7)(v)-1 Functional'!D628</f>
        <v>D249</v>
      </c>
      <c r="E628" s="196"/>
      <c r="F628" s="479">
        <f>'FR-16(7)(v)-1 Functional'!G628</f>
        <v>0</v>
      </c>
      <c r="G628" s="548">
        <f>ROUND(F628*VLOOKUP(D628,AllocTable_Classified_Production,$G$10,FALSE),0)</f>
        <v>0</v>
      </c>
      <c r="H628" s="539">
        <f>ROUND(F628*VLOOKUP(D628,AllocTable_Classified_Production,$H$10,FALSE),0)</f>
        <v>0</v>
      </c>
      <c r="I628" s="540">
        <f>ROUND(F628*VLOOKUP(D628,AllocTable_Classified_Production,$I$10,FALSE),0)</f>
        <v>0</v>
      </c>
      <c r="J628" s="347">
        <f>SUM($G$628:$I$628)</f>
        <v>0</v>
      </c>
      <c r="K628" s="347">
        <f>F628-$J$628</f>
        <v>0</v>
      </c>
    </row>
    <row r="629" spans="1:11">
      <c r="A629" s="333">
        <v>6</v>
      </c>
      <c r="C629" s="359" t="str">
        <f>'FR-16(7)(v)-1 Functional'!C629</f>
        <v>IT TRANSPORT SPECIAL CONTRACTS</v>
      </c>
      <c r="D629" s="344" t="str">
        <f>'FR-16(7)(v)-1 Functional'!D629</f>
        <v>AG39</v>
      </c>
      <c r="E629" s="196"/>
      <c r="F629" s="479">
        <f>'FR-16(7)(v)-1 Functional'!G629</f>
        <v>0</v>
      </c>
      <c r="G629" s="548">
        <f>ROUND(F629*VLOOKUP(D629,AllocTable_Classified_Production,$G$10,FALSE),0)</f>
        <v>0</v>
      </c>
      <c r="H629" s="539">
        <f>ROUND(F629*VLOOKUP(D629,AllocTable_Classified_Production,$H$10,FALSE),0)</f>
        <v>0</v>
      </c>
      <c r="I629" s="540">
        <f>ROUND(F629*VLOOKUP(D629,AllocTable_Classified_Production,$I$10,FALSE),0)</f>
        <v>0</v>
      </c>
      <c r="J629" s="347">
        <f>SUM($G$629:$I$629)</f>
        <v>0</v>
      </c>
      <c r="K629" s="347">
        <f>F629-$J$629</f>
        <v>0</v>
      </c>
    </row>
    <row r="630" spans="1:11">
      <c r="A630" s="333">
        <v>7</v>
      </c>
      <c r="C630" s="332" t="str">
        <f>'FR-16(7)(v)-1 Functional'!C630</f>
        <v xml:space="preserve">  TOTAL OTHER OPERATING REVS</v>
      </c>
      <c r="D630" s="344"/>
      <c r="E630" s="196"/>
      <c r="F630" s="348">
        <f>SUM(F625:F629)</f>
        <v>2870</v>
      </c>
      <c r="G630" s="549">
        <f>SUM($G$625:$G$629)</f>
        <v>0</v>
      </c>
      <c r="H630" s="541">
        <f>SUM($H$625:$H$629)</f>
        <v>2870</v>
      </c>
      <c r="I630" s="542">
        <f>SUM($I$625:$I$629)</f>
        <v>0</v>
      </c>
      <c r="J630" s="348">
        <f>SUM($J$625:$J$629)</f>
        <v>2870</v>
      </c>
      <c r="K630" s="348">
        <f>SUM($K$625:$K$629)</f>
        <v>0</v>
      </c>
    </row>
    <row r="631" spans="1:11">
      <c r="A631" s="333">
        <v>8</v>
      </c>
      <c r="D631" s="344"/>
      <c r="E631" s="196"/>
      <c r="G631" s="547"/>
      <c r="H631" s="537"/>
      <c r="I631" s="538"/>
    </row>
    <row r="632" spans="1:11">
      <c r="A632" s="333">
        <v>9</v>
      </c>
      <c r="B632" s="332" t="s">
        <v>77</v>
      </c>
      <c r="D632" s="344"/>
      <c r="E632" s="196"/>
      <c r="G632" s="547"/>
      <c r="H632" s="537"/>
      <c r="I632" s="538"/>
    </row>
    <row r="633" spans="1:11">
      <c r="A633" s="333">
        <v>10</v>
      </c>
      <c r="C633" s="332" t="str">
        <f>'FR-16(7)(v)-1 Functional'!C633</f>
        <v>TOTAL OP EXP EXC INC &amp; REV TAX</v>
      </c>
      <c r="D633" s="344"/>
      <c r="E633" s="196"/>
      <c r="F633" s="347">
        <f>F501</f>
        <v>38590987.067599997</v>
      </c>
      <c r="G633" s="548">
        <f>$G$501</f>
        <v>6.7599999994854443E-2</v>
      </c>
      <c r="H633" s="539">
        <f>$H$501</f>
        <v>38590987</v>
      </c>
      <c r="I633" s="540">
        <f>$I$501</f>
        <v>0</v>
      </c>
      <c r="J633" s="347">
        <f>$J$501</f>
        <v>38590987.067599997</v>
      </c>
      <c r="K633" s="347">
        <f>$K$501</f>
        <v>0</v>
      </c>
    </row>
    <row r="634" spans="1:11">
      <c r="A634" s="333">
        <v>11</v>
      </c>
      <c r="C634" s="332" t="str">
        <f>'FR-16(7)(v)-1 Functional'!C634</f>
        <v>RETURN ON RATE BASE</v>
      </c>
      <c r="D634" s="344"/>
      <c r="E634" s="196"/>
      <c r="F634" s="347">
        <f t="shared" ref="F634:K634" si="157">F334</f>
        <v>480732</v>
      </c>
      <c r="G634" s="548">
        <f t="shared" si="157"/>
        <v>0</v>
      </c>
      <c r="H634" s="539">
        <f t="shared" si="157"/>
        <v>480732</v>
      </c>
      <c r="I634" s="540">
        <f t="shared" si="157"/>
        <v>0</v>
      </c>
      <c r="J634" s="347">
        <f t="shared" si="157"/>
        <v>480732</v>
      </c>
      <c r="K634" s="347">
        <f t="shared" si="157"/>
        <v>0</v>
      </c>
    </row>
    <row r="635" spans="1:11">
      <c r="A635" s="333">
        <v>12</v>
      </c>
      <c r="C635" s="332" t="str">
        <f>'FR-16(7)(v)-1 Functional'!C635</f>
        <v>NET FED INCOME TAX ALLOWABLE</v>
      </c>
      <c r="D635" s="344"/>
      <c r="E635" s="196"/>
      <c r="F635" s="347">
        <f>F557</f>
        <v>955859</v>
      </c>
      <c r="G635" s="548">
        <f>$G$557</f>
        <v>0</v>
      </c>
      <c r="H635" s="539">
        <f>$H$557</f>
        <v>955859</v>
      </c>
      <c r="I635" s="540">
        <f>$I$557</f>
        <v>0</v>
      </c>
      <c r="J635" s="347">
        <f>$J$557</f>
        <v>955859</v>
      </c>
      <c r="K635" s="347">
        <f>$K$557</f>
        <v>0</v>
      </c>
    </row>
    <row r="636" spans="1:11">
      <c r="A636" s="333">
        <v>13</v>
      </c>
      <c r="C636" s="359" t="str">
        <f>'FR-16(7)(v)-1 Functional'!C636</f>
        <v>TOTAL OTHER OPERATING REVENUES</v>
      </c>
      <c r="D636" s="344"/>
      <c r="E636" s="196"/>
      <c r="F636" s="347">
        <f>-F630</f>
        <v>-2870</v>
      </c>
      <c r="G636" s="548">
        <f>-$G$630</f>
        <v>0</v>
      </c>
      <c r="H636" s="539">
        <f>-$H$630</f>
        <v>-2870</v>
      </c>
      <c r="I636" s="540">
        <f>-$I$630</f>
        <v>0</v>
      </c>
      <c r="J636" s="347">
        <f>-$J$630</f>
        <v>-2870</v>
      </c>
      <c r="K636" s="347">
        <f>-$K$630</f>
        <v>0</v>
      </c>
    </row>
    <row r="637" spans="1:11">
      <c r="A637" s="333">
        <v>14</v>
      </c>
      <c r="C637" s="332" t="str">
        <f>'FR-16(7)(v)-1 Functional'!C637</f>
        <v xml:space="preserve">  SUBTOTAL B</v>
      </c>
      <c r="D637" s="344"/>
      <c r="E637" s="196"/>
      <c r="F637" s="348">
        <f>SUM(F632:F636)</f>
        <v>40024708.067599997</v>
      </c>
      <c r="G637" s="549">
        <f>SUM($G$632:$G$636)</f>
        <v>6.7599999994854443E-2</v>
      </c>
      <c r="H637" s="541">
        <f>SUM($H$632:$H$636)</f>
        <v>40024708</v>
      </c>
      <c r="I637" s="542">
        <f>SUM($I$632:$I$636)</f>
        <v>0</v>
      </c>
      <c r="J637" s="348">
        <f>SUM($J$632:$J$636)</f>
        <v>40024708.067599997</v>
      </c>
      <c r="K637" s="348">
        <f>$J$637-F637</f>
        <v>0</v>
      </c>
    </row>
    <row r="638" spans="1:11">
      <c r="A638" s="333">
        <v>15</v>
      </c>
      <c r="D638" s="344"/>
      <c r="E638" s="196"/>
      <c r="G638" s="547"/>
      <c r="H638" s="537"/>
      <c r="I638" s="538"/>
    </row>
    <row r="639" spans="1:11">
      <c r="A639" s="333">
        <v>16</v>
      </c>
      <c r="C639" s="332" t="str">
        <f>'FR-16(7)(v)-1 Functional'!C639</f>
        <v>TOTAL OTHER OPERATING REVENUES</v>
      </c>
      <c r="D639" s="344"/>
      <c r="E639" s="196"/>
      <c r="F639" s="347">
        <f>-F636</f>
        <v>2870</v>
      </c>
      <c r="G639" s="548">
        <f>-$G$636</f>
        <v>0</v>
      </c>
      <c r="H639" s="539">
        <f>-$H$636</f>
        <v>2870</v>
      </c>
      <c r="I639" s="540">
        <f>-$I$636</f>
        <v>0</v>
      </c>
      <c r="J639" s="347">
        <f>-$J$636</f>
        <v>2870</v>
      </c>
      <c r="K639" s="347">
        <f>-$K$636</f>
        <v>0</v>
      </c>
    </row>
    <row r="640" spans="1:11">
      <c r="A640" s="333">
        <v>17</v>
      </c>
      <c r="C640" s="359" t="str">
        <f>'FR-16(7)(v)-1 Functional'!C640</f>
        <v>LESS: REVS EXCL FROM REV TAX CALC</v>
      </c>
      <c r="D640" s="344"/>
      <c r="E640" s="196"/>
      <c r="F640" s="349">
        <f>'FR-16(7)(v)-3 PROD Comm Alloc'!F855</f>
        <v>0</v>
      </c>
      <c r="G640" s="548">
        <f>G855</f>
        <v>0</v>
      </c>
      <c r="H640" s="539">
        <f>H855</f>
        <v>0</v>
      </c>
      <c r="I640" s="540">
        <f>I855</f>
        <v>0</v>
      </c>
      <c r="J640" s="347">
        <f>SUM(G640:I640)</f>
        <v>0</v>
      </c>
      <c r="K640" s="347">
        <f>'FR-16(7)(v)-3 PROD Comm Alloc'!L855</f>
        <v>0</v>
      </c>
    </row>
    <row r="641" spans="1:11">
      <c r="A641" s="333">
        <v>18</v>
      </c>
      <c r="C641" s="332" t="str">
        <f>'FR-16(7)(v)-1 Functional'!C641</f>
        <v>OTHER OPERATING REVS TO BE TAXED</v>
      </c>
      <c r="D641" s="344"/>
      <c r="E641" s="196"/>
      <c r="F641" s="348">
        <f>F639-F640</f>
        <v>2870</v>
      </c>
      <c r="G641" s="549">
        <f>$G$639-G640</f>
        <v>0</v>
      </c>
      <c r="H641" s="541">
        <f>$H$639-H640</f>
        <v>2870</v>
      </c>
      <c r="I641" s="542">
        <f>$I$639-I640</f>
        <v>0</v>
      </c>
      <c r="J641" s="348">
        <f>$J$639-J640</f>
        <v>2870</v>
      </c>
      <c r="K641" s="348">
        <f>$K$639-K640</f>
        <v>0</v>
      </c>
    </row>
    <row r="642" spans="1:11">
      <c r="A642" s="333">
        <v>19</v>
      </c>
      <c r="D642" s="344"/>
      <c r="E642" s="196"/>
      <c r="G642" s="547"/>
      <c r="H642" s="537"/>
      <c r="I642" s="538"/>
    </row>
    <row r="643" spans="1:11">
      <c r="A643" s="333">
        <v>20</v>
      </c>
      <c r="C643" s="332" t="str">
        <f>'FR-16(7)(v)-1 Functional'!C643</f>
        <v>REVENUE TAX FACTOR</v>
      </c>
      <c r="D643" s="344"/>
      <c r="E643" s="196"/>
      <c r="F643" s="350">
        <f t="shared" ref="F643:K643" si="158">ROUND(F694/(1-F694),8)</f>
        <v>0</v>
      </c>
      <c r="G643" s="566">
        <f t="shared" si="158"/>
        <v>0</v>
      </c>
      <c r="H643" s="567">
        <f t="shared" si="158"/>
        <v>0</v>
      </c>
      <c r="I643" s="568">
        <f t="shared" si="158"/>
        <v>0</v>
      </c>
      <c r="J643" s="350">
        <f t="shared" si="158"/>
        <v>0</v>
      </c>
      <c r="K643" s="350">
        <f t="shared" si="158"/>
        <v>0</v>
      </c>
    </row>
    <row r="644" spans="1:11">
      <c r="A644" s="333">
        <v>21</v>
      </c>
      <c r="C644" s="332" t="str">
        <f>'FR-16(7)(v)-1 Functional'!C644</f>
        <v>REVENUE TAX ON OTHER OPER. REVS</v>
      </c>
      <c r="D644" s="344"/>
      <c r="E644" s="196"/>
      <c r="F644" s="347">
        <f>ROUND(F643*F641,0)</f>
        <v>0</v>
      </c>
      <c r="G644" s="548">
        <f>ROUND(G643*G641,0)</f>
        <v>0</v>
      </c>
      <c r="H644" s="539">
        <f>ROUND(H643*H641,0)</f>
        <v>0</v>
      </c>
      <c r="I644" s="540">
        <f>ROUND(I643*I641,0)</f>
        <v>0</v>
      </c>
      <c r="J644" s="347">
        <f>SUM(G644:I644)</f>
        <v>0</v>
      </c>
      <c r="K644" s="347">
        <f>ROUND(K643*K641,0)</f>
        <v>0</v>
      </c>
    </row>
    <row r="645" spans="1:11">
      <c r="A645" s="333">
        <v>22</v>
      </c>
      <c r="C645" s="332" t="str">
        <f>'FR-16(7)(v)-1 Functional'!C645</f>
        <v>REVENUE TAX ON COST OF SERVICE</v>
      </c>
      <c r="D645" s="344"/>
      <c r="E645" s="196"/>
      <c r="F645" s="512">
        <f>ROUND(F643*F637,0)</f>
        <v>0</v>
      </c>
      <c r="G645" s="548">
        <f>ROUND(G643*$G$637,0)</f>
        <v>0</v>
      </c>
      <c r="H645" s="539">
        <f>ROUND(H643*$H$637,0)</f>
        <v>0</v>
      </c>
      <c r="I645" s="540">
        <f>ROUND(I643*$I$637,0)</f>
        <v>0</v>
      </c>
      <c r="J645" s="512">
        <f>SUM(G645:I645)</f>
        <v>0</v>
      </c>
      <c r="K645" s="512">
        <f>ROUND(K643*$K$637,0)</f>
        <v>0</v>
      </c>
    </row>
    <row r="646" spans="1:11">
      <c r="A646" s="333">
        <v>23</v>
      </c>
      <c r="C646" s="359" t="str">
        <f>'FR-16(7)(v)-1 Functional'!C646</f>
        <v>TOTAL REVENUE TAX</v>
      </c>
      <c r="D646" s="344"/>
      <c r="E646" s="196"/>
      <c r="F646" s="510">
        <f t="shared" ref="F646:K646" si="159">F645+F644</f>
        <v>0</v>
      </c>
      <c r="G646" s="572">
        <f t="shared" si="159"/>
        <v>0</v>
      </c>
      <c r="H646" s="573">
        <f t="shared" si="159"/>
        <v>0</v>
      </c>
      <c r="I646" s="574">
        <f t="shared" si="159"/>
        <v>0</v>
      </c>
      <c r="J646" s="510">
        <f t="shared" si="159"/>
        <v>0</v>
      </c>
      <c r="K646" s="510">
        <f t="shared" si="159"/>
        <v>0</v>
      </c>
    </row>
    <row r="647" spans="1:11">
      <c r="A647" s="333">
        <v>24</v>
      </c>
      <c r="C647" s="332" t="str">
        <f>'FR-16(7)(v)-1 Functional'!C647</f>
        <v xml:space="preserve">  TOTAL GAS COST OF SERVICE</v>
      </c>
      <c r="D647" s="344"/>
      <c r="E647" s="196"/>
      <c r="F647" s="348">
        <f>F646+F637</f>
        <v>40024708.067599997</v>
      </c>
      <c r="G647" s="549">
        <f>G646+$G$637</f>
        <v>6.7599999994854443E-2</v>
      </c>
      <c r="H647" s="541">
        <f>H646+$H$637</f>
        <v>40024708</v>
      </c>
      <c r="I647" s="542">
        <f>I646+$I$637</f>
        <v>0</v>
      </c>
      <c r="J647" s="348">
        <f>J646+$J$637</f>
        <v>40024708.067599997</v>
      </c>
      <c r="K647" s="348">
        <f>K646+$K$637</f>
        <v>0</v>
      </c>
    </row>
    <row r="648" spans="1:11">
      <c r="A648" s="333">
        <v>25</v>
      </c>
      <c r="D648" s="344"/>
      <c r="E648" s="196"/>
      <c r="G648" s="547"/>
      <c r="H648" s="537"/>
      <c r="I648" s="538"/>
    </row>
    <row r="649" spans="1:11">
      <c r="A649" s="333">
        <v>26</v>
      </c>
      <c r="B649" s="332" t="s">
        <v>850</v>
      </c>
      <c r="D649" s="344"/>
      <c r="E649" s="196"/>
      <c r="F649" s="349">
        <f>F745</f>
        <v>36322784</v>
      </c>
      <c r="G649" s="548">
        <f>G745</f>
        <v>0</v>
      </c>
      <c r="H649" s="539">
        <f>H745</f>
        <v>36322784</v>
      </c>
      <c r="I649" s="540">
        <f>I745</f>
        <v>0</v>
      </c>
      <c r="J649" s="347">
        <f>K745</f>
        <v>0</v>
      </c>
      <c r="K649" s="347">
        <f>L745</f>
        <v>0</v>
      </c>
    </row>
    <row r="650" spans="1:11">
      <c r="A650" s="333">
        <v>27</v>
      </c>
      <c r="B650" s="332" t="s">
        <v>79</v>
      </c>
      <c r="D650" s="344"/>
      <c r="E650" s="196"/>
      <c r="F650" s="347">
        <f t="shared" ref="F650:K650" si="160">-F647</f>
        <v>-40024708.067599997</v>
      </c>
      <c r="G650" s="548">
        <f t="shared" si="160"/>
        <v>-6.7599999994854443E-2</v>
      </c>
      <c r="H650" s="539">
        <f t="shared" si="160"/>
        <v>-40024708</v>
      </c>
      <c r="I650" s="540">
        <f t="shared" si="160"/>
        <v>0</v>
      </c>
      <c r="J650" s="347">
        <f t="shared" si="160"/>
        <v>-40024708.067599997</v>
      </c>
      <c r="K650" s="347">
        <f t="shared" si="160"/>
        <v>0</v>
      </c>
    </row>
    <row r="651" spans="1:11">
      <c r="A651" s="333">
        <v>28</v>
      </c>
      <c r="B651" s="332" t="s">
        <v>80</v>
      </c>
      <c r="D651" s="344"/>
      <c r="E651" s="196"/>
      <c r="F651" s="347">
        <f>F650+F649</f>
        <v>-3701924.0675999969</v>
      </c>
      <c r="G651" s="548">
        <f>G650+G649</f>
        <v>-6.7599999994854443E-2</v>
      </c>
      <c r="H651" s="539">
        <f>H650+H649</f>
        <v>-3701924</v>
      </c>
      <c r="I651" s="540">
        <f>I650+I649</f>
        <v>0</v>
      </c>
      <c r="J651" s="347">
        <f>SUM(G651:I651)</f>
        <v>-3701924.0676000002</v>
      </c>
      <c r="K651" s="347">
        <f>K650+K649</f>
        <v>0</v>
      </c>
    </row>
    <row r="652" spans="1:11">
      <c r="A652" s="333">
        <v>29</v>
      </c>
      <c r="B652" s="332" t="s">
        <v>76</v>
      </c>
      <c r="D652" s="344"/>
      <c r="E652" s="196"/>
      <c r="F652" s="350">
        <f>F565</f>
        <v>0.21</v>
      </c>
      <c r="G652" s="566">
        <f>$G$565</f>
        <v>0.24925</v>
      </c>
      <c r="H652" s="567">
        <f>$H$565</f>
        <v>0.24925</v>
      </c>
      <c r="I652" s="568">
        <f>$I$565</f>
        <v>0.24925</v>
      </c>
      <c r="J652" s="350">
        <f>$K$565</f>
        <v>0.24925</v>
      </c>
      <c r="K652" s="350">
        <f>$K$565</f>
        <v>0.24925</v>
      </c>
    </row>
    <row r="653" spans="1:11">
      <c r="A653" s="333">
        <v>30</v>
      </c>
      <c r="B653" s="332" t="s">
        <v>81</v>
      </c>
      <c r="D653" s="344"/>
      <c r="E653" s="196"/>
      <c r="F653" s="347">
        <f>ROUND(F652*F651,0)</f>
        <v>-777404</v>
      </c>
      <c r="G653" s="548">
        <f>ROUND(G652*G651,0)</f>
        <v>0</v>
      </c>
      <c r="H653" s="539">
        <f>ROUND(H652*H651,0)</f>
        <v>-922705</v>
      </c>
      <c r="I653" s="540">
        <f>ROUND(I652*I651,0)</f>
        <v>0</v>
      </c>
      <c r="J653" s="347">
        <f>SUM(G653:I653)</f>
        <v>-922705</v>
      </c>
      <c r="K653" s="347">
        <f>ROUND(K652*K651,0)</f>
        <v>0</v>
      </c>
    </row>
    <row r="654" spans="1:11">
      <c r="A654" s="333">
        <v>31</v>
      </c>
      <c r="B654" s="332" t="s">
        <v>82</v>
      </c>
      <c r="D654" s="344"/>
      <c r="E654" s="196"/>
      <c r="F654" s="347">
        <f>F651-F653</f>
        <v>-2924520.0675999969</v>
      </c>
      <c r="G654" s="550">
        <f>G651-G653</f>
        <v>-6.7599999994854443E-2</v>
      </c>
      <c r="H654" s="543">
        <f>H651-H653</f>
        <v>-2779219</v>
      </c>
      <c r="I654" s="544">
        <f>I651-I653</f>
        <v>0</v>
      </c>
      <c r="J654" s="347">
        <f>SUM(G654:I654)</f>
        <v>-2779219.0676000002</v>
      </c>
      <c r="K654" s="347">
        <f>K651-K653</f>
        <v>0</v>
      </c>
    </row>
    <row r="655" spans="1:11">
      <c r="A655" s="532"/>
      <c r="B655" s="584"/>
      <c r="C655" s="584"/>
      <c r="D655" s="736"/>
      <c r="E655" s="584"/>
      <c r="F655" s="532"/>
      <c r="G655" s="532"/>
      <c r="H655" s="532"/>
      <c r="I655" s="532"/>
      <c r="J655" s="532"/>
      <c r="K655" s="532"/>
    </row>
    <row r="656" spans="1:11">
      <c r="A656" s="343" t="str">
        <f>co_name</f>
        <v>DUKE ENERGY KENTUCKY, INC.</v>
      </c>
      <c r="C656" s="196"/>
      <c r="D656" s="344"/>
      <c r="E656" s="196"/>
      <c r="F656" s="196"/>
      <c r="G656" s="196"/>
      <c r="H656" s="196"/>
      <c r="I656" s="196"/>
      <c r="J656" s="196" t="str">
        <f>$J$1</f>
        <v>FR-16(7)(v)-2</v>
      </c>
      <c r="K656" s="196"/>
    </row>
    <row r="657" spans="1:11">
      <c r="A657" s="343" t="str">
        <f>$A$2</f>
        <v>PRODUCTION CLASSIFIED - GAS COST OF SERVICE</v>
      </c>
      <c r="C657" s="196"/>
      <c r="D657" s="344"/>
      <c r="E657" s="196"/>
      <c r="F657" s="196"/>
      <c r="G657" s="196"/>
      <c r="H657" s="196"/>
      <c r="I657" s="196"/>
      <c r="J657" s="196" t="str">
        <f>$J$2</f>
        <v>WITNESS RESPONSIBLE:</v>
      </c>
      <c r="K657" s="196"/>
    </row>
    <row r="658" spans="1:11">
      <c r="A658" s="343" t="str">
        <f>case_name</f>
        <v>CASE NO: 2018-00261</v>
      </c>
      <c r="C658" s="196"/>
      <c r="D658" s="344"/>
      <c r="E658" s="196"/>
      <c r="F658" s="196"/>
      <c r="G658" s="196"/>
      <c r="H658" s="196"/>
      <c r="I658" s="196"/>
      <c r="J658" s="196" t="str">
        <f>Witness</f>
        <v>JAMES E. ZIOLKOWSKI</v>
      </c>
      <c r="K658" s="196"/>
    </row>
    <row r="659" spans="1:11">
      <c r="A659" s="343" t="str">
        <f>data_filing</f>
        <v>DATA: 12 MONTH FORECASTED PERIOD</v>
      </c>
      <c r="C659" s="196"/>
      <c r="D659" s="344"/>
      <c r="E659" s="196"/>
      <c r="F659" s="196"/>
      <c r="G659" s="196"/>
      <c r="H659" s="196"/>
      <c r="I659" s="196"/>
      <c r="J659" s="196" t="str">
        <f>"PAGE "&amp;Pages-3&amp;" OF "&amp;Pages</f>
        <v>PAGE 15 OF 18</v>
      </c>
      <c r="K659" s="196"/>
    </row>
    <row r="660" spans="1:11">
      <c r="A660" s="343" t="str">
        <f>type</f>
        <v xml:space="preserve">TYPE OF FILING: "X" ORIGINAL   UPDATED    REVISED  </v>
      </c>
      <c r="C660" s="196"/>
      <c r="D660" s="344"/>
      <c r="E660" s="196"/>
      <c r="F660" s="196"/>
      <c r="G660" s="196"/>
      <c r="H660" s="196"/>
      <c r="I660" s="196"/>
      <c r="J660" s="196"/>
      <c r="K660" s="196"/>
    </row>
    <row r="661" spans="1:11">
      <c r="B661" s="343"/>
      <c r="C661" s="196"/>
      <c r="D661" s="344"/>
      <c r="E661" s="196"/>
      <c r="F661" s="196"/>
      <c r="G661" s="196"/>
      <c r="H661" s="196"/>
      <c r="I661" s="196"/>
      <c r="J661" s="196"/>
      <c r="K661" s="196"/>
    </row>
    <row r="662" spans="1:11">
      <c r="B662" s="343"/>
      <c r="C662" s="196"/>
      <c r="D662" s="344"/>
      <c r="E662" s="196"/>
      <c r="F662" s="196"/>
      <c r="G662" s="196"/>
      <c r="H662" s="196"/>
      <c r="I662" s="196"/>
      <c r="J662" s="196"/>
      <c r="K662" s="196"/>
    </row>
    <row r="663" spans="1:11">
      <c r="A663" s="344" t="s">
        <v>914</v>
      </c>
      <c r="B663" s="196"/>
      <c r="C663" s="196"/>
      <c r="D663" s="344"/>
      <c r="E663" s="196"/>
      <c r="F663" s="344" t="str">
        <f>$F$8</f>
        <v>TOTAL</v>
      </c>
      <c r="G663" s="545" t="s">
        <v>1005</v>
      </c>
      <c r="H663" s="533"/>
      <c r="I663" s="534"/>
      <c r="J663" s="344" t="s">
        <v>229</v>
      </c>
      <c r="K663" s="344" t="s">
        <v>342</v>
      </c>
    </row>
    <row r="664" spans="1:11">
      <c r="A664" s="346" t="s">
        <v>915</v>
      </c>
      <c r="B664" s="345" t="s">
        <v>83</v>
      </c>
      <c r="C664" s="345"/>
      <c r="D664" s="346" t="s">
        <v>337</v>
      </c>
      <c r="E664" s="345"/>
      <c r="F664" s="346" t="str">
        <f>$F$9</f>
        <v>PRODUCTION</v>
      </c>
      <c r="G664" s="546" t="s">
        <v>847</v>
      </c>
      <c r="H664" s="535" t="s">
        <v>848</v>
      </c>
      <c r="I664" s="536" t="s">
        <v>849</v>
      </c>
      <c r="J664" s="346" t="s">
        <v>341</v>
      </c>
      <c r="K664" s="346" t="s">
        <v>340</v>
      </c>
    </row>
    <row r="665" spans="1:11">
      <c r="C665" s="578" t="s">
        <v>353</v>
      </c>
      <c r="D665" s="344"/>
      <c r="E665" s="196"/>
      <c r="G665" s="824">
        <f>$G$10</f>
        <v>3</v>
      </c>
      <c r="H665" s="824">
        <f>$H$10</f>
        <v>4</v>
      </c>
      <c r="I665" s="824">
        <f>$I$10</f>
        <v>5</v>
      </c>
    </row>
    <row r="666" spans="1:11">
      <c r="A666" s="333">
        <v>1</v>
      </c>
      <c r="B666" s="332" t="s">
        <v>84</v>
      </c>
      <c r="D666" s="344"/>
      <c r="E666" s="196"/>
    </row>
    <row r="667" spans="1:11">
      <c r="A667" s="333">
        <v>2</v>
      </c>
      <c r="B667" s="332" t="s">
        <v>85</v>
      </c>
      <c r="D667" s="344"/>
      <c r="E667" s="196"/>
      <c r="G667" s="519" t="s">
        <v>339</v>
      </c>
    </row>
    <row r="668" spans="1:11">
      <c r="A668" s="333">
        <v>3</v>
      </c>
      <c r="C668" s="332" t="str">
        <f>'FR-16(7)(v)-1 Functional'!C668</f>
        <v>LONG TERM DEBT</v>
      </c>
      <c r="D668" s="344"/>
      <c r="E668" s="196"/>
      <c r="F668" s="479">
        <f>'FR-16(7)(v)-1 Functional'!$F$668</f>
        <v>518128763</v>
      </c>
      <c r="G668" s="350">
        <f>IF($F$673=0,0,ROUND(F668/$F$673,5))</f>
        <v>0.42338999999999999</v>
      </c>
    </row>
    <row r="669" spans="1:11">
      <c r="A669" s="333">
        <v>4</v>
      </c>
      <c r="C669" s="332" t="str">
        <f>'FR-16(7)(v)-1 Functional'!C669</f>
        <v>PREFERRED STOCK</v>
      </c>
      <c r="D669" s="344"/>
      <c r="E669" s="196"/>
      <c r="F669" s="479">
        <f>'FR-16(7)(v)-1 Functional'!$F$669</f>
        <v>0</v>
      </c>
      <c r="G669" s="350">
        <f>IF($F$673=0,0,ROUND(F669/$F$673,5))</f>
        <v>0</v>
      </c>
    </row>
    <row r="670" spans="1:11">
      <c r="A670" s="333">
        <v>5</v>
      </c>
      <c r="C670" s="332" t="str">
        <f>'FR-16(7)(v)-1 Functional'!C670</f>
        <v>COMMON STOCK</v>
      </c>
      <c r="D670" s="344"/>
      <c r="E670" s="196"/>
      <c r="F670" s="479">
        <f>'FR-16(7)(v)-1 Functional'!$F$670</f>
        <v>621113054</v>
      </c>
      <c r="G670" s="350">
        <f>1-G668-G669-G671-G672</f>
        <v>0.50755000000000006</v>
      </c>
    </row>
    <row r="671" spans="1:11">
      <c r="A671" s="333">
        <v>6</v>
      </c>
      <c r="C671" s="332" t="str">
        <f>'FR-16(7)(v)-1 Functional'!C671</f>
        <v>SHORT TERM DEBT</v>
      </c>
      <c r="D671" s="344"/>
      <c r="E671" s="196"/>
      <c r="F671" s="479">
        <f>'FR-16(7)(v)-1 Functional'!$F$671</f>
        <v>84508435</v>
      </c>
      <c r="G671" s="350">
        <f>IF($F$673=0,0,ROUND(F671/$F$673,5))</f>
        <v>6.9059999999999996E-2</v>
      </c>
    </row>
    <row r="672" spans="1:11">
      <c r="A672" s="333">
        <v>7</v>
      </c>
      <c r="C672" s="332" t="str">
        <f>'FR-16(7)(v)-1 Functional'!C672</f>
        <v>UNAMORTIZED DISCOUNT</v>
      </c>
      <c r="D672" s="344"/>
      <c r="E672" s="196"/>
      <c r="F672" s="479">
        <f>'FR-16(7)(v)-1 Functional'!$F$672</f>
        <v>0</v>
      </c>
      <c r="G672" s="350">
        <f>IF($F$673=0,0,ROUND(F672/$F$673,5))</f>
        <v>0</v>
      </c>
    </row>
    <row r="673" spans="1:9">
      <c r="A673" s="333">
        <v>8</v>
      </c>
      <c r="C673" s="332" t="str">
        <f>'FR-16(7)(v)-1 Functional'!C673</f>
        <v xml:space="preserve">  TOTAL</v>
      </c>
      <c r="D673" s="344"/>
      <c r="E673" s="196"/>
      <c r="F673" s="480">
        <f>SUM(F667:F672)</f>
        <v>1223750252</v>
      </c>
      <c r="G673" s="521">
        <f>SUM(G668:G672)</f>
        <v>1</v>
      </c>
    </row>
    <row r="674" spans="1:9">
      <c r="A674" s="333">
        <v>9</v>
      </c>
      <c r="D674" s="344"/>
      <c r="E674" s="196"/>
    </row>
    <row r="675" spans="1:9">
      <c r="A675" s="333">
        <v>10</v>
      </c>
      <c r="B675" s="332" t="s">
        <v>86</v>
      </c>
      <c r="D675" s="344"/>
      <c r="E675" s="196"/>
    </row>
    <row r="676" spans="1:9">
      <c r="A676" s="333">
        <v>11</v>
      </c>
      <c r="C676" s="332" t="str">
        <f>'FR-16(7)(v)-1 Functional'!C676</f>
        <v>LONG TERM DEBT</v>
      </c>
      <c r="D676" s="344"/>
      <c r="E676" s="196"/>
      <c r="F676" s="586">
        <f>'FR-16(7)(v)-1 Functional'!$F$676</f>
        <v>4.3979999999999998E-2</v>
      </c>
      <c r="G676" s="522"/>
      <c r="H676" s="522"/>
      <c r="I676" s="522"/>
    </row>
    <row r="677" spans="1:9">
      <c r="A677" s="333">
        <v>12</v>
      </c>
      <c r="C677" s="332" t="str">
        <f>'FR-16(7)(v)-1 Functional'!C677</f>
        <v>PREFERRED STOCK</v>
      </c>
      <c r="D677" s="344"/>
      <c r="E677" s="196"/>
      <c r="F677" s="586">
        <f>'FR-16(7)(v)-1 Functional'!$F$677</f>
        <v>0</v>
      </c>
      <c r="G677" s="522"/>
      <c r="H677" s="522"/>
      <c r="I677" s="522"/>
    </row>
    <row r="678" spans="1:9">
      <c r="A678" s="333">
        <v>13</v>
      </c>
      <c r="C678" s="332" t="str">
        <f>'FR-16(7)(v)-1 Functional'!C678</f>
        <v>COMMON STOCK</v>
      </c>
      <c r="D678" s="344"/>
      <c r="E678" s="196"/>
      <c r="F678" s="586">
        <f>'FR-16(7)(v)-1 Functional'!$F$678</f>
        <v>9.9000000000000005E-2</v>
      </c>
      <c r="G678" s="522"/>
      <c r="H678" s="522"/>
      <c r="I678" s="522"/>
    </row>
    <row r="679" spans="1:9">
      <c r="A679" s="333">
        <v>14</v>
      </c>
      <c r="C679" s="332" t="str">
        <f>'FR-16(7)(v)-1 Functional'!C679</f>
        <v>SHORT TERM DEBT</v>
      </c>
      <c r="D679" s="344"/>
      <c r="E679" s="196"/>
      <c r="F679" s="586">
        <f>'FR-16(7)(v)-1 Functional'!$F$679</f>
        <v>4.2500000000000003E-2</v>
      </c>
      <c r="G679" s="522"/>
      <c r="H679" s="522"/>
      <c r="I679" s="522"/>
    </row>
    <row r="680" spans="1:9">
      <c r="A680" s="333">
        <v>15</v>
      </c>
      <c r="C680" s="332" t="str">
        <f>'FR-16(7)(v)-1 Functional'!C680</f>
        <v>UNAMORTIZED DISCOUNT</v>
      </c>
      <c r="D680" s="344"/>
      <c r="E680" s="196"/>
      <c r="F680" s="586">
        <f>'FR-16(7)(v)-1 Functional'!$F$680</f>
        <v>0</v>
      </c>
      <c r="G680" s="522"/>
      <c r="H680" s="522"/>
      <c r="I680" s="522"/>
    </row>
    <row r="681" spans="1:9">
      <c r="A681" s="333">
        <v>16</v>
      </c>
      <c r="D681" s="344"/>
      <c r="E681" s="196"/>
    </row>
    <row r="682" spans="1:9">
      <c r="A682" s="333">
        <v>17</v>
      </c>
      <c r="B682" s="332" t="s">
        <v>87</v>
      </c>
      <c r="D682" s="344"/>
      <c r="E682" s="196"/>
    </row>
    <row r="683" spans="1:9">
      <c r="A683" s="333">
        <v>18</v>
      </c>
      <c r="C683" s="332" t="str">
        <f>'FR-16(7)(v)-1 Functional'!C683</f>
        <v>LONG TERM DEBT</v>
      </c>
      <c r="D683" s="344"/>
      <c r="E683" s="196"/>
      <c r="F683" s="350">
        <f>ROUND(G668*F676,5)</f>
        <v>1.8620000000000001E-2</v>
      </c>
      <c r="G683" s="520"/>
      <c r="H683" s="520"/>
      <c r="I683" s="520"/>
    </row>
    <row r="684" spans="1:9">
      <c r="A684" s="333">
        <v>19</v>
      </c>
      <c r="C684" s="332" t="str">
        <f>'FR-16(7)(v)-1 Functional'!C684</f>
        <v>PREFERRED STOCK</v>
      </c>
      <c r="D684" s="344"/>
      <c r="E684" s="196"/>
      <c r="F684" s="350">
        <f>ROUND(G669*F677,5)</f>
        <v>0</v>
      </c>
      <c r="G684" s="520"/>
      <c r="H684" s="520"/>
      <c r="I684" s="520"/>
    </row>
    <row r="685" spans="1:9">
      <c r="A685" s="333">
        <v>20</v>
      </c>
      <c r="C685" s="332" t="str">
        <f>'FR-16(7)(v)-1 Functional'!C685</f>
        <v>COMMON STOCK</v>
      </c>
      <c r="D685" s="344"/>
      <c r="E685" s="196"/>
      <c r="F685" s="350">
        <f>ROUND(G670*F678,5)</f>
        <v>5.0250000000000003E-2</v>
      </c>
      <c r="G685" s="520"/>
      <c r="H685" s="520"/>
      <c r="I685" s="520"/>
    </row>
    <row r="686" spans="1:9">
      <c r="A686" s="333">
        <v>21</v>
      </c>
      <c r="C686" s="332" t="str">
        <f>'FR-16(7)(v)-1 Functional'!C686</f>
        <v>SHORT TERM DEBT</v>
      </c>
      <c r="D686" s="344"/>
      <c r="E686" s="196"/>
      <c r="F686" s="350">
        <f>ROUND(G671*F679,5)</f>
        <v>2.9399999999999999E-3</v>
      </c>
      <c r="G686" s="520"/>
      <c r="H686" s="520"/>
      <c r="I686" s="520"/>
    </row>
    <row r="687" spans="1:9">
      <c r="A687" s="333">
        <v>22</v>
      </c>
      <c r="C687" s="332" t="str">
        <f>'FR-16(7)(v)-1 Functional'!C687</f>
        <v>UNAMORTIZED DISCOUNT</v>
      </c>
      <c r="D687" s="344"/>
      <c r="E687" s="196"/>
      <c r="F687" s="350">
        <f>ROUND(G672*F680,5)</f>
        <v>0</v>
      </c>
      <c r="G687" s="520"/>
      <c r="H687" s="520"/>
      <c r="I687" s="520"/>
    </row>
    <row r="688" spans="1:9">
      <c r="A688" s="333">
        <v>23</v>
      </c>
      <c r="C688" s="332" t="str">
        <f>'FR-16(7)(v)-1 Functional'!C688</f>
        <v xml:space="preserve">  TOT RATE OF RETURN ALLOWABLE</v>
      </c>
      <c r="D688" s="344"/>
      <c r="E688" s="196"/>
      <c r="F688" s="1487">
        <f>SUM(F683:F687)</f>
        <v>7.1809999999999999E-2</v>
      </c>
      <c r="G688" s="524"/>
      <c r="H688" s="524"/>
      <c r="I688" s="524"/>
    </row>
    <row r="689" spans="1:15">
      <c r="A689" s="333">
        <v>24</v>
      </c>
      <c r="D689" s="344"/>
      <c r="E689" s="196"/>
    </row>
    <row r="690" spans="1:15">
      <c r="A690" s="333">
        <v>25</v>
      </c>
      <c r="B690" s="332" t="s">
        <v>88</v>
      </c>
      <c r="D690" s="344"/>
      <c r="E690" s="196"/>
    </row>
    <row r="691" spans="1:15">
      <c r="A691" s="333">
        <v>26</v>
      </c>
      <c r="C691" s="332" t="str">
        <f>'FR-16(7)(v)-1 Functional'!C691</f>
        <v>SHORT TERM DEBT COST</v>
      </c>
      <c r="D691" s="344"/>
      <c r="E691" s="196"/>
      <c r="F691" s="766">
        <v>0</v>
      </c>
      <c r="G691" s="525">
        <f>$F$691</f>
        <v>0</v>
      </c>
      <c r="H691" s="525">
        <f>$F$691</f>
        <v>0</v>
      </c>
      <c r="I691" s="525">
        <f>$F$691</f>
        <v>0</v>
      </c>
      <c r="J691" s="525">
        <f>$F$691</f>
        <v>0</v>
      </c>
      <c r="K691" s="525">
        <f>$F$691</f>
        <v>0</v>
      </c>
    </row>
    <row r="692" spans="1:15">
      <c r="A692" s="333">
        <v>27</v>
      </c>
      <c r="C692" s="332" t="str">
        <f>'FR-16(7)(v)-1 Functional'!C692</f>
        <v>FEDERAL INCOME TAX RATE</v>
      </c>
      <c r="D692" s="344"/>
      <c r="E692" s="196"/>
      <c r="F692" s="586">
        <f t="shared" ref="F692:K692" si="161">FIT</f>
        <v>0.21</v>
      </c>
      <c r="G692" s="525">
        <f t="shared" si="161"/>
        <v>0.21</v>
      </c>
      <c r="H692" s="525">
        <f t="shared" si="161"/>
        <v>0.21</v>
      </c>
      <c r="I692" s="525">
        <f t="shared" si="161"/>
        <v>0.21</v>
      </c>
      <c r="J692" s="525">
        <f t="shared" si="161"/>
        <v>0.21</v>
      </c>
      <c r="K692" s="525">
        <f t="shared" si="161"/>
        <v>0.21</v>
      </c>
    </row>
    <row r="693" spans="1:15">
      <c r="A693" s="333">
        <v>28</v>
      </c>
      <c r="C693" s="332" t="str">
        <f>'FR-16(7)(v)-1 Functional'!C693</f>
        <v>STATE INCOME TAX RATE</v>
      </c>
      <c r="D693" s="344"/>
      <c r="E693" s="196"/>
      <c r="F693" s="522">
        <v>0</v>
      </c>
      <c r="G693" s="525">
        <f>SIT</f>
        <v>4.9685000000000007E-2</v>
      </c>
      <c r="H693" s="525">
        <f>SIT</f>
        <v>4.9685000000000007E-2</v>
      </c>
      <c r="I693" s="525">
        <f>SIT</f>
        <v>4.9685000000000007E-2</v>
      </c>
      <c r="J693" s="525">
        <f>SIT</f>
        <v>4.9685000000000007E-2</v>
      </c>
      <c r="K693" s="525">
        <f>SIT</f>
        <v>4.9685000000000007E-2</v>
      </c>
    </row>
    <row r="694" spans="1:15">
      <c r="A694" s="333">
        <v>29</v>
      </c>
      <c r="C694" s="332" t="str">
        <f>'FR-16(7)(v)-1 Functional'!C694</f>
        <v>REVENUE TAX RATE</v>
      </c>
      <c r="D694" s="344"/>
      <c r="E694" s="196"/>
      <c r="F694" s="522">
        <v>0</v>
      </c>
      <c r="G694" s="525">
        <f>RevTax</f>
        <v>0</v>
      </c>
      <c r="H694" s="525">
        <f>RevTax</f>
        <v>0</v>
      </c>
      <c r="I694" s="525">
        <f>RevTax</f>
        <v>0</v>
      </c>
      <c r="J694" s="525">
        <f>RevTax</f>
        <v>0</v>
      </c>
      <c r="K694" s="525">
        <f>RevTax</f>
        <v>0</v>
      </c>
    </row>
    <row r="696" spans="1:15">
      <c r="A696" s="343" t="str">
        <f>co_name</f>
        <v>DUKE ENERGY KENTUCKY, INC.</v>
      </c>
      <c r="C696" s="196"/>
      <c r="D696" s="344"/>
      <c r="E696" s="196"/>
      <c r="F696" s="196"/>
      <c r="G696" s="196"/>
      <c r="H696" s="196"/>
      <c r="I696" s="196"/>
      <c r="J696" s="196" t="str">
        <f>$J$1</f>
        <v>FR-16(7)(v)-2</v>
      </c>
      <c r="K696" s="196"/>
    </row>
    <row r="697" spans="1:15">
      <c r="A697" s="343" t="str">
        <f>$A$2</f>
        <v>PRODUCTION CLASSIFIED - GAS COST OF SERVICE</v>
      </c>
      <c r="C697" s="196"/>
      <c r="D697" s="344"/>
      <c r="E697" s="196"/>
      <c r="F697" s="196"/>
      <c r="G697" s="196"/>
      <c r="H697" s="196"/>
      <c r="I697" s="196"/>
      <c r="J697" s="196" t="str">
        <f>$J$2</f>
        <v>WITNESS RESPONSIBLE:</v>
      </c>
      <c r="K697" s="196"/>
    </row>
    <row r="698" spans="1:15">
      <c r="A698" s="343" t="str">
        <f>case_name</f>
        <v>CASE NO: 2018-00261</v>
      </c>
      <c r="C698" s="196"/>
      <c r="D698" s="344"/>
      <c r="E698" s="196"/>
      <c r="F698" s="196"/>
      <c r="G698" s="196"/>
      <c r="H698" s="196"/>
      <c r="I698" s="196"/>
      <c r="J698" s="196" t="str">
        <f>Witness</f>
        <v>JAMES E. ZIOLKOWSKI</v>
      </c>
      <c r="K698" s="196"/>
    </row>
    <row r="699" spans="1:15">
      <c r="A699" s="343" t="str">
        <f>data_filing</f>
        <v>DATA: 12 MONTH FORECASTED PERIOD</v>
      </c>
      <c r="C699" s="196"/>
      <c r="D699" s="344"/>
      <c r="E699" s="196"/>
      <c r="F699" s="196"/>
      <c r="G699" s="196"/>
      <c r="H699" s="196"/>
      <c r="I699" s="196"/>
      <c r="J699" s="196" t="str">
        <f>"PAGE "&amp;Pages-2&amp;" OF "&amp;Pages</f>
        <v>PAGE 16 OF 18</v>
      </c>
      <c r="K699" s="196"/>
    </row>
    <row r="700" spans="1:15">
      <c r="A700" s="343" t="str">
        <f>type</f>
        <v xml:space="preserve">TYPE OF FILING: "X" ORIGINAL   UPDATED    REVISED  </v>
      </c>
      <c r="C700" s="196"/>
      <c r="D700" s="344"/>
      <c r="E700" s="196"/>
      <c r="F700" s="196"/>
      <c r="G700" s="196"/>
      <c r="H700" s="196"/>
      <c r="I700" s="196"/>
      <c r="J700" s="196"/>
      <c r="K700" s="196"/>
    </row>
    <row r="702" spans="1:15" ht="13.5" thickBot="1"/>
    <row r="703" spans="1:15">
      <c r="A703" s="344" t="s">
        <v>914</v>
      </c>
      <c r="B703" s="196"/>
      <c r="C703" s="196"/>
      <c r="D703" s="344"/>
      <c r="E703" s="344"/>
      <c r="F703" s="344" t="str">
        <f>$F$8</f>
        <v>TOTAL</v>
      </c>
      <c r="G703" s="545" t="s">
        <v>1005</v>
      </c>
      <c r="H703" s="533"/>
      <c r="I703" s="534"/>
      <c r="J703" s="344" t="s">
        <v>229</v>
      </c>
      <c r="K703" s="344" t="s">
        <v>342</v>
      </c>
      <c r="O703" s="751" t="s">
        <v>1005</v>
      </c>
    </row>
    <row r="704" spans="1:15">
      <c r="A704" s="346" t="s">
        <v>915</v>
      </c>
      <c r="B704" s="590" t="s">
        <v>89</v>
      </c>
      <c r="C704" s="345"/>
      <c r="D704" s="591" t="s">
        <v>1011</v>
      </c>
      <c r="E704" s="591" t="s">
        <v>337</v>
      </c>
      <c r="F704" s="346" t="str">
        <f>$F$9</f>
        <v>PRODUCTION</v>
      </c>
      <c r="G704" s="797" t="s">
        <v>847</v>
      </c>
      <c r="H704" s="798" t="s">
        <v>848</v>
      </c>
      <c r="I704" s="799" t="s">
        <v>849</v>
      </c>
      <c r="J704" s="346" t="s">
        <v>341</v>
      </c>
      <c r="K704" s="346" t="s">
        <v>340</v>
      </c>
      <c r="O704" s="752" t="s">
        <v>1008</v>
      </c>
    </row>
    <row r="705" spans="1:15">
      <c r="A705" s="196"/>
      <c r="B705" s="594"/>
      <c r="C705" s="845" t="s">
        <v>561</v>
      </c>
      <c r="D705" s="718"/>
      <c r="E705" s="786">
        <v>1</v>
      </c>
      <c r="F705" s="786">
        <v>2</v>
      </c>
      <c r="G705" s="823">
        <f>$G$10</f>
        <v>3</v>
      </c>
      <c r="H705" s="824">
        <f>$H$10</f>
        <v>4</v>
      </c>
      <c r="I705" s="825">
        <f>$I$10</f>
        <v>5</v>
      </c>
      <c r="O705" s="753"/>
    </row>
    <row r="706" spans="1:15">
      <c r="A706" s="344">
        <v>1</v>
      </c>
      <c r="B706" s="597" t="s">
        <v>90</v>
      </c>
      <c r="C706" s="490"/>
      <c r="D706" s="712"/>
      <c r="E706" s="712"/>
      <c r="F706" s="510"/>
      <c r="G706" s="572"/>
      <c r="H706" s="573"/>
      <c r="I706" s="574"/>
      <c r="O706" s="754"/>
    </row>
    <row r="707" spans="1:15">
      <c r="A707" s="344">
        <v>2</v>
      </c>
      <c r="C707" s="598" t="s">
        <v>221</v>
      </c>
      <c r="D707" s="723" t="s">
        <v>1012</v>
      </c>
      <c r="E707" s="713"/>
      <c r="F707" s="479">
        <f>'Alloc Factors Summary'!$D$16</f>
        <v>10485450</v>
      </c>
      <c r="G707" s="803">
        <v>0</v>
      </c>
      <c r="H707" s="561">
        <f>'Alloc Factors Summary'!D16</f>
        <v>10485450</v>
      </c>
      <c r="I707" s="804">
        <v>0</v>
      </c>
      <c r="J707" s="738">
        <f>SUM(G707:I707)</f>
        <v>10485450</v>
      </c>
      <c r="K707" s="501">
        <f>F707-J707</f>
        <v>0</v>
      </c>
      <c r="O707" s="753"/>
    </row>
    <row r="708" spans="1:15">
      <c r="A708" s="344">
        <v>3</v>
      </c>
      <c r="B708" s="196"/>
      <c r="C708" s="497" t="s">
        <v>355</v>
      </c>
      <c r="D708" s="589"/>
      <c r="E708" s="714" t="str">
        <f>'FR-16(7)(v)-1 Functional'!$E$708</f>
        <v>K201</v>
      </c>
      <c r="F708" s="649">
        <v>1</v>
      </c>
      <c r="G708" s="566">
        <f>ROUND(G707/(G707+H707+I707),5)</f>
        <v>0</v>
      </c>
      <c r="H708" s="567">
        <f>ROUND(H707/(G707+H707+I707),5)</f>
        <v>1</v>
      </c>
      <c r="I708" s="568">
        <f>ROUND(I707/(G707+H707+I707),5)</f>
        <v>0</v>
      </c>
      <c r="J708" s="739">
        <f t="shared" ref="J708:J742" si="162">SUM(G708:I708)</f>
        <v>1</v>
      </c>
      <c r="K708" s="737">
        <f t="shared" ref="K708:K742" si="163">F708-J708</f>
        <v>0</v>
      </c>
      <c r="O708" s="755">
        <f>SUM(G708:I708)</f>
        <v>1</v>
      </c>
    </row>
    <row r="709" spans="1:15">
      <c r="A709" s="344">
        <v>4</v>
      </c>
      <c r="C709" s="598" t="s">
        <v>862</v>
      </c>
      <c r="D709" s="723" t="s">
        <v>1012</v>
      </c>
      <c r="E709" s="729"/>
      <c r="F709" s="604">
        <v>100</v>
      </c>
      <c r="G709" s="803">
        <v>0</v>
      </c>
      <c r="H709" s="805">
        <f>ROUND('Alloc Factors Summary'!$D$25*100,3)</f>
        <v>100</v>
      </c>
      <c r="I709" s="804">
        <v>0</v>
      </c>
      <c r="J709" s="740">
        <f t="shared" si="162"/>
        <v>100</v>
      </c>
      <c r="K709" s="743">
        <f t="shared" si="163"/>
        <v>0</v>
      </c>
      <c r="O709" s="754"/>
    </row>
    <row r="710" spans="1:15">
      <c r="A710" s="344">
        <v>5</v>
      </c>
      <c r="B710" s="196"/>
      <c r="C710" s="497" t="s">
        <v>355</v>
      </c>
      <c r="D710" s="589"/>
      <c r="E710" s="714" t="str">
        <f>'FR-16(7)(v)-1 Functional'!$E$710</f>
        <v>K203</v>
      </c>
      <c r="F710" s="649">
        <v>1</v>
      </c>
      <c r="G710" s="566">
        <f>ROUND(G709/(G709+H709+I709),5)</f>
        <v>0</v>
      </c>
      <c r="H710" s="567">
        <f>ROUND(H709/(G709+H709+I709),5)</f>
        <v>1</v>
      </c>
      <c r="I710" s="568">
        <f>ROUND(I709/(G709+H709+I709),5)</f>
        <v>0</v>
      </c>
      <c r="J710" s="739">
        <f t="shared" si="162"/>
        <v>1</v>
      </c>
      <c r="K710" s="737">
        <f t="shared" si="163"/>
        <v>0</v>
      </c>
      <c r="O710" s="755">
        <f>SUM(G710:I710)</f>
        <v>1</v>
      </c>
    </row>
    <row r="711" spans="1:15">
      <c r="A711" s="344">
        <v>6</v>
      </c>
      <c r="C711" s="598" t="s">
        <v>863</v>
      </c>
      <c r="D711" s="723" t="s">
        <v>1012</v>
      </c>
      <c r="E711" s="729"/>
      <c r="F711" s="604">
        <v>100</v>
      </c>
      <c r="G711" s="803">
        <v>0</v>
      </c>
      <c r="H711" s="805">
        <f>ROUND('Alloc Factors Summary'!$E25*100,3)</f>
        <v>100</v>
      </c>
      <c r="I711" s="804">
        <v>0</v>
      </c>
      <c r="J711" s="740">
        <f t="shared" si="162"/>
        <v>100</v>
      </c>
      <c r="K711" s="743">
        <f t="shared" si="163"/>
        <v>0</v>
      </c>
      <c r="O711" s="754"/>
    </row>
    <row r="712" spans="1:15">
      <c r="A712" s="344">
        <v>7</v>
      </c>
      <c r="B712" s="196"/>
      <c r="C712" s="497" t="s">
        <v>355</v>
      </c>
      <c r="D712" s="589"/>
      <c r="E712" s="714" t="str">
        <f>'FR-16(7)(v)-1 Functional'!$E$712</f>
        <v>K205</v>
      </c>
      <c r="F712" s="649">
        <v>1</v>
      </c>
      <c r="G712" s="566">
        <f>ROUND(G711/(G711+H711+I711),5)</f>
        <v>0</v>
      </c>
      <c r="H712" s="567">
        <f>ROUND(H711/(G711+H711+I711),5)</f>
        <v>1</v>
      </c>
      <c r="I712" s="568">
        <f>ROUND(I711/(G711+H711+I711),5)</f>
        <v>0</v>
      </c>
      <c r="J712" s="739">
        <f t="shared" si="162"/>
        <v>1</v>
      </c>
      <c r="K712" s="737">
        <f t="shared" si="163"/>
        <v>0</v>
      </c>
      <c r="O712" s="755">
        <f>SUM(G712:I712)</f>
        <v>1</v>
      </c>
    </row>
    <row r="713" spans="1:15">
      <c r="A713" s="344">
        <v>8</v>
      </c>
      <c r="B713" s="196"/>
      <c r="C713" s="598" t="s">
        <v>406</v>
      </c>
      <c r="D713" s="723" t="s">
        <v>1012</v>
      </c>
      <c r="E713" s="729"/>
      <c r="F713" s="479">
        <f>'Alloc Factors Summary'!$D$34</f>
        <v>12030761</v>
      </c>
      <c r="G713" s="803">
        <v>0</v>
      </c>
      <c r="H713" s="561">
        <f>'Alloc Factors Summary'!$D34</f>
        <v>12030761</v>
      </c>
      <c r="I713" s="804">
        <v>0</v>
      </c>
      <c r="J713" s="738">
        <f t="shared" si="162"/>
        <v>12030761</v>
      </c>
      <c r="K713" s="501">
        <f t="shared" si="163"/>
        <v>0</v>
      </c>
      <c r="O713" s="753"/>
    </row>
    <row r="714" spans="1:15">
      <c r="A714" s="344">
        <v>9</v>
      </c>
      <c r="B714" s="196"/>
      <c r="C714" s="497" t="s">
        <v>355</v>
      </c>
      <c r="D714" s="589"/>
      <c r="E714" s="714" t="str">
        <f>'FR-16(7)(v)-1 Functional'!$E$714</f>
        <v>K300</v>
      </c>
      <c r="F714" s="649">
        <v>1</v>
      </c>
      <c r="G714" s="566">
        <f>ROUND(G713/(G713+H713+I713),5)</f>
        <v>0</v>
      </c>
      <c r="H714" s="567">
        <f>ROUND(H713/(G713+H713+I713),5)</f>
        <v>1</v>
      </c>
      <c r="I714" s="568">
        <f>ROUND(I713/(G713+H713+I713),5)</f>
        <v>0</v>
      </c>
      <c r="J714" s="739">
        <f t="shared" si="162"/>
        <v>1</v>
      </c>
      <c r="K714" s="737">
        <f t="shared" si="163"/>
        <v>0</v>
      </c>
      <c r="O714" s="755">
        <f>SUM(G714:I714)</f>
        <v>1</v>
      </c>
    </row>
    <row r="715" spans="1:15">
      <c r="A715" s="344">
        <v>10</v>
      </c>
      <c r="C715" s="598" t="s">
        <v>375</v>
      </c>
      <c r="D715" s="723" t="s">
        <v>1012</v>
      </c>
      <c r="E715" s="729"/>
      <c r="F715" s="479">
        <f>'Alloc Factors Summary'!$D$43</f>
        <v>10485450</v>
      </c>
      <c r="G715" s="803">
        <v>0</v>
      </c>
      <c r="H715" s="561">
        <f>'Alloc Factors Summary'!D43</f>
        <v>10485450</v>
      </c>
      <c r="I715" s="804">
        <v>0</v>
      </c>
      <c r="J715" s="738">
        <f t="shared" si="162"/>
        <v>10485450</v>
      </c>
      <c r="K715" s="501">
        <f t="shared" si="163"/>
        <v>0</v>
      </c>
      <c r="O715" s="754"/>
    </row>
    <row r="716" spans="1:15">
      <c r="A716" s="344">
        <v>11</v>
      </c>
      <c r="B716" s="196"/>
      <c r="C716" s="497" t="s">
        <v>355</v>
      </c>
      <c r="D716" s="589"/>
      <c r="E716" s="714" t="str">
        <f>'FR-16(7)(v)-1 Functional'!$E$716</f>
        <v>K301</v>
      </c>
      <c r="F716" s="649">
        <v>1</v>
      </c>
      <c r="G716" s="566">
        <f>ROUND(G715/(G715+H715+I715),5)</f>
        <v>0</v>
      </c>
      <c r="H716" s="567">
        <f>ROUND(H715/(G715+H715+I715),5)</f>
        <v>1</v>
      </c>
      <c r="I716" s="568">
        <f>ROUND(I715/(G715+H715+I715),5)</f>
        <v>0</v>
      </c>
      <c r="J716" s="739">
        <f t="shared" si="162"/>
        <v>1</v>
      </c>
      <c r="K716" s="737">
        <f t="shared" si="163"/>
        <v>0</v>
      </c>
      <c r="O716" s="755">
        <f>SUM(G716:I716)</f>
        <v>1</v>
      </c>
    </row>
    <row r="717" spans="1:15">
      <c r="A717" s="344">
        <v>12</v>
      </c>
      <c r="C717" s="598" t="s">
        <v>222</v>
      </c>
      <c r="D717" s="723" t="s">
        <v>1012</v>
      </c>
      <c r="E717" s="729"/>
      <c r="F717" s="479">
        <f>'Alloc Factors Summary'!$D$64</f>
        <v>98442</v>
      </c>
      <c r="G717" s="803">
        <v>0</v>
      </c>
      <c r="H717" s="561">
        <f>'Alloc Factors Summary'!$D$64</f>
        <v>98442</v>
      </c>
      <c r="I717" s="804">
        <v>0</v>
      </c>
      <c r="J717" s="740">
        <f t="shared" si="162"/>
        <v>98442</v>
      </c>
      <c r="K717" s="743">
        <f t="shared" si="163"/>
        <v>0</v>
      </c>
      <c r="O717" s="754"/>
    </row>
    <row r="718" spans="1:15">
      <c r="A718" s="344">
        <v>13</v>
      </c>
      <c r="B718" s="196"/>
      <c r="C718" s="497" t="s">
        <v>355</v>
      </c>
      <c r="D718" s="589"/>
      <c r="E718" s="714" t="str">
        <f>'FR-16(7)(v)-1 Functional'!$E$718</f>
        <v>K401</v>
      </c>
      <c r="F718" s="649">
        <v>1</v>
      </c>
      <c r="G718" s="566">
        <f>ROUND(G717/(G717+H717+I717),5)</f>
        <v>0</v>
      </c>
      <c r="H718" s="567">
        <f>ROUND(H717/(G717+H717+I717),5)</f>
        <v>1</v>
      </c>
      <c r="I718" s="568">
        <f>ROUND(I717/(G717+H717+I717),5)</f>
        <v>0</v>
      </c>
      <c r="J718" s="739">
        <f t="shared" si="162"/>
        <v>1</v>
      </c>
      <c r="K718" s="737">
        <f t="shared" si="163"/>
        <v>0</v>
      </c>
      <c r="O718" s="755">
        <f>SUM(G718:I718)</f>
        <v>1</v>
      </c>
    </row>
    <row r="719" spans="1:15">
      <c r="A719" s="344">
        <v>14</v>
      </c>
      <c r="C719" s="598" t="s">
        <v>223</v>
      </c>
      <c r="D719" s="723" t="s">
        <v>1012</v>
      </c>
      <c r="E719" s="729"/>
      <c r="F719" s="479">
        <f>'Alloc Factors Summary'!$F$76</f>
        <v>104676</v>
      </c>
      <c r="G719" s="803">
        <v>0</v>
      </c>
      <c r="H719" s="561">
        <f>'Alloc Factors Summary'!$F$76</f>
        <v>104676</v>
      </c>
      <c r="I719" s="804">
        <v>0</v>
      </c>
      <c r="J719" s="740">
        <f t="shared" si="162"/>
        <v>104676</v>
      </c>
      <c r="K719" s="743">
        <f t="shared" si="163"/>
        <v>0</v>
      </c>
      <c r="O719" s="754"/>
    </row>
    <row r="720" spans="1:15">
      <c r="A720" s="344">
        <v>15</v>
      </c>
      <c r="B720" s="196"/>
      <c r="C720" s="497" t="s">
        <v>355</v>
      </c>
      <c r="D720" s="589"/>
      <c r="E720" s="714" t="str">
        <f>'FR-16(7)(v)-1 Functional'!$E$720</f>
        <v>K403</v>
      </c>
      <c r="F720" s="649">
        <v>1</v>
      </c>
      <c r="G720" s="566">
        <f>ROUND(G719/(G719+H719+I719),5)</f>
        <v>0</v>
      </c>
      <c r="H720" s="567">
        <f>ROUND(H719/(G719+H719+I719),5)</f>
        <v>1</v>
      </c>
      <c r="I720" s="568">
        <f>ROUND(I719/(G719+H719+I719),5)</f>
        <v>0</v>
      </c>
      <c r="J720" s="739">
        <f t="shared" si="162"/>
        <v>1</v>
      </c>
      <c r="K720" s="737">
        <f t="shared" si="163"/>
        <v>0</v>
      </c>
      <c r="O720" s="755">
        <f>SUM(G720:I720)</f>
        <v>1</v>
      </c>
    </row>
    <row r="721" spans="1:15">
      <c r="A721" s="344">
        <v>16</v>
      </c>
      <c r="C721" s="598" t="s">
        <v>385</v>
      </c>
      <c r="D721" s="723" t="s">
        <v>1012</v>
      </c>
      <c r="E721" s="729"/>
      <c r="F721" s="479">
        <f>'Alloc Factors Summary'!$G$88</f>
        <v>3624077</v>
      </c>
      <c r="G721" s="803">
        <v>0</v>
      </c>
      <c r="H721" s="561">
        <f>'Alloc Factors Summary'!$G$88</f>
        <v>3624077</v>
      </c>
      <c r="I721" s="804">
        <v>0</v>
      </c>
      <c r="J721" s="740">
        <f t="shared" si="162"/>
        <v>3624077</v>
      </c>
      <c r="K721" s="743">
        <f t="shared" si="163"/>
        <v>0</v>
      </c>
      <c r="O721" s="754"/>
    </row>
    <row r="722" spans="1:15">
      <c r="A722" s="344">
        <v>17</v>
      </c>
      <c r="B722" s="196"/>
      <c r="C722" s="497" t="s">
        <v>355</v>
      </c>
      <c r="D722" s="589"/>
      <c r="E722" s="714" t="str">
        <f>'FR-16(7)(v)-1 Functional'!$E$722</f>
        <v>K405</v>
      </c>
      <c r="F722" s="649">
        <v>1</v>
      </c>
      <c r="G722" s="566">
        <f>ROUND(G721/(G721+H721+I721),5)</f>
        <v>0</v>
      </c>
      <c r="H722" s="567">
        <f>ROUND(H721/(G721+H721+I721),5)</f>
        <v>1</v>
      </c>
      <c r="I722" s="568">
        <f>ROUND(I721/(G721+H721+I721),5)</f>
        <v>0</v>
      </c>
      <c r="J722" s="739">
        <f t="shared" si="162"/>
        <v>1</v>
      </c>
      <c r="K722" s="737">
        <f t="shared" si="163"/>
        <v>0</v>
      </c>
      <c r="O722" s="755">
        <f>SUM(G722:I722)</f>
        <v>1</v>
      </c>
    </row>
    <row r="723" spans="1:15">
      <c r="A723" s="344">
        <v>18</v>
      </c>
      <c r="C723" s="598" t="s">
        <v>373</v>
      </c>
      <c r="D723" s="723" t="s">
        <v>1012</v>
      </c>
      <c r="E723" s="729"/>
      <c r="F723" s="479">
        <f>'Alloc Factors Summary'!$D$98</f>
        <v>3920</v>
      </c>
      <c r="G723" s="803">
        <v>0</v>
      </c>
      <c r="H723" s="561">
        <f>'Alloc Factors Summary'!$D$98</f>
        <v>3920</v>
      </c>
      <c r="I723" s="804">
        <v>0</v>
      </c>
      <c r="J723" s="740">
        <f t="shared" si="162"/>
        <v>3920</v>
      </c>
      <c r="K723" s="743">
        <f t="shared" si="163"/>
        <v>0</v>
      </c>
      <c r="O723" s="754"/>
    </row>
    <row r="724" spans="1:15">
      <c r="A724" s="344">
        <v>19</v>
      </c>
      <c r="B724" s="196"/>
      <c r="C724" s="497" t="s">
        <v>355</v>
      </c>
      <c r="D724" s="589"/>
      <c r="E724" s="714" t="str">
        <f>'FR-16(7)(v)-1 Functional'!$E$724</f>
        <v>K406</v>
      </c>
      <c r="F724" s="649">
        <v>1</v>
      </c>
      <c r="G724" s="566">
        <f>ROUND(G723/(G723+H723+I723),5)</f>
        <v>0</v>
      </c>
      <c r="H724" s="567">
        <f>ROUND(H723/(G723+H723+I723),5)</f>
        <v>1</v>
      </c>
      <c r="I724" s="568">
        <f>ROUND(I723/(G723+H723+I723),5)</f>
        <v>0</v>
      </c>
      <c r="J724" s="739">
        <f t="shared" si="162"/>
        <v>1</v>
      </c>
      <c r="K724" s="737">
        <f t="shared" si="163"/>
        <v>0</v>
      </c>
      <c r="O724" s="755">
        <f>SUM(G724:I724)</f>
        <v>1</v>
      </c>
    </row>
    <row r="725" spans="1:15">
      <c r="A725" s="344">
        <v>20</v>
      </c>
      <c r="C725" s="598" t="s">
        <v>1035</v>
      </c>
      <c r="D725" s="723" t="s">
        <v>1012</v>
      </c>
      <c r="E725" s="729"/>
      <c r="F725" s="479">
        <f>'Alloc Factors Summary'!$G$108</f>
        <v>140653.00000000003</v>
      </c>
      <c r="G725" s="803">
        <v>0</v>
      </c>
      <c r="H725" s="561">
        <f>'Alloc Factors Summary'!$G$108</f>
        <v>140653.00000000003</v>
      </c>
      <c r="I725" s="804">
        <v>0</v>
      </c>
      <c r="J725" s="740">
        <f t="shared" si="162"/>
        <v>140653.00000000003</v>
      </c>
      <c r="K725" s="743">
        <f t="shared" si="163"/>
        <v>0</v>
      </c>
      <c r="O725" s="754"/>
    </row>
    <row r="726" spans="1:15">
      <c r="A726" s="344">
        <v>21</v>
      </c>
      <c r="B726" s="196"/>
      <c r="C726" s="497" t="s">
        <v>355</v>
      </c>
      <c r="D726" s="589"/>
      <c r="E726" s="714" t="str">
        <f>'FR-16(7)(v)-1 Functional'!$E$726</f>
        <v>K407</v>
      </c>
      <c r="F726" s="649">
        <v>1</v>
      </c>
      <c r="G726" s="566">
        <f>ROUND(G725/(G725+H725+I725),5)</f>
        <v>0</v>
      </c>
      <c r="H726" s="567">
        <f>ROUND(H725/(G725+H725+I725),5)</f>
        <v>1</v>
      </c>
      <c r="I726" s="568">
        <f>ROUND(I725/(G725+H725+I725),5)</f>
        <v>0</v>
      </c>
      <c r="J726" s="739">
        <f t="shared" si="162"/>
        <v>1</v>
      </c>
      <c r="K726" s="737">
        <f t="shared" si="163"/>
        <v>0</v>
      </c>
      <c r="O726" s="755">
        <f>SUM(G726:I726)</f>
        <v>1</v>
      </c>
    </row>
    <row r="727" spans="1:15">
      <c r="A727" s="344">
        <v>22</v>
      </c>
      <c r="C727" s="598" t="s">
        <v>1036</v>
      </c>
      <c r="D727" s="723" t="s">
        <v>1012</v>
      </c>
      <c r="E727" s="729"/>
      <c r="F727" s="479">
        <f>'Alloc Factors Summary'!$F$118</f>
        <v>7322</v>
      </c>
      <c r="G727" s="803">
        <v>0</v>
      </c>
      <c r="H727" s="561">
        <f>'Alloc Factors Summary'!$F$118</f>
        <v>7322</v>
      </c>
      <c r="I727" s="804">
        <v>0</v>
      </c>
      <c r="J727" s="740">
        <f t="shared" si="162"/>
        <v>7322</v>
      </c>
      <c r="K727" s="743">
        <f t="shared" si="163"/>
        <v>0</v>
      </c>
      <c r="O727" s="754"/>
    </row>
    <row r="728" spans="1:15">
      <c r="A728" s="344">
        <v>23</v>
      </c>
      <c r="B728" s="196"/>
      <c r="C728" s="497" t="s">
        <v>355</v>
      </c>
      <c r="D728" s="589"/>
      <c r="E728" s="714" t="str">
        <f>'FR-16(7)(v)-1 Functional'!$E$728</f>
        <v>K408</v>
      </c>
      <c r="F728" s="649">
        <v>1</v>
      </c>
      <c r="G728" s="566">
        <f>ROUND(G727/(G727+H727+I727),5)</f>
        <v>0</v>
      </c>
      <c r="H728" s="567">
        <f>ROUND(H727/(G727+H727+I727),5)</f>
        <v>1</v>
      </c>
      <c r="I728" s="568">
        <f>ROUND(I727/(G727+H727+I727),5)</f>
        <v>0</v>
      </c>
      <c r="J728" s="739">
        <f t="shared" si="162"/>
        <v>1</v>
      </c>
      <c r="K728" s="737">
        <f t="shared" si="163"/>
        <v>0</v>
      </c>
      <c r="O728" s="755">
        <f>SUM(G728:I728)</f>
        <v>1</v>
      </c>
    </row>
    <row r="729" spans="1:15">
      <c r="A729" s="344">
        <v>24</v>
      </c>
      <c r="C729" s="598" t="s">
        <v>224</v>
      </c>
      <c r="D729" s="723" t="s">
        <v>1012</v>
      </c>
      <c r="E729" s="729"/>
      <c r="F729" s="479">
        <f>'Alloc Factors Summary'!$D$141</f>
        <v>22926071</v>
      </c>
      <c r="G729" s="803">
        <v>0</v>
      </c>
      <c r="H729" s="561">
        <f>'Alloc Factors Summary'!$D$141</f>
        <v>22926071</v>
      </c>
      <c r="I729" s="804">
        <v>0</v>
      </c>
      <c r="J729" s="740">
        <f t="shared" si="162"/>
        <v>22926071</v>
      </c>
      <c r="K729" s="743">
        <f t="shared" si="163"/>
        <v>0</v>
      </c>
      <c r="O729" s="754"/>
    </row>
    <row r="730" spans="1:15">
      <c r="A730" s="344">
        <v>25</v>
      </c>
      <c r="B730" s="196"/>
      <c r="C730" s="497" t="s">
        <v>355</v>
      </c>
      <c r="D730" s="589"/>
      <c r="E730" s="714" t="str">
        <f>'FR-16(7)(v)-1 Functional'!$E$730</f>
        <v>K413</v>
      </c>
      <c r="F730" s="649">
        <v>1</v>
      </c>
      <c r="G730" s="566">
        <f>ROUND(G729/(G729+H729+I729),5)</f>
        <v>0</v>
      </c>
      <c r="H730" s="567">
        <f>ROUND(H729/(G729+H729+I729),5)</f>
        <v>1</v>
      </c>
      <c r="I730" s="568">
        <f>ROUND(I729/(G729+H729+I729),5)</f>
        <v>0</v>
      </c>
      <c r="J730" s="739">
        <f t="shared" si="162"/>
        <v>1</v>
      </c>
      <c r="K730" s="737">
        <f t="shared" si="163"/>
        <v>0</v>
      </c>
      <c r="O730" s="755">
        <f>SUM(G730:I730)</f>
        <v>1</v>
      </c>
    </row>
    <row r="731" spans="1:15">
      <c r="A731" s="344">
        <v>26</v>
      </c>
      <c r="C731" s="669" t="s">
        <v>1014</v>
      </c>
      <c r="D731" s="723" t="s">
        <v>1012</v>
      </c>
      <c r="E731" s="729"/>
      <c r="F731" s="479">
        <f>ROUND('Alloc Factors Summary'!$H$171*100,0)</f>
        <v>100</v>
      </c>
      <c r="G731" s="803">
        <v>0</v>
      </c>
      <c r="H731" s="561">
        <f>ROUND('Alloc Factors Summary'!$H$171*100,0)</f>
        <v>100</v>
      </c>
      <c r="I731" s="804">
        <v>0</v>
      </c>
      <c r="J731" s="740">
        <f t="shared" si="162"/>
        <v>100</v>
      </c>
      <c r="K731" s="743">
        <f t="shared" si="163"/>
        <v>0</v>
      </c>
      <c r="O731" s="754"/>
    </row>
    <row r="732" spans="1:15">
      <c r="A732" s="344">
        <v>27</v>
      </c>
      <c r="B732" s="196"/>
      <c r="C732" s="497" t="s">
        <v>355</v>
      </c>
      <c r="D732" s="589"/>
      <c r="E732" s="714" t="str">
        <f>'FR-16(7)(v)-1 Functional'!$E$732</f>
        <v>K415</v>
      </c>
      <c r="F732" s="649">
        <v>1</v>
      </c>
      <c r="G732" s="566">
        <f>ROUND(G731/(G731+H731+I731),5)</f>
        <v>0</v>
      </c>
      <c r="H732" s="567">
        <f>ROUND(H731/(G731+H731+I731),5)</f>
        <v>1</v>
      </c>
      <c r="I732" s="568">
        <f>ROUND(I731/(G731+H731+I731),5)</f>
        <v>0</v>
      </c>
      <c r="J732" s="739">
        <f t="shared" si="162"/>
        <v>1</v>
      </c>
      <c r="K732" s="737">
        <f t="shared" si="163"/>
        <v>0</v>
      </c>
      <c r="O732" s="755">
        <f>SUM(G732:I732)</f>
        <v>1</v>
      </c>
    </row>
    <row r="733" spans="1:15">
      <c r="A733" s="344">
        <v>28</v>
      </c>
      <c r="C733" s="598" t="s">
        <v>376</v>
      </c>
      <c r="D733" s="723" t="s">
        <v>1012</v>
      </c>
      <c r="E733" s="729"/>
      <c r="F733" s="479">
        <f>'Alloc Factors Summary'!$D$151</f>
        <v>138304</v>
      </c>
      <c r="G733" s="803">
        <v>0</v>
      </c>
      <c r="H733" s="561">
        <f>'Alloc Factors Summary'!$D$151</f>
        <v>138304</v>
      </c>
      <c r="I733" s="804">
        <v>0</v>
      </c>
      <c r="J733" s="740">
        <f t="shared" si="162"/>
        <v>138304</v>
      </c>
      <c r="K733" s="743">
        <f t="shared" si="163"/>
        <v>0</v>
      </c>
      <c r="O733" s="754"/>
    </row>
    <row r="734" spans="1:15">
      <c r="A734" s="344">
        <v>29</v>
      </c>
      <c r="B734" s="196"/>
      <c r="C734" s="497" t="s">
        <v>355</v>
      </c>
      <c r="D734" s="589"/>
      <c r="E734" s="714" t="str">
        <f>'FR-16(7)(v)-1 Functional'!$E$734</f>
        <v>K417</v>
      </c>
      <c r="F734" s="649">
        <v>1</v>
      </c>
      <c r="G734" s="566">
        <f>ROUND(G733/(G733+H733+I733),5)</f>
        <v>0</v>
      </c>
      <c r="H734" s="567">
        <f>ROUND(H733/(G733+H733+I733),5)</f>
        <v>1</v>
      </c>
      <c r="I734" s="568">
        <f>ROUND(I733/(G733+H733+I733),5)</f>
        <v>0</v>
      </c>
      <c r="J734" s="739">
        <f t="shared" si="162"/>
        <v>1</v>
      </c>
      <c r="K734" s="737">
        <f t="shared" si="163"/>
        <v>0</v>
      </c>
      <c r="O734" s="755">
        <f>SUM(G734:I734)</f>
        <v>1</v>
      </c>
    </row>
    <row r="735" spans="1:15">
      <c r="A735" s="344">
        <v>30</v>
      </c>
      <c r="B735" s="491"/>
      <c r="C735" s="598" t="s">
        <v>226</v>
      </c>
      <c r="D735" s="723" t="s">
        <v>1012</v>
      </c>
      <c r="E735" s="745"/>
      <c r="F735" s="349">
        <f>'Alloc Factors Summary'!$D$62+'Alloc Factors Summary'!$D$63</f>
        <v>117</v>
      </c>
      <c r="G735" s="803">
        <v>0</v>
      </c>
      <c r="H735" s="561">
        <f>F735</f>
        <v>117</v>
      </c>
      <c r="I735" s="804">
        <v>0</v>
      </c>
      <c r="J735" s="740">
        <f t="shared" si="162"/>
        <v>117</v>
      </c>
      <c r="K735" s="743">
        <f t="shared" si="163"/>
        <v>0</v>
      </c>
      <c r="O735" s="756"/>
    </row>
    <row r="736" spans="1:15">
      <c r="A736" s="344">
        <v>31</v>
      </c>
      <c r="B736" s="196"/>
      <c r="C736" s="497" t="str">
        <f>C734</f>
        <v>RATIO TO TOTAL GAS</v>
      </c>
      <c r="D736" s="589"/>
      <c r="E736" s="714" t="str">
        <f>'FR-16(7)(v)-1 Functional'!$E$736</f>
        <v>K431</v>
      </c>
      <c r="F736" s="350">
        <v>1</v>
      </c>
      <c r="G736" s="566">
        <f>ROUND(G735/(G735+H735+I735),5)</f>
        <v>0</v>
      </c>
      <c r="H736" s="567">
        <f>ROUND(H735/(G735+H735+I735),5)</f>
        <v>1</v>
      </c>
      <c r="I736" s="568">
        <f>ROUND(I735/(G735+H735+I735),5)</f>
        <v>0</v>
      </c>
      <c r="J736" s="739">
        <f t="shared" si="162"/>
        <v>1</v>
      </c>
      <c r="K736" s="737">
        <f t="shared" si="163"/>
        <v>0</v>
      </c>
      <c r="O736" s="755">
        <f>SUM(G736:I736)</f>
        <v>1</v>
      </c>
    </row>
    <row r="737" spans="1:15">
      <c r="A737" s="344">
        <v>32</v>
      </c>
      <c r="C737" s="608" t="s">
        <v>407</v>
      </c>
      <c r="D737" s="723" t="s">
        <v>1012</v>
      </c>
      <c r="E737" s="729"/>
      <c r="F737" s="479">
        <f>'Alloc Factors Summary'!$D$159</f>
        <v>3688683</v>
      </c>
      <c r="G737" s="803">
        <v>0</v>
      </c>
      <c r="H737" s="561">
        <f>'Alloc Factors Summary'!$D$159</f>
        <v>3688683</v>
      </c>
      <c r="I737" s="804">
        <v>0</v>
      </c>
      <c r="J737" s="740">
        <f t="shared" si="162"/>
        <v>3688683</v>
      </c>
      <c r="K737" s="743">
        <f t="shared" si="163"/>
        <v>0</v>
      </c>
      <c r="O737" s="757"/>
    </row>
    <row r="738" spans="1:15">
      <c r="A738" s="344">
        <v>33</v>
      </c>
      <c r="B738" s="196"/>
      <c r="C738" s="497" t="s">
        <v>355</v>
      </c>
      <c r="D738" s="589"/>
      <c r="E738" s="714" t="str">
        <f>'FR-16(7)(v)-1 Functional'!$E$738</f>
        <v>K595</v>
      </c>
      <c r="F738" s="649">
        <v>1</v>
      </c>
      <c r="G738" s="566">
        <f>ROUND(G737/(G737+H737+I737),5)</f>
        <v>0</v>
      </c>
      <c r="H738" s="567">
        <f>ROUND(H737/(G737+H737+I737),5)</f>
        <v>1</v>
      </c>
      <c r="I738" s="568">
        <f>ROUND(I737/(G737+H737+I737),5)</f>
        <v>0</v>
      </c>
      <c r="J738" s="739">
        <f t="shared" si="162"/>
        <v>1</v>
      </c>
      <c r="K738" s="737">
        <f t="shared" si="163"/>
        <v>0</v>
      </c>
      <c r="O738" s="755">
        <f>SUM(G738:I738)</f>
        <v>1</v>
      </c>
    </row>
    <row r="739" spans="1:15">
      <c r="A739" s="344">
        <v>34</v>
      </c>
      <c r="B739" s="599"/>
      <c r="C739" s="598" t="s">
        <v>225</v>
      </c>
      <c r="D739" s="723" t="s">
        <v>1012</v>
      </c>
      <c r="E739" s="729"/>
      <c r="F739" s="476">
        <v>1</v>
      </c>
      <c r="G739" s="806">
        <v>0</v>
      </c>
      <c r="H739" s="807">
        <v>1</v>
      </c>
      <c r="I739" s="804">
        <v>0</v>
      </c>
      <c r="J739" s="740">
        <f t="shared" si="162"/>
        <v>1</v>
      </c>
      <c r="K739" s="743">
        <f t="shared" si="163"/>
        <v>0</v>
      </c>
      <c r="O739" s="757"/>
    </row>
    <row r="740" spans="1:15">
      <c r="A740" s="344">
        <v>35</v>
      </c>
      <c r="B740" s="196"/>
      <c r="C740" s="497" t="s">
        <v>355</v>
      </c>
      <c r="D740" s="589"/>
      <c r="E740" s="714" t="str">
        <f>'FR-16(7)(v)-1 Functional'!$E$740</f>
        <v>K597</v>
      </c>
      <c r="F740" s="649">
        <v>1</v>
      </c>
      <c r="G740" s="566">
        <f>ROUND(G739/(G739+H739+I739),5)</f>
        <v>0</v>
      </c>
      <c r="H740" s="567">
        <f>ROUND(H739/(G739+H739+I739),5)</f>
        <v>1</v>
      </c>
      <c r="I740" s="568">
        <f>ROUND(I739/(G739+H739+I739),5)</f>
        <v>0</v>
      </c>
      <c r="J740" s="739">
        <f t="shared" si="162"/>
        <v>1</v>
      </c>
      <c r="K740" s="737">
        <f t="shared" si="163"/>
        <v>0</v>
      </c>
      <c r="O740" s="755">
        <f>SUM(G740:I740)</f>
        <v>1</v>
      </c>
    </row>
    <row r="741" spans="1:15">
      <c r="A741" s="344">
        <v>36</v>
      </c>
      <c r="C741" s="598" t="s">
        <v>433</v>
      </c>
      <c r="D741" s="627"/>
      <c r="E741" s="746"/>
      <c r="F741" s="494">
        <v>1</v>
      </c>
      <c r="G741" s="806">
        <v>0</v>
      </c>
      <c r="H741" s="807">
        <v>1</v>
      </c>
      <c r="I741" s="804">
        <v>0</v>
      </c>
      <c r="J741" s="740">
        <f t="shared" si="162"/>
        <v>1</v>
      </c>
      <c r="K741" s="743">
        <f t="shared" si="163"/>
        <v>0</v>
      </c>
      <c r="O741" s="754"/>
    </row>
    <row r="742" spans="1:15">
      <c r="A742" s="344">
        <v>37</v>
      </c>
      <c r="C742" s="497" t="s">
        <v>355</v>
      </c>
      <c r="D742" s="589"/>
      <c r="E742" s="714" t="str">
        <f>'FR-16(7)(v)-1 Functional'!$E$742</f>
        <v>K903</v>
      </c>
      <c r="F742" s="648">
        <v>1</v>
      </c>
      <c r="G742" s="566">
        <f>ROUND(G741/(G741+H741+I741),5)</f>
        <v>0</v>
      </c>
      <c r="H742" s="567">
        <f>ROUND(H741/(G741+H741+I741),5)</f>
        <v>1</v>
      </c>
      <c r="I742" s="568">
        <f>ROUND(I741/(G741+H741+I741),5)</f>
        <v>0</v>
      </c>
      <c r="J742" s="739">
        <f t="shared" si="162"/>
        <v>1</v>
      </c>
      <c r="K742" s="737">
        <f t="shared" si="163"/>
        <v>0</v>
      </c>
      <c r="O742" s="755">
        <f>SUM(G742:I742)</f>
        <v>1</v>
      </c>
    </row>
    <row r="743" spans="1:15">
      <c r="A743" s="344">
        <v>38</v>
      </c>
      <c r="B743" s="365"/>
      <c r="C743" s="365"/>
      <c r="D743" s="724"/>
      <c r="E743" s="333"/>
      <c r="G743" s="547"/>
      <c r="H743" s="537"/>
      <c r="I743" s="538"/>
      <c r="J743" s="741"/>
      <c r="K743" s="532"/>
      <c r="O743" s="758"/>
    </row>
    <row r="744" spans="1:15">
      <c r="A744" s="344">
        <v>39</v>
      </c>
      <c r="C744" s="598" t="s">
        <v>108</v>
      </c>
      <c r="D744" s="344" t="str">
        <f>'FR-16(7)(v)-1 Functional'!D744</f>
        <v>CS09</v>
      </c>
      <c r="E744" s="714" t="str">
        <f>'FR-16(7)(v)-1 Functional'!$E$744</f>
        <v>R600</v>
      </c>
      <c r="F744" s="479">
        <f>'FR-16(7)(v)-1 Functional'!G744</f>
        <v>36322784</v>
      </c>
      <c r="G744" s="548">
        <f>ROUND(F744*VLOOKUP(D744,AllocTable_Classified_Production,$G$10,FALSE),0)</f>
        <v>0</v>
      </c>
      <c r="H744" s="539">
        <f>ROUND(F744*VLOOKUP(D744,AllocTable_Classified_Production,$H$10,FALSE),0)</f>
        <v>36322784</v>
      </c>
      <c r="I744" s="540">
        <f>ROUND(F744*VLOOKUP(D744,AllocTable_Classified_Production,$I$10,FALSE),0)</f>
        <v>0</v>
      </c>
      <c r="J744" s="742">
        <f>SUM(G744:I744)</f>
        <v>36322784</v>
      </c>
      <c r="K744" s="670">
        <f>F744-J744</f>
        <v>0</v>
      </c>
      <c r="M744" s="659" t="s">
        <v>1204</v>
      </c>
      <c r="O744" s="754"/>
    </row>
    <row r="745" spans="1:15">
      <c r="A745" s="344">
        <v>40</v>
      </c>
      <c r="C745" s="598" t="s">
        <v>850</v>
      </c>
      <c r="D745" s="344" t="str">
        <f>'FR-16(7)(v)-1 Functional'!D745</f>
        <v>CS09</v>
      </c>
      <c r="E745" s="714" t="str">
        <f>'FR-16(7)(v)-1 Functional'!$E$745</f>
        <v>R602</v>
      </c>
      <c r="F745" s="479">
        <f>'FR-16(7)(v)-1 Functional'!G745</f>
        <v>36322784</v>
      </c>
      <c r="G745" s="550">
        <f>ROUND(F745*VLOOKUP(D745,AllocTable_Classified_Production,$G$10,FALSE),0)</f>
        <v>0</v>
      </c>
      <c r="H745" s="543">
        <f>ROUND(F745*VLOOKUP(D745,AllocTable_Classified_Production,$H$10,FALSE),0)</f>
        <v>36322784</v>
      </c>
      <c r="I745" s="544">
        <f>ROUND(F745*VLOOKUP(D745,AllocTable_Classified_Production,$I$10,FALSE),0)</f>
        <v>0</v>
      </c>
      <c r="J745" s="742">
        <f>SUM(G745:I745)</f>
        <v>36322784</v>
      </c>
      <c r="K745" s="670">
        <f>F745-J745</f>
        <v>0</v>
      </c>
      <c r="M745" s="659" t="s">
        <v>1205</v>
      </c>
      <c r="O745" s="755"/>
    </row>
    <row r="746" spans="1:15">
      <c r="E746" s="333"/>
      <c r="O746" s="755"/>
    </row>
    <row r="747" spans="1:15">
      <c r="A747" s="343" t="str">
        <f>co_name</f>
        <v>DUKE ENERGY KENTUCKY, INC.</v>
      </c>
      <c r="C747" s="196"/>
      <c r="D747" s="344"/>
      <c r="E747" s="196"/>
      <c r="F747" s="196"/>
      <c r="G747" s="196"/>
      <c r="H747" s="196"/>
      <c r="I747" s="196"/>
      <c r="J747" s="196" t="str">
        <f>$J$1</f>
        <v>FR-16(7)(v)-2</v>
      </c>
      <c r="K747" s="196"/>
      <c r="O747" s="754"/>
    </row>
    <row r="748" spans="1:15">
      <c r="A748" s="343" t="str">
        <f>$A$2</f>
        <v>PRODUCTION CLASSIFIED - GAS COST OF SERVICE</v>
      </c>
      <c r="C748" s="196"/>
      <c r="D748" s="344"/>
      <c r="E748" s="196"/>
      <c r="F748" s="196"/>
      <c r="G748" s="196"/>
      <c r="H748" s="196"/>
      <c r="I748" s="196"/>
      <c r="J748" s="196" t="str">
        <f>$J$2</f>
        <v>WITNESS RESPONSIBLE:</v>
      </c>
      <c r="K748" s="196"/>
      <c r="O748" s="754"/>
    </row>
    <row r="749" spans="1:15">
      <c r="A749" s="343" t="str">
        <f>case_name</f>
        <v>CASE NO: 2018-00261</v>
      </c>
      <c r="C749" s="196"/>
      <c r="D749" s="344"/>
      <c r="E749" s="196"/>
      <c r="F749" s="196"/>
      <c r="G749" s="196"/>
      <c r="H749" s="196"/>
      <c r="I749" s="196"/>
      <c r="J749" s="196" t="str">
        <f>Witness</f>
        <v>JAMES E. ZIOLKOWSKI</v>
      </c>
      <c r="K749" s="196"/>
      <c r="O749" s="754"/>
    </row>
    <row r="750" spans="1:15">
      <c r="A750" s="343" t="str">
        <f>data_filing</f>
        <v>DATA: 12 MONTH FORECASTED PERIOD</v>
      </c>
      <c r="C750" s="196"/>
      <c r="D750" s="344"/>
      <c r="E750" s="196"/>
      <c r="F750" s="196"/>
      <c r="G750" s="196"/>
      <c r="H750" s="196"/>
      <c r="I750" s="196"/>
      <c r="J750" s="196" t="str">
        <f>"PAGE "&amp;Pages-1&amp;" OF "&amp;Pages</f>
        <v>PAGE 17 OF 18</v>
      </c>
      <c r="K750" s="196"/>
      <c r="O750" s="754"/>
    </row>
    <row r="751" spans="1:15">
      <c r="A751" s="343" t="str">
        <f>type</f>
        <v xml:space="preserve">TYPE OF FILING: "X" ORIGINAL   UPDATED    REVISED  </v>
      </c>
      <c r="C751" s="196"/>
      <c r="D751" s="344"/>
      <c r="E751" s="196"/>
      <c r="F751" s="196"/>
      <c r="G751" s="196"/>
      <c r="H751" s="196"/>
      <c r="I751" s="196"/>
      <c r="J751" s="196"/>
      <c r="K751" s="196"/>
      <c r="O751" s="754"/>
    </row>
    <row r="752" spans="1:15">
      <c r="B752" s="196"/>
      <c r="E752" s="333"/>
      <c r="G752" s="532"/>
      <c r="H752" s="532"/>
      <c r="I752" s="532"/>
      <c r="O752" s="754"/>
    </row>
    <row r="753" spans="1:15">
      <c r="B753" s="196"/>
      <c r="E753" s="333"/>
      <c r="G753" s="532"/>
      <c r="H753" s="532"/>
      <c r="I753" s="532"/>
      <c r="O753" s="754"/>
    </row>
    <row r="754" spans="1:15">
      <c r="A754" s="344" t="s">
        <v>914</v>
      </c>
      <c r="B754" s="196"/>
      <c r="C754" s="196"/>
      <c r="D754" s="344"/>
      <c r="E754" s="344"/>
      <c r="F754" s="344" t="str">
        <f>$F$8</f>
        <v>TOTAL</v>
      </c>
      <c r="G754" s="545" t="s">
        <v>1005</v>
      </c>
      <c r="H754" s="533"/>
      <c r="I754" s="534"/>
      <c r="J754" s="344" t="s">
        <v>229</v>
      </c>
      <c r="K754" s="344" t="s">
        <v>342</v>
      </c>
      <c r="O754" s="753"/>
    </row>
    <row r="755" spans="1:15">
      <c r="A755" s="346" t="s">
        <v>915</v>
      </c>
      <c r="B755" s="590" t="s">
        <v>89</v>
      </c>
      <c r="C755" s="345"/>
      <c r="D755" s="591" t="s">
        <v>1011</v>
      </c>
      <c r="E755" s="591" t="s">
        <v>337</v>
      </c>
      <c r="F755" s="346" t="str">
        <f>$F$9</f>
        <v>PRODUCTION</v>
      </c>
      <c r="G755" s="658" t="s">
        <v>847</v>
      </c>
      <c r="H755" s="655" t="s">
        <v>848</v>
      </c>
      <c r="I755" s="656" t="s">
        <v>849</v>
      </c>
      <c r="J755" s="346" t="s">
        <v>341</v>
      </c>
      <c r="K755" s="346" t="s">
        <v>340</v>
      </c>
      <c r="O755" s="753"/>
    </row>
    <row r="756" spans="1:15">
      <c r="C756" s="846" t="s">
        <v>562</v>
      </c>
      <c r="E756" s="788">
        <v>1</v>
      </c>
      <c r="F756" s="788">
        <v>2</v>
      </c>
      <c r="G756" s="800">
        <f>$G$10</f>
        <v>3</v>
      </c>
      <c r="H756" s="801">
        <f>$H$10</f>
        <v>4</v>
      </c>
      <c r="I756" s="802">
        <f>$I$10</f>
        <v>5</v>
      </c>
      <c r="O756" s="754"/>
    </row>
    <row r="757" spans="1:15">
      <c r="A757" s="344">
        <v>1</v>
      </c>
      <c r="B757" s="605"/>
      <c r="C757" s="660" t="s">
        <v>1022</v>
      </c>
      <c r="D757" s="725" t="s">
        <v>1013</v>
      </c>
      <c r="E757" s="716"/>
      <c r="F757" s="347">
        <f>F771</f>
        <v>0</v>
      </c>
      <c r="G757" s="548">
        <f>G771</f>
        <v>0</v>
      </c>
      <c r="H757" s="539">
        <f>H771</f>
        <v>0</v>
      </c>
      <c r="I757" s="540">
        <f>I771</f>
        <v>0</v>
      </c>
      <c r="J757" s="742">
        <f t="shared" ref="J757:J762" si="164">SUM(G757:I757)</f>
        <v>0</v>
      </c>
      <c r="K757" s="670">
        <f t="shared" ref="K757:K762" si="165">F757-J757</f>
        <v>0</v>
      </c>
      <c r="O757" s="757"/>
    </row>
    <row r="758" spans="1:15">
      <c r="A758" s="344">
        <v>2</v>
      </c>
      <c r="B758" s="196"/>
      <c r="C758" s="497" t="s">
        <v>355</v>
      </c>
      <c r="D758" s="589"/>
      <c r="E758" s="714" t="str">
        <f>'FR-16(7)(v)-1 Functional'!$E$758</f>
        <v>K667</v>
      </c>
      <c r="F758" s="648">
        <v>1</v>
      </c>
      <c r="G758" s="566">
        <f>IF(G757=0,0,ROUND(G757/(G757+H757+I757),5))</f>
        <v>0</v>
      </c>
      <c r="H758" s="567">
        <f>IF(H757=0,0,ROUND(H757/(H757+I757+J757),5))</f>
        <v>0</v>
      </c>
      <c r="I758" s="568">
        <f>IF(I757=0,0,ROUND(I757/(I757+J757+K757),5))</f>
        <v>0</v>
      </c>
      <c r="J758" s="737">
        <f t="shared" si="164"/>
        <v>0</v>
      </c>
      <c r="K758" s="737">
        <f t="shared" si="165"/>
        <v>1</v>
      </c>
      <c r="O758" s="755">
        <f>SUM(G758:I758)</f>
        <v>0</v>
      </c>
    </row>
    <row r="759" spans="1:15">
      <c r="A759" s="344">
        <v>3</v>
      </c>
      <c r="B759" s="605"/>
      <c r="C759" s="660" t="s">
        <v>1031</v>
      </c>
      <c r="D759" s="725" t="s">
        <v>1013</v>
      </c>
      <c r="E759" s="729"/>
      <c r="F759" s="347">
        <f>F778</f>
        <v>0</v>
      </c>
      <c r="G759" s="548">
        <f>G778</f>
        <v>0</v>
      </c>
      <c r="H759" s="539">
        <f>H778</f>
        <v>0</v>
      </c>
      <c r="I759" s="540">
        <f>I778</f>
        <v>0</v>
      </c>
      <c r="J759" s="670">
        <f t="shared" si="164"/>
        <v>0</v>
      </c>
      <c r="K759" s="670">
        <f t="shared" si="165"/>
        <v>0</v>
      </c>
      <c r="O759" s="754"/>
    </row>
    <row r="760" spans="1:15">
      <c r="A760" s="344">
        <v>4</v>
      </c>
      <c r="B760" s="196"/>
      <c r="C760" s="497" t="s">
        <v>355</v>
      </c>
      <c r="D760" s="589"/>
      <c r="E760" s="714" t="str">
        <f>'FR-16(7)(v)-1 Functional'!$E$760</f>
        <v>K697</v>
      </c>
      <c r="F760" s="648">
        <v>1</v>
      </c>
      <c r="G760" s="566">
        <f>IF(G759=0,0,ROUND(G759/(G759+H759+I759),5))</f>
        <v>0</v>
      </c>
      <c r="H760" s="567">
        <f>IF(H759=0,0,ROUND(H759/(H759+I759+J759),5))</f>
        <v>0</v>
      </c>
      <c r="I760" s="568">
        <f>IF(I759=0,0,ROUND(I759/(I759+J759+K759),5))</f>
        <v>0</v>
      </c>
      <c r="J760" s="737">
        <f t="shared" si="164"/>
        <v>0</v>
      </c>
      <c r="K760" s="737">
        <f t="shared" si="165"/>
        <v>1</v>
      </c>
      <c r="O760" s="755">
        <f>SUM(G760:I760)</f>
        <v>0</v>
      </c>
    </row>
    <row r="761" spans="1:15">
      <c r="A761" s="344">
        <v>5</v>
      </c>
      <c r="B761" s="606"/>
      <c r="C761" s="660" t="s">
        <v>108</v>
      </c>
      <c r="D761" s="725" t="s">
        <v>1013</v>
      </c>
      <c r="E761" s="729"/>
      <c r="F761" s="347">
        <f>F744</f>
        <v>36322784</v>
      </c>
      <c r="G761" s="548">
        <f>G744</f>
        <v>0</v>
      </c>
      <c r="H761" s="539">
        <f>H744</f>
        <v>36322784</v>
      </c>
      <c r="I761" s="540">
        <f>I744</f>
        <v>0</v>
      </c>
      <c r="J761" s="670">
        <f t="shared" si="164"/>
        <v>36322784</v>
      </c>
      <c r="K761" s="670">
        <f t="shared" si="165"/>
        <v>0</v>
      </c>
      <c r="O761" s="754"/>
    </row>
    <row r="762" spans="1:15">
      <c r="A762" s="344">
        <v>6</v>
      </c>
      <c r="B762" s="196"/>
      <c r="C762" s="497" t="s">
        <v>355</v>
      </c>
      <c r="D762" s="589"/>
      <c r="E762" s="714" t="str">
        <f>'FR-16(7)(v)-1 Functional'!$E$762</f>
        <v>K901</v>
      </c>
      <c r="F762" s="648">
        <v>1</v>
      </c>
      <c r="G762" s="566">
        <f>ROUND(G761/(G761+H761+I761),5)</f>
        <v>0</v>
      </c>
      <c r="H762" s="567">
        <f>ROUND(H761/(G761+H761+I761),5)</f>
        <v>1</v>
      </c>
      <c r="I762" s="568">
        <f>1-SUM(G762:H762)</f>
        <v>0</v>
      </c>
      <c r="J762" s="737">
        <f t="shared" si="164"/>
        <v>1</v>
      </c>
      <c r="K762" s="737">
        <f t="shared" si="165"/>
        <v>0</v>
      </c>
      <c r="O762" s="755">
        <f>SUM(G762:I762)</f>
        <v>1</v>
      </c>
    </row>
    <row r="763" spans="1:15">
      <c r="A763" s="344">
        <v>7</v>
      </c>
      <c r="C763" s="660" t="s">
        <v>850</v>
      </c>
      <c r="D763" s="725" t="s">
        <v>1013</v>
      </c>
      <c r="E763" s="729"/>
      <c r="F763" s="347">
        <f>F745</f>
        <v>36322784</v>
      </c>
      <c r="G763" s="548">
        <f>G745</f>
        <v>0</v>
      </c>
      <c r="H763" s="539">
        <f>H745</f>
        <v>36322784</v>
      </c>
      <c r="I763" s="540">
        <f>I745</f>
        <v>0</v>
      </c>
      <c r="J763" s="670">
        <f>SUM(G763:I763)</f>
        <v>36322784</v>
      </c>
      <c r="K763" s="670">
        <f>F763-J763</f>
        <v>0</v>
      </c>
      <c r="O763" s="758"/>
    </row>
    <row r="764" spans="1:15">
      <c r="A764" s="344">
        <v>8</v>
      </c>
      <c r="C764" s="497" t="s">
        <v>355</v>
      </c>
      <c r="D764" s="589"/>
      <c r="E764" s="714" t="s">
        <v>1201</v>
      </c>
      <c r="F764" s="648">
        <v>1</v>
      </c>
      <c r="G764" s="566">
        <f>ROUND(G763/(G763+H763+I763),5)</f>
        <v>0</v>
      </c>
      <c r="H764" s="567">
        <f>ROUND(H763/(G763+H763+I763),5)</f>
        <v>1</v>
      </c>
      <c r="I764" s="568">
        <f>1-SUM(G764:H764)</f>
        <v>0</v>
      </c>
      <c r="J764" s="737">
        <f>SUM(G764:I764)</f>
        <v>1</v>
      </c>
      <c r="K764" s="737">
        <f>F764-J764</f>
        <v>0</v>
      </c>
      <c r="O764" s="758"/>
    </row>
    <row r="765" spans="1:15">
      <c r="A765" s="344">
        <v>9</v>
      </c>
      <c r="E765" s="746"/>
      <c r="G765" s="547"/>
      <c r="H765" s="537"/>
      <c r="I765" s="538"/>
      <c r="J765" s="532"/>
      <c r="K765" s="532"/>
      <c r="O765" s="758"/>
    </row>
    <row r="766" spans="1:15">
      <c r="A766" s="344">
        <v>10</v>
      </c>
      <c r="B766" s="708" t="s">
        <v>92</v>
      </c>
      <c r="C766" s="709"/>
      <c r="D766" s="726"/>
      <c r="E766" s="729"/>
      <c r="F766" s="621"/>
      <c r="G766" s="808"/>
      <c r="H766" s="809"/>
      <c r="I766" s="810"/>
      <c r="J766" s="744"/>
      <c r="K766" s="744"/>
      <c r="O766" s="759"/>
    </row>
    <row r="767" spans="1:15">
      <c r="A767" s="344">
        <v>11</v>
      </c>
      <c r="B767" s="659"/>
      <c r="C767" s="660" t="s">
        <v>1025</v>
      </c>
      <c r="D767" s="725"/>
      <c r="E767" s="729"/>
      <c r="F767" s="347">
        <f>'FR-16(7)(v)-1 Functional'!$G$71</f>
        <v>0</v>
      </c>
      <c r="G767" s="548">
        <f t="shared" ref="G767:I768" si="166">G71</f>
        <v>0</v>
      </c>
      <c r="H767" s="539">
        <f t="shared" si="166"/>
        <v>0</v>
      </c>
      <c r="I767" s="540">
        <f t="shared" si="166"/>
        <v>0</v>
      </c>
      <c r="J767" s="670">
        <f>SUM(G767:I767)</f>
        <v>0</v>
      </c>
      <c r="K767" s="670">
        <f>F767-J767</f>
        <v>0</v>
      </c>
      <c r="O767" s="759"/>
    </row>
    <row r="768" spans="1:15">
      <c r="A768" s="344">
        <v>12</v>
      </c>
      <c r="B768" s="659"/>
      <c r="C768" s="660" t="s">
        <v>1026</v>
      </c>
      <c r="D768" s="725"/>
      <c r="E768" s="713"/>
      <c r="F768" s="347">
        <f>'FR-16(7)(v)-1 Functional'!$G$72</f>
        <v>0</v>
      </c>
      <c r="G768" s="548">
        <f t="shared" si="166"/>
        <v>0</v>
      </c>
      <c r="H768" s="539">
        <f t="shared" si="166"/>
        <v>0</v>
      </c>
      <c r="I768" s="540">
        <f t="shared" si="166"/>
        <v>0</v>
      </c>
      <c r="J768" s="670">
        <f>SUM(G768:I768)</f>
        <v>0</v>
      </c>
      <c r="K768" s="670">
        <f>F768-J768</f>
        <v>0</v>
      </c>
      <c r="O768" s="759"/>
    </row>
    <row r="769" spans="1:15">
      <c r="A769" s="344">
        <v>13</v>
      </c>
      <c r="B769" s="659"/>
      <c r="C769" s="660" t="s">
        <v>1023</v>
      </c>
      <c r="D769" s="725"/>
      <c r="E769" s="713"/>
      <c r="F769" s="347">
        <f>-'FR-16(7)(v)-1 Functional'!$G$125</f>
        <v>0</v>
      </c>
      <c r="G769" s="548">
        <f t="shared" ref="G769:I770" si="167">-G125</f>
        <v>0</v>
      </c>
      <c r="H769" s="539">
        <f t="shared" si="167"/>
        <v>0</v>
      </c>
      <c r="I769" s="540">
        <f t="shared" si="167"/>
        <v>0</v>
      </c>
      <c r="J769" s="670">
        <f>SUM(G769:I769)</f>
        <v>0</v>
      </c>
      <c r="K769" s="670">
        <f>F769-J769</f>
        <v>0</v>
      </c>
      <c r="O769" s="759"/>
    </row>
    <row r="770" spans="1:15">
      <c r="A770" s="344">
        <v>14</v>
      </c>
      <c r="B770" s="659"/>
      <c r="C770" s="660" t="s">
        <v>1024</v>
      </c>
      <c r="D770" s="725"/>
      <c r="E770" s="717"/>
      <c r="F770" s="502">
        <f>-'FR-16(7)(v)-1 Functional'!$G$126</f>
        <v>0</v>
      </c>
      <c r="G770" s="550">
        <f t="shared" si="167"/>
        <v>0</v>
      </c>
      <c r="H770" s="543">
        <f t="shared" si="167"/>
        <v>0</v>
      </c>
      <c r="I770" s="544">
        <f t="shared" si="167"/>
        <v>0</v>
      </c>
      <c r="J770" s="626">
        <f>SUM(G770:I770)</f>
        <v>0</v>
      </c>
      <c r="K770" s="626">
        <f>F770-J770</f>
        <v>0</v>
      </c>
      <c r="O770" s="759"/>
    </row>
    <row r="771" spans="1:15">
      <c r="A771" s="344">
        <v>15</v>
      </c>
      <c r="B771" s="659"/>
      <c r="C771" s="710" t="s">
        <v>1033</v>
      </c>
      <c r="D771" s="725"/>
      <c r="E771" s="713"/>
      <c r="F771" s="347">
        <f>SUM(F767:F770)</f>
        <v>0</v>
      </c>
      <c r="G771" s="548">
        <f>SUM(G767:G770)</f>
        <v>0</v>
      </c>
      <c r="H771" s="539">
        <f>SUM(H767:H770)</f>
        <v>0</v>
      </c>
      <c r="I771" s="540">
        <f>SUM(I767:I770)</f>
        <v>0</v>
      </c>
      <c r="J771" s="670">
        <f>SUM(G771:I771)</f>
        <v>0</v>
      </c>
      <c r="K771" s="670">
        <f>F771-J771</f>
        <v>0</v>
      </c>
      <c r="O771" s="759"/>
    </row>
    <row r="772" spans="1:15">
      <c r="A772" s="344">
        <v>16</v>
      </c>
      <c r="B772" s="659"/>
      <c r="C772" s="659"/>
      <c r="D772" s="713"/>
      <c r="E772" s="713"/>
      <c r="G772" s="547"/>
      <c r="H772" s="537"/>
      <c r="I772" s="538"/>
      <c r="J772" s="532"/>
      <c r="K772" s="532"/>
      <c r="O772" s="759"/>
    </row>
    <row r="773" spans="1:15">
      <c r="A773" s="344">
        <v>17</v>
      </c>
      <c r="B773" s="711" t="s">
        <v>93</v>
      </c>
      <c r="C773" s="616"/>
      <c r="D773" s="713"/>
      <c r="E773" s="713"/>
      <c r="G773" s="547"/>
      <c r="H773" s="537"/>
      <c r="I773" s="538"/>
      <c r="J773" s="532"/>
      <c r="K773" s="532"/>
      <c r="O773" s="759"/>
    </row>
    <row r="774" spans="1:15">
      <c r="A774" s="344">
        <v>18</v>
      </c>
      <c r="B774" s="659"/>
      <c r="C774" s="660" t="s">
        <v>1027</v>
      </c>
      <c r="D774" s="713"/>
      <c r="E774" s="713"/>
      <c r="F774" s="347">
        <f>'FR-16(7)(v)-1 Functional'!$G$73</f>
        <v>0</v>
      </c>
      <c r="G774" s="548">
        <f>G73</f>
        <v>0</v>
      </c>
      <c r="H774" s="539">
        <f>H73</f>
        <v>0</v>
      </c>
      <c r="I774" s="540">
        <f>I73</f>
        <v>0</v>
      </c>
      <c r="J774" s="670">
        <f>SUM(G774:I774)</f>
        <v>0</v>
      </c>
      <c r="K774" s="670">
        <f>F774-J774</f>
        <v>0</v>
      </c>
      <c r="O774" s="759"/>
    </row>
    <row r="775" spans="1:15">
      <c r="A775" s="344">
        <v>19</v>
      </c>
      <c r="B775" s="659"/>
      <c r="C775" s="660" t="s">
        <v>1028</v>
      </c>
      <c r="D775" s="713"/>
      <c r="E775" s="713"/>
      <c r="F775" s="347">
        <f>'FR-16(7)(v)-1 Functional'!$G$75</f>
        <v>0</v>
      </c>
      <c r="G775" s="548">
        <f>G75</f>
        <v>0</v>
      </c>
      <c r="H775" s="539">
        <f>H75</f>
        <v>0</v>
      </c>
      <c r="I775" s="540">
        <f>I75</f>
        <v>0</v>
      </c>
      <c r="J775" s="670">
        <f>SUM(G775:I775)</f>
        <v>0</v>
      </c>
      <c r="K775" s="670">
        <f>F775-J775</f>
        <v>0</v>
      </c>
      <c r="O775" s="759"/>
    </row>
    <row r="776" spans="1:15">
      <c r="A776" s="344">
        <v>20</v>
      </c>
      <c r="B776" s="659"/>
      <c r="C776" s="660" t="s">
        <v>1029</v>
      </c>
      <c r="D776" s="713"/>
      <c r="E776" s="713"/>
      <c r="F776" s="347">
        <f>-'FR-16(7)(v)-1 Functional'!$G$127</f>
        <v>0</v>
      </c>
      <c r="G776" s="548">
        <f>-G127</f>
        <v>0</v>
      </c>
      <c r="H776" s="539">
        <f>-H127</f>
        <v>0</v>
      </c>
      <c r="I776" s="540">
        <f>-I127</f>
        <v>0</v>
      </c>
      <c r="J776" s="670">
        <f>SUM(G776:I776)</f>
        <v>0</v>
      </c>
      <c r="K776" s="670">
        <f>F776-J776</f>
        <v>0</v>
      </c>
      <c r="O776" s="759"/>
    </row>
    <row r="777" spans="1:15">
      <c r="A777" s="344">
        <v>21</v>
      </c>
      <c r="B777" s="659"/>
      <c r="C777" s="660" t="s">
        <v>1030</v>
      </c>
      <c r="D777" s="713"/>
      <c r="E777" s="713"/>
      <c r="F777" s="502">
        <f>-'FR-16(7)(v)-1 Functional'!$G$129</f>
        <v>0</v>
      </c>
      <c r="G777" s="550">
        <f>-G129</f>
        <v>0</v>
      </c>
      <c r="H777" s="543">
        <f>-H129</f>
        <v>0</v>
      </c>
      <c r="I777" s="544">
        <f>-I129</f>
        <v>0</v>
      </c>
      <c r="J777" s="626">
        <f>SUM(G777:I777)</f>
        <v>0</v>
      </c>
      <c r="K777" s="626">
        <f>F777-J777</f>
        <v>0</v>
      </c>
      <c r="O777" s="759"/>
    </row>
    <row r="778" spans="1:15">
      <c r="A778" s="344">
        <v>22</v>
      </c>
      <c r="B778" s="659"/>
      <c r="C778" s="710" t="s">
        <v>1034</v>
      </c>
      <c r="D778" s="713"/>
      <c r="E778" s="713"/>
      <c r="F778" s="347">
        <f>SUM(F774:F777)</f>
        <v>0</v>
      </c>
      <c r="G778" s="548">
        <f>SUM(G774:G777)</f>
        <v>0</v>
      </c>
      <c r="H778" s="539">
        <f>SUM(H774:H777)</f>
        <v>0</v>
      </c>
      <c r="I778" s="540">
        <f>SUM(I774:I777)</f>
        <v>0</v>
      </c>
      <c r="J778" s="670">
        <f>SUM(G778:I778)</f>
        <v>0</v>
      </c>
      <c r="K778" s="670">
        <f>F778-J778</f>
        <v>0</v>
      </c>
      <c r="O778" s="759"/>
    </row>
    <row r="779" spans="1:15">
      <c r="A779" s="344">
        <v>23</v>
      </c>
      <c r="E779" s="333"/>
      <c r="G779" s="547"/>
      <c r="H779" s="537"/>
      <c r="I779" s="538"/>
      <c r="O779" s="758"/>
    </row>
    <row r="780" spans="1:15">
      <c r="A780" s="344">
        <v>24</v>
      </c>
      <c r="B780" s="631" t="s">
        <v>94</v>
      </c>
      <c r="C780" s="196"/>
      <c r="D780" s="718"/>
      <c r="E780" s="718"/>
      <c r="F780" s="632"/>
      <c r="G780" s="800"/>
      <c r="H780" s="801"/>
      <c r="I780" s="802"/>
      <c r="O780" s="753"/>
    </row>
    <row r="781" spans="1:15">
      <c r="A781" s="344">
        <v>25</v>
      </c>
      <c r="B781" s="597" t="s">
        <v>95</v>
      </c>
      <c r="C781" s="634"/>
      <c r="D781" s="719"/>
      <c r="E781" s="719"/>
      <c r="F781" s="510"/>
      <c r="G781" s="572"/>
      <c r="H781" s="573"/>
      <c r="I781" s="574"/>
      <c r="O781" s="753"/>
    </row>
    <row r="782" spans="1:15">
      <c r="A782" s="344">
        <v>26</v>
      </c>
      <c r="B782" s="196"/>
      <c r="C782" s="587" t="s">
        <v>230</v>
      </c>
      <c r="D782" s="725" t="s">
        <v>1013</v>
      </c>
      <c r="E782" s="714" t="str">
        <f>'FR-16(7)(v)-1 Functional'!$E$782</f>
        <v>P129</v>
      </c>
      <c r="F782" s="648">
        <v>1</v>
      </c>
      <c r="G782" s="566">
        <f>ROUND(IF($F$59=0,0,$G$59/$F$59),5)</f>
        <v>0</v>
      </c>
      <c r="H782" s="567">
        <f>ROUND(IF($F$59=0,0,$H$59/$F$59),5)</f>
        <v>1</v>
      </c>
      <c r="I782" s="568">
        <f>ROUND(IF($F$59=0,0,$I$59/$F$59),5)</f>
        <v>0</v>
      </c>
      <c r="J782" s="737">
        <f t="shared" ref="J782:J789" si="168">SUM(G782:I782)</f>
        <v>1</v>
      </c>
      <c r="K782" s="737">
        <f t="shared" ref="K782:K789" si="169">F782-J782</f>
        <v>0</v>
      </c>
      <c r="O782" s="755">
        <f t="shared" ref="O782:O789" si="170">SUM(G782:I782)</f>
        <v>1</v>
      </c>
    </row>
    <row r="783" spans="1:15">
      <c r="A783" s="344">
        <v>27</v>
      </c>
      <c r="B783" s="196"/>
      <c r="C783" s="587" t="s">
        <v>231</v>
      </c>
      <c r="D783" s="725" t="s">
        <v>1013</v>
      </c>
      <c r="E783" s="714" t="str">
        <f>'FR-16(7)(v)-1 Functional'!$E$783</f>
        <v>D149</v>
      </c>
      <c r="F783" s="648">
        <v>1</v>
      </c>
      <c r="G783" s="566">
        <f>ROUND(IF($F$78=0,0,G78/$F$78),5)</f>
        <v>0</v>
      </c>
      <c r="H783" s="567">
        <f>ROUND(IF($F$78=0,0,H78/$F$78),5)</f>
        <v>0</v>
      </c>
      <c r="I783" s="568">
        <f t="shared" ref="I783:I789" si="171">1-SUM(G783:H783)</f>
        <v>1</v>
      </c>
      <c r="J783" s="737">
        <f t="shared" si="168"/>
        <v>1</v>
      </c>
      <c r="K783" s="737">
        <f t="shared" si="169"/>
        <v>0</v>
      </c>
      <c r="O783" s="755">
        <f t="shared" si="170"/>
        <v>1</v>
      </c>
    </row>
    <row r="784" spans="1:15">
      <c r="A784" s="344">
        <v>28</v>
      </c>
      <c r="B784" s="196"/>
      <c r="C784" s="587" t="s">
        <v>232</v>
      </c>
      <c r="D784" s="725" t="s">
        <v>1013</v>
      </c>
      <c r="E784" s="714" t="str">
        <f>'FR-16(7)(v)-1 Functional'!$E$784</f>
        <v>PD29</v>
      </c>
      <c r="F784" s="648">
        <v>1</v>
      </c>
      <c r="G784" s="566">
        <f>ROUND(IF($F$81=0,0,G81/$F$81),5)</f>
        <v>0</v>
      </c>
      <c r="H784" s="567">
        <f>ROUND(IF($F$81=0,0,H81/$F$81),5)</f>
        <v>1</v>
      </c>
      <c r="I784" s="568">
        <f t="shared" si="171"/>
        <v>0</v>
      </c>
      <c r="J784" s="737">
        <f t="shared" si="168"/>
        <v>1</v>
      </c>
      <c r="K784" s="737">
        <f t="shared" si="169"/>
        <v>0</v>
      </c>
      <c r="O784" s="755">
        <f t="shared" si="170"/>
        <v>1</v>
      </c>
    </row>
    <row r="785" spans="1:15">
      <c r="A785" s="344">
        <v>29</v>
      </c>
      <c r="B785" s="196"/>
      <c r="C785" s="587" t="s">
        <v>233</v>
      </c>
      <c r="D785" s="725" t="s">
        <v>1013</v>
      </c>
      <c r="E785" s="714" t="str">
        <f>'FR-16(7)(v)-1 Functional'!$E$785</f>
        <v>G129</v>
      </c>
      <c r="F785" s="648">
        <v>1</v>
      </c>
      <c r="G785" s="566">
        <f>ROUND(IF($F$90=0,0,G90/$F$90),5)</f>
        <v>0</v>
      </c>
      <c r="H785" s="567">
        <f>ROUND(IF($F$90=0,0,H90/$F$90),5)</f>
        <v>1</v>
      </c>
      <c r="I785" s="568">
        <f t="shared" si="171"/>
        <v>0</v>
      </c>
      <c r="J785" s="737">
        <f t="shared" si="168"/>
        <v>1</v>
      </c>
      <c r="K785" s="737">
        <f t="shared" si="169"/>
        <v>0</v>
      </c>
      <c r="O785" s="755">
        <f t="shared" si="170"/>
        <v>1</v>
      </c>
    </row>
    <row r="786" spans="1:15">
      <c r="A786" s="344">
        <v>30</v>
      </c>
      <c r="B786" s="196"/>
      <c r="C786" s="587" t="s">
        <v>234</v>
      </c>
      <c r="D786" s="725" t="s">
        <v>1013</v>
      </c>
      <c r="E786" s="714" t="str">
        <f>'FR-16(7)(v)-1 Functional'!$E$786</f>
        <v>C129</v>
      </c>
      <c r="F786" s="648">
        <v>1</v>
      </c>
      <c r="G786" s="566">
        <f>ROUND(IF($F$99=0,0,G99/$F$99),5)</f>
        <v>0</v>
      </c>
      <c r="H786" s="567">
        <f>ROUND(IF($F$99=0,0,H99/$F$99),5)</f>
        <v>1</v>
      </c>
      <c r="I786" s="568">
        <f t="shared" si="171"/>
        <v>0</v>
      </c>
      <c r="J786" s="737">
        <f t="shared" si="168"/>
        <v>1</v>
      </c>
      <c r="K786" s="737">
        <f t="shared" si="169"/>
        <v>0</v>
      </c>
      <c r="O786" s="755">
        <f t="shared" si="170"/>
        <v>1</v>
      </c>
    </row>
    <row r="787" spans="1:15">
      <c r="A787" s="344">
        <v>31</v>
      </c>
      <c r="B787" s="196"/>
      <c r="C787" s="587" t="s">
        <v>235</v>
      </c>
      <c r="D787" s="725" t="s">
        <v>1013</v>
      </c>
      <c r="E787" s="714" t="str">
        <f>'FR-16(7)(v)-1 Functional'!$E$787</f>
        <v>GP19</v>
      </c>
      <c r="F787" s="648">
        <v>1</v>
      </c>
      <c r="G787" s="566">
        <f>ROUND(IF($F$101=0,0,G101/$F$101),5)</f>
        <v>0</v>
      </c>
      <c r="H787" s="567">
        <f>ROUND(IF($F$101=0,0,H101/$F$101),5)</f>
        <v>1</v>
      </c>
      <c r="I787" s="568">
        <f t="shared" si="171"/>
        <v>0</v>
      </c>
      <c r="J787" s="737">
        <f t="shared" si="168"/>
        <v>1</v>
      </c>
      <c r="K787" s="737">
        <f t="shared" si="169"/>
        <v>0</v>
      </c>
      <c r="O787" s="755">
        <f t="shared" si="170"/>
        <v>1</v>
      </c>
    </row>
    <row r="788" spans="1:15">
      <c r="A788" s="344">
        <v>32</v>
      </c>
      <c r="B788" s="196"/>
      <c r="C788" s="587" t="s">
        <v>236</v>
      </c>
      <c r="D788" s="725" t="s">
        <v>1013</v>
      </c>
      <c r="E788" s="714" t="str">
        <f>'FR-16(7)(v)-1 Functional'!$E$788</f>
        <v>D199</v>
      </c>
      <c r="F788" s="648">
        <v>1</v>
      </c>
      <c r="G788" s="566">
        <f>ROUND(IF($F$131=0,0,G131/$F$131),5)</f>
        <v>0</v>
      </c>
      <c r="H788" s="567">
        <f>ROUND(IF($F$131=0,0,H131/$F$131),5)</f>
        <v>0</v>
      </c>
      <c r="I788" s="568">
        <f t="shared" si="171"/>
        <v>1</v>
      </c>
      <c r="J788" s="737">
        <f t="shared" si="168"/>
        <v>1</v>
      </c>
      <c r="K788" s="737">
        <f t="shared" si="169"/>
        <v>0</v>
      </c>
      <c r="O788" s="755">
        <f t="shared" si="170"/>
        <v>1</v>
      </c>
    </row>
    <row r="789" spans="1:15">
      <c r="A789" s="344">
        <v>33</v>
      </c>
      <c r="B789" s="196"/>
      <c r="C789" s="587" t="s">
        <v>237</v>
      </c>
      <c r="D789" s="725" t="s">
        <v>1013</v>
      </c>
      <c r="E789" s="714" t="str">
        <f>'FR-16(7)(v)-1 Functional'!$E$789</f>
        <v>DR19</v>
      </c>
      <c r="F789" s="648">
        <v>1</v>
      </c>
      <c r="G789" s="566">
        <f>ROUND(IF($F$151=0,0,G151/$F$151),5)</f>
        <v>0</v>
      </c>
      <c r="H789" s="567">
        <f>ROUND(IF($F$151=0,0,H151/$F$151),5)</f>
        <v>1</v>
      </c>
      <c r="I789" s="568">
        <f t="shared" si="171"/>
        <v>0</v>
      </c>
      <c r="J789" s="737">
        <f t="shared" si="168"/>
        <v>1</v>
      </c>
      <c r="K789" s="737">
        <f t="shared" si="169"/>
        <v>0</v>
      </c>
      <c r="O789" s="755">
        <f t="shared" si="170"/>
        <v>1</v>
      </c>
    </row>
    <row r="790" spans="1:15">
      <c r="A790" s="344">
        <v>34</v>
      </c>
      <c r="B790" s="196"/>
      <c r="C790" s="196"/>
      <c r="D790" s="344"/>
      <c r="E790" s="729"/>
      <c r="F790" s="648"/>
      <c r="G790" s="566"/>
      <c r="H790" s="567"/>
      <c r="I790" s="568"/>
      <c r="J790" s="737"/>
      <c r="K790" s="737"/>
      <c r="O790" s="753"/>
    </row>
    <row r="791" spans="1:15">
      <c r="A791" s="344">
        <v>35</v>
      </c>
      <c r="B791" s="587" t="s">
        <v>96</v>
      </c>
      <c r="C791" s="196"/>
      <c r="D791" s="344"/>
      <c r="E791" s="729"/>
      <c r="F791" s="648"/>
      <c r="G791" s="566"/>
      <c r="H791" s="567"/>
      <c r="I791" s="568"/>
      <c r="J791" s="737"/>
      <c r="K791" s="737"/>
      <c r="O791" s="753"/>
    </row>
    <row r="792" spans="1:15">
      <c r="A792" s="344">
        <v>36</v>
      </c>
      <c r="B792" s="196"/>
      <c r="C792" s="587" t="s">
        <v>238</v>
      </c>
      <c r="D792" s="725" t="s">
        <v>1013</v>
      </c>
      <c r="E792" s="714" t="str">
        <f>'FR-16(7)(v)-1 Functional'!$E$792</f>
        <v>P229</v>
      </c>
      <c r="F792" s="648">
        <v>1</v>
      </c>
      <c r="G792" s="566">
        <f>ROUND(IF($F$166=0,0,G166/$F$166),5)</f>
        <v>0</v>
      </c>
      <c r="H792" s="567">
        <f>ROUND(IF($F$166=0,0,H166/$F$166),5)</f>
        <v>1</v>
      </c>
      <c r="I792" s="568">
        <f>ROUND(IF($F$166=0,0,I166/$F$166),5)</f>
        <v>0</v>
      </c>
      <c r="J792" s="737">
        <f>SUM(G792:I792)</f>
        <v>1</v>
      </c>
      <c r="K792" s="737">
        <f>F792-J792</f>
        <v>0</v>
      </c>
      <c r="O792" s="755">
        <f>SUM(G792:I792)</f>
        <v>1</v>
      </c>
    </row>
    <row r="793" spans="1:15">
      <c r="A793" s="344">
        <v>37</v>
      </c>
      <c r="B793" s="196"/>
      <c r="C793" s="587" t="s">
        <v>239</v>
      </c>
      <c r="D793" s="725" t="s">
        <v>1013</v>
      </c>
      <c r="E793" s="714" t="str">
        <f>'FR-16(7)(v)-1 Functional'!$E$793</f>
        <v>D249</v>
      </c>
      <c r="F793" s="648">
        <v>1</v>
      </c>
      <c r="G793" s="566">
        <f>ROUND(IF($F$176=0,0,G176/$F$176),5)</f>
        <v>0</v>
      </c>
      <c r="H793" s="567">
        <f>ROUND(IF($F$176=0,0,H176/$F$176),5)</f>
        <v>0</v>
      </c>
      <c r="I793" s="568">
        <f>1-SUM(G793:H793)</f>
        <v>1</v>
      </c>
      <c r="J793" s="737">
        <f>SUM(G793:I793)</f>
        <v>1</v>
      </c>
      <c r="K793" s="737">
        <f>F793-J793</f>
        <v>0</v>
      </c>
      <c r="O793" s="755">
        <f>SUM(G793:I793)</f>
        <v>1</v>
      </c>
    </row>
    <row r="794" spans="1:15">
      <c r="A794" s="344">
        <v>38</v>
      </c>
      <c r="B794" s="196"/>
      <c r="C794" s="587" t="s">
        <v>240</v>
      </c>
      <c r="D794" s="725" t="s">
        <v>1013</v>
      </c>
      <c r="E794" s="714" t="str">
        <f>'FR-16(7)(v)-1 Functional'!$E$794</f>
        <v>G229</v>
      </c>
      <c r="F794" s="648">
        <v>1</v>
      </c>
      <c r="G794" s="566">
        <f>ROUND(IF($F$184=0,0,G184/$F$184),5)</f>
        <v>0</v>
      </c>
      <c r="H794" s="567">
        <f>ROUND(IF($F$184=0,0,H184/$F$184),5)</f>
        <v>1</v>
      </c>
      <c r="I794" s="568">
        <f>1-SUM(G794:H794)</f>
        <v>0</v>
      </c>
      <c r="J794" s="737">
        <f>SUM(G794:I794)</f>
        <v>1</v>
      </c>
      <c r="K794" s="737">
        <f>F794-J794</f>
        <v>0</v>
      </c>
      <c r="O794" s="755">
        <f>SUM(G794:I794)</f>
        <v>1</v>
      </c>
    </row>
    <row r="795" spans="1:15">
      <c r="A795" s="344">
        <v>39</v>
      </c>
      <c r="B795" s="196"/>
      <c r="C795" s="587" t="s">
        <v>241</v>
      </c>
      <c r="D795" s="725" t="s">
        <v>1013</v>
      </c>
      <c r="E795" s="714" t="str">
        <f>'FR-16(7)(v)-1 Functional'!$E$795</f>
        <v>C229</v>
      </c>
      <c r="F795" s="648">
        <v>1</v>
      </c>
      <c r="G795" s="566">
        <f>ROUND(IF($F$189=0,0,G189/$F$189),5)</f>
        <v>0</v>
      </c>
      <c r="H795" s="567">
        <f>ROUND(IF($F$189=0,0,H189/$F$189),5)</f>
        <v>1</v>
      </c>
      <c r="I795" s="568">
        <f>1-SUM(G795:H795)</f>
        <v>0</v>
      </c>
      <c r="J795" s="737">
        <f>SUM(G795:I795)</f>
        <v>1</v>
      </c>
      <c r="K795" s="737">
        <f>F795-J795</f>
        <v>0</v>
      </c>
      <c r="O795" s="755">
        <f>SUM(G795:I795)</f>
        <v>1</v>
      </c>
    </row>
    <row r="796" spans="1:15">
      <c r="A796" s="344">
        <v>40</v>
      </c>
      <c r="B796" s="196"/>
      <c r="C796" s="587" t="s">
        <v>242</v>
      </c>
      <c r="D796" s="725" t="s">
        <v>1013</v>
      </c>
      <c r="E796" s="714" t="str">
        <f>'FR-16(7)(v)-1 Functional'!$E$796</f>
        <v>NP29</v>
      </c>
      <c r="F796" s="648">
        <v>1</v>
      </c>
      <c r="G796" s="566">
        <f>ROUND(IF($F$191=0,0,G191/$F$191),5)</f>
        <v>0</v>
      </c>
      <c r="H796" s="567">
        <f>ROUND(IF($F$191=0,0,H191/$F$191),5)</f>
        <v>1</v>
      </c>
      <c r="I796" s="568">
        <f>1-SUM(G796:H796)</f>
        <v>0</v>
      </c>
      <c r="J796" s="737">
        <f>SUM(G796:I796)</f>
        <v>1</v>
      </c>
      <c r="K796" s="737">
        <f>F796-J796</f>
        <v>0</v>
      </c>
      <c r="O796" s="753"/>
    </row>
    <row r="797" spans="1:15">
      <c r="A797" s="344">
        <v>41</v>
      </c>
      <c r="B797" s="196"/>
      <c r="C797" s="587"/>
      <c r="D797" s="714"/>
      <c r="E797" s="734"/>
      <c r="F797" s="350"/>
      <c r="G797" s="566"/>
      <c r="H797" s="567"/>
      <c r="I797" s="568"/>
      <c r="J797" s="737"/>
      <c r="K797" s="737"/>
      <c r="O797" s="753"/>
    </row>
    <row r="798" spans="1:15">
      <c r="A798" s="344">
        <v>42</v>
      </c>
      <c r="B798" s="587" t="s">
        <v>32</v>
      </c>
      <c r="C798" s="196"/>
      <c r="D798" s="344"/>
      <c r="E798" s="729"/>
      <c r="F798" s="350"/>
      <c r="G798" s="566"/>
      <c r="H798" s="567"/>
      <c r="I798" s="568"/>
      <c r="J798" s="737"/>
      <c r="K798" s="737"/>
      <c r="O798" s="753"/>
    </row>
    <row r="799" spans="1:15">
      <c r="A799" s="344">
        <v>43</v>
      </c>
      <c r="B799" s="196"/>
      <c r="C799" s="587" t="s">
        <v>243</v>
      </c>
      <c r="D799" s="725" t="s">
        <v>1013</v>
      </c>
      <c r="E799" s="714" t="str">
        <f>'FR-16(7)(v)-1 Functional'!$E$799</f>
        <v>W669</v>
      </c>
      <c r="F799" s="648">
        <v>1</v>
      </c>
      <c r="G799" s="566">
        <f>ROUND(IF($F$304=0,0,G304/$F$304),5)</f>
        <v>0</v>
      </c>
      <c r="H799" s="567">
        <f>ROUND(IF($F$304=0,0,H304/$F$304),5)</f>
        <v>1</v>
      </c>
      <c r="I799" s="568">
        <f>ROUND(IF($F$304=0,0,I304/$F$304),5)</f>
        <v>0</v>
      </c>
      <c r="J799" s="737">
        <f>SUM(G799:I799)</f>
        <v>1</v>
      </c>
      <c r="K799" s="737">
        <f>F799-J799</f>
        <v>0</v>
      </c>
      <c r="O799" s="755">
        <f>SUM(G799:I799)</f>
        <v>1</v>
      </c>
    </row>
    <row r="800" spans="1:15">
      <c r="A800" s="344">
        <v>44</v>
      </c>
      <c r="B800" s="196"/>
      <c r="C800" s="587" t="s">
        <v>244</v>
      </c>
      <c r="D800" s="725" t="s">
        <v>1013</v>
      </c>
      <c r="E800" s="714" t="str">
        <f>'FR-16(7)(v)-1 Functional'!$E$800</f>
        <v>W689</v>
      </c>
      <c r="F800" s="648">
        <v>1</v>
      </c>
      <c r="G800" s="566">
        <f>ROUND(IF($F$310=0,0,G310/$F$310),5)</f>
        <v>0</v>
      </c>
      <c r="H800" s="567">
        <f>ROUND(IF($F$310=0,0,H310/$F$310),5)</f>
        <v>1</v>
      </c>
      <c r="I800" s="568">
        <f>ROUND(IF($F$310=0,0,I310/$F$310),5)</f>
        <v>0</v>
      </c>
      <c r="J800" s="737">
        <f>SUM(G800:I800)</f>
        <v>1</v>
      </c>
      <c r="K800" s="737">
        <f>F800-J800</f>
        <v>0</v>
      </c>
      <c r="O800" s="755">
        <f>SUM(G800:I800)</f>
        <v>1</v>
      </c>
    </row>
    <row r="801" spans="1:15">
      <c r="A801" s="344">
        <v>45</v>
      </c>
      <c r="B801" s="196"/>
      <c r="C801" s="587" t="s">
        <v>245</v>
      </c>
      <c r="D801" s="725" t="s">
        <v>1013</v>
      </c>
      <c r="E801" s="714" t="str">
        <f>'FR-16(7)(v)-1 Functional'!$E$801</f>
        <v>W729</v>
      </c>
      <c r="F801" s="648">
        <v>1</v>
      </c>
      <c r="G801" s="566">
        <f>ROUND(IF($F$313=0,0,G313/$F$313),5)</f>
        <v>0</v>
      </c>
      <c r="H801" s="567">
        <f>ROUND(IF($F$313=0,0,H313/$F$313),5)</f>
        <v>1</v>
      </c>
      <c r="I801" s="568">
        <f>ROUND(IF($F$313=0,0,I313/$F$313),5)</f>
        <v>0</v>
      </c>
      <c r="J801" s="737">
        <f>SUM(G801:I801)</f>
        <v>1</v>
      </c>
      <c r="K801" s="737">
        <f>F801-J801</f>
        <v>0</v>
      </c>
      <c r="O801" s="755">
        <f>SUM(G801:I801)</f>
        <v>1</v>
      </c>
    </row>
    <row r="802" spans="1:15">
      <c r="A802" s="344">
        <v>46</v>
      </c>
      <c r="B802" s="196"/>
      <c r="C802" s="587" t="s">
        <v>246</v>
      </c>
      <c r="D802" s="725" t="s">
        <v>1013</v>
      </c>
      <c r="E802" s="714" t="str">
        <f>'FR-16(7)(v)-1 Functional'!$E$802</f>
        <v>W749</v>
      </c>
      <c r="F802" s="648">
        <v>1</v>
      </c>
      <c r="G802" s="566">
        <f>ROUND(IF($F$319=0,0,G319/$F$319),5)</f>
        <v>0</v>
      </c>
      <c r="H802" s="567">
        <f>ROUND(IF($F$319=0,0,H319/$F$319),5)</f>
        <v>1</v>
      </c>
      <c r="I802" s="568">
        <f>ROUND(IF($F$319=0,0,I319/$F$319),5)</f>
        <v>0</v>
      </c>
      <c r="J802" s="737">
        <f>SUM(G802:I802)</f>
        <v>1</v>
      </c>
      <c r="K802" s="737">
        <f>F802-J802</f>
        <v>0</v>
      </c>
      <c r="O802" s="755">
        <f>SUM(G802:I802)</f>
        <v>1</v>
      </c>
    </row>
    <row r="803" spans="1:15">
      <c r="A803" s="344">
        <v>47</v>
      </c>
      <c r="B803" s="196"/>
      <c r="C803" s="587" t="s">
        <v>247</v>
      </c>
      <c r="D803" s="725" t="s">
        <v>1013</v>
      </c>
      <c r="E803" s="714" t="str">
        <f>'FR-16(7)(v)-1 Functional'!$E$803</f>
        <v>WC79</v>
      </c>
      <c r="F803" s="648">
        <v>1</v>
      </c>
      <c r="G803" s="575">
        <f>ROUND(IF($F$321=0,0,G321/$F$321),5)</f>
        <v>0</v>
      </c>
      <c r="H803" s="576">
        <f>ROUND(IF($F$321=0,0,H321/$F$321),5)</f>
        <v>1</v>
      </c>
      <c r="I803" s="577">
        <f>ROUND(IF($F$321=0,0,I321/$F$321),5)</f>
        <v>0</v>
      </c>
      <c r="J803" s="737">
        <f>SUM(G803:I803)</f>
        <v>1</v>
      </c>
      <c r="K803" s="737">
        <f>F803-J803</f>
        <v>0</v>
      </c>
      <c r="O803" s="755">
        <f>SUM(G803:I803)</f>
        <v>1</v>
      </c>
    </row>
    <row r="804" spans="1:15">
      <c r="A804" s="344"/>
      <c r="B804" s="196"/>
      <c r="C804" s="196"/>
      <c r="D804" s="344"/>
      <c r="E804" s="729"/>
      <c r="F804" s="648"/>
      <c r="G804" s="737"/>
      <c r="H804" s="737"/>
      <c r="I804" s="737"/>
      <c r="J804" s="737"/>
      <c r="K804" s="737"/>
      <c r="O804" s="753"/>
    </row>
    <row r="805" spans="1:15">
      <c r="A805" s="343" t="str">
        <f>co_name</f>
        <v>DUKE ENERGY KENTUCKY, INC.</v>
      </c>
      <c r="C805" s="196"/>
      <c r="D805" s="344"/>
      <c r="E805" s="196"/>
      <c r="F805" s="196"/>
      <c r="G805" s="196"/>
      <c r="H805" s="196"/>
      <c r="I805" s="196"/>
      <c r="J805" s="196" t="str">
        <f>$J$1</f>
        <v>FR-16(7)(v)-2</v>
      </c>
      <c r="K805" s="196"/>
      <c r="O805" s="754"/>
    </row>
    <row r="806" spans="1:15">
      <c r="A806" s="343" t="str">
        <f>$A$2</f>
        <v>PRODUCTION CLASSIFIED - GAS COST OF SERVICE</v>
      </c>
      <c r="C806" s="196"/>
      <c r="D806" s="344"/>
      <c r="E806" s="196"/>
      <c r="F806" s="196"/>
      <c r="G806" s="196"/>
      <c r="H806" s="196"/>
      <c r="I806" s="196"/>
      <c r="J806" s="196" t="str">
        <f>$J$2</f>
        <v>WITNESS RESPONSIBLE:</v>
      </c>
      <c r="K806" s="196"/>
      <c r="O806" s="754"/>
    </row>
    <row r="807" spans="1:15">
      <c r="A807" s="343" t="str">
        <f>case_name</f>
        <v>CASE NO: 2018-00261</v>
      </c>
      <c r="C807" s="196"/>
      <c r="D807" s="344"/>
      <c r="E807" s="196"/>
      <c r="F807" s="196"/>
      <c r="G807" s="196"/>
      <c r="H807" s="196"/>
      <c r="I807" s="196"/>
      <c r="J807" s="196" t="str">
        <f>Witness</f>
        <v>JAMES E. ZIOLKOWSKI</v>
      </c>
      <c r="K807" s="196"/>
      <c r="O807" s="754"/>
    </row>
    <row r="808" spans="1:15">
      <c r="A808" s="343" t="str">
        <f>data_filing</f>
        <v>DATA: 12 MONTH FORECASTED PERIOD</v>
      </c>
      <c r="C808" s="196"/>
      <c r="D808" s="344"/>
      <c r="E808" s="196"/>
      <c r="F808" s="196"/>
      <c r="G808" s="196"/>
      <c r="H808" s="196"/>
      <c r="I808" s="196"/>
      <c r="J808" s="196" t="str">
        <f>"PAGE "&amp;Pages&amp;" OF "&amp;Pages</f>
        <v>PAGE 18 OF 18</v>
      </c>
      <c r="K808" s="196"/>
      <c r="O808" s="754"/>
    </row>
    <row r="809" spans="1:15">
      <c r="A809" s="343" t="str">
        <f>type</f>
        <v xml:space="preserve">TYPE OF FILING: "X" ORIGINAL   UPDATED    REVISED  </v>
      </c>
      <c r="C809" s="196"/>
      <c r="D809" s="344"/>
      <c r="E809" s="196"/>
      <c r="F809" s="196"/>
      <c r="G809" s="196"/>
      <c r="H809" s="196"/>
      <c r="I809" s="196"/>
      <c r="J809" s="196"/>
      <c r="K809" s="196"/>
      <c r="O809" s="754"/>
    </row>
    <row r="810" spans="1:15">
      <c r="B810" s="196"/>
      <c r="E810" s="333"/>
      <c r="G810" s="532"/>
      <c r="H810" s="532"/>
      <c r="I810" s="532"/>
      <c r="O810" s="754"/>
    </row>
    <row r="811" spans="1:15">
      <c r="B811" s="196"/>
      <c r="E811" s="333"/>
      <c r="G811" s="532"/>
      <c r="H811" s="532"/>
      <c r="I811" s="532"/>
      <c r="O811" s="754"/>
    </row>
    <row r="812" spans="1:15">
      <c r="A812" s="344" t="s">
        <v>914</v>
      </c>
      <c r="B812" s="196"/>
      <c r="C812" s="196"/>
      <c r="D812" s="344"/>
      <c r="E812" s="344"/>
      <c r="F812" s="344" t="str">
        <f>$F$8</f>
        <v>TOTAL</v>
      </c>
      <c r="G812" s="545" t="s">
        <v>1005</v>
      </c>
      <c r="H812" s="533"/>
      <c r="I812" s="534"/>
      <c r="J812" s="344" t="s">
        <v>229</v>
      </c>
      <c r="K812" s="344" t="s">
        <v>342</v>
      </c>
      <c r="O812" s="753"/>
    </row>
    <row r="813" spans="1:15">
      <c r="A813" s="346" t="s">
        <v>915</v>
      </c>
      <c r="B813" s="590" t="s">
        <v>89</v>
      </c>
      <c r="C813" s="345"/>
      <c r="D813" s="591" t="s">
        <v>1011</v>
      </c>
      <c r="E813" s="591" t="s">
        <v>337</v>
      </c>
      <c r="F813" s="346" t="str">
        <f>$F$9</f>
        <v>PRODUCTION</v>
      </c>
      <c r="G813" s="658" t="s">
        <v>847</v>
      </c>
      <c r="H813" s="655" t="s">
        <v>848</v>
      </c>
      <c r="I813" s="656" t="s">
        <v>849</v>
      </c>
      <c r="J813" s="346" t="s">
        <v>341</v>
      </c>
      <c r="K813" s="346" t="s">
        <v>340</v>
      </c>
      <c r="O813" s="753"/>
    </row>
    <row r="814" spans="1:15">
      <c r="C814" s="846" t="s">
        <v>1055</v>
      </c>
      <c r="E814" s="788">
        <v>1</v>
      </c>
      <c r="F814" s="788">
        <v>2</v>
      </c>
      <c r="G814" s="800">
        <f>$G$10</f>
        <v>3</v>
      </c>
      <c r="H814" s="801">
        <f>$H$10</f>
        <v>4</v>
      </c>
      <c r="I814" s="802">
        <f>$I$10</f>
        <v>5</v>
      </c>
      <c r="O814" s="754"/>
    </row>
    <row r="815" spans="1:15">
      <c r="A815" s="344">
        <v>1</v>
      </c>
      <c r="B815" s="587" t="s">
        <v>25</v>
      </c>
      <c r="C815" s="196"/>
      <c r="D815" s="344"/>
      <c r="E815" s="729"/>
      <c r="F815" s="648"/>
      <c r="G815" s="566"/>
      <c r="H815" s="567"/>
      <c r="I815" s="568"/>
      <c r="J815" s="737"/>
      <c r="K815" s="737"/>
      <c r="O815" s="753"/>
    </row>
    <row r="816" spans="1:15">
      <c r="A816" s="344">
        <v>2</v>
      </c>
      <c r="B816" s="196"/>
      <c r="C816" s="587" t="s">
        <v>248</v>
      </c>
      <c r="D816" s="725" t="s">
        <v>1013</v>
      </c>
      <c r="E816" s="714" t="str">
        <f>'FR-16(7)(v)-1 Functional'!$E$816</f>
        <v>RB29</v>
      </c>
      <c r="F816" s="648">
        <v>1</v>
      </c>
      <c r="G816" s="566">
        <f>ROUND(IF($F$296=0,0,G296/$F$296),5)</f>
        <v>0</v>
      </c>
      <c r="H816" s="567">
        <f>ROUND(IF($F$296=0,0,H296/$F$296),5)</f>
        <v>1</v>
      </c>
      <c r="I816" s="568">
        <f>ROUND(IF($F$296=0,0,I296/$F$296),5)</f>
        <v>0</v>
      </c>
      <c r="J816" s="737">
        <f>SUM(G816:I816)</f>
        <v>1</v>
      </c>
      <c r="K816" s="737">
        <f>F816-J816</f>
        <v>0</v>
      </c>
      <c r="O816" s="755">
        <f>SUM(G816:I816)</f>
        <v>1</v>
      </c>
    </row>
    <row r="817" spans="1:15">
      <c r="A817" s="344">
        <v>3</v>
      </c>
      <c r="B817" s="196"/>
      <c r="C817" s="587" t="s">
        <v>249</v>
      </c>
      <c r="D817" s="725" t="s">
        <v>1013</v>
      </c>
      <c r="E817" s="714" t="str">
        <f>'FR-16(7)(v)-1 Functional'!$E$817</f>
        <v>RB99</v>
      </c>
      <c r="F817" s="648">
        <v>1</v>
      </c>
      <c r="G817" s="566">
        <f>ROUND(IF($F$331=0,0,G331/$F$331),5)</f>
        <v>0</v>
      </c>
      <c r="H817" s="567">
        <f>ROUND(IF($F$331=0,0,H331/$F$331),5)</f>
        <v>1</v>
      </c>
      <c r="I817" s="568">
        <f>ROUND(IF($F$331=0,0,I331/$F$331),5)</f>
        <v>0</v>
      </c>
      <c r="J817" s="737">
        <f>SUM(G817:I817)</f>
        <v>1</v>
      </c>
      <c r="K817" s="737">
        <f>F817-J817</f>
        <v>0</v>
      </c>
      <c r="O817" s="755">
        <f>SUM(G817:I817)</f>
        <v>1</v>
      </c>
    </row>
    <row r="818" spans="1:15">
      <c r="A818" s="344">
        <v>4</v>
      </c>
      <c r="B818" s="196"/>
      <c r="C818" s="587" t="s">
        <v>383</v>
      </c>
      <c r="D818" s="725" t="s">
        <v>1013</v>
      </c>
      <c r="E818" s="714" t="str">
        <f>'FR-16(7)(v)-1 Functional'!$E$818</f>
        <v>CW29</v>
      </c>
      <c r="F818" s="648">
        <v>0</v>
      </c>
      <c r="G818" s="811">
        <v>0</v>
      </c>
      <c r="H818" s="812">
        <v>0</v>
      </c>
      <c r="I818" s="813">
        <v>0</v>
      </c>
      <c r="J818" s="651">
        <f>SUM(G818:I818)</f>
        <v>0</v>
      </c>
      <c r="K818" s="651">
        <f>F818-J818</f>
        <v>0</v>
      </c>
      <c r="O818" s="755">
        <f>SUM(G818:I818)</f>
        <v>0</v>
      </c>
    </row>
    <row r="819" spans="1:15">
      <c r="A819" s="344">
        <v>5</v>
      </c>
      <c r="B819" s="635"/>
      <c r="C819" s="368"/>
      <c r="D819" s="585"/>
      <c r="E819" s="749"/>
      <c r="F819" s="650"/>
      <c r="G819" s="814"/>
      <c r="H819" s="815"/>
      <c r="I819" s="816"/>
      <c r="J819" s="637"/>
      <c r="K819" s="637"/>
      <c r="O819" s="753"/>
    </row>
    <row r="820" spans="1:15">
      <c r="A820" s="344">
        <v>6</v>
      </c>
      <c r="B820" s="597" t="s">
        <v>1021</v>
      </c>
      <c r="C820" s="634"/>
      <c r="D820" s="719"/>
      <c r="E820" s="745"/>
      <c r="F820" s="651"/>
      <c r="G820" s="817"/>
      <c r="H820" s="818"/>
      <c r="I820" s="819"/>
      <c r="J820" s="641"/>
      <c r="K820" s="641"/>
      <c r="O820" s="753"/>
    </row>
    <row r="821" spans="1:15">
      <c r="A821" s="344">
        <v>7</v>
      </c>
      <c r="B821" s="196"/>
      <c r="C821" s="587" t="s">
        <v>1016</v>
      </c>
      <c r="D821" s="725" t="s">
        <v>1013</v>
      </c>
      <c r="E821" s="714" t="str">
        <f>'FR-16(7)(v)-1 Functional'!$E$821</f>
        <v>P349</v>
      </c>
      <c r="F821" s="648">
        <v>1</v>
      </c>
      <c r="G821" s="566">
        <f>ROUND(IF($F$350=0,0,G350/$F$350),5)</f>
        <v>0</v>
      </c>
      <c r="H821" s="567">
        <f>ROUND(IF($F$350=0,0,H350/$F$350),5)</f>
        <v>1</v>
      </c>
      <c r="I821" s="568">
        <f>ROUND(IF($F$350=0,0,I350/$F$350),5)</f>
        <v>0</v>
      </c>
      <c r="J821" s="737">
        <f t="shared" ref="J821:J828" si="172">SUM(G821:I821)</f>
        <v>1</v>
      </c>
      <c r="K821" s="737">
        <f t="shared" ref="K821:K828" si="173">F821-J821</f>
        <v>0</v>
      </c>
      <c r="O821" s="755">
        <f>SUM(G821:I821)</f>
        <v>1</v>
      </c>
    </row>
    <row r="822" spans="1:15">
      <c r="A822" s="344">
        <v>8</v>
      </c>
      <c r="B822" s="196"/>
      <c r="C822" s="587" t="s">
        <v>264</v>
      </c>
      <c r="D822" s="725" t="s">
        <v>1013</v>
      </c>
      <c r="E822" s="714" t="str">
        <f>'FR-16(7)(v)-1 Functional'!$E$822</f>
        <v>P459</v>
      </c>
      <c r="F822" s="648">
        <v>1</v>
      </c>
      <c r="G822" s="566">
        <f>ROUND(IF($F$360=0,0,G360/$F$360),5)</f>
        <v>0</v>
      </c>
      <c r="H822" s="567">
        <f>ROUND(IF($F$360=0,0,H360/$F$360),5)</f>
        <v>1</v>
      </c>
      <c r="I822" s="568">
        <f>ROUND(IF($F$360=0,0,I360/$F$360),5)</f>
        <v>0</v>
      </c>
      <c r="J822" s="737">
        <f t="shared" si="172"/>
        <v>1</v>
      </c>
      <c r="K822" s="737">
        <f t="shared" si="173"/>
        <v>0</v>
      </c>
      <c r="O822" s="755">
        <f>SUM(G822:I822)</f>
        <v>1</v>
      </c>
    </row>
    <row r="823" spans="1:15">
      <c r="A823" s="344">
        <v>9</v>
      </c>
      <c r="B823" s="196"/>
      <c r="C823" s="587" t="s">
        <v>250</v>
      </c>
      <c r="D823" s="725" t="s">
        <v>1013</v>
      </c>
      <c r="E823" s="714" t="str">
        <f>'FR-16(7)(v)-1 Functional'!$E$823</f>
        <v>D349</v>
      </c>
      <c r="F823" s="648">
        <v>1</v>
      </c>
      <c r="G823" s="566">
        <f>ROUND(IF($F$378=0,0,G378/$F$378),5)</f>
        <v>0</v>
      </c>
      <c r="H823" s="567">
        <f>ROUND(IF($F$378=0,0,H378/$F$378),5)</f>
        <v>0</v>
      </c>
      <c r="I823" s="568">
        <f>1-SUM(G823:H823)</f>
        <v>1</v>
      </c>
      <c r="J823" s="737">
        <f t="shared" si="172"/>
        <v>1</v>
      </c>
      <c r="K823" s="737">
        <f t="shared" si="173"/>
        <v>0</v>
      </c>
      <c r="O823" s="755">
        <f>SUM(G823:I823)</f>
        <v>1</v>
      </c>
    </row>
    <row r="824" spans="1:15">
      <c r="A824" s="344">
        <v>10</v>
      </c>
      <c r="B824" s="196"/>
      <c r="C824" s="587" t="s">
        <v>251</v>
      </c>
      <c r="D824" s="725" t="s">
        <v>1013</v>
      </c>
      <c r="E824" s="714" t="str">
        <f>'FR-16(7)(v)-1 Functional'!$E$824</f>
        <v>CA19</v>
      </c>
      <c r="F824" s="648">
        <v>1</v>
      </c>
      <c r="G824" s="566">
        <f>ROUND(IF($F$389=0,0,G389/$F$389),5)</f>
        <v>0</v>
      </c>
      <c r="H824" s="567">
        <f>ROUND(IF($F$389=0,0,H389/$F$389),5)</f>
        <v>0</v>
      </c>
      <c r="I824" s="568">
        <f>1-SUM(G824:H824)</f>
        <v>1</v>
      </c>
      <c r="J824" s="737">
        <f t="shared" si="172"/>
        <v>1</v>
      </c>
      <c r="K824" s="737">
        <f t="shared" si="173"/>
        <v>0</v>
      </c>
      <c r="O824" s="755">
        <f>SUM(G824:I824)</f>
        <v>1</v>
      </c>
    </row>
    <row r="825" spans="1:15">
      <c r="A825" s="344">
        <v>11</v>
      </c>
      <c r="B825" s="196"/>
      <c r="C825" s="587" t="s">
        <v>1019</v>
      </c>
      <c r="D825" s="725" t="s">
        <v>1013</v>
      </c>
      <c r="E825" s="714" t="str">
        <f>'FR-16(7)(v)-1 Functional'!$E$825</f>
        <v>CS19</v>
      </c>
      <c r="F825" s="648">
        <v>1</v>
      </c>
      <c r="G825" s="566">
        <f>ROUND(IF($F$403=0,0,G403/$F$403),5)</f>
        <v>0</v>
      </c>
      <c r="H825" s="567">
        <f>ROUND(IF($F$403=0,0,H403/$F$403),5)</f>
        <v>0</v>
      </c>
      <c r="I825" s="568">
        <f>1-SUM(G825:H825)</f>
        <v>1</v>
      </c>
      <c r="J825" s="737">
        <f t="shared" si="172"/>
        <v>1</v>
      </c>
      <c r="K825" s="737">
        <f t="shared" si="173"/>
        <v>0</v>
      </c>
      <c r="O825" s="755"/>
    </row>
    <row r="826" spans="1:15">
      <c r="A826" s="344">
        <v>12</v>
      </c>
      <c r="B826" s="196"/>
      <c r="C826" s="587" t="s">
        <v>252</v>
      </c>
      <c r="D826" s="725" t="s">
        <v>1013</v>
      </c>
      <c r="E826" s="714" t="str">
        <f>'FR-16(7)(v)-1 Functional'!$E$826</f>
        <v>SE19</v>
      </c>
      <c r="F826" s="648">
        <v>1</v>
      </c>
      <c r="G826" s="566">
        <f>ROUND(IF($F$407=0,0,G407/$F$407),5)</f>
        <v>0</v>
      </c>
      <c r="H826" s="567">
        <f>ROUND(IF($F$407=0,0,H407/$F$407),5)</f>
        <v>0</v>
      </c>
      <c r="I826" s="568">
        <f>ROUND(IF($F$407=0,0,I407/$F$407),5)</f>
        <v>0</v>
      </c>
      <c r="J826" s="737">
        <f t="shared" si="172"/>
        <v>0</v>
      </c>
      <c r="K826" s="737">
        <f t="shared" si="173"/>
        <v>1</v>
      </c>
      <c r="O826" s="755">
        <f>SUM(G826:I826)</f>
        <v>0</v>
      </c>
    </row>
    <row r="827" spans="1:15">
      <c r="A827" s="344">
        <v>13</v>
      </c>
      <c r="B827" s="196"/>
      <c r="C827" s="587" t="s">
        <v>253</v>
      </c>
      <c r="D827" s="725" t="s">
        <v>1013</v>
      </c>
      <c r="E827" s="714" t="str">
        <f>'FR-16(7)(v)-1 Functional'!$E$827</f>
        <v>AG39</v>
      </c>
      <c r="F827" s="648">
        <v>1</v>
      </c>
      <c r="G827" s="566">
        <f>ROUND(IF($F$416=0,0,G416/$F$416),5)</f>
        <v>0</v>
      </c>
      <c r="H827" s="567">
        <f>ROUND(IF($F$416=0,0,H416/$F$416),5)</f>
        <v>1</v>
      </c>
      <c r="I827" s="568">
        <f>1-SUM(G827:H827)</f>
        <v>0</v>
      </c>
      <c r="J827" s="737">
        <f t="shared" si="172"/>
        <v>1</v>
      </c>
      <c r="K827" s="737">
        <f t="shared" si="173"/>
        <v>0</v>
      </c>
      <c r="O827" s="755">
        <f>SUM(G827:I827)</f>
        <v>1</v>
      </c>
    </row>
    <row r="828" spans="1:15">
      <c r="A828" s="344">
        <v>14</v>
      </c>
      <c r="B828" s="196"/>
      <c r="C828" s="587" t="s">
        <v>254</v>
      </c>
      <c r="D828" s="725" t="s">
        <v>1013</v>
      </c>
      <c r="E828" s="714" t="str">
        <f>'FR-16(7)(v)-1 Functional'!$E$828</f>
        <v>OM39</v>
      </c>
      <c r="F828" s="648">
        <v>1</v>
      </c>
      <c r="G828" s="566">
        <f>ROUND(IF($F$433=0,0,G433/$F$433),5)</f>
        <v>0</v>
      </c>
      <c r="H828" s="567">
        <f>ROUND(IF($F$433=0,0,H433/$F$433),5)</f>
        <v>1</v>
      </c>
      <c r="I828" s="568">
        <f>1-SUM(G828:H828)</f>
        <v>0</v>
      </c>
      <c r="J828" s="737">
        <f t="shared" si="172"/>
        <v>1</v>
      </c>
      <c r="K828" s="737">
        <f t="shared" si="173"/>
        <v>0</v>
      </c>
      <c r="O828" s="755">
        <f>SUM(G828:I828)</f>
        <v>1</v>
      </c>
    </row>
    <row r="829" spans="1:15">
      <c r="A829" s="344">
        <v>15</v>
      </c>
      <c r="B829" s="196"/>
      <c r="C829" s="196"/>
      <c r="D829" s="344"/>
      <c r="E829" s="729"/>
      <c r="F829" s="648"/>
      <c r="G829" s="566"/>
      <c r="H829" s="567"/>
      <c r="I829" s="568"/>
      <c r="J829" s="737"/>
      <c r="K829" s="737"/>
      <c r="O829" s="753"/>
    </row>
    <row r="830" spans="1:15">
      <c r="A830" s="344">
        <v>16</v>
      </c>
      <c r="B830" s="587" t="s">
        <v>97</v>
      </c>
      <c r="C830" s="196"/>
      <c r="D830" s="344"/>
      <c r="E830" s="729"/>
      <c r="F830" s="648"/>
      <c r="G830" s="566"/>
      <c r="H830" s="567"/>
      <c r="I830" s="568"/>
      <c r="J830" s="737"/>
      <c r="K830" s="737"/>
      <c r="O830" s="753"/>
    </row>
    <row r="831" spans="1:15">
      <c r="A831" s="344">
        <v>17</v>
      </c>
      <c r="B831" s="196"/>
      <c r="C831" s="587" t="s">
        <v>255</v>
      </c>
      <c r="D831" s="725" t="s">
        <v>1013</v>
      </c>
      <c r="E831" s="714" t="str">
        <f>'FR-16(7)(v)-1 Functional'!$E$831</f>
        <v>P489</v>
      </c>
      <c r="F831" s="648">
        <v>1</v>
      </c>
      <c r="G831" s="566">
        <f>ROUND(IF($F$447=0,0,G447/$F$447),5)</f>
        <v>0</v>
      </c>
      <c r="H831" s="567">
        <f>ROUND(IF($F$447=0,0,H447/$F$447),5)</f>
        <v>1</v>
      </c>
      <c r="I831" s="568">
        <f>ROUND(IF($F$447=0,0,I447/$F$447),5)</f>
        <v>0</v>
      </c>
      <c r="J831" s="737">
        <f>SUM(G831:I831)</f>
        <v>1</v>
      </c>
      <c r="K831" s="737">
        <f>F831-J831</f>
        <v>0</v>
      </c>
      <c r="O831" s="755">
        <f>SUM(G831:I831)</f>
        <v>1</v>
      </c>
    </row>
    <row r="832" spans="1:15">
      <c r="A832" s="344">
        <v>18</v>
      </c>
      <c r="B832" s="196"/>
      <c r="C832" s="587" t="s">
        <v>256</v>
      </c>
      <c r="D832" s="725" t="s">
        <v>1013</v>
      </c>
      <c r="E832" s="714" t="str">
        <f>'FR-16(7)(v)-1 Functional'!$E$832</f>
        <v>D489</v>
      </c>
      <c r="F832" s="648">
        <v>1</v>
      </c>
      <c r="G832" s="566">
        <f>ROUND(IF($F$454=0,0,G454/$F$454),5)</f>
        <v>0</v>
      </c>
      <c r="H832" s="567">
        <f>ROUND(IF($F$454=0,0,H454/$F$454),5)</f>
        <v>0</v>
      </c>
      <c r="I832" s="568">
        <f>1-SUM(G832:H832)</f>
        <v>1</v>
      </c>
      <c r="J832" s="737">
        <f>SUM(G832:I832)</f>
        <v>1</v>
      </c>
      <c r="K832" s="737">
        <f>F832-J832</f>
        <v>0</v>
      </c>
      <c r="O832" s="755">
        <f>SUM(G832:I832)</f>
        <v>1</v>
      </c>
    </row>
    <row r="833" spans="1:15">
      <c r="A833" s="344">
        <v>19</v>
      </c>
      <c r="B833" s="196"/>
      <c r="C833" s="587" t="s">
        <v>257</v>
      </c>
      <c r="D833" s="725" t="s">
        <v>1013</v>
      </c>
      <c r="E833" s="714" t="str">
        <f>'FR-16(7)(v)-1 Functional'!$E$833</f>
        <v>G489</v>
      </c>
      <c r="F833" s="648">
        <v>1</v>
      </c>
      <c r="G833" s="566">
        <f>ROUND(IF($F$458=0,0,G458/$F$458),5)</f>
        <v>0</v>
      </c>
      <c r="H833" s="567">
        <f>ROUND(IF($F$458=0,0,H458/$F$458),5)</f>
        <v>1</v>
      </c>
      <c r="I833" s="568">
        <f>1-SUM(G833:H833)</f>
        <v>0</v>
      </c>
      <c r="J833" s="737">
        <f>SUM(G833:I833)</f>
        <v>1</v>
      </c>
      <c r="K833" s="737">
        <f>F833-J833</f>
        <v>0</v>
      </c>
      <c r="O833" s="755">
        <f>SUM(G833:I833)</f>
        <v>1</v>
      </c>
    </row>
    <row r="834" spans="1:15">
      <c r="A834" s="344">
        <v>20</v>
      </c>
      <c r="B834" s="196"/>
      <c r="C834" s="587" t="s">
        <v>258</v>
      </c>
      <c r="D834" s="725" t="s">
        <v>1013</v>
      </c>
      <c r="E834" s="714" t="str">
        <f>'FR-16(7)(v)-1 Functional'!$E$834</f>
        <v>C489</v>
      </c>
      <c r="F834" s="648">
        <v>1</v>
      </c>
      <c r="G834" s="566">
        <f>ROUND(IF($F$462=0,0,G462/$F$462),5)</f>
        <v>1.0000000000000001E-5</v>
      </c>
      <c r="H834" s="567">
        <f>ROUND(IF($F$462=0,0,H462/$F$462),5)</f>
        <v>0.99999000000000005</v>
      </c>
      <c r="I834" s="568">
        <f>1-SUM(G834:H834)</f>
        <v>0</v>
      </c>
      <c r="J834" s="737">
        <f>SUM(G834:I834)</f>
        <v>1</v>
      </c>
      <c r="K834" s="737">
        <f>F834-J834</f>
        <v>0</v>
      </c>
      <c r="O834" s="755">
        <f>SUM(G834:I834)</f>
        <v>1</v>
      </c>
    </row>
    <row r="835" spans="1:15">
      <c r="A835" s="344">
        <v>21</v>
      </c>
      <c r="B835" s="196"/>
      <c r="C835" s="587" t="s">
        <v>259</v>
      </c>
      <c r="D835" s="725" t="s">
        <v>1013</v>
      </c>
      <c r="E835" s="714" t="str">
        <f>'FR-16(7)(v)-1 Functional'!$E$835</f>
        <v>DE49</v>
      </c>
      <c r="F835" s="648">
        <v>1</v>
      </c>
      <c r="G835" s="566">
        <f>ROUND(IF($F$465=0,0,G465/$F$465),5)</f>
        <v>0</v>
      </c>
      <c r="H835" s="567">
        <f>ROUND(IF($F$465=0,0,H465/$F$465),5)</f>
        <v>1</v>
      </c>
      <c r="I835" s="568">
        <f>1-SUM(G835:H835)</f>
        <v>0</v>
      </c>
      <c r="J835" s="737">
        <f>SUM(G835:I835)</f>
        <v>1</v>
      </c>
      <c r="K835" s="737">
        <f>F835-J835</f>
        <v>0</v>
      </c>
      <c r="O835" s="755">
        <f>SUM(G835:I835)</f>
        <v>1</v>
      </c>
    </row>
    <row r="836" spans="1:15">
      <c r="A836" s="344">
        <v>22</v>
      </c>
      <c r="B836" s="196"/>
      <c r="C836" s="196"/>
      <c r="D836" s="344"/>
      <c r="E836" s="729"/>
      <c r="F836" s="652"/>
      <c r="G836" s="547"/>
      <c r="H836" s="537"/>
      <c r="I836" s="538"/>
      <c r="J836" s="532"/>
      <c r="K836" s="532"/>
      <c r="O836" s="753"/>
    </row>
    <row r="837" spans="1:15">
      <c r="A837" s="344">
        <v>23</v>
      </c>
      <c r="B837" s="587" t="s">
        <v>62</v>
      </c>
      <c r="C837" s="196"/>
      <c r="D837" s="344"/>
      <c r="E837" s="729"/>
      <c r="F837" s="493"/>
      <c r="G837" s="548"/>
      <c r="H837" s="539"/>
      <c r="I837" s="540"/>
      <c r="J837" s="670"/>
      <c r="K837" s="670"/>
      <c r="O837" s="753"/>
    </row>
    <row r="838" spans="1:15">
      <c r="A838" s="344">
        <v>24</v>
      </c>
      <c r="B838" s="196"/>
      <c r="C838" s="587" t="s">
        <v>260</v>
      </c>
      <c r="D838" s="725" t="s">
        <v>1013</v>
      </c>
      <c r="E838" s="714" t="str">
        <f>'FR-16(7)(v)-1 Functional'!$E$838</f>
        <v>L529</v>
      </c>
      <c r="F838" s="648">
        <v>1</v>
      </c>
      <c r="G838" s="566">
        <f>ROUND(IF($F$481=0,0,$G$481/$F$481),5)</f>
        <v>0</v>
      </c>
      <c r="H838" s="567">
        <f>ROUND(IF($F$481=0,0,$H$481/$F$481),5)</f>
        <v>1</v>
      </c>
      <c r="I838" s="568">
        <f>1-SUM(G838:H838)</f>
        <v>0</v>
      </c>
      <c r="J838" s="737">
        <f>SUM(G838:I838)</f>
        <v>1</v>
      </c>
      <c r="K838" s="737">
        <f>F838-J838</f>
        <v>0</v>
      </c>
      <c r="O838" s="755">
        <f>SUM(G838:I838)</f>
        <v>1</v>
      </c>
    </row>
    <row r="839" spans="1:15">
      <c r="A839" s="344">
        <v>25</v>
      </c>
      <c r="B839" s="196"/>
      <c r="C839" s="587" t="s">
        <v>261</v>
      </c>
      <c r="D839" s="725" t="s">
        <v>1013</v>
      </c>
      <c r="E839" s="714" t="str">
        <f>'FR-16(7)(v)-1 Functional'!$E$839</f>
        <v>L589</v>
      </c>
      <c r="F839" s="648">
        <v>1</v>
      </c>
      <c r="G839" s="566">
        <f>ROUND(IF($F$488=0,0,$G$488/$F$488),5)</f>
        <v>0</v>
      </c>
      <c r="H839" s="567">
        <f>ROUND(IF($F$488=0,0,$H$488/$F$488),5)</f>
        <v>1</v>
      </c>
      <c r="I839" s="568">
        <f>1-SUM(G839:H839)</f>
        <v>0</v>
      </c>
      <c r="J839" s="737">
        <f>SUM(G839:I839)</f>
        <v>1</v>
      </c>
      <c r="K839" s="737">
        <f>F839-J839</f>
        <v>0</v>
      </c>
      <c r="O839" s="755">
        <f>SUM(G839:I839)</f>
        <v>1</v>
      </c>
    </row>
    <row r="840" spans="1:15">
      <c r="A840" s="344">
        <v>26</v>
      </c>
      <c r="B840" s="196"/>
      <c r="C840" s="587" t="s">
        <v>262</v>
      </c>
      <c r="D840" s="725" t="s">
        <v>1013</v>
      </c>
      <c r="E840" s="714" t="str">
        <f>'FR-16(7)(v)-1 Functional'!$E$840</f>
        <v>L599</v>
      </c>
      <c r="F840" s="648">
        <v>1</v>
      </c>
      <c r="G840" s="566">
        <f>ROUND(IF($F$500=0,0,$G$500/$F$500),5)</f>
        <v>0</v>
      </c>
      <c r="H840" s="567">
        <f>ROUND(IF($F$500=0,0,$H$500/$F$500),5)</f>
        <v>1</v>
      </c>
      <c r="I840" s="568">
        <f>1-SUM(G840:H840)</f>
        <v>0</v>
      </c>
      <c r="J840" s="737">
        <f>SUM(G840:I840)</f>
        <v>1</v>
      </c>
      <c r="K840" s="737">
        <f>F840-J840</f>
        <v>0</v>
      </c>
      <c r="O840" s="755">
        <f>SUM(G840:I840)</f>
        <v>1</v>
      </c>
    </row>
    <row r="841" spans="1:15">
      <c r="A841" s="344">
        <v>27</v>
      </c>
      <c r="B841" s="196"/>
      <c r="C841" s="587" t="s">
        <v>263</v>
      </c>
      <c r="D841" s="725" t="s">
        <v>1013</v>
      </c>
      <c r="E841" s="714" t="str">
        <f>'FR-16(7)(v)-1 Functional'!$E$841</f>
        <v>OP69</v>
      </c>
      <c r="F841" s="648">
        <v>1</v>
      </c>
      <c r="G841" s="566">
        <f>ROUND(IF($F$501=0,0,$G$501/$F$501),5)</f>
        <v>0</v>
      </c>
      <c r="H841" s="567">
        <f>ROUND(IF($F$501=0,0,$H$501/$F$501),5)</f>
        <v>1</v>
      </c>
      <c r="I841" s="568">
        <f>1-SUM(G841:H841)</f>
        <v>0</v>
      </c>
      <c r="J841" s="737">
        <f>SUM(G841:I841)</f>
        <v>1</v>
      </c>
      <c r="K841" s="737">
        <f>F841-J841</f>
        <v>0</v>
      </c>
      <c r="O841" s="755">
        <f>SUM(G841:I841)</f>
        <v>1</v>
      </c>
    </row>
    <row r="842" spans="1:15">
      <c r="A842" s="344">
        <v>28</v>
      </c>
      <c r="B842" s="196"/>
      <c r="C842" s="196"/>
      <c r="D842" s="344"/>
      <c r="E842" s="729"/>
      <c r="F842" s="648"/>
      <c r="G842" s="566"/>
      <c r="H842" s="567"/>
      <c r="I842" s="568"/>
      <c r="J842" s="737"/>
      <c r="K842" s="737"/>
      <c r="O842" s="753"/>
    </row>
    <row r="843" spans="1:15">
      <c r="A843" s="344">
        <v>29</v>
      </c>
      <c r="B843" s="587" t="s">
        <v>1176</v>
      </c>
      <c r="C843" s="196"/>
      <c r="D843" s="344"/>
      <c r="E843" s="729"/>
      <c r="F843" s="648"/>
      <c r="G843" s="566"/>
      <c r="H843" s="567"/>
      <c r="I843" s="568"/>
      <c r="J843" s="737"/>
      <c r="K843" s="737"/>
      <c r="O843" s="753"/>
    </row>
    <row r="844" spans="1:15" ht="13.5" thickBot="1">
      <c r="A844" s="344">
        <v>30</v>
      </c>
      <c r="B844" s="196"/>
      <c r="C844" s="587" t="s">
        <v>1041</v>
      </c>
      <c r="D844" s="725" t="s">
        <v>1013</v>
      </c>
      <c r="E844" s="714" t="str">
        <f>'FR-16(7)(v)-1 Functional'!$E$844</f>
        <v>CS09</v>
      </c>
      <c r="F844" s="648">
        <v>1</v>
      </c>
      <c r="G844" s="575">
        <f>ROUND(IF($F$647=0,0,G647/$F$647),5)</f>
        <v>0</v>
      </c>
      <c r="H844" s="576">
        <f>ROUND(IF($F$647=0,0,H647/$F$647),5)</f>
        <v>1</v>
      </c>
      <c r="I844" s="577">
        <f>1-SUM(G844:H844)</f>
        <v>0</v>
      </c>
      <c r="J844" s="739">
        <f>SUM(G844:I844)</f>
        <v>1</v>
      </c>
      <c r="K844" s="737">
        <f>F844-J844</f>
        <v>0</v>
      </c>
      <c r="O844" s="760">
        <f>SUM(G844:I844)</f>
        <v>1</v>
      </c>
    </row>
    <row r="848" spans="1:15">
      <c r="A848" s="344">
        <v>1</v>
      </c>
      <c r="B848" s="617" t="s">
        <v>91</v>
      </c>
      <c r="C848" s="618"/>
      <c r="D848" s="727"/>
      <c r="E848" s="720"/>
      <c r="F848" s="350"/>
      <c r="G848" s="347"/>
      <c r="J848" s="353"/>
      <c r="K848" s="353"/>
    </row>
    <row r="849" spans="1:11">
      <c r="A849" s="344">
        <v>2</v>
      </c>
      <c r="B849" s="619"/>
      <c r="C849" s="620" t="s">
        <v>227</v>
      </c>
      <c r="D849" s="728"/>
      <c r="E849" s="714" t="str">
        <f>'FR-16(7)(v)-1 Functional'!$E$849</f>
        <v>K597</v>
      </c>
      <c r="F849" s="477">
        <f>ROUND(0.06889*0,0)</f>
        <v>0</v>
      </c>
      <c r="G849" s="615">
        <f t="shared" ref="G849:G854" si="174">ROUND(F849*VLOOKUP(E849,AllocTable_Classified_Production,$H$10,FALSE),0)</f>
        <v>0</v>
      </c>
      <c r="H849" s="615">
        <f t="shared" ref="H849:H854" si="175">ROUND(F849*VLOOKUP(E849,AllocTable_Classified_Production,$H$10,FALSE),0)</f>
        <v>0</v>
      </c>
      <c r="I849" s="615">
        <f t="shared" ref="I849:I854" si="176">ROUND(F849*VLOOKUP(E849,AllocTable_Classified_Production,$I$10,FALSE),0)</f>
        <v>0</v>
      </c>
      <c r="J849" s="737">
        <f t="shared" ref="J849:J854" si="177">SUM(G849:I849)</f>
        <v>0</v>
      </c>
      <c r="K849" s="737">
        <f t="shared" ref="K849:K854" si="178">F849-J849</f>
        <v>0</v>
      </c>
    </row>
    <row r="850" spans="1:11">
      <c r="A850" s="344">
        <v>3</v>
      </c>
      <c r="B850" s="618"/>
      <c r="C850" s="293" t="s">
        <v>228</v>
      </c>
      <c r="D850" s="722"/>
      <c r="E850" s="714" t="str">
        <f>'FR-16(7)(v)-1 Functional'!$E$850</f>
        <v>AG39</v>
      </c>
      <c r="F850" s="494">
        <v>0</v>
      </c>
      <c r="G850" s="615">
        <f t="shared" si="174"/>
        <v>0</v>
      </c>
      <c r="H850" s="615">
        <f t="shared" si="175"/>
        <v>0</v>
      </c>
      <c r="I850" s="615">
        <f t="shared" si="176"/>
        <v>0</v>
      </c>
      <c r="J850" s="737">
        <f t="shared" si="177"/>
        <v>0</v>
      </c>
      <c r="K850" s="737">
        <f t="shared" si="178"/>
        <v>0</v>
      </c>
    </row>
    <row r="851" spans="1:11">
      <c r="A851" s="344">
        <v>4</v>
      </c>
      <c r="B851" s="618"/>
      <c r="C851" s="293" t="s">
        <v>428</v>
      </c>
      <c r="D851" s="722"/>
      <c r="E851" s="714" t="str">
        <f>'FR-16(7)(v)-1 Functional'!$E$851</f>
        <v>AG39</v>
      </c>
      <c r="F851" s="494">
        <v>0</v>
      </c>
      <c r="G851" s="615">
        <f t="shared" si="174"/>
        <v>0</v>
      </c>
      <c r="H851" s="615">
        <f t="shared" si="175"/>
        <v>0</v>
      </c>
      <c r="I851" s="615">
        <f t="shared" si="176"/>
        <v>0</v>
      </c>
      <c r="J851" s="737">
        <f t="shared" si="177"/>
        <v>0</v>
      </c>
      <c r="K851" s="737">
        <f t="shared" si="178"/>
        <v>0</v>
      </c>
    </row>
    <row r="852" spans="1:11">
      <c r="A852" s="344">
        <v>5</v>
      </c>
      <c r="B852" s="618"/>
      <c r="C852" s="293" t="s">
        <v>423</v>
      </c>
      <c r="D852" s="722" t="s">
        <v>343</v>
      </c>
      <c r="E852" s="714" t="str">
        <f>'FR-16(7)(v)-1 Functional'!$E$852</f>
        <v>K301</v>
      </c>
      <c r="F852" s="494">
        <v>0</v>
      </c>
      <c r="G852" s="615">
        <f t="shared" si="174"/>
        <v>0</v>
      </c>
      <c r="H852" s="615">
        <f t="shared" si="175"/>
        <v>0</v>
      </c>
      <c r="I852" s="615">
        <f t="shared" si="176"/>
        <v>0</v>
      </c>
      <c r="J852" s="737">
        <f t="shared" si="177"/>
        <v>0</v>
      </c>
      <c r="K852" s="737">
        <f t="shared" si="178"/>
        <v>0</v>
      </c>
    </row>
    <row r="853" spans="1:11">
      <c r="A853" s="344">
        <v>6</v>
      </c>
      <c r="B853" s="618"/>
      <c r="C853" s="293" t="s">
        <v>409</v>
      </c>
      <c r="D853" s="722"/>
      <c r="E853" s="714" t="str">
        <f>'FR-16(7)(v)-1 Functional'!$E$853</f>
        <v>K415</v>
      </c>
      <c r="F853" s="494">
        <v>0</v>
      </c>
      <c r="G853" s="615">
        <f t="shared" si="174"/>
        <v>0</v>
      </c>
      <c r="H853" s="615">
        <f t="shared" si="175"/>
        <v>0</v>
      </c>
      <c r="I853" s="615">
        <f t="shared" si="176"/>
        <v>0</v>
      </c>
      <c r="J853" s="737">
        <f t="shared" si="177"/>
        <v>0</v>
      </c>
      <c r="K853" s="737">
        <f t="shared" si="178"/>
        <v>0</v>
      </c>
    </row>
    <row r="854" spans="1:11">
      <c r="A854" s="344">
        <v>7</v>
      </c>
      <c r="B854" s="618"/>
      <c r="C854" s="293" t="s">
        <v>424</v>
      </c>
      <c r="D854" s="722" t="s">
        <v>343</v>
      </c>
      <c r="E854" s="714" t="str">
        <f>'FR-16(7)(v)-1 Functional'!$E$854</f>
        <v>NP29</v>
      </c>
      <c r="F854" s="494">
        <v>0</v>
      </c>
      <c r="G854" s="615">
        <f t="shared" si="174"/>
        <v>0</v>
      </c>
      <c r="H854" s="615">
        <f t="shared" si="175"/>
        <v>0</v>
      </c>
      <c r="I854" s="615">
        <f t="shared" si="176"/>
        <v>0</v>
      </c>
      <c r="J854" s="737">
        <f t="shared" si="177"/>
        <v>0</v>
      </c>
      <c r="K854" s="737">
        <f t="shared" si="178"/>
        <v>0</v>
      </c>
    </row>
    <row r="855" spans="1:11">
      <c r="A855" s="344">
        <v>8</v>
      </c>
      <c r="C855" s="488" t="s">
        <v>229</v>
      </c>
      <c r="D855" s="589" t="s">
        <v>285</v>
      </c>
      <c r="E855" s="333"/>
      <c r="F855" s="348">
        <f t="shared" ref="F855:K855" si="179">SUM(F849:F854)</f>
        <v>0</v>
      </c>
      <c r="G855" s="348">
        <f t="shared" si="179"/>
        <v>0</v>
      </c>
      <c r="H855" s="348">
        <f t="shared" si="179"/>
        <v>0</v>
      </c>
      <c r="I855" s="348">
        <f t="shared" si="179"/>
        <v>0</v>
      </c>
      <c r="J855" s="348">
        <f t="shared" si="179"/>
        <v>0</v>
      </c>
      <c r="K855" s="348">
        <f t="shared" si="179"/>
        <v>0</v>
      </c>
    </row>
    <row r="861" spans="1:11" ht="20.25">
      <c r="A861" s="1192" t="s">
        <v>1215</v>
      </c>
    </row>
    <row r="863" spans="1:11">
      <c r="A863" s="344" t="s">
        <v>914</v>
      </c>
      <c r="B863" s="196"/>
      <c r="C863" s="196"/>
      <c r="D863" s="344"/>
      <c r="E863" s="196"/>
      <c r="F863" s="344" t="str">
        <f>$F$8</f>
        <v>TOTAL</v>
      </c>
      <c r="G863" s="545" t="s">
        <v>1005</v>
      </c>
      <c r="H863" s="533"/>
      <c r="I863" s="534"/>
      <c r="J863" s="344" t="s">
        <v>229</v>
      </c>
      <c r="K863" s="344" t="s">
        <v>342</v>
      </c>
    </row>
    <row r="864" spans="1:11">
      <c r="A864" s="346" t="s">
        <v>915</v>
      </c>
      <c r="B864" s="345" t="s">
        <v>99</v>
      </c>
      <c r="C864" s="345"/>
      <c r="D864" s="346" t="s">
        <v>337</v>
      </c>
      <c r="E864" s="345"/>
      <c r="F864" s="346" t="str">
        <f>$F$9</f>
        <v>PRODUCTION</v>
      </c>
      <c r="G864" s="546" t="s">
        <v>847</v>
      </c>
      <c r="H864" s="535" t="s">
        <v>848</v>
      </c>
      <c r="I864" s="536" t="s">
        <v>849</v>
      </c>
      <c r="J864" s="346" t="s">
        <v>341</v>
      </c>
      <c r="K864" s="346" t="s">
        <v>340</v>
      </c>
    </row>
    <row r="865" spans="1:11">
      <c r="B865" s="196"/>
      <c r="C865" s="578" t="s">
        <v>4</v>
      </c>
      <c r="D865" s="344"/>
      <c r="E865" s="196"/>
      <c r="G865" s="800">
        <f>$G$10</f>
        <v>3</v>
      </c>
      <c r="H865" s="801">
        <f>$H$10</f>
        <v>4</v>
      </c>
      <c r="I865" s="802">
        <f>$I$10</f>
        <v>5</v>
      </c>
    </row>
    <row r="866" spans="1:11">
      <c r="A866" s="333">
        <v>1</v>
      </c>
      <c r="B866" s="332" t="s">
        <v>100</v>
      </c>
      <c r="D866" s="344"/>
      <c r="E866" s="196"/>
      <c r="G866" s="547"/>
      <c r="H866" s="537"/>
      <c r="I866" s="538"/>
    </row>
    <row r="867" spans="1:11">
      <c r="A867" s="333">
        <v>2</v>
      </c>
      <c r="C867" s="332" t="str">
        <f>'FR-16(7)(v)-1 Functional'!C867</f>
        <v>TOTAL GAS COST OF SERVICE</v>
      </c>
      <c r="D867" s="344"/>
      <c r="E867" s="196"/>
      <c r="F867" s="347">
        <f t="shared" ref="F867:K867" si="180">F647</f>
        <v>40024708.067599997</v>
      </c>
      <c r="G867" s="548">
        <f t="shared" si="180"/>
        <v>6.7599999994854443E-2</v>
      </c>
      <c r="H867" s="539">
        <f t="shared" si="180"/>
        <v>40024708</v>
      </c>
      <c r="I867" s="540">
        <f t="shared" si="180"/>
        <v>0</v>
      </c>
      <c r="J867" s="347">
        <f t="shared" si="180"/>
        <v>40024708.067599997</v>
      </c>
      <c r="K867" s="347">
        <f t="shared" si="180"/>
        <v>0</v>
      </c>
    </row>
    <row r="868" spans="1:11">
      <c r="A868" s="333">
        <v>3</v>
      </c>
      <c r="C868" s="359" t="str">
        <f>'FR-16(7)(v)-1 Functional'!C868</f>
        <v>TOTAL OTHER OPERATING REVENUES</v>
      </c>
      <c r="D868" s="344"/>
      <c r="E868" s="196"/>
      <c r="F868" s="347">
        <f>F630</f>
        <v>2870</v>
      </c>
      <c r="G868" s="548">
        <f>$G$630</f>
        <v>0</v>
      </c>
      <c r="H868" s="539">
        <f>$H$630</f>
        <v>2870</v>
      </c>
      <c r="I868" s="540">
        <f>$I$630</f>
        <v>0</v>
      </c>
      <c r="J868" s="347">
        <f>$J$630</f>
        <v>2870</v>
      </c>
      <c r="K868" s="347">
        <f>$K$630</f>
        <v>0</v>
      </c>
    </row>
    <row r="869" spans="1:11">
      <c r="A869" s="333">
        <v>4</v>
      </c>
      <c r="C869" s="332" t="str">
        <f>'FR-16(7)(v)-1 Functional'!C869</f>
        <v xml:space="preserve">  TOTAL GAS REVENUE</v>
      </c>
      <c r="D869" s="344"/>
      <c r="E869" s="196"/>
      <c r="F869" s="348">
        <f t="shared" ref="F869:K869" si="181">SUM(F866:F868)</f>
        <v>40027578.067599997</v>
      </c>
      <c r="G869" s="549">
        <f t="shared" si="181"/>
        <v>6.7599999994854443E-2</v>
      </c>
      <c r="H869" s="541">
        <f t="shared" si="181"/>
        <v>40027578</v>
      </c>
      <c r="I869" s="542">
        <f t="shared" si="181"/>
        <v>0</v>
      </c>
      <c r="J869" s="348">
        <f t="shared" si="181"/>
        <v>40027578.067599997</v>
      </c>
      <c r="K869" s="348">
        <f t="shared" si="181"/>
        <v>0</v>
      </c>
    </row>
    <row r="870" spans="1:11">
      <c r="A870" s="333">
        <v>5</v>
      </c>
      <c r="C870" s="332" t="str">
        <f>'FR-16(7)(v)-1 Functional'!C870</f>
        <v>TOTAL OP EXP EX INC &amp; REV TAX</v>
      </c>
      <c r="D870" s="344"/>
      <c r="E870" s="196"/>
      <c r="F870" s="347">
        <f>-F501</f>
        <v>-38590987.067599997</v>
      </c>
      <c r="G870" s="548">
        <f>-$G$501</f>
        <v>-6.7599999994854443E-2</v>
      </c>
      <c r="H870" s="539">
        <f>-$H$501</f>
        <v>-38590987</v>
      </c>
      <c r="I870" s="540">
        <f>-$I$501</f>
        <v>0</v>
      </c>
      <c r="J870" s="512">
        <f>-$J$501</f>
        <v>-38590987.067599997</v>
      </c>
      <c r="K870" s="347">
        <f>-$K$501</f>
        <v>0</v>
      </c>
    </row>
    <row r="871" spans="1:11">
      <c r="A871" s="333">
        <v>6</v>
      </c>
      <c r="C871" s="359" t="str">
        <f>'FR-16(7)(v)-1 Functional'!C871</f>
        <v>FIRM SERVICE REVENUE TAX</v>
      </c>
      <c r="D871" s="344"/>
      <c r="E871" s="196"/>
      <c r="F871" s="347">
        <f>-ROUND(F694*F867,0)</f>
        <v>0</v>
      </c>
      <c r="G871" s="548">
        <f>-ROUND(G694*G867,0)</f>
        <v>0</v>
      </c>
      <c r="H871" s="539">
        <f>-ROUND(H694*H867,0)</f>
        <v>0</v>
      </c>
      <c r="I871" s="540">
        <f>-ROUND(I694*I867,0)</f>
        <v>0</v>
      </c>
      <c r="J871" s="510">
        <f>SUM(G871:I871)</f>
        <v>0</v>
      </c>
      <c r="K871" s="347">
        <f>-ROUND('FR-16(7)(v)-1 Functional'!K694*K867,0)</f>
        <v>0</v>
      </c>
    </row>
    <row r="872" spans="1:11">
      <c r="A872" s="333">
        <v>7</v>
      </c>
      <c r="C872" s="332" t="str">
        <f>'FR-16(7)(v)-1 Functional'!C872</f>
        <v xml:space="preserve">  NET INCOME</v>
      </c>
      <c r="D872" s="344"/>
      <c r="E872" s="196"/>
      <c r="F872" s="348">
        <f>SUM(F869:F871)</f>
        <v>1436591</v>
      </c>
      <c r="G872" s="549">
        <f>SUM(G869:G871)</f>
        <v>0</v>
      </c>
      <c r="H872" s="541">
        <f>SUM(H869:H871)</f>
        <v>1436591</v>
      </c>
      <c r="I872" s="542">
        <f>SUM(I869:I871)</f>
        <v>0</v>
      </c>
      <c r="J872" s="348">
        <f>SUM(G872:I872)</f>
        <v>1436591</v>
      </c>
      <c r="K872" s="348">
        <f>SUM(K869:K871)</f>
        <v>0</v>
      </c>
    </row>
    <row r="873" spans="1:11">
      <c r="A873" s="333">
        <v>8</v>
      </c>
      <c r="D873" s="344"/>
      <c r="E873" s="196"/>
      <c r="G873" s="547"/>
      <c r="H873" s="537"/>
      <c r="I873" s="538"/>
    </row>
    <row r="874" spans="1:11">
      <c r="A874" s="333">
        <v>9</v>
      </c>
      <c r="B874" s="332" t="s">
        <v>101</v>
      </c>
      <c r="D874" s="344"/>
      <c r="E874" s="196"/>
      <c r="G874" s="547"/>
      <c r="H874" s="537"/>
      <c r="I874" s="538"/>
    </row>
    <row r="875" spans="1:11">
      <c r="A875" s="333">
        <v>10</v>
      </c>
      <c r="C875" s="332" t="str">
        <f>'FR-16(7)(v)-1 Functional'!C875</f>
        <v>TOTAL INTEREST EXPENSE</v>
      </c>
      <c r="D875" s="344"/>
      <c r="E875" s="196"/>
      <c r="F875" s="347">
        <f>-F516</f>
        <v>-144290</v>
      </c>
      <c r="G875" s="548">
        <f>-$G$516</f>
        <v>0</v>
      </c>
      <c r="H875" s="539">
        <f>-$H$516</f>
        <v>-144290</v>
      </c>
      <c r="I875" s="540">
        <f>-$I$516</f>
        <v>0</v>
      </c>
      <c r="J875" s="347">
        <f>-$J$516</f>
        <v>-144290</v>
      </c>
      <c r="K875" s="347">
        <f>-$K$516</f>
        <v>0</v>
      </c>
    </row>
    <row r="876" spans="1:11">
      <c r="A876" s="333">
        <v>11</v>
      </c>
      <c r="C876" s="359" t="str">
        <f>'FR-16(7)(v)-1 Functional'!C876</f>
        <v>TOTAL OTHER DEDUCTIONS</v>
      </c>
      <c r="D876" s="344"/>
      <c r="E876" s="196"/>
      <c r="F876" s="347">
        <f>-F522</f>
        <v>-199633</v>
      </c>
      <c r="G876" s="548">
        <f>-$G$522</f>
        <v>0</v>
      </c>
      <c r="H876" s="539">
        <f>-$H$522</f>
        <v>-199633</v>
      </c>
      <c r="I876" s="540">
        <f>-$I$522</f>
        <v>0</v>
      </c>
      <c r="J876" s="347">
        <f>-$J$522</f>
        <v>-199633</v>
      </c>
      <c r="K876" s="347">
        <f>-$K$522</f>
        <v>0</v>
      </c>
    </row>
    <row r="877" spans="1:11">
      <c r="A877" s="333">
        <v>12</v>
      </c>
      <c r="C877" s="332" t="str">
        <f>'FR-16(7)(v)-1 Functional'!C877</f>
        <v xml:space="preserve">  PRELIMINARY TAXABLE INCOME</v>
      </c>
      <c r="D877" s="344"/>
      <c r="E877" s="196"/>
      <c r="F877" s="348">
        <f>SUM(F874:F876)+F872</f>
        <v>1092668</v>
      </c>
      <c r="G877" s="549">
        <f>SUM(G874:G876)+G872</f>
        <v>0</v>
      </c>
      <c r="H877" s="541">
        <f>SUM(H874:H876)+H872</f>
        <v>1092668</v>
      </c>
      <c r="I877" s="542">
        <f>SUM(I874:I876)+I872</f>
        <v>0</v>
      </c>
      <c r="J877" s="348">
        <f>SUM(G877:I877)</f>
        <v>1092668</v>
      </c>
      <c r="K877" s="348">
        <f>SUM(K874:K876)+K872</f>
        <v>0</v>
      </c>
    </row>
    <row r="878" spans="1:11">
      <c r="A878" s="333">
        <v>13</v>
      </c>
      <c r="D878" s="344"/>
      <c r="E878" s="196"/>
      <c r="G878" s="547"/>
      <c r="H878" s="537"/>
      <c r="I878" s="538"/>
    </row>
    <row r="879" spans="1:11">
      <c r="A879" s="333">
        <v>14</v>
      </c>
      <c r="B879" s="332" t="s">
        <v>99</v>
      </c>
      <c r="D879" s="344"/>
      <c r="E879" s="196"/>
      <c r="G879" s="547"/>
      <c r="H879" s="537"/>
      <c r="I879" s="538"/>
    </row>
    <row r="880" spans="1:11">
      <c r="A880" s="333">
        <v>15</v>
      </c>
      <c r="B880" s="332" t="s">
        <v>74</v>
      </c>
      <c r="D880" s="344"/>
      <c r="E880" s="196"/>
      <c r="G880" s="547"/>
      <c r="H880" s="537"/>
      <c r="I880" s="538"/>
    </row>
    <row r="881" spans="1:11">
      <c r="A881" s="333">
        <v>16</v>
      </c>
      <c r="C881" s="332" t="str">
        <f>'FR-16(7)(v)-1 Functional'!C881</f>
        <v>PRELIMINARY TAXABLE INCOME</v>
      </c>
      <c r="D881" s="344"/>
      <c r="E881" s="196"/>
      <c r="F881" s="347">
        <f t="shared" ref="F881:K881" si="182">F877</f>
        <v>1092668</v>
      </c>
      <c r="G881" s="548">
        <f t="shared" si="182"/>
        <v>0</v>
      </c>
      <c r="H881" s="539">
        <f t="shared" si="182"/>
        <v>1092668</v>
      </c>
      <c r="I881" s="540">
        <f t="shared" si="182"/>
        <v>0</v>
      </c>
      <c r="J881" s="347">
        <f t="shared" si="182"/>
        <v>1092668</v>
      </c>
      <c r="K881" s="347">
        <f t="shared" si="182"/>
        <v>0</v>
      </c>
    </row>
    <row r="882" spans="1:11">
      <c r="A882" s="333">
        <v>17</v>
      </c>
      <c r="C882" s="332" t="str">
        <f>'FR-16(7)(v)-1 Functional'!C882</f>
        <v xml:space="preserve">  NET FEDERAL TAXABLE INCOME</v>
      </c>
      <c r="D882" s="344"/>
      <c r="E882" s="196"/>
      <c r="F882" s="347">
        <f t="shared" ref="F882:K882" si="183">SUM(F881:F881)</f>
        <v>1092668</v>
      </c>
      <c r="G882" s="548">
        <f t="shared" si="183"/>
        <v>0</v>
      </c>
      <c r="H882" s="539">
        <f t="shared" si="183"/>
        <v>1092668</v>
      </c>
      <c r="I882" s="540">
        <f t="shared" si="183"/>
        <v>0</v>
      </c>
      <c r="J882" s="347">
        <f t="shared" si="183"/>
        <v>1092668</v>
      </c>
      <c r="K882" s="347">
        <f t="shared" si="183"/>
        <v>0</v>
      </c>
    </row>
    <row r="883" spans="1:11">
      <c r="A883" s="333">
        <v>18</v>
      </c>
      <c r="C883" s="332" t="str">
        <f>'FR-16(7)(v)-1 Functional'!C883</f>
        <v xml:space="preserve">  FEDERAL INCOME TAX RATE</v>
      </c>
      <c r="D883" s="344"/>
      <c r="E883" s="196"/>
      <c r="F883" s="350">
        <f>F692</f>
        <v>0.21</v>
      </c>
      <c r="G883" s="566">
        <f>G692</f>
        <v>0.21</v>
      </c>
      <c r="H883" s="567">
        <f>H692</f>
        <v>0.21</v>
      </c>
      <c r="I883" s="568">
        <f>I692</f>
        <v>0.21</v>
      </c>
      <c r="J883" s="350"/>
      <c r="K883" s="350">
        <f>'FR-16(7)(v)-1 Functional'!K692</f>
        <v>0.21</v>
      </c>
    </row>
    <row r="884" spans="1:11">
      <c r="A884" s="333">
        <v>19</v>
      </c>
      <c r="C884" s="332" t="str">
        <f>'FR-16(7)(v)-1 Functional'!C884</f>
        <v>PRELIMINARY FIT = FI01 * K190</v>
      </c>
      <c r="D884" s="344"/>
      <c r="E884" s="196"/>
      <c r="F884" s="347">
        <f>ROUND(F883*F882,0)</f>
        <v>229460</v>
      </c>
      <c r="G884" s="548">
        <f>ROUND(G883*G882,0)</f>
        <v>0</v>
      </c>
      <c r="H884" s="539">
        <f>ROUND(H883*H882,0)</f>
        <v>229460</v>
      </c>
      <c r="I884" s="540">
        <f>ROUND(I883*I882,0)</f>
        <v>0</v>
      </c>
      <c r="J884" s="347">
        <f>SUM(G884:I884)</f>
        <v>229460</v>
      </c>
      <c r="K884" s="347">
        <f>ROUND(K883*K882,0)</f>
        <v>0</v>
      </c>
    </row>
    <row r="885" spans="1:11">
      <c r="A885" s="333">
        <v>20</v>
      </c>
      <c r="C885" s="332" t="str">
        <f>'FR-16(7)(v)-1 Functional'!C885</f>
        <v>TOTAL FED DEF IT (410 &amp; 411)</v>
      </c>
      <c r="D885" s="344"/>
      <c r="E885" s="196"/>
      <c r="F885" s="347">
        <f>F532</f>
        <v>726188</v>
      </c>
      <c r="G885" s="548">
        <f>$G$532</f>
        <v>0</v>
      </c>
      <c r="H885" s="539">
        <f>$H$532</f>
        <v>726188</v>
      </c>
      <c r="I885" s="540">
        <f>$I$532</f>
        <v>0</v>
      </c>
      <c r="J885" s="347">
        <f>$J$532</f>
        <v>726188</v>
      </c>
      <c r="K885" s="347">
        <f>$K$532</f>
        <v>0</v>
      </c>
    </row>
    <row r="886" spans="1:11">
      <c r="A886" s="333">
        <v>21</v>
      </c>
      <c r="C886" s="359" t="str">
        <f>'FR-16(7)(v)-1 Functional'!C886</f>
        <v>TOTAL AMORTIZED ITC</v>
      </c>
      <c r="D886" s="344"/>
      <c r="E886" s="196"/>
      <c r="F886" s="347">
        <f>-F536</f>
        <v>-486</v>
      </c>
      <c r="G886" s="548">
        <f>-$G$536</f>
        <v>0</v>
      </c>
      <c r="H886" s="539">
        <f>-$H$536</f>
        <v>-486</v>
      </c>
      <c r="I886" s="540">
        <f>-$I$536</f>
        <v>0</v>
      </c>
      <c r="J886" s="347">
        <f>-$J$536</f>
        <v>-486</v>
      </c>
      <c r="K886" s="347">
        <f>-$K$536</f>
        <v>0</v>
      </c>
    </row>
    <row r="887" spans="1:11">
      <c r="A887" s="333">
        <v>22</v>
      </c>
      <c r="C887" s="332" t="str">
        <f>'FR-16(7)(v)-1 Functional'!C887</f>
        <v xml:space="preserve">  NET FED INC TAX ALLOWABLE</v>
      </c>
      <c r="D887" s="344"/>
      <c r="E887" s="196"/>
      <c r="F887" s="348">
        <f t="shared" ref="F887:K887" si="184">SUM(F884:F886)</f>
        <v>955162</v>
      </c>
      <c r="G887" s="549">
        <f t="shared" si="184"/>
        <v>0</v>
      </c>
      <c r="H887" s="541">
        <f t="shared" si="184"/>
        <v>955162</v>
      </c>
      <c r="I887" s="542">
        <f t="shared" si="184"/>
        <v>0</v>
      </c>
      <c r="J887" s="348">
        <f t="shared" si="184"/>
        <v>955162</v>
      </c>
      <c r="K887" s="348">
        <f t="shared" si="184"/>
        <v>0</v>
      </c>
    </row>
    <row r="888" spans="1:11">
      <c r="A888" s="333">
        <v>23</v>
      </c>
      <c r="D888" s="344"/>
      <c r="E888" s="196"/>
      <c r="G888" s="547"/>
      <c r="H888" s="537"/>
      <c r="I888" s="538"/>
    </row>
    <row r="889" spans="1:11">
      <c r="A889" s="333">
        <v>24</v>
      </c>
      <c r="B889" s="332" t="s">
        <v>75</v>
      </c>
      <c r="D889" s="344"/>
      <c r="E889" s="196"/>
      <c r="G889" s="547"/>
      <c r="H889" s="537"/>
      <c r="I889" s="538"/>
    </row>
    <row r="890" spans="1:11">
      <c r="A890" s="333">
        <v>25</v>
      </c>
      <c r="C890" s="332" t="str">
        <f>'FR-16(7)(v)-1 Functional'!C890</f>
        <v>PRELIM FIT</v>
      </c>
      <c r="D890" s="344"/>
      <c r="E890" s="196"/>
      <c r="F890" s="347">
        <f t="shared" ref="F890:K890" si="185">F884</f>
        <v>229460</v>
      </c>
      <c r="G890" s="548">
        <f t="shared" si="185"/>
        <v>0</v>
      </c>
      <c r="H890" s="539">
        <f t="shared" si="185"/>
        <v>229460</v>
      </c>
      <c r="I890" s="540">
        <f t="shared" si="185"/>
        <v>0</v>
      </c>
      <c r="J890" s="347">
        <f t="shared" si="185"/>
        <v>229460</v>
      </c>
      <c r="K890" s="347">
        <f t="shared" si="185"/>
        <v>0</v>
      </c>
    </row>
    <row r="891" spans="1:11">
      <c r="A891" s="333">
        <v>26</v>
      </c>
      <c r="C891" s="359" t="str">
        <f>'FR-16(7)(v)-1 Functional'!C891</f>
        <v>TEST YEAR INV TAX CREDIT</v>
      </c>
      <c r="D891" s="344"/>
      <c r="E891" s="196"/>
      <c r="F891" s="347">
        <f>-F540</f>
        <v>0</v>
      </c>
      <c r="G891" s="550">
        <f>-$G$540</f>
        <v>0</v>
      </c>
      <c r="H891" s="543">
        <f>-$H$540</f>
        <v>0</v>
      </c>
      <c r="I891" s="544">
        <f>-$I$540</f>
        <v>0</v>
      </c>
      <c r="J891" s="347">
        <f>-$J$540</f>
        <v>0</v>
      </c>
      <c r="K891" s="347">
        <f>-$K$540</f>
        <v>0</v>
      </c>
    </row>
    <row r="892" spans="1:11">
      <c r="A892" s="333">
        <v>27</v>
      </c>
      <c r="C892" s="332" t="str">
        <f>'FR-16(7)(v)-1 Functional'!C892</f>
        <v xml:space="preserve">  FED INC TAX PAYABLE</v>
      </c>
      <c r="D892" s="344"/>
      <c r="E892" s="196"/>
      <c r="F892" s="348">
        <f t="shared" ref="F892:K892" si="186">SUM(F889:F891)</f>
        <v>229460</v>
      </c>
      <c r="G892" s="549">
        <f t="shared" si="186"/>
        <v>0</v>
      </c>
      <c r="H892" s="541">
        <f t="shared" si="186"/>
        <v>229460</v>
      </c>
      <c r="I892" s="542">
        <f t="shared" si="186"/>
        <v>0</v>
      </c>
      <c r="J892" s="348">
        <f t="shared" si="186"/>
        <v>229460</v>
      </c>
      <c r="K892" s="348">
        <f t="shared" si="186"/>
        <v>0</v>
      </c>
    </row>
    <row r="893" spans="1:11">
      <c r="A893" s="333">
        <v>28</v>
      </c>
      <c r="D893" s="344"/>
      <c r="E893" s="196"/>
      <c r="G893" s="547"/>
      <c r="H893" s="537"/>
      <c r="I893" s="538"/>
    </row>
    <row r="894" spans="1:11">
      <c r="A894" s="333">
        <v>29</v>
      </c>
      <c r="B894" s="332" t="s">
        <v>40</v>
      </c>
      <c r="D894" s="344"/>
      <c r="E894" s="196"/>
      <c r="G894" s="547"/>
      <c r="H894" s="537"/>
      <c r="I894" s="538"/>
    </row>
    <row r="895" spans="1:11">
      <c r="A895" s="333">
        <v>30</v>
      </c>
      <c r="C895" s="332" t="str">
        <f>'FR-16(7)(v)-1 Functional'!C895</f>
        <v>NET INCOME</v>
      </c>
      <c r="D895" s="344"/>
      <c r="E895" s="196"/>
      <c r="F895" s="347">
        <f t="shared" ref="F895:K895" si="187">F872</f>
        <v>1436591</v>
      </c>
      <c r="G895" s="548">
        <f t="shared" si="187"/>
        <v>0</v>
      </c>
      <c r="H895" s="539">
        <f t="shared" si="187"/>
        <v>1436591</v>
      </c>
      <c r="I895" s="540">
        <f t="shared" si="187"/>
        <v>0</v>
      </c>
      <c r="J895" s="347">
        <f t="shared" si="187"/>
        <v>1436591</v>
      </c>
      <c r="K895" s="347">
        <f t="shared" si="187"/>
        <v>0</v>
      </c>
    </row>
    <row r="896" spans="1:11">
      <c r="A896" s="333">
        <v>31</v>
      </c>
      <c r="C896" s="359" t="str">
        <f>'FR-16(7)(v)-1 Functional'!C896</f>
        <v>NET FED INC TAX ALLOWABLE</v>
      </c>
      <c r="D896" s="344"/>
      <c r="E896" s="196"/>
      <c r="F896" s="347">
        <f t="shared" ref="F896:K896" si="188">-F887</f>
        <v>-955162</v>
      </c>
      <c r="G896" s="548">
        <f t="shared" si="188"/>
        <v>0</v>
      </c>
      <c r="H896" s="539">
        <f t="shared" si="188"/>
        <v>-955162</v>
      </c>
      <c r="I896" s="540">
        <f t="shared" si="188"/>
        <v>0</v>
      </c>
      <c r="J896" s="347">
        <f t="shared" si="188"/>
        <v>-955162</v>
      </c>
      <c r="K896" s="347">
        <f t="shared" si="188"/>
        <v>0</v>
      </c>
    </row>
    <row r="897" spans="1:11">
      <c r="A897" s="333">
        <v>32</v>
      </c>
      <c r="C897" s="332" t="str">
        <f>'FR-16(7)(v)-1 Functional'!C897</f>
        <v xml:space="preserve">  OVERALL RETURN EARNED</v>
      </c>
      <c r="D897" s="344"/>
      <c r="E897" s="196"/>
      <c r="F897" s="348">
        <f t="shared" ref="F897:K897" si="189">SUM(F894:F896)</f>
        <v>481429</v>
      </c>
      <c r="G897" s="549">
        <f t="shared" si="189"/>
        <v>0</v>
      </c>
      <c r="H897" s="541">
        <f t="shared" si="189"/>
        <v>481429</v>
      </c>
      <c r="I897" s="542">
        <f t="shared" si="189"/>
        <v>0</v>
      </c>
      <c r="J897" s="348">
        <f t="shared" si="189"/>
        <v>481429</v>
      </c>
      <c r="K897" s="348">
        <f t="shared" si="189"/>
        <v>0</v>
      </c>
    </row>
    <row r="898" spans="1:11">
      <c r="A898" s="333">
        <v>33</v>
      </c>
      <c r="D898" s="344"/>
      <c r="E898" s="196"/>
      <c r="G898" s="547"/>
      <c r="H898" s="537"/>
      <c r="I898" s="538"/>
    </row>
    <row r="899" spans="1:11">
      <c r="A899" s="333">
        <v>34</v>
      </c>
      <c r="C899" s="332" t="str">
        <f>'FR-16(7)(v)-1 Functional'!C899</f>
        <v xml:space="preserve">  RATE OF RETURN EARNED</v>
      </c>
      <c r="D899" s="344"/>
      <c r="E899" s="196"/>
      <c r="F899" s="350">
        <f t="shared" ref="F899:K899" si="190">IF(F331=0,0,ROUND(F897/F331,5))</f>
        <v>7.1910000000000002E-2</v>
      </c>
      <c r="G899" s="575">
        <f t="shared" si="190"/>
        <v>0</v>
      </c>
      <c r="H899" s="576">
        <f t="shared" si="190"/>
        <v>7.1910000000000002E-2</v>
      </c>
      <c r="I899" s="577">
        <f t="shared" si="190"/>
        <v>0</v>
      </c>
      <c r="J899" s="350">
        <f t="shared" si="190"/>
        <v>7.1910000000000002E-2</v>
      </c>
      <c r="K899" s="350">
        <f t="shared" si="190"/>
        <v>0</v>
      </c>
    </row>
  </sheetData>
  <conditionalFormatting sqref="O766:O778 O708:O742 O744:O762 O780:O844">
    <cfRule type="cellIs" dxfId="5" priority="1" operator="notEqual">
      <formula>1</formula>
    </cfRule>
  </conditionalFormatting>
  <pageMargins left="1" right="1" top="1" bottom="1" header="1" footer="0.5"/>
  <pageSetup scale="64" orientation="landscape" blackAndWhite="1" r:id="rId1"/>
  <headerFooter alignWithMargins="0"/>
  <rowBreaks count="16" manualBreakCount="16">
    <brk id="44" max="10" man="1"/>
    <brk id="101" max="10" man="1"/>
    <brk id="151" max="10" man="1"/>
    <brk id="191" max="10" man="1"/>
    <brk id="238" max="10" man="1"/>
    <brk id="283" max="10" man="1"/>
    <brk id="334" max="10" man="1"/>
    <brk id="389" max="10" man="1"/>
    <brk id="433" max="10" man="1"/>
    <brk id="465" max="10" man="1"/>
    <brk id="501" max="10" man="1"/>
    <brk id="565" max="10" man="1"/>
    <brk id="654" max="10" man="1"/>
    <brk id="694" max="10" man="1"/>
    <brk id="746" max="10" man="1"/>
    <brk id="803" max="10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9">
    <tabColor rgb="FF00B050"/>
    <pageSetUpPr fitToPage="1"/>
  </sheetPr>
  <dimension ref="A1:Q900"/>
  <sheetViews>
    <sheetView topLeftCell="A692" zoomScale="80" zoomScaleNormal="80" zoomScaleSheetLayoutView="80" workbookViewId="0">
      <selection activeCell="F763" sqref="F763:J763"/>
    </sheetView>
  </sheetViews>
  <sheetFormatPr defaultColWidth="8.77734375" defaultRowHeight="12.75"/>
  <cols>
    <col min="1" max="1" width="6.44140625" style="332" customWidth="1"/>
    <col min="2" max="2" width="3.5546875" style="332" customWidth="1"/>
    <col min="3" max="3" width="39.21875" style="332" customWidth="1"/>
    <col min="4" max="4" width="7.5546875" style="333" customWidth="1"/>
    <col min="5" max="5" width="7.6640625" style="332" customWidth="1"/>
    <col min="6" max="6" width="12.5546875" style="332" customWidth="1"/>
    <col min="7" max="7" width="11.77734375" style="332" customWidth="1"/>
    <col min="8" max="8" width="11.88671875" style="332" customWidth="1"/>
    <col min="9" max="9" width="11.88671875" style="353" customWidth="1"/>
    <col min="10" max="11" width="11.88671875" style="332" customWidth="1"/>
    <col min="12" max="12" width="12.77734375" style="332" customWidth="1"/>
    <col min="13" max="16384" width="8.77734375" style="332"/>
  </cols>
  <sheetData>
    <row r="1" spans="1:12">
      <c r="A1" s="343" t="str">
        <f>co_name</f>
        <v>DUKE ENERGY KENTUCKY, INC.</v>
      </c>
      <c r="C1" s="196"/>
      <c r="D1" s="344"/>
      <c r="E1" s="196"/>
      <c r="G1" s="196"/>
      <c r="H1" s="196"/>
      <c r="I1" s="342"/>
      <c r="K1" s="1195" t="s">
        <v>1538</v>
      </c>
      <c r="L1" s="196"/>
    </row>
    <row r="2" spans="1:12">
      <c r="A2" s="583" t="s">
        <v>1221</v>
      </c>
      <c r="C2" s="196"/>
      <c r="D2" s="344"/>
      <c r="E2" s="196"/>
      <c r="F2" s="344"/>
      <c r="G2" s="196"/>
      <c r="H2" s="196"/>
      <c r="I2" s="342"/>
      <c r="K2" s="1195" t="s">
        <v>437</v>
      </c>
      <c r="L2" s="196"/>
    </row>
    <row r="3" spans="1:12">
      <c r="A3" s="343" t="str">
        <f>case_name</f>
        <v>CASE NO: 2018-00261</v>
      </c>
      <c r="C3" s="196"/>
      <c r="D3" s="344"/>
      <c r="E3" s="196"/>
      <c r="F3" s="344"/>
      <c r="G3" s="196"/>
      <c r="H3" s="196"/>
      <c r="I3" s="342"/>
      <c r="K3" s="361" t="str">
        <f>Witness</f>
        <v>JAMES E. ZIOLKOWSKI</v>
      </c>
      <c r="L3" s="196"/>
    </row>
    <row r="4" spans="1:12">
      <c r="A4" s="343" t="str">
        <f>data_filing</f>
        <v>DATA: 12 MONTH FORECASTED PERIOD</v>
      </c>
      <c r="C4" s="196"/>
      <c r="D4" s="344"/>
      <c r="E4" s="196"/>
      <c r="F4" s="344"/>
      <c r="G4" s="196"/>
      <c r="H4" s="196"/>
      <c r="I4" s="342"/>
      <c r="K4" s="361" t="str">
        <f>"PAGE "&amp;Pages-17&amp;" OF "&amp;Pages</f>
        <v>PAGE 1 OF 18</v>
      </c>
      <c r="L4" s="196"/>
    </row>
    <row r="5" spans="1:12">
      <c r="A5" s="343" t="str">
        <f>type</f>
        <v xml:space="preserve">TYPE OF FILING: "X" ORIGINAL   UPDATED    REVISED  </v>
      </c>
      <c r="C5" s="196"/>
      <c r="D5" s="344"/>
      <c r="E5" s="196"/>
      <c r="F5" s="344"/>
      <c r="G5" s="196"/>
      <c r="H5" s="196"/>
      <c r="I5" s="342"/>
      <c r="J5" s="344"/>
      <c r="K5" s="196"/>
      <c r="L5" s="196"/>
    </row>
    <row r="6" spans="1:12">
      <c r="A6" s="343"/>
      <c r="C6" s="196"/>
      <c r="D6" s="344"/>
      <c r="E6" s="196"/>
      <c r="F6" s="344"/>
      <c r="G6" s="196"/>
      <c r="H6" s="196"/>
      <c r="I6" s="342"/>
      <c r="J6" s="344"/>
      <c r="K6" s="196"/>
      <c r="L6" s="196"/>
    </row>
    <row r="7" spans="1:12">
      <c r="A7" s="343"/>
      <c r="C7" s="196"/>
      <c r="D7" s="344"/>
      <c r="E7" s="196"/>
      <c r="F7" s="344" t="s">
        <v>229</v>
      </c>
      <c r="G7" s="196"/>
      <c r="H7" s="196"/>
      <c r="I7" s="342"/>
      <c r="J7" s="344"/>
      <c r="K7" s="196"/>
      <c r="L7" s="196"/>
    </row>
    <row r="8" spans="1:12">
      <c r="A8" s="344" t="s">
        <v>914</v>
      </c>
      <c r="B8" s="196"/>
      <c r="C8" s="196"/>
      <c r="D8" s="344"/>
      <c r="E8" s="196"/>
      <c r="F8" s="344" t="s">
        <v>845</v>
      </c>
      <c r="G8" s="354" t="s">
        <v>773</v>
      </c>
      <c r="H8" s="354" t="s">
        <v>1282</v>
      </c>
      <c r="I8" s="354" t="s">
        <v>984</v>
      </c>
      <c r="J8" s="354" t="s">
        <v>549</v>
      </c>
      <c r="K8" s="354" t="s">
        <v>229</v>
      </c>
      <c r="L8" s="344" t="s">
        <v>342</v>
      </c>
    </row>
    <row r="9" spans="1:12">
      <c r="A9" s="346" t="s">
        <v>915</v>
      </c>
      <c r="B9" s="345" t="s">
        <v>102</v>
      </c>
      <c r="C9" s="345"/>
      <c r="D9" s="346" t="s">
        <v>337</v>
      </c>
      <c r="E9" s="345"/>
      <c r="F9" s="346" t="s">
        <v>848</v>
      </c>
      <c r="G9" s="355" t="s">
        <v>338</v>
      </c>
      <c r="H9" s="355" t="s">
        <v>405</v>
      </c>
      <c r="I9" s="355" t="s">
        <v>1283</v>
      </c>
      <c r="J9" s="355" t="s">
        <v>550</v>
      </c>
      <c r="K9" s="355" t="s">
        <v>341</v>
      </c>
      <c r="L9" s="346" t="s">
        <v>340</v>
      </c>
    </row>
    <row r="10" spans="1:12">
      <c r="C10" s="578" t="s">
        <v>354</v>
      </c>
      <c r="D10" s="344"/>
      <c r="E10" s="196"/>
      <c r="G10" s="786">
        <v>3</v>
      </c>
      <c r="H10" s="786">
        <v>4</v>
      </c>
      <c r="I10" s="786">
        <v>5</v>
      </c>
      <c r="J10" s="786">
        <v>6</v>
      </c>
      <c r="K10" s="353"/>
    </row>
    <row r="11" spans="1:12">
      <c r="A11" s="333">
        <v>1</v>
      </c>
      <c r="B11" s="332" t="s">
        <v>100</v>
      </c>
      <c r="D11" s="344"/>
      <c r="E11" s="196"/>
      <c r="G11" s="353"/>
      <c r="H11" s="353"/>
      <c r="J11" s="353"/>
      <c r="K11" s="353"/>
    </row>
    <row r="12" spans="1:12">
      <c r="A12" s="333">
        <v>2</v>
      </c>
      <c r="C12" s="332" t="str">
        <f>'FR-16(7)(v)-1 Functional'!C12</f>
        <v>GROSS GAS PLANT IN SERVICE</v>
      </c>
      <c r="D12" s="344"/>
      <c r="E12" s="196"/>
      <c r="F12" s="347">
        <f t="shared" ref="F12:K12" si="0">F101</f>
        <v>6658967</v>
      </c>
      <c r="G12" s="349">
        <f t="shared" si="0"/>
        <v>3586520</v>
      </c>
      <c r="H12" s="349">
        <f t="shared" si="0"/>
        <v>1965952</v>
      </c>
      <c r="I12" s="349">
        <f t="shared" si="0"/>
        <v>1100820</v>
      </c>
      <c r="J12" s="349">
        <f t="shared" si="0"/>
        <v>5675</v>
      </c>
      <c r="K12" s="349">
        <f t="shared" si="0"/>
        <v>6658967</v>
      </c>
      <c r="L12" s="349">
        <f>F12-K12</f>
        <v>0</v>
      </c>
    </row>
    <row r="13" spans="1:12">
      <c r="A13" s="333">
        <v>3</v>
      </c>
      <c r="C13" s="332" t="str">
        <f>'FR-16(7)(v)-1 Functional'!C13</f>
        <v>TOTAL DEPRECIATION RESERVE</v>
      </c>
      <c r="D13" s="344"/>
      <c r="E13" s="196"/>
      <c r="F13" s="347">
        <f t="shared" ref="F13:K13" si="1">-F151</f>
        <v>-3706705</v>
      </c>
      <c r="G13" s="349">
        <f t="shared" si="1"/>
        <v>-2002318</v>
      </c>
      <c r="H13" s="349">
        <f t="shared" si="1"/>
        <v>-1095602</v>
      </c>
      <c r="I13" s="349">
        <f t="shared" si="1"/>
        <v>-605738</v>
      </c>
      <c r="J13" s="349">
        <f t="shared" si="1"/>
        <v>-3047</v>
      </c>
      <c r="K13" s="349">
        <f t="shared" si="1"/>
        <v>-3706705</v>
      </c>
      <c r="L13" s="349">
        <f>F13-K13</f>
        <v>0</v>
      </c>
    </row>
    <row r="14" spans="1:12">
      <c r="A14" s="333">
        <v>4</v>
      </c>
      <c r="C14" s="359" t="str">
        <f>'FR-16(7)(v)-1 Functional'!C14</f>
        <v>TOTAL RATE BASE ADJUSTMENTS</v>
      </c>
      <c r="D14" s="344"/>
      <c r="E14" s="196"/>
      <c r="F14" s="347">
        <f t="shared" ref="F14:K14" si="2">F326</f>
        <v>3742217</v>
      </c>
      <c r="G14" s="349">
        <f t="shared" si="2"/>
        <v>1817236</v>
      </c>
      <c r="H14" s="349">
        <f t="shared" si="2"/>
        <v>1041706</v>
      </c>
      <c r="I14" s="349">
        <f t="shared" si="2"/>
        <v>762404</v>
      </c>
      <c r="J14" s="349">
        <f t="shared" si="2"/>
        <v>120872</v>
      </c>
      <c r="K14" s="349">
        <f t="shared" si="2"/>
        <v>3742218</v>
      </c>
      <c r="L14" s="349">
        <f>F14-K14</f>
        <v>-1</v>
      </c>
    </row>
    <row r="15" spans="1:12">
      <c r="A15" s="333">
        <v>5</v>
      </c>
      <c r="C15" s="332" t="str">
        <f>'FR-16(7)(v)-1 Functional'!C15</f>
        <v xml:space="preserve">  TOTAL RATE BASE</v>
      </c>
      <c r="D15" s="344"/>
      <c r="E15" s="196"/>
      <c r="F15" s="348">
        <f t="shared" ref="F15:K15" si="3">SUM(F12:F14)</f>
        <v>6694479</v>
      </c>
      <c r="G15" s="348">
        <f t="shared" si="3"/>
        <v>3401438</v>
      </c>
      <c r="H15" s="348">
        <f t="shared" si="3"/>
        <v>1912056</v>
      </c>
      <c r="I15" s="348">
        <f t="shared" si="3"/>
        <v>1257486</v>
      </c>
      <c r="J15" s="348">
        <f t="shared" si="3"/>
        <v>123500</v>
      </c>
      <c r="K15" s="348">
        <f t="shared" si="3"/>
        <v>6694480</v>
      </c>
      <c r="L15" s="348">
        <f>F15-K15</f>
        <v>-1</v>
      </c>
    </row>
    <row r="16" spans="1:12">
      <c r="A16" s="333">
        <v>6</v>
      </c>
      <c r="D16" s="344"/>
      <c r="E16" s="196"/>
      <c r="G16" s="353"/>
      <c r="H16" s="353"/>
      <c r="J16" s="353"/>
      <c r="K16" s="353"/>
      <c r="L16" s="353"/>
    </row>
    <row r="17" spans="1:12">
      <c r="A17" s="333">
        <v>7</v>
      </c>
      <c r="B17" s="332" t="s">
        <v>98</v>
      </c>
      <c r="D17" s="344"/>
      <c r="E17" s="196"/>
      <c r="G17" s="353"/>
      <c r="H17" s="353"/>
      <c r="J17" s="353"/>
      <c r="K17" s="353"/>
      <c r="L17" s="353"/>
    </row>
    <row r="18" spans="1:12">
      <c r="A18" s="333">
        <v>8</v>
      </c>
      <c r="C18" s="332" t="str">
        <f>'FR-16(7)(v)-1 Functional'!C18</f>
        <v>TOTAL O&amp;M EXPENSE</v>
      </c>
      <c r="D18" s="344"/>
      <c r="E18" s="196"/>
      <c r="F18" s="347">
        <f t="shared" ref="F18:K18" si="4">F433</f>
        <v>38032691</v>
      </c>
      <c r="G18" s="349">
        <f t="shared" si="4"/>
        <v>19213586</v>
      </c>
      <c r="H18" s="349">
        <f t="shared" si="4"/>
        <v>10944332</v>
      </c>
      <c r="I18" s="349">
        <f t="shared" si="4"/>
        <v>7748449</v>
      </c>
      <c r="J18" s="349">
        <f t="shared" si="4"/>
        <v>126324</v>
      </c>
      <c r="K18" s="349">
        <f t="shared" si="4"/>
        <v>38032691</v>
      </c>
      <c r="L18" s="349">
        <f t="shared" ref="L18:L24" si="5">F18-K18</f>
        <v>0</v>
      </c>
    </row>
    <row r="19" spans="1:12">
      <c r="A19" s="333">
        <v>9</v>
      </c>
      <c r="C19" s="332" t="str">
        <f>'FR-16(7)(v)-1 Functional'!C19</f>
        <v>TOTAL DEPRECIATION EXPENSE</v>
      </c>
      <c r="D19" s="344"/>
      <c r="E19" s="196"/>
      <c r="F19" s="347">
        <f t="shared" ref="F19:K19" si="6">F465</f>
        <v>457905</v>
      </c>
      <c r="G19" s="349">
        <f t="shared" si="6"/>
        <v>248589</v>
      </c>
      <c r="H19" s="349">
        <f t="shared" si="6"/>
        <v>135607</v>
      </c>
      <c r="I19" s="349">
        <f t="shared" si="6"/>
        <v>73357</v>
      </c>
      <c r="J19" s="349">
        <f t="shared" si="6"/>
        <v>352</v>
      </c>
      <c r="K19" s="349">
        <f t="shared" si="6"/>
        <v>457905</v>
      </c>
      <c r="L19" s="349">
        <f t="shared" si="5"/>
        <v>0</v>
      </c>
    </row>
    <row r="20" spans="1:12">
      <c r="A20" s="333">
        <v>10</v>
      </c>
      <c r="C20" s="359" t="str">
        <f>'FR-16(7)(v)-1 Functional'!C20</f>
        <v>TOTAL OTHER TAX &amp; MISC EXPENSE</v>
      </c>
      <c r="D20" s="344"/>
      <c r="E20" s="196"/>
      <c r="F20" s="347">
        <f>F495</f>
        <v>100391</v>
      </c>
      <c r="G20" s="349">
        <f>$G$495</f>
        <v>51554</v>
      </c>
      <c r="H20" s="349">
        <f>$H$495</f>
        <v>29096</v>
      </c>
      <c r="I20" s="349">
        <f>$I$495</f>
        <v>19577</v>
      </c>
      <c r="J20" s="349">
        <f>$J$495</f>
        <v>164</v>
      </c>
      <c r="K20" s="349">
        <f>$K$495</f>
        <v>100391</v>
      </c>
      <c r="L20" s="349">
        <f t="shared" si="5"/>
        <v>0</v>
      </c>
    </row>
    <row r="21" spans="1:12">
      <c r="A21" s="333">
        <v>11</v>
      </c>
      <c r="C21" s="332" t="str">
        <f>'FR-16(7)(v)-1 Functional'!C21</f>
        <v xml:space="preserve">  TOTAL OP EXP EXCLUDING INC &amp; REV TAX</v>
      </c>
      <c r="D21" s="344"/>
      <c r="E21" s="196"/>
      <c r="F21" s="348">
        <f t="shared" ref="F21:K21" si="7">SUM(F17:F20)</f>
        <v>38590987</v>
      </c>
      <c r="G21" s="348">
        <f t="shared" si="7"/>
        <v>19513729</v>
      </c>
      <c r="H21" s="348">
        <f t="shared" si="7"/>
        <v>11109035</v>
      </c>
      <c r="I21" s="348">
        <f t="shared" si="7"/>
        <v>7841383</v>
      </c>
      <c r="J21" s="348">
        <f t="shared" si="7"/>
        <v>126840</v>
      </c>
      <c r="K21" s="348">
        <f t="shared" si="7"/>
        <v>38590987</v>
      </c>
      <c r="L21" s="348">
        <f t="shared" si="5"/>
        <v>0</v>
      </c>
    </row>
    <row r="22" spans="1:12">
      <c r="A22" s="333">
        <v>12</v>
      </c>
      <c r="C22" s="332" t="str">
        <f>'FR-16(7)(v)-1 Functional'!C22</f>
        <v>NET FED INCOME TAX EXP ALLOWABLE</v>
      </c>
      <c r="D22" s="344"/>
      <c r="E22" s="196"/>
      <c r="F22" s="347">
        <f>F557</f>
        <v>955859</v>
      </c>
      <c r="G22" s="349">
        <f ca="1">$G$557</f>
        <v>480917</v>
      </c>
      <c r="H22" s="349">
        <f>$H$557</f>
        <v>274348</v>
      </c>
      <c r="I22" s="349">
        <f ca="1">$I$557</f>
        <v>195674</v>
      </c>
      <c r="J22" s="349">
        <f>$J$557</f>
        <v>4920</v>
      </c>
      <c r="K22" s="349">
        <f ca="1">$K$557</f>
        <v>955859</v>
      </c>
      <c r="L22" s="349">
        <f t="shared" ca="1" si="5"/>
        <v>0</v>
      </c>
    </row>
    <row r="23" spans="1:12">
      <c r="A23" s="333">
        <v>13</v>
      </c>
      <c r="C23" s="359" t="str">
        <f>'FR-16(7)(v)-1 Functional'!C23</f>
        <v>NET STATE INCOME TAX EXP ALLOWABLE</v>
      </c>
      <c r="D23" s="344"/>
      <c r="E23" s="196"/>
      <c r="F23" s="347">
        <f>F605</f>
        <v>58434</v>
      </c>
      <c r="G23" s="347">
        <f t="shared" ref="G23:K23" ca="1" si="8">G605</f>
        <v>29020</v>
      </c>
      <c r="H23" s="347">
        <f t="shared" si="8"/>
        <v>16657</v>
      </c>
      <c r="I23" s="347">
        <f t="shared" ca="1" si="8"/>
        <v>12071</v>
      </c>
      <c r="J23" s="347">
        <f t="shared" si="8"/>
        <v>687</v>
      </c>
      <c r="K23" s="347">
        <f t="shared" ca="1" si="8"/>
        <v>58435</v>
      </c>
      <c r="L23" s="349">
        <f t="shared" ca="1" si="5"/>
        <v>-1</v>
      </c>
    </row>
    <row r="24" spans="1:12">
      <c r="A24" s="333">
        <v>14</v>
      </c>
      <c r="C24" s="332" t="str">
        <f>'FR-16(7)(v)-1 Functional'!C24</f>
        <v xml:space="preserve">  TOTAL OPERATING EXPENSE</v>
      </c>
      <c r="D24" s="344"/>
      <c r="E24" s="196"/>
      <c r="F24" s="348">
        <f t="shared" ref="F24:K24" si="9">SUM(F21:F23)</f>
        <v>39605280</v>
      </c>
      <c r="G24" s="348">
        <f t="shared" ca="1" si="9"/>
        <v>20023666</v>
      </c>
      <c r="H24" s="348">
        <f t="shared" si="9"/>
        <v>11400040</v>
      </c>
      <c r="I24" s="348">
        <f t="shared" ca="1" si="9"/>
        <v>8049128</v>
      </c>
      <c r="J24" s="348">
        <f t="shared" si="9"/>
        <v>132447</v>
      </c>
      <c r="K24" s="348">
        <f t="shared" ca="1" si="9"/>
        <v>39605281</v>
      </c>
      <c r="L24" s="348">
        <f t="shared" ca="1" si="5"/>
        <v>-1</v>
      </c>
    </row>
    <row r="25" spans="1:12">
      <c r="A25" s="333">
        <v>15</v>
      </c>
      <c r="D25" s="344"/>
      <c r="E25" s="196"/>
      <c r="G25" s="353"/>
      <c r="H25" s="353"/>
      <c r="J25" s="353"/>
      <c r="K25" s="353"/>
      <c r="L25" s="353"/>
    </row>
    <row r="26" spans="1:12">
      <c r="A26" s="333">
        <v>16</v>
      </c>
      <c r="B26" s="332" t="s">
        <v>43</v>
      </c>
      <c r="D26" s="344"/>
      <c r="E26" s="196"/>
      <c r="F26" s="347">
        <f t="shared" ref="F26:K26" si="10">F334</f>
        <v>480732</v>
      </c>
      <c r="G26" s="349">
        <f t="shared" si="10"/>
        <v>244258</v>
      </c>
      <c r="H26" s="349">
        <f t="shared" si="10"/>
        <v>137305</v>
      </c>
      <c r="I26" s="349">
        <f t="shared" si="10"/>
        <v>90300</v>
      </c>
      <c r="J26" s="349">
        <f t="shared" si="10"/>
        <v>8869</v>
      </c>
      <c r="K26" s="349">
        <f t="shared" si="10"/>
        <v>480732</v>
      </c>
      <c r="L26" s="349">
        <f t="shared" ref="L26:L31" si="11">F26-K26</f>
        <v>0</v>
      </c>
    </row>
    <row r="27" spans="1:12">
      <c r="A27" s="333">
        <v>17</v>
      </c>
      <c r="B27" s="359" t="s">
        <v>103</v>
      </c>
      <c r="C27" s="359"/>
      <c r="D27" s="344"/>
      <c r="E27" s="196"/>
      <c r="F27" s="347">
        <f>-F630</f>
        <v>-2870</v>
      </c>
      <c r="G27" s="349">
        <f>-$G$630</f>
        <v>-1452</v>
      </c>
      <c r="H27" s="349">
        <f>-$H$630</f>
        <v>-827</v>
      </c>
      <c r="I27" s="349">
        <f>-$I$630</f>
        <v>-586</v>
      </c>
      <c r="J27" s="349">
        <f>-$J$630</f>
        <v>-5</v>
      </c>
      <c r="K27" s="349">
        <f>-$K$630</f>
        <v>-2870</v>
      </c>
      <c r="L27" s="349">
        <f t="shared" si="11"/>
        <v>0</v>
      </c>
    </row>
    <row r="28" spans="1:12">
      <c r="A28" s="333">
        <v>18</v>
      </c>
      <c r="C28" s="332" t="str">
        <f>'FR-16(7)(v)-1 Functional'!C28</f>
        <v>TOTAL GAS COST OF SERVICE</v>
      </c>
      <c r="D28" s="344"/>
      <c r="E28" s="196"/>
      <c r="F28" s="348">
        <f t="shared" ref="F28:K28" si="12">SUM(F24:F27)</f>
        <v>40083142</v>
      </c>
      <c r="G28" s="348">
        <f t="shared" ca="1" si="12"/>
        <v>20266472</v>
      </c>
      <c r="H28" s="348">
        <f t="shared" si="12"/>
        <v>11536518</v>
      </c>
      <c r="I28" s="348">
        <f t="shared" ca="1" si="12"/>
        <v>8138842</v>
      </c>
      <c r="J28" s="348">
        <f t="shared" si="12"/>
        <v>141311</v>
      </c>
      <c r="K28" s="348">
        <f t="shared" ca="1" si="12"/>
        <v>40083143</v>
      </c>
      <c r="L28" s="348">
        <f t="shared" ca="1" si="11"/>
        <v>-1</v>
      </c>
    </row>
    <row r="29" spans="1:12">
      <c r="A29" s="1112">
        <v>19</v>
      </c>
      <c r="B29" s="1113" t="s">
        <v>1206</v>
      </c>
      <c r="C29" s="1114"/>
      <c r="D29" s="1115">
        <f>1-'WP FR-16(7)(v)Rate Incr (15.0%)'!I11</f>
        <v>0.85</v>
      </c>
      <c r="E29" s="1116"/>
      <c r="F29" s="1117">
        <f ca="1">'WP FR-16(7)(v)Rate Incr (15.0%)'!Q20</f>
        <v>0</v>
      </c>
      <c r="G29" s="1117">
        <f ca="1">'WP FR-16(7)(v)Rate Incr (15.0%)'!Q15</f>
        <v>99710</v>
      </c>
      <c r="H29" s="1117">
        <f ca="1">'WP FR-16(7)(v)Rate Incr (15.0%)'!Q16</f>
        <v>-3148</v>
      </c>
      <c r="I29" s="1117">
        <f ca="1">'WP FR-16(7)(v)Rate Incr (15.0%)'!Q17</f>
        <v>-105305</v>
      </c>
      <c r="J29" s="1117">
        <f ca="1">'WP FR-16(7)(v)Rate Incr (15.0%)'!Q18</f>
        <v>8743</v>
      </c>
      <c r="K29" s="1120">
        <f ca="1">SUM(G29:J29)</f>
        <v>0</v>
      </c>
      <c r="L29" s="1120">
        <f t="shared" ca="1" si="11"/>
        <v>0</v>
      </c>
    </row>
    <row r="30" spans="1:12">
      <c r="A30" s="1112">
        <v>20</v>
      </c>
      <c r="B30" s="1121" t="s">
        <v>1207</v>
      </c>
      <c r="C30" s="1024"/>
      <c r="D30" s="1122"/>
      <c r="E30" s="1116"/>
      <c r="F30" s="1123">
        <f t="shared" ref="F30:K30" ca="1" si="13">F29+F28</f>
        <v>40083142</v>
      </c>
      <c r="G30" s="1123">
        <f t="shared" ca="1" si="13"/>
        <v>20366182</v>
      </c>
      <c r="H30" s="1123">
        <f t="shared" ca="1" si="13"/>
        <v>11533370</v>
      </c>
      <c r="I30" s="1123">
        <f t="shared" ca="1" si="13"/>
        <v>8033537</v>
      </c>
      <c r="J30" s="1123">
        <f t="shared" ca="1" si="13"/>
        <v>150054</v>
      </c>
      <c r="K30" s="1123">
        <f t="shared" ca="1" si="13"/>
        <v>40083143</v>
      </c>
      <c r="L30" s="1127">
        <f t="shared" ca="1" si="11"/>
        <v>-1</v>
      </c>
    </row>
    <row r="31" spans="1:12">
      <c r="A31" s="1112">
        <v>21</v>
      </c>
      <c r="B31" s="1128" t="s">
        <v>850</v>
      </c>
      <c r="C31" s="1114"/>
      <c r="D31" s="1122"/>
      <c r="E31" s="1116"/>
      <c r="F31" s="1127">
        <f t="shared" ref="F31:K31" si="14">F745</f>
        <v>36322784</v>
      </c>
      <c r="G31" s="1127">
        <f t="shared" si="14"/>
        <v>24976596</v>
      </c>
      <c r="H31" s="1127">
        <f t="shared" si="14"/>
        <v>8842940</v>
      </c>
      <c r="I31" s="1127">
        <f t="shared" si="14"/>
        <v>1922220</v>
      </c>
      <c r="J31" s="1127">
        <f t="shared" si="14"/>
        <v>581028</v>
      </c>
      <c r="K31" s="1127">
        <f t="shared" si="14"/>
        <v>36322784</v>
      </c>
      <c r="L31" s="1127">
        <f t="shared" si="11"/>
        <v>0</v>
      </c>
    </row>
    <row r="32" spans="1:12">
      <c r="A32" s="1112">
        <v>22</v>
      </c>
      <c r="B32" s="1129" t="s">
        <v>1208</v>
      </c>
      <c r="C32" s="1024"/>
      <c r="D32" s="1122"/>
      <c r="E32" s="1116"/>
      <c r="F32" s="1132">
        <f ca="1">F30-F31</f>
        <v>3760358</v>
      </c>
      <c r="G32" s="1132">
        <f t="shared" ref="G32:L32" ca="1" si="15">G30-G31</f>
        <v>-4610414</v>
      </c>
      <c r="H32" s="1132">
        <f t="shared" ca="1" si="15"/>
        <v>2690430</v>
      </c>
      <c r="I32" s="1132">
        <f t="shared" ca="1" si="15"/>
        <v>6111317</v>
      </c>
      <c r="J32" s="1132">
        <f t="shared" ca="1" si="15"/>
        <v>-430974</v>
      </c>
      <c r="K32" s="1132">
        <f t="shared" ca="1" si="15"/>
        <v>3760359</v>
      </c>
      <c r="L32" s="1132">
        <f t="shared" ca="1" si="15"/>
        <v>-1</v>
      </c>
    </row>
    <row r="33" spans="1:15">
      <c r="A33" s="1112">
        <v>23</v>
      </c>
      <c r="B33" s="1024"/>
      <c r="C33" s="1024"/>
      <c r="D33" s="1122"/>
      <c r="E33" s="1116"/>
      <c r="F33" s="1024"/>
      <c r="G33" s="1024"/>
      <c r="H33" s="1024"/>
      <c r="I33" s="1024"/>
      <c r="J33" s="1024"/>
      <c r="K33" s="1024"/>
      <c r="L33" s="1024"/>
    </row>
    <row r="34" spans="1:15">
      <c r="A34" s="1112">
        <v>24</v>
      </c>
      <c r="B34" s="1024" t="s">
        <v>104</v>
      </c>
      <c r="C34" s="1024"/>
      <c r="D34" s="1122"/>
      <c r="E34" s="1116"/>
      <c r="F34" s="1127">
        <f t="shared" ref="F34:K34" si="16">F654+F26</f>
        <v>-2298487</v>
      </c>
      <c r="G34" s="1127">
        <f t="shared" ca="1" si="16"/>
        <v>3802170</v>
      </c>
      <c r="H34" s="1127">
        <f t="shared" si="16"/>
        <v>-1872393</v>
      </c>
      <c r="I34" s="1127">
        <f t="shared" ca="1" si="16"/>
        <v>-4567759</v>
      </c>
      <c r="J34" s="1127">
        <f t="shared" si="16"/>
        <v>339502</v>
      </c>
      <c r="K34" s="1127">
        <f t="shared" ca="1" si="16"/>
        <v>-2298480</v>
      </c>
      <c r="L34" s="1127">
        <f ca="1">F34-K34</f>
        <v>-7</v>
      </c>
    </row>
    <row r="35" spans="1:15">
      <c r="A35" s="1112">
        <v>25</v>
      </c>
      <c r="B35" s="1024" t="s">
        <v>105</v>
      </c>
      <c r="C35" s="1024"/>
      <c r="D35" s="1122"/>
      <c r="E35" s="1116"/>
      <c r="F35" s="1137">
        <f t="shared" ref="F35:L35" si="17">IF(F331=0,0,ROUND(F34/F331,5))</f>
        <v>-0.34333999999999998</v>
      </c>
      <c r="G35" s="1137">
        <f t="shared" ca="1" si="17"/>
        <v>1.11781</v>
      </c>
      <c r="H35" s="1137">
        <f t="shared" si="17"/>
        <v>-0.97926000000000002</v>
      </c>
      <c r="I35" s="1137">
        <f t="shared" ca="1" si="17"/>
        <v>-3.63245</v>
      </c>
      <c r="J35" s="1137">
        <f t="shared" si="17"/>
        <v>2.7490000000000001</v>
      </c>
      <c r="K35" s="1137">
        <f t="shared" ca="1" si="17"/>
        <v>-0.34333999999999998</v>
      </c>
      <c r="L35" s="1137">
        <f t="shared" ca="1" si="17"/>
        <v>7</v>
      </c>
    </row>
    <row r="36" spans="1:15">
      <c r="A36" s="1112">
        <v>26</v>
      </c>
      <c r="B36" s="1024" t="s">
        <v>42</v>
      </c>
      <c r="C36" s="1024"/>
      <c r="D36" s="1122"/>
      <c r="E36" s="1116"/>
      <c r="F36" s="1137">
        <f t="shared" ref="F36:L36" si="18">$F$688</f>
        <v>7.1809999999999999E-2</v>
      </c>
      <c r="G36" s="1137">
        <f t="shared" si="18"/>
        <v>7.1809999999999999E-2</v>
      </c>
      <c r="H36" s="1137">
        <f t="shared" si="18"/>
        <v>7.1809999999999999E-2</v>
      </c>
      <c r="I36" s="1137">
        <f t="shared" si="18"/>
        <v>7.1809999999999999E-2</v>
      </c>
      <c r="J36" s="1137">
        <f t="shared" si="18"/>
        <v>7.1809999999999999E-2</v>
      </c>
      <c r="K36" s="1137">
        <f t="shared" si="18"/>
        <v>7.1809999999999999E-2</v>
      </c>
      <c r="L36" s="1137">
        <f t="shared" si="18"/>
        <v>7.1809999999999999E-2</v>
      </c>
      <c r="O36" s="659" t="s">
        <v>1210</v>
      </c>
    </row>
    <row r="37" spans="1:15">
      <c r="A37" s="1112">
        <v>27</v>
      </c>
      <c r="B37" s="1024" t="s">
        <v>106</v>
      </c>
      <c r="C37" s="1024"/>
      <c r="D37" s="1122"/>
      <c r="E37" s="1116"/>
      <c r="F37" s="1137">
        <f t="shared" ref="F37:K38" si="19">IF($F$670=0,0,(F35-$F$683-$F$684-$F$686)*$F$673/$F$670)</f>
        <v>-0.71894555118269987</v>
      </c>
      <c r="G37" s="1137">
        <f t="shared" ca="1" si="19"/>
        <v>2.1598905466813774</v>
      </c>
      <c r="H37" s="1137">
        <f t="shared" si="19"/>
        <v>-1.9718692423531643</v>
      </c>
      <c r="I37" s="1137">
        <f t="shared" ca="1" si="19"/>
        <v>-7.1993264825352075</v>
      </c>
      <c r="J37" s="1137">
        <f t="shared" si="19"/>
        <v>5.373748572534236</v>
      </c>
      <c r="K37" s="1137">
        <f t="shared" ca="1" si="19"/>
        <v>-0.71894555118269987</v>
      </c>
      <c r="L37" s="1137">
        <f ca="1">IF(F670=0,0,(L35-F683-F684-F686)*F673/F670)</f>
        <v>13.749296772253768</v>
      </c>
      <c r="O37" s="659" t="s">
        <v>1211</v>
      </c>
    </row>
    <row r="38" spans="1:15">
      <c r="A38" s="1112">
        <v>28</v>
      </c>
      <c r="B38" s="1024" t="s">
        <v>107</v>
      </c>
      <c r="C38" s="1024"/>
      <c r="D38" s="1122"/>
      <c r="E38" s="1116"/>
      <c r="F38" s="1137">
        <f t="shared" si="19"/>
        <v>9.9005245127242167E-2</v>
      </c>
      <c r="G38" s="1137">
        <f t="shared" si="19"/>
        <v>9.9005245127242167E-2</v>
      </c>
      <c r="H38" s="1137">
        <f t="shared" si="19"/>
        <v>9.9005245127242167E-2</v>
      </c>
      <c r="I38" s="1137">
        <f t="shared" si="19"/>
        <v>9.9005245127242167E-2</v>
      </c>
      <c r="J38" s="1137">
        <f t="shared" si="19"/>
        <v>9.9005245127242167E-2</v>
      </c>
      <c r="K38" s="1137">
        <f t="shared" si="19"/>
        <v>9.9005245127242167E-2</v>
      </c>
      <c r="L38" s="1137">
        <f>IF($F$670=0,0,(L36-$F$683-$F$684-$F$686)*$F$673/$F$670)</f>
        <v>9.9005245127242167E-2</v>
      </c>
    </row>
    <row r="39" spans="1:15">
      <c r="A39" s="1112">
        <v>29</v>
      </c>
      <c r="B39" s="1024"/>
      <c r="C39" s="1024"/>
      <c r="D39" s="1122"/>
      <c r="E39" s="1116"/>
      <c r="F39" s="1024" t="s">
        <v>343</v>
      </c>
      <c r="G39" s="1024"/>
      <c r="H39" s="1024"/>
      <c r="I39" s="1024"/>
      <c r="J39" s="1024"/>
      <c r="K39" s="1024"/>
      <c r="L39" s="1024"/>
    </row>
    <row r="40" spans="1:15">
      <c r="A40" s="1112">
        <v>30</v>
      </c>
      <c r="B40" s="1024" t="s">
        <v>108</v>
      </c>
      <c r="C40" s="1024"/>
      <c r="D40" s="1122"/>
      <c r="E40" s="1116"/>
      <c r="F40" s="1127">
        <f t="shared" ref="F40:K40" si="20">F744</f>
        <v>36322784</v>
      </c>
      <c r="G40" s="1127">
        <f t="shared" si="20"/>
        <v>24976596</v>
      </c>
      <c r="H40" s="1127">
        <f t="shared" si="20"/>
        <v>8842940</v>
      </c>
      <c r="I40" s="1127">
        <f t="shared" si="20"/>
        <v>1922220</v>
      </c>
      <c r="J40" s="1127">
        <f t="shared" si="20"/>
        <v>581028</v>
      </c>
      <c r="K40" s="1127">
        <f t="shared" si="20"/>
        <v>36322784</v>
      </c>
      <c r="L40" s="1127">
        <f>F40-K40</f>
        <v>0</v>
      </c>
    </row>
    <row r="41" spans="1:15">
      <c r="A41" s="1112">
        <v>31</v>
      </c>
      <c r="B41" s="1024" t="s">
        <v>109</v>
      </c>
      <c r="C41" s="1024"/>
      <c r="D41" s="1122"/>
      <c r="E41" s="1116"/>
      <c r="F41" s="1127">
        <f t="shared" ref="F41:L41" si="21">F28-F40</f>
        <v>3760358</v>
      </c>
      <c r="G41" s="1127">
        <f t="shared" ca="1" si="21"/>
        <v>-4710124</v>
      </c>
      <c r="H41" s="1127">
        <f t="shared" si="21"/>
        <v>2693578</v>
      </c>
      <c r="I41" s="1127">
        <f t="shared" ca="1" si="21"/>
        <v>6216622</v>
      </c>
      <c r="J41" s="1127">
        <f t="shared" si="21"/>
        <v>-439717</v>
      </c>
      <c r="K41" s="1127">
        <f t="shared" ca="1" si="21"/>
        <v>3760359</v>
      </c>
      <c r="L41" s="1127">
        <f t="shared" ca="1" si="21"/>
        <v>-1</v>
      </c>
    </row>
    <row r="42" spans="1:15">
      <c r="A42" s="1112">
        <v>32</v>
      </c>
      <c r="B42" s="1024"/>
      <c r="C42" s="1024" t="s">
        <v>283</v>
      </c>
      <c r="D42" s="1122"/>
      <c r="E42" s="1116"/>
      <c r="F42" s="1141">
        <f t="shared" ref="F42:L42" si="22">IF(F40=0,0,ROUND(F41/F40,5))</f>
        <v>0.10353</v>
      </c>
      <c r="G42" s="1141">
        <f t="shared" ca="1" si="22"/>
        <v>-0.18858</v>
      </c>
      <c r="H42" s="1141">
        <f t="shared" si="22"/>
        <v>0.30459999999999998</v>
      </c>
      <c r="I42" s="1141">
        <f t="shared" ca="1" si="22"/>
        <v>3.2340800000000001</v>
      </c>
      <c r="J42" s="1141">
        <f t="shared" si="22"/>
        <v>-0.75678999999999996</v>
      </c>
      <c r="K42" s="1141">
        <f t="shared" ca="1" si="22"/>
        <v>0.10353</v>
      </c>
      <c r="L42" s="1141">
        <f t="shared" si="22"/>
        <v>0</v>
      </c>
    </row>
    <row r="43" spans="1:15">
      <c r="A43" s="1112">
        <v>33</v>
      </c>
      <c r="B43" s="1024" t="s">
        <v>110</v>
      </c>
      <c r="C43" s="1024"/>
      <c r="D43" s="1122"/>
      <c r="E43" s="1116"/>
      <c r="F43" s="1127">
        <f t="shared" ref="F43:L43" si="23">F31-F40</f>
        <v>0</v>
      </c>
      <c r="G43" s="1127">
        <f t="shared" si="23"/>
        <v>0</v>
      </c>
      <c r="H43" s="1127">
        <f t="shared" si="23"/>
        <v>0</v>
      </c>
      <c r="I43" s="1127">
        <f t="shared" si="23"/>
        <v>0</v>
      </c>
      <c r="J43" s="1127">
        <f t="shared" si="23"/>
        <v>0</v>
      </c>
      <c r="K43" s="1127">
        <f t="shared" si="23"/>
        <v>0</v>
      </c>
      <c r="L43" s="1127">
        <f t="shared" si="23"/>
        <v>0</v>
      </c>
    </row>
    <row r="44" spans="1:15">
      <c r="A44" s="1112">
        <v>34</v>
      </c>
      <c r="B44" s="1024"/>
      <c r="C44" s="1024" t="s">
        <v>283</v>
      </c>
      <c r="D44" s="1122"/>
      <c r="E44" s="1116"/>
      <c r="F44" s="1141">
        <f t="shared" ref="F44:L44" si="24">IF(F40=0,0,ROUND(F43/F40,5))</f>
        <v>0</v>
      </c>
      <c r="G44" s="1141">
        <f t="shared" si="24"/>
        <v>0</v>
      </c>
      <c r="H44" s="1141">
        <f t="shared" si="24"/>
        <v>0</v>
      </c>
      <c r="I44" s="1141">
        <f t="shared" si="24"/>
        <v>0</v>
      </c>
      <c r="J44" s="1141">
        <f t="shared" si="24"/>
        <v>0</v>
      </c>
      <c r="K44" s="1141">
        <f t="shared" si="24"/>
        <v>0</v>
      </c>
      <c r="L44" s="1141">
        <f t="shared" si="24"/>
        <v>0</v>
      </c>
    </row>
    <row r="45" spans="1:15">
      <c r="A45" s="343"/>
      <c r="C45" s="196"/>
      <c r="D45" s="344"/>
      <c r="E45" s="196"/>
      <c r="G45" s="342"/>
      <c r="H45" s="342"/>
      <c r="I45" s="196"/>
      <c r="K45" s="361"/>
      <c r="L45" s="196"/>
    </row>
    <row r="46" spans="1:15">
      <c r="A46" s="343" t="str">
        <f>co_name</f>
        <v>DUKE ENERGY KENTUCKY, INC.</v>
      </c>
      <c r="C46" s="196"/>
      <c r="D46" s="344"/>
      <c r="E46" s="196"/>
      <c r="F46" s="344"/>
      <c r="G46" s="342"/>
      <c r="H46" s="342"/>
      <c r="I46" s="196"/>
      <c r="K46" s="361" t="str">
        <f>$K$1</f>
        <v>FR-16(7)(v)-3</v>
      </c>
      <c r="L46" s="196"/>
    </row>
    <row r="47" spans="1:15">
      <c r="A47" s="343" t="str">
        <f>$A$2</f>
        <v>PRODUCTION COMMODITY ALLOCATED - GAS COST OF SERVICE</v>
      </c>
      <c r="C47" s="196"/>
      <c r="D47" s="344"/>
      <c r="E47" s="196"/>
      <c r="F47" s="344"/>
      <c r="G47" s="342"/>
      <c r="H47" s="342"/>
      <c r="I47" s="196"/>
      <c r="K47" s="361" t="str">
        <f>$K$2</f>
        <v>WITNESS RESPONSIBLE:</v>
      </c>
      <c r="L47" s="196"/>
    </row>
    <row r="48" spans="1:15">
      <c r="A48" s="343" t="str">
        <f>case_name</f>
        <v>CASE NO: 2018-00261</v>
      </c>
      <c r="C48" s="196"/>
      <c r="D48" s="344"/>
      <c r="E48" s="196"/>
      <c r="F48" s="344"/>
      <c r="G48" s="342"/>
      <c r="H48" s="342"/>
      <c r="I48" s="196"/>
      <c r="K48" s="361" t="str">
        <f>Witness</f>
        <v>JAMES E. ZIOLKOWSKI</v>
      </c>
      <c r="L48" s="196"/>
    </row>
    <row r="49" spans="1:12">
      <c r="A49" s="343" t="str">
        <f>data_filing</f>
        <v>DATA: 12 MONTH FORECASTED PERIOD</v>
      </c>
      <c r="C49" s="196"/>
      <c r="D49" s="344"/>
      <c r="E49" s="196"/>
      <c r="F49" s="344"/>
      <c r="G49" s="342"/>
      <c r="H49" s="342"/>
      <c r="I49" s="196"/>
      <c r="K49" s="361" t="str">
        <f>"PAGE "&amp;Pages-16&amp;" OF "&amp;Pages</f>
        <v>PAGE 2 OF 18</v>
      </c>
      <c r="L49" s="196"/>
    </row>
    <row r="50" spans="1:12">
      <c r="A50" s="343" t="str">
        <f>type</f>
        <v xml:space="preserve">TYPE OF FILING: "X" ORIGINAL   UPDATED    REVISED  </v>
      </c>
      <c r="C50" s="196"/>
      <c r="D50" s="344"/>
      <c r="E50" s="196"/>
      <c r="F50" s="344"/>
      <c r="G50" s="342"/>
      <c r="H50" s="342"/>
      <c r="I50" s="196"/>
      <c r="J50" s="344"/>
      <c r="K50" s="196"/>
      <c r="L50" s="196"/>
    </row>
    <row r="51" spans="1:12">
      <c r="A51" s="343"/>
      <c r="C51" s="196"/>
      <c r="D51" s="344"/>
      <c r="E51" s="196"/>
      <c r="F51" s="344"/>
      <c r="G51" s="342"/>
      <c r="H51" s="342"/>
      <c r="I51" s="196"/>
      <c r="J51" s="344"/>
      <c r="K51" s="196"/>
      <c r="L51" s="196"/>
    </row>
    <row r="52" spans="1:12">
      <c r="A52" s="343"/>
      <c r="C52" s="196"/>
      <c r="D52" s="344"/>
      <c r="E52" s="196"/>
      <c r="F52" s="344" t="str">
        <f>$F$7</f>
        <v>TOTAL</v>
      </c>
      <c r="G52" s="342"/>
      <c r="H52" s="342"/>
      <c r="I52" s="196"/>
      <c r="J52" s="344"/>
      <c r="K52" s="196"/>
      <c r="L52" s="196"/>
    </row>
    <row r="53" spans="1:12">
      <c r="A53" s="344" t="s">
        <v>914</v>
      </c>
      <c r="B53" s="196"/>
      <c r="C53" s="196"/>
      <c r="D53" s="344"/>
      <c r="E53" s="196"/>
      <c r="F53" s="344" t="str">
        <f>$F$8</f>
        <v>PRODUCTION</v>
      </c>
      <c r="G53" s="354" t="s">
        <v>866</v>
      </c>
      <c r="H53" s="354" t="s">
        <v>864</v>
      </c>
      <c r="I53" s="344" t="s">
        <v>865</v>
      </c>
      <c r="J53" s="344" t="s">
        <v>549</v>
      </c>
      <c r="K53" s="344" t="s">
        <v>229</v>
      </c>
      <c r="L53" s="344" t="s">
        <v>342</v>
      </c>
    </row>
    <row r="54" spans="1:12">
      <c r="A54" s="346" t="s">
        <v>915</v>
      </c>
      <c r="B54" s="345" t="s">
        <v>95</v>
      </c>
      <c r="C54" s="345"/>
      <c r="D54" s="346" t="s">
        <v>337</v>
      </c>
      <c r="E54" s="345"/>
      <c r="F54" s="344" t="str">
        <f>$F$9</f>
        <v>COMMODITY</v>
      </c>
      <c r="G54" s="355" t="s">
        <v>338</v>
      </c>
      <c r="H54" s="355" t="s">
        <v>405</v>
      </c>
      <c r="I54" s="346" t="s">
        <v>405</v>
      </c>
      <c r="J54" s="346" t="s">
        <v>550</v>
      </c>
      <c r="K54" s="346" t="s">
        <v>341</v>
      </c>
      <c r="L54" s="346" t="s">
        <v>340</v>
      </c>
    </row>
    <row r="55" spans="1:12">
      <c r="C55" s="578" t="s">
        <v>344</v>
      </c>
      <c r="D55" s="344"/>
      <c r="E55" s="196"/>
      <c r="F55" s="761"/>
      <c r="G55" s="633">
        <f>$G$10</f>
        <v>3</v>
      </c>
      <c r="H55" s="633">
        <f>$H$10</f>
        <v>4</v>
      </c>
      <c r="I55" s="633">
        <f>$I$10</f>
        <v>5</v>
      </c>
      <c r="J55" s="633">
        <f>$J$10</f>
        <v>6</v>
      </c>
      <c r="L55" s="332" t="s">
        <v>343</v>
      </c>
    </row>
    <row r="56" spans="1:12">
      <c r="A56" s="333">
        <v>1</v>
      </c>
      <c r="B56" s="332" t="s">
        <v>14</v>
      </c>
      <c r="E56" s="196"/>
      <c r="G56" s="353"/>
      <c r="H56" s="353"/>
      <c r="I56" s="332"/>
    </row>
    <row r="57" spans="1:12">
      <c r="A57" s="333">
        <v>2</v>
      </c>
      <c r="C57" s="365" t="str">
        <f>'FR-16(7)(v)-1 Functional'!C57</f>
        <v>PRODUCTION PLANT</v>
      </c>
      <c r="D57" s="344" t="str">
        <f>'FR-16(7)(v)-1 Functional'!D57</f>
        <v>K205</v>
      </c>
      <c r="E57" s="196"/>
      <c r="F57" s="479">
        <f>'FR-16(7)(v)-2 PROD Classified'!H57</f>
        <v>2799608</v>
      </c>
      <c r="G57" s="349">
        <f>F57-SUM(H57:J57)</f>
        <v>1633207</v>
      </c>
      <c r="H57" s="349">
        <f>ROUND($F$57*VLOOKUP($D$57,ALLOCTABLE_Prod_Commodity,$H$10,FALSE),0)</f>
        <v>853321</v>
      </c>
      <c r="I57" s="347">
        <f>ROUND(F57*VLOOKUP(D57,ALLOCTABLE_Prod_Commodity,$I$10,FALSE),0)</f>
        <v>313080</v>
      </c>
      <c r="J57" s="347">
        <f>ROUND(F57*VLOOKUP(D57,ALLOCTABLE_Prod_Commodity,$J$10,FALSE),0)</f>
        <v>0</v>
      </c>
      <c r="K57" s="347">
        <f>SUM($G$57:$J$57)</f>
        <v>2799608</v>
      </c>
      <c r="L57" s="347">
        <f>F57-$K$57</f>
        <v>0</v>
      </c>
    </row>
    <row r="58" spans="1:12">
      <c r="A58" s="333">
        <v>3</v>
      </c>
      <c r="C58" s="359" t="str">
        <f>'FR-16(7)(v)-1 Functional'!C58</f>
        <v>GAS PRODUCTION -CPMPL NOT CLASS</v>
      </c>
      <c r="D58" s="344" t="str">
        <f>'FR-16(7)(v)-1 Functional'!D58</f>
        <v>K205</v>
      </c>
      <c r="E58" s="196"/>
      <c r="F58" s="479">
        <f>'FR-16(7)(v)-2 PROD Classified'!H58</f>
        <v>0</v>
      </c>
      <c r="G58" s="349">
        <f>F58-SUM(H58:J58)</f>
        <v>0</v>
      </c>
      <c r="H58" s="349">
        <f>ROUND($F$58*VLOOKUP($D$58,ALLOCTABLE_Prod_Commodity,$H$10,FALSE),0)</f>
        <v>0</v>
      </c>
      <c r="I58" s="347">
        <f>ROUND(F58*VLOOKUP(D58,ALLOCTABLE_Prod_Commodity,$I$10,FALSE),0)</f>
        <v>0</v>
      </c>
      <c r="J58" s="347">
        <f>ROUND(F58*VLOOKUP(D58,ALLOCTABLE_Prod_Commodity,$J$10,FALSE),0)</f>
        <v>0</v>
      </c>
      <c r="K58" s="347">
        <f>SUM($G$58:$J$58)</f>
        <v>0</v>
      </c>
      <c r="L58" s="347">
        <f>F58-$K$58</f>
        <v>0</v>
      </c>
    </row>
    <row r="59" spans="1:12">
      <c r="A59" s="333">
        <v>4</v>
      </c>
      <c r="C59" s="332" t="str">
        <f>'FR-16(7)(v)-1 Functional'!C59</f>
        <v xml:space="preserve">  PRODUCTION PLANT IN SERVICE</v>
      </c>
      <c r="D59" s="344"/>
      <c r="E59" s="196"/>
      <c r="F59" s="348">
        <f>SUM(F57:F58)</f>
        <v>2799608</v>
      </c>
      <c r="G59" s="348">
        <f>SUM($G$57:$G$58)</f>
        <v>1633207</v>
      </c>
      <c r="H59" s="348">
        <f>SUM($H$57:$H$58)</f>
        <v>853321</v>
      </c>
      <c r="I59" s="348">
        <f>SUM($I$57:$I$58)</f>
        <v>313080</v>
      </c>
      <c r="J59" s="348">
        <f>SUM($J$57:$J$58)</f>
        <v>0</v>
      </c>
      <c r="K59" s="348">
        <f>SUM($K$57:$K$58)</f>
        <v>2799608</v>
      </c>
      <c r="L59" s="348">
        <f>SUM($L$57:$L$58)</f>
        <v>0</v>
      </c>
    </row>
    <row r="60" spans="1:12">
      <c r="A60" s="333">
        <v>5</v>
      </c>
      <c r="D60" s="344"/>
      <c r="E60" s="196"/>
      <c r="G60" s="353"/>
      <c r="H60" s="353"/>
      <c r="I60" s="332"/>
    </row>
    <row r="61" spans="1:12">
      <c r="A61" s="333">
        <v>6</v>
      </c>
      <c r="B61" s="332" t="s">
        <v>15</v>
      </c>
      <c r="D61" s="344"/>
      <c r="E61" s="196"/>
      <c r="G61" s="353"/>
      <c r="H61" s="353"/>
      <c r="I61" s="332"/>
    </row>
    <row r="62" spans="1:12">
      <c r="A62" s="333">
        <v>7</v>
      </c>
      <c r="C62" s="359" t="str">
        <f>'FR-16(7)(v)-1 Functional'!C62</f>
        <v>TRANSMISSION PLANT</v>
      </c>
      <c r="D62" s="344" t="s">
        <v>343</v>
      </c>
      <c r="E62" s="196"/>
      <c r="F62" s="477"/>
      <c r="G62" s="349"/>
      <c r="H62" s="349"/>
      <c r="I62" s="347"/>
      <c r="J62" s="347"/>
      <c r="K62" s="347"/>
      <c r="L62" s="347"/>
    </row>
    <row r="63" spans="1:12">
      <c r="A63" s="333">
        <v>8</v>
      </c>
      <c r="C63" s="332" t="str">
        <f>'FR-16(7)(v)-1 Functional'!C63</f>
        <v xml:space="preserve">  TRANSMISSION PLANT IN SERVICE</v>
      </c>
      <c r="D63" s="344"/>
      <c r="E63" s="196"/>
      <c r="F63" s="348">
        <f>SUM(F62)</f>
        <v>0</v>
      </c>
      <c r="G63" s="348">
        <f>SUM($G$62)</f>
        <v>0</v>
      </c>
      <c r="H63" s="348">
        <f>SUM($H$62)</f>
        <v>0</v>
      </c>
      <c r="I63" s="348">
        <f>SUM($I$62)</f>
        <v>0</v>
      </c>
      <c r="J63" s="348">
        <f>SUM($J$62)</f>
        <v>0</v>
      </c>
      <c r="K63" s="348">
        <f>SUM($K$62)</f>
        <v>0</v>
      </c>
      <c r="L63" s="348">
        <f>SUM($L$62)</f>
        <v>0</v>
      </c>
    </row>
    <row r="64" spans="1:12">
      <c r="A64" s="333">
        <v>9</v>
      </c>
      <c r="D64" s="344"/>
      <c r="E64" s="196"/>
      <c r="G64" s="353"/>
      <c r="H64" s="353"/>
      <c r="I64" s="332"/>
    </row>
    <row r="65" spans="1:12">
      <c r="A65" s="333">
        <v>10</v>
      </c>
      <c r="B65" s="332" t="s">
        <v>16</v>
      </c>
      <c r="D65" s="344"/>
      <c r="E65" s="196"/>
      <c r="F65" s="347">
        <f>F63+F59</f>
        <v>2799608</v>
      </c>
      <c r="G65" s="349">
        <f>$G$63+$G$59</f>
        <v>1633207</v>
      </c>
      <c r="H65" s="349">
        <f>$H$63+$H$59</f>
        <v>853321</v>
      </c>
      <c r="I65" s="347">
        <f>$I$63+$I$59</f>
        <v>313080</v>
      </c>
      <c r="J65" s="347">
        <f>$J$63+$J$59</f>
        <v>0</v>
      </c>
      <c r="K65" s="347">
        <f>$K$63+$K$59</f>
        <v>2799608</v>
      </c>
      <c r="L65" s="347">
        <f>$L$63+$L$59</f>
        <v>0</v>
      </c>
    </row>
    <row r="66" spans="1:12">
      <c r="A66" s="333">
        <v>11</v>
      </c>
      <c r="D66" s="344"/>
      <c r="E66" s="196"/>
      <c r="G66" s="353"/>
      <c r="H66" s="353"/>
      <c r="I66" s="332"/>
    </row>
    <row r="67" spans="1:12">
      <c r="A67" s="333">
        <v>12</v>
      </c>
      <c r="B67" s="332" t="s">
        <v>17</v>
      </c>
      <c r="D67" s="344"/>
      <c r="E67" s="196"/>
      <c r="G67" s="353"/>
      <c r="H67" s="353"/>
      <c r="I67" s="332"/>
    </row>
    <row r="68" spans="1:12">
      <c r="A68" s="333">
        <v>13</v>
      </c>
      <c r="C68" s="332" t="str">
        <f>'FR-16(7)(v)-1 Functional'!C68</f>
        <v>SYSTEM M&amp;R - (2780, 2781)</v>
      </c>
      <c r="D68" s="344" t="str">
        <f>'FR-16(7)(v)-1 Functional'!D68</f>
        <v>K203</v>
      </c>
      <c r="E68" s="196"/>
      <c r="F68" s="479">
        <f>'FR-16(7)(v)-2 PROD Classified'!H68</f>
        <v>0</v>
      </c>
      <c r="G68" s="349">
        <f t="shared" ref="G68:G77" si="25">F68-SUM(H68:J68)</f>
        <v>0</v>
      </c>
      <c r="H68" s="349">
        <f>ROUND($F$68*VLOOKUP($D$68,ALLOCTABLE_Prod_Commodity,$H$10,FALSE),0)</f>
        <v>0</v>
      </c>
      <c r="I68" s="347">
        <f t="shared" ref="I68:I77" si="26">ROUND(F68*VLOOKUP(D68,ALLOCTABLE_Prod_Commodity,$I$10,FALSE),0)</f>
        <v>0</v>
      </c>
      <c r="J68" s="347">
        <f t="shared" ref="J68:J77" si="27">ROUND(F68*VLOOKUP(D68,ALLOCTABLE_Prod_Commodity,$J$10,FALSE),0)</f>
        <v>0</v>
      </c>
      <c r="K68" s="347">
        <f t="shared" ref="K68:K77" si="28">SUM(G68:J68)</f>
        <v>0</v>
      </c>
      <c r="L68" s="347">
        <f t="shared" ref="L68:L77" si="29">F68-K68</f>
        <v>0</v>
      </c>
    </row>
    <row r="69" spans="1:12">
      <c r="A69" s="333">
        <v>14</v>
      </c>
      <c r="C69" s="332" t="str">
        <f>'FR-16(7)(v)-1 Functional'!C69</f>
        <v xml:space="preserve">DIST REG EQUIP &amp; CITY GATE M&amp;R- (2782, 2790) </v>
      </c>
      <c r="D69" s="344" t="str">
        <f>'FR-16(7)(v)-1 Functional'!D69</f>
        <v>K203</v>
      </c>
      <c r="E69" s="196"/>
      <c r="F69" s="479">
        <f>'FR-16(7)(v)-2 PROD Classified'!H69</f>
        <v>0</v>
      </c>
      <c r="G69" s="349">
        <f t="shared" si="25"/>
        <v>0</v>
      </c>
      <c r="H69" s="349">
        <f>ROUND($F$69*VLOOKUP($D$69,ALLOCTABLE_Prod_Commodity,$H$10,FALSE),0)</f>
        <v>0</v>
      </c>
      <c r="I69" s="347">
        <f t="shared" si="26"/>
        <v>0</v>
      </c>
      <c r="J69" s="347">
        <f t="shared" si="27"/>
        <v>0</v>
      </c>
      <c r="K69" s="347">
        <f t="shared" si="28"/>
        <v>0</v>
      </c>
      <c r="L69" s="347">
        <f t="shared" si="29"/>
        <v>0</v>
      </c>
    </row>
    <row r="70" spans="1:12">
      <c r="A70" s="333">
        <v>15</v>
      </c>
      <c r="C70" s="332" t="str">
        <f>'FR-16(7)(v)-1 Functional'!C70</f>
        <v>LARGE IND M&amp;R - (2850, 2851)</v>
      </c>
      <c r="D70" s="344" t="str">
        <f>'FR-16(7)(v)-1 Functional'!D70</f>
        <v>K595</v>
      </c>
      <c r="E70" s="196"/>
      <c r="F70" s="479">
        <f>'FR-16(7)(v)-2 PROD Classified'!H70</f>
        <v>0</v>
      </c>
      <c r="G70" s="349">
        <f t="shared" si="25"/>
        <v>0</v>
      </c>
      <c r="H70" s="349">
        <f>ROUND($F$70*VLOOKUP($D$70,ALLOCTABLE_Prod_Commodity,$H$10,FALSE),0)</f>
        <v>0</v>
      </c>
      <c r="I70" s="347">
        <f t="shared" si="26"/>
        <v>0</v>
      </c>
      <c r="J70" s="347">
        <f t="shared" si="27"/>
        <v>0</v>
      </c>
      <c r="K70" s="347">
        <f t="shared" si="28"/>
        <v>0</v>
      </c>
      <c r="L70" s="347">
        <f t="shared" si="29"/>
        <v>0</v>
      </c>
    </row>
    <row r="71" spans="1:12">
      <c r="A71" s="333">
        <v>16</v>
      </c>
      <c r="C71" s="332" t="str">
        <f>'FR-16(7)(v)-1 Functional'!C71</f>
        <v>MAINS - (2761, 2762, 2763, 2765)</v>
      </c>
      <c r="D71" s="344" t="str">
        <f>'FR-16(7)(v)-1 Functional'!D71</f>
        <v>K415</v>
      </c>
      <c r="E71" s="196"/>
      <c r="F71" s="479">
        <f>'FR-16(7)(v)-2 PROD Classified'!H71</f>
        <v>0</v>
      </c>
      <c r="G71" s="349">
        <f t="shared" si="25"/>
        <v>0</v>
      </c>
      <c r="H71" s="349">
        <f>ROUND($F$71*VLOOKUP($D$71,ALLOCTABLE_Prod_Commodity,$H$10,FALSE),0)</f>
        <v>0</v>
      </c>
      <c r="I71" s="347">
        <f t="shared" si="26"/>
        <v>0</v>
      </c>
      <c r="J71" s="347">
        <f t="shared" si="27"/>
        <v>0</v>
      </c>
      <c r="K71" s="347">
        <f t="shared" si="28"/>
        <v>0</v>
      </c>
      <c r="L71" s="347">
        <f t="shared" si="29"/>
        <v>0</v>
      </c>
    </row>
    <row r="72" spans="1:12">
      <c r="A72" s="333">
        <v>17</v>
      </c>
      <c r="C72" s="332" t="str">
        <f>'FR-16(7)(v)-1 Functional'!C72</f>
        <v>SERVICES - (2801, 2802, 2803)</v>
      </c>
      <c r="D72" s="344" t="str">
        <f>'FR-16(7)(v)-1 Functional'!D72</f>
        <v>K403</v>
      </c>
      <c r="E72" s="196"/>
      <c r="F72" s="479">
        <f>'FR-16(7)(v)-2 PROD Classified'!H72</f>
        <v>0</v>
      </c>
      <c r="G72" s="349">
        <f t="shared" si="25"/>
        <v>0</v>
      </c>
      <c r="H72" s="349">
        <f>ROUND($F$72*VLOOKUP($D$72,ALLOCTABLE_Prod_Commodity,$H$10,FALSE),0)</f>
        <v>0</v>
      </c>
      <c r="I72" s="347">
        <f t="shared" si="26"/>
        <v>0</v>
      </c>
      <c r="J72" s="347">
        <f t="shared" si="27"/>
        <v>0</v>
      </c>
      <c r="K72" s="347">
        <f t="shared" si="28"/>
        <v>0</v>
      </c>
      <c r="L72" s="347">
        <f t="shared" si="29"/>
        <v>0</v>
      </c>
    </row>
    <row r="73" spans="1:12">
      <c r="A73" s="333">
        <v>18</v>
      </c>
      <c r="C73" s="332" t="str">
        <f>'FR-16(7)(v)-1 Functional'!C73</f>
        <v>MTRS &amp; MTR INST (2810, 2811, 2820, 2821)</v>
      </c>
      <c r="D73" s="344" t="str">
        <f>'FR-16(7)(v)-1 Functional'!D73</f>
        <v>K413</v>
      </c>
      <c r="E73" s="196"/>
      <c r="F73" s="479">
        <f>'FR-16(7)(v)-2 PROD Classified'!H73</f>
        <v>0</v>
      </c>
      <c r="G73" s="349">
        <f t="shared" si="25"/>
        <v>0</v>
      </c>
      <c r="H73" s="349">
        <f>ROUND($F$73*VLOOKUP($D$73,ALLOCTABLE_Prod_Commodity,$H$10,FALSE),0)</f>
        <v>0</v>
      </c>
      <c r="I73" s="347">
        <f t="shared" si="26"/>
        <v>0</v>
      </c>
      <c r="J73" s="347">
        <f t="shared" si="27"/>
        <v>0</v>
      </c>
      <c r="K73" s="347">
        <f t="shared" si="28"/>
        <v>0</v>
      </c>
      <c r="L73" s="347">
        <f t="shared" si="29"/>
        <v>0</v>
      </c>
    </row>
    <row r="74" spans="1:12">
      <c r="A74" s="333">
        <v>19</v>
      </c>
      <c r="C74" s="332" t="str">
        <f>'FR-16(7)(v)-1 Functional'!C74</f>
        <v>LAND, R OF W, STRUCT &amp; IMPROV</v>
      </c>
      <c r="D74" s="344" t="str">
        <f>'FR-16(7)(v)-1 Functional'!D74</f>
        <v>K203</v>
      </c>
      <c r="E74" s="196"/>
      <c r="F74" s="479">
        <f>'FR-16(7)(v)-2 PROD Classified'!H74</f>
        <v>0</v>
      </c>
      <c r="G74" s="349">
        <f t="shared" si="25"/>
        <v>0</v>
      </c>
      <c r="H74" s="349">
        <f>ROUND($F$74*VLOOKUP($D$74,ALLOCTABLE_Prod_Commodity,$H$10,FALSE),0)</f>
        <v>0</v>
      </c>
      <c r="I74" s="347">
        <f t="shared" si="26"/>
        <v>0</v>
      </c>
      <c r="J74" s="347">
        <f t="shared" si="27"/>
        <v>0</v>
      </c>
      <c r="K74" s="347">
        <f t="shared" si="28"/>
        <v>0</v>
      </c>
      <c r="L74" s="347">
        <f t="shared" si="29"/>
        <v>0</v>
      </c>
    </row>
    <row r="75" spans="1:12">
      <c r="A75" s="333">
        <v>20</v>
      </c>
      <c r="C75" s="332" t="str">
        <f>'FR-16(7)(v)-1 Functional'!C75</f>
        <v>HOUSE REG &amp; INSTALL (2830, 2840)</v>
      </c>
      <c r="D75" s="344" t="str">
        <f>'FR-16(7)(v)-1 Functional'!D75</f>
        <v>K417</v>
      </c>
      <c r="E75" s="196"/>
      <c r="F75" s="479">
        <f>'FR-16(7)(v)-2 PROD Classified'!H75</f>
        <v>0</v>
      </c>
      <c r="G75" s="349">
        <f t="shared" si="25"/>
        <v>0</v>
      </c>
      <c r="H75" s="349">
        <f>ROUND($F$75*VLOOKUP($D$75,ALLOCTABLE_Prod_Commodity,$H$10,FALSE),0)</f>
        <v>0</v>
      </c>
      <c r="I75" s="347">
        <f t="shared" si="26"/>
        <v>0</v>
      </c>
      <c r="J75" s="347">
        <f t="shared" si="27"/>
        <v>0</v>
      </c>
      <c r="K75" s="347">
        <f t="shared" si="28"/>
        <v>0</v>
      </c>
      <c r="L75" s="347">
        <f t="shared" si="29"/>
        <v>0</v>
      </c>
    </row>
    <row r="76" spans="1:12">
      <c r="A76" s="333">
        <v>21</v>
      </c>
      <c r="C76" s="365" t="str">
        <f>'FR-16(7)(v)-1 Functional'!C76</f>
        <v>STREET LIGHTING EQUIPMENT &amp; OTH</v>
      </c>
      <c r="D76" s="344" t="str">
        <f>'FR-16(7)(v)-1 Functional'!D76</f>
        <v>K597</v>
      </c>
      <c r="E76" s="196"/>
      <c r="F76" s="479">
        <f>'FR-16(7)(v)-2 PROD Classified'!H76</f>
        <v>0</v>
      </c>
      <c r="G76" s="349">
        <f t="shared" si="25"/>
        <v>0</v>
      </c>
      <c r="H76" s="349">
        <f>ROUND($F$76*VLOOKUP($D$76,ALLOCTABLE_Prod_Commodity,$H$10,FALSE),0)</f>
        <v>0</v>
      </c>
      <c r="I76" s="347">
        <f t="shared" si="26"/>
        <v>0</v>
      </c>
      <c r="J76" s="347">
        <f t="shared" si="27"/>
        <v>0</v>
      </c>
      <c r="K76" s="347">
        <f t="shared" si="28"/>
        <v>0</v>
      </c>
      <c r="L76" s="347">
        <f t="shared" si="29"/>
        <v>0</v>
      </c>
    </row>
    <row r="77" spans="1:12">
      <c r="A77" s="333">
        <v>22</v>
      </c>
      <c r="C77" s="332" t="str">
        <f>'FR-16(7)(v)-1 Functional'!C77</f>
        <v>ASSET RETIREMENT COST FOR DISTRIBUTION PLANT</v>
      </c>
      <c r="D77" s="344" t="str">
        <f>'FR-16(7)(v)-1 Functional'!D77</f>
        <v>K203</v>
      </c>
      <c r="E77" s="196"/>
      <c r="F77" s="479">
        <f>'FR-16(7)(v)-2 PROD Classified'!H77</f>
        <v>0</v>
      </c>
      <c r="G77" s="349">
        <f t="shared" si="25"/>
        <v>0</v>
      </c>
      <c r="H77" s="349">
        <f>ROUND($F$77*VLOOKUP($D$77,ALLOCTABLE_Prod_Commodity,$H$10,FALSE),0)</f>
        <v>0</v>
      </c>
      <c r="I77" s="347">
        <f t="shared" si="26"/>
        <v>0</v>
      </c>
      <c r="J77" s="347">
        <f t="shared" si="27"/>
        <v>0</v>
      </c>
      <c r="K77" s="347">
        <f t="shared" si="28"/>
        <v>0</v>
      </c>
      <c r="L77" s="347">
        <f t="shared" si="29"/>
        <v>0</v>
      </c>
    </row>
    <row r="78" spans="1:12">
      <c r="A78" s="333">
        <v>23</v>
      </c>
      <c r="C78" s="339" t="str">
        <f>'FR-16(7)(v)-1 Functional'!C78</f>
        <v xml:space="preserve">  DISTRIBUTION PLANT IN SERVICE</v>
      </c>
      <c r="D78" s="344"/>
      <c r="E78" s="196"/>
      <c r="F78" s="348">
        <f t="shared" ref="F78:L78" si="30">SUM(F68:F77)</f>
        <v>0</v>
      </c>
      <c r="G78" s="348">
        <f>SUM(G68:G77)</f>
        <v>0</v>
      </c>
      <c r="H78" s="348">
        <f t="shared" si="30"/>
        <v>0</v>
      </c>
      <c r="I78" s="348">
        <f t="shared" si="30"/>
        <v>0</v>
      </c>
      <c r="J78" s="348">
        <f t="shared" si="30"/>
        <v>0</v>
      </c>
      <c r="K78" s="348">
        <f t="shared" si="30"/>
        <v>0</v>
      </c>
      <c r="L78" s="348">
        <f t="shared" si="30"/>
        <v>0</v>
      </c>
    </row>
    <row r="79" spans="1:12">
      <c r="A79" s="333">
        <v>24</v>
      </c>
      <c r="D79" s="344"/>
      <c r="E79" s="196"/>
      <c r="G79" s="353"/>
      <c r="H79" s="353"/>
      <c r="I79" s="332"/>
    </row>
    <row r="80" spans="1:12">
      <c r="A80" s="333">
        <v>25</v>
      </c>
      <c r="B80" s="332" t="s">
        <v>18</v>
      </c>
      <c r="D80" s="344"/>
      <c r="E80" s="196"/>
      <c r="F80" s="347">
        <f>F78+F63</f>
        <v>0</v>
      </c>
      <c r="G80" s="349">
        <f>G78+$G$63</f>
        <v>0</v>
      </c>
      <c r="H80" s="349">
        <f>H78+$H$63</f>
        <v>0</v>
      </c>
      <c r="I80" s="347">
        <f>I78+$I$63</f>
        <v>0</v>
      </c>
      <c r="J80" s="347">
        <f>J78+$J$63</f>
        <v>0</v>
      </c>
      <c r="K80" s="347">
        <f>K78+$K$63</f>
        <v>0</v>
      </c>
      <c r="L80" s="347">
        <f>L78+$L$63</f>
        <v>0</v>
      </c>
    </row>
    <row r="81" spans="1:12">
      <c r="A81" s="333">
        <v>26</v>
      </c>
      <c r="B81" s="332" t="s">
        <v>19</v>
      </c>
      <c r="D81" s="344"/>
      <c r="E81" s="196"/>
      <c r="F81" s="347">
        <f t="shared" ref="F81:L81" si="31">F78+F65</f>
        <v>2799608</v>
      </c>
      <c r="G81" s="349">
        <f>G78+G65</f>
        <v>1633207</v>
      </c>
      <c r="H81" s="349">
        <f t="shared" si="31"/>
        <v>853321</v>
      </c>
      <c r="I81" s="347">
        <f t="shared" si="31"/>
        <v>313080</v>
      </c>
      <c r="J81" s="347">
        <f t="shared" si="31"/>
        <v>0</v>
      </c>
      <c r="K81" s="347">
        <f t="shared" si="31"/>
        <v>2799608</v>
      </c>
      <c r="L81" s="347">
        <f t="shared" si="31"/>
        <v>0</v>
      </c>
    </row>
    <row r="82" spans="1:12">
      <c r="A82" s="333">
        <v>27</v>
      </c>
      <c r="D82" s="344"/>
      <c r="E82" s="196"/>
      <c r="G82" s="353"/>
      <c r="H82" s="353"/>
      <c r="I82" s="332"/>
    </row>
    <row r="83" spans="1:12">
      <c r="A83" s="333">
        <v>28</v>
      </c>
      <c r="B83" s="332" t="s">
        <v>20</v>
      </c>
      <c r="D83" s="344"/>
      <c r="E83" s="196"/>
      <c r="G83" s="353"/>
      <c r="H83" s="353"/>
      <c r="I83" s="332"/>
    </row>
    <row r="84" spans="1:12">
      <c r="A84" s="333">
        <v>29</v>
      </c>
      <c r="C84" s="332" t="str">
        <f>'FR-16(7)(v)-1 Functional'!C84</f>
        <v>PRODUCTION PLANT</v>
      </c>
      <c r="D84" s="344" t="str">
        <f>'FR-16(7)(v)-1 Functional'!D84</f>
        <v>K201</v>
      </c>
      <c r="E84" s="196"/>
      <c r="F84" s="479">
        <f>'FR-16(7)(v)-2 PROD Classified'!H84</f>
        <v>1418707</v>
      </c>
      <c r="G84" s="349">
        <f t="shared" ref="G84:G89" si="32">F84-SUM(H84:J84)</f>
        <v>719100</v>
      </c>
      <c r="H84" s="349">
        <f>ROUND($F$84*VLOOKUP($D$84,ALLOCTABLE_Prod_Commodity,$H$10,FALSE),0)</f>
        <v>409609</v>
      </c>
      <c r="I84" s="347">
        <f t="shared" ref="I84:I89" si="33">ROUND(F84*VLOOKUP(D84,ALLOCTABLE_Prod_Commodity,$I$10,FALSE),0)</f>
        <v>289998</v>
      </c>
      <c r="J84" s="347">
        <f t="shared" ref="J84:J89" si="34">ROUND(F84*VLOOKUP(D84,ALLOCTABLE_Prod_Commodity,$J$10,FALSE),0)</f>
        <v>0</v>
      </c>
      <c r="K84" s="347">
        <f t="shared" ref="K84:K89" si="35">SUM(G84:J84)</f>
        <v>1418707</v>
      </c>
      <c r="L84" s="347">
        <f t="shared" ref="L84:L89" si="36">F84-K84</f>
        <v>0</v>
      </c>
    </row>
    <row r="85" spans="1:12">
      <c r="A85" s="333">
        <v>30</v>
      </c>
      <c r="C85" s="332" t="str">
        <f>'FR-16(7)(v)-1 Functional'!C85</f>
        <v>PRODUCTION PLANT COMMODITY</v>
      </c>
      <c r="D85" s="344" t="str">
        <f>'FR-16(7)(v)-1 Functional'!D85</f>
        <v>P349</v>
      </c>
      <c r="E85" s="196"/>
      <c r="F85" s="479">
        <f>'FR-16(7)(v)-2 PROD Classified'!H85</f>
        <v>1109764</v>
      </c>
      <c r="G85" s="349">
        <f t="shared" si="32"/>
        <v>560619</v>
      </c>
      <c r="H85" s="349">
        <f>ROUND($F$85*VLOOKUP($D$85,ALLOCTABLE_Prod_Commodity,$H$10,FALSE),0)</f>
        <v>319335</v>
      </c>
      <c r="I85" s="347">
        <f t="shared" si="33"/>
        <v>226092</v>
      </c>
      <c r="J85" s="347">
        <f t="shared" si="34"/>
        <v>3718</v>
      </c>
      <c r="K85" s="347">
        <f t="shared" si="35"/>
        <v>1109764</v>
      </c>
      <c r="L85" s="347">
        <f t="shared" si="36"/>
        <v>0</v>
      </c>
    </row>
    <row r="86" spans="1:12">
      <c r="A86" s="333">
        <v>31</v>
      </c>
      <c r="C86" s="332" t="str">
        <f>'FR-16(7)(v)-1 Functional'!C86</f>
        <v>DISTRIBUTION PLANT</v>
      </c>
      <c r="D86" s="344" t="str">
        <f>'FR-16(7)(v)-1 Functional'!D86</f>
        <v>D349</v>
      </c>
      <c r="E86" s="196"/>
      <c r="F86" s="479">
        <f>'FR-16(7)(v)-2 PROD Classified'!H86</f>
        <v>0</v>
      </c>
      <c r="G86" s="349">
        <f t="shared" si="32"/>
        <v>0</v>
      </c>
      <c r="H86" s="349">
        <f>ROUND($F$86*VLOOKUP($D$86,ALLOCTABLE_Prod_Commodity,$H$10,FALSE),0)</f>
        <v>0</v>
      </c>
      <c r="I86" s="347">
        <f t="shared" si="33"/>
        <v>0</v>
      </c>
      <c r="J86" s="347">
        <f t="shared" si="34"/>
        <v>0</v>
      </c>
      <c r="K86" s="347">
        <f t="shared" si="35"/>
        <v>0</v>
      </c>
      <c r="L86" s="347">
        <f t="shared" si="36"/>
        <v>0</v>
      </c>
    </row>
    <row r="87" spans="1:12">
      <c r="A87" s="333">
        <v>32</v>
      </c>
      <c r="C87" s="332" t="str">
        <f>'FR-16(7)(v)-1 Functional'!C87</f>
        <v>CUSTOMER ACCOUNTING</v>
      </c>
      <c r="D87" s="344" t="str">
        <f>'FR-16(7)(v)-1 Functional'!D87</f>
        <v>CA19</v>
      </c>
      <c r="E87" s="196"/>
      <c r="F87" s="479">
        <f>'FR-16(7)(v)-2 PROD Classified'!H87</f>
        <v>0</v>
      </c>
      <c r="G87" s="349">
        <f t="shared" si="32"/>
        <v>0</v>
      </c>
      <c r="H87" s="349">
        <f>ROUND($F$87*VLOOKUP($D$87,ALLOCTABLE_Prod_Commodity,$H$10,FALSE),0)</f>
        <v>0</v>
      </c>
      <c r="I87" s="347">
        <f t="shared" si="33"/>
        <v>0</v>
      </c>
      <c r="J87" s="347">
        <f t="shared" si="34"/>
        <v>0</v>
      </c>
      <c r="K87" s="347">
        <f t="shared" si="35"/>
        <v>0</v>
      </c>
      <c r="L87" s="347">
        <f t="shared" si="36"/>
        <v>0</v>
      </c>
    </row>
    <row r="88" spans="1:12">
      <c r="A88" s="333">
        <v>33</v>
      </c>
      <c r="C88" s="332" t="str">
        <f>'FR-16(7)(v)-1 Functional'!C88</f>
        <v>CUSTOMER SERVICE &amp; INFORMATION</v>
      </c>
      <c r="D88" s="344" t="str">
        <f>'FR-16(7)(v)-1 Functional'!D88</f>
        <v>CS19</v>
      </c>
      <c r="E88" s="196"/>
      <c r="F88" s="479">
        <f>'FR-16(7)(v)-2 PROD Classified'!H88</f>
        <v>0</v>
      </c>
      <c r="G88" s="349">
        <f t="shared" si="32"/>
        <v>0</v>
      </c>
      <c r="H88" s="349">
        <f>ROUND($F$88*VLOOKUP($D$88,ALLOCTABLE_Prod_Commodity,$H$10,FALSE),0)</f>
        <v>0</v>
      </c>
      <c r="I88" s="347">
        <f t="shared" si="33"/>
        <v>0</v>
      </c>
      <c r="J88" s="347">
        <f t="shared" si="34"/>
        <v>0</v>
      </c>
      <c r="K88" s="347">
        <f t="shared" si="35"/>
        <v>0</v>
      </c>
      <c r="L88" s="347">
        <f t="shared" si="36"/>
        <v>0</v>
      </c>
    </row>
    <row r="89" spans="1:12">
      <c r="A89" s="333">
        <v>34</v>
      </c>
      <c r="C89" s="332" t="str">
        <f>'FR-16(7)(v)-1 Functional'!C89</f>
        <v>SALES</v>
      </c>
      <c r="D89" s="344" t="str">
        <f>'FR-16(7)(v)-1 Functional'!D89</f>
        <v>SE19</v>
      </c>
      <c r="E89" s="196"/>
      <c r="F89" s="479">
        <f>'FR-16(7)(v)-2 PROD Classified'!H89</f>
        <v>0</v>
      </c>
      <c r="G89" s="349">
        <f t="shared" si="32"/>
        <v>0</v>
      </c>
      <c r="H89" s="349">
        <f>ROUND($F$89*VLOOKUP($D$89,ALLOCTABLE_Prod_Commodity,$H$10,FALSE),0)</f>
        <v>0</v>
      </c>
      <c r="I89" s="347">
        <f t="shared" si="33"/>
        <v>0</v>
      </c>
      <c r="J89" s="347">
        <f t="shared" si="34"/>
        <v>0</v>
      </c>
      <c r="K89" s="347">
        <f t="shared" si="35"/>
        <v>0</v>
      </c>
      <c r="L89" s="347">
        <f t="shared" si="36"/>
        <v>0</v>
      </c>
    </row>
    <row r="90" spans="1:12">
      <c r="A90" s="333">
        <v>35</v>
      </c>
      <c r="C90" s="339" t="str">
        <f>'FR-16(7)(v)-1 Functional'!C90</f>
        <v xml:space="preserve">  GEN &amp; INTANG PLANT IN SERVICE</v>
      </c>
      <c r="D90" s="344"/>
      <c r="E90" s="196"/>
      <c r="F90" s="480">
        <f t="shared" ref="F90:L90" si="37">SUM(F84:F89)</f>
        <v>2528471</v>
      </c>
      <c r="G90" s="348">
        <f>SUM(G84:G89)</f>
        <v>1279719</v>
      </c>
      <c r="H90" s="348">
        <f t="shared" si="37"/>
        <v>728944</v>
      </c>
      <c r="I90" s="348">
        <f t="shared" si="37"/>
        <v>516090</v>
      </c>
      <c r="J90" s="348">
        <f t="shared" si="37"/>
        <v>3718</v>
      </c>
      <c r="K90" s="348">
        <f t="shared" si="37"/>
        <v>2528471</v>
      </c>
      <c r="L90" s="348">
        <f t="shared" si="37"/>
        <v>0</v>
      </c>
    </row>
    <row r="91" spans="1:12">
      <c r="A91" s="333">
        <v>36</v>
      </c>
      <c r="D91" s="344"/>
      <c r="E91" s="196"/>
      <c r="G91" s="353"/>
      <c r="H91" s="353"/>
      <c r="I91" s="332"/>
    </row>
    <row r="92" spans="1:12">
      <c r="A92" s="333">
        <v>37</v>
      </c>
      <c r="B92" s="332" t="s">
        <v>21</v>
      </c>
      <c r="D92" s="344"/>
      <c r="E92" s="196"/>
      <c r="G92" s="353"/>
      <c r="H92" s="353"/>
      <c r="I92" s="332"/>
    </row>
    <row r="93" spans="1:12">
      <c r="A93" s="333">
        <v>38</v>
      </c>
      <c r="C93" s="332" t="str">
        <f>'FR-16(7)(v)-1 Functional'!C93</f>
        <v>PRODUCTION PLANT</v>
      </c>
      <c r="D93" s="344" t="str">
        <f>'FR-16(7)(v)-1 Functional'!D93</f>
        <v>K201</v>
      </c>
      <c r="E93" s="196"/>
      <c r="F93" s="479">
        <f>'FR-16(7)(v)-2 PROD Classified'!H93</f>
        <v>746752</v>
      </c>
      <c r="G93" s="349">
        <f t="shared" ref="G93:G98" si="38">F93-SUM(H93:J93)</f>
        <v>378506</v>
      </c>
      <c r="H93" s="349">
        <f>ROUND($F$93*VLOOKUP($D$93,ALLOCTABLE_Prod_Commodity,$H$10,FALSE),0)</f>
        <v>215602</v>
      </c>
      <c r="I93" s="347">
        <f t="shared" ref="I93:I98" si="39">ROUND(F93*VLOOKUP(D93,ALLOCTABLE_Prod_Commodity,$I$10,FALSE),0)</f>
        <v>152644</v>
      </c>
      <c r="J93" s="347">
        <f t="shared" ref="J93:J98" si="40">ROUND(F93*VLOOKUP(D93,ALLOCTABLE_Prod_Commodity,$J$10,FALSE),0)</f>
        <v>0</v>
      </c>
      <c r="K93" s="347">
        <f t="shared" ref="K93:K98" si="41">SUM(G93:J93)</f>
        <v>746752</v>
      </c>
      <c r="L93" s="347">
        <f t="shared" ref="L93:L98" si="42">F93-K93</f>
        <v>0</v>
      </c>
    </row>
    <row r="94" spans="1:12">
      <c r="A94" s="333">
        <v>39</v>
      </c>
      <c r="C94" s="332" t="str">
        <f>'FR-16(7)(v)-1 Functional'!C94</f>
        <v>PRODUCTION PLANT COMMODITY</v>
      </c>
      <c r="D94" s="344" t="str">
        <f>'FR-16(7)(v)-1 Functional'!D94</f>
        <v>P349</v>
      </c>
      <c r="E94" s="196"/>
      <c r="F94" s="479">
        <f>'FR-16(7)(v)-2 PROD Classified'!H94</f>
        <v>584136</v>
      </c>
      <c r="G94" s="349">
        <f t="shared" si="38"/>
        <v>295088</v>
      </c>
      <c r="H94" s="349">
        <f>ROUND($F$94*VLOOKUP($D$94,ALLOCTABLE_Prod_Commodity,$H$10,FALSE),0)</f>
        <v>168085</v>
      </c>
      <c r="I94" s="347">
        <f t="shared" si="39"/>
        <v>119006</v>
      </c>
      <c r="J94" s="347">
        <f t="shared" si="40"/>
        <v>1957</v>
      </c>
      <c r="K94" s="347">
        <f t="shared" si="41"/>
        <v>584136</v>
      </c>
      <c r="L94" s="347">
        <f t="shared" si="42"/>
        <v>0</v>
      </c>
    </row>
    <row r="95" spans="1:12">
      <c r="A95" s="333">
        <v>40</v>
      </c>
      <c r="C95" s="332" t="str">
        <f>'FR-16(7)(v)-1 Functional'!C95</f>
        <v>DISTRIBUTION PLANT</v>
      </c>
      <c r="D95" s="344" t="str">
        <f>'FR-16(7)(v)-1 Functional'!D95</f>
        <v>D349</v>
      </c>
      <c r="E95" s="196"/>
      <c r="F95" s="479">
        <f>'FR-16(7)(v)-2 PROD Classified'!H95</f>
        <v>0</v>
      </c>
      <c r="G95" s="349">
        <f t="shared" si="38"/>
        <v>0</v>
      </c>
      <c r="H95" s="349">
        <f>ROUND($F$95*VLOOKUP($D$95,ALLOCTABLE_Prod_Commodity,$H$10,FALSE),0)</f>
        <v>0</v>
      </c>
      <c r="I95" s="347">
        <f t="shared" si="39"/>
        <v>0</v>
      </c>
      <c r="J95" s="347">
        <f t="shared" si="40"/>
        <v>0</v>
      </c>
      <c r="K95" s="347">
        <f t="shared" si="41"/>
        <v>0</v>
      </c>
      <c r="L95" s="347">
        <f t="shared" si="42"/>
        <v>0</v>
      </c>
    </row>
    <row r="96" spans="1:12">
      <c r="A96" s="333">
        <v>41</v>
      </c>
      <c r="C96" s="332" t="str">
        <f>'FR-16(7)(v)-1 Functional'!C96</f>
        <v>CUSTOMER ACCOUNTING</v>
      </c>
      <c r="D96" s="344" t="str">
        <f>'FR-16(7)(v)-1 Functional'!D96</f>
        <v>CA19</v>
      </c>
      <c r="E96" s="196"/>
      <c r="F96" s="479">
        <f>'FR-16(7)(v)-2 PROD Classified'!H96</f>
        <v>0</v>
      </c>
      <c r="G96" s="349">
        <f t="shared" si="38"/>
        <v>0</v>
      </c>
      <c r="H96" s="349">
        <f>ROUND($F$96*VLOOKUP($D$96,ALLOCTABLE_Prod_Commodity,$H$10,FALSE),0)</f>
        <v>0</v>
      </c>
      <c r="I96" s="347">
        <f t="shared" si="39"/>
        <v>0</v>
      </c>
      <c r="J96" s="347">
        <f t="shared" si="40"/>
        <v>0</v>
      </c>
      <c r="K96" s="347">
        <f t="shared" si="41"/>
        <v>0</v>
      </c>
      <c r="L96" s="347">
        <f t="shared" si="42"/>
        <v>0</v>
      </c>
    </row>
    <row r="97" spans="1:12">
      <c r="A97" s="333">
        <v>42</v>
      </c>
      <c r="C97" s="332" t="str">
        <f>'FR-16(7)(v)-1 Functional'!C97</f>
        <v>CUSTOMER SERVICE &amp; INFORMATION</v>
      </c>
      <c r="D97" s="344" t="str">
        <f>'FR-16(7)(v)-1 Functional'!D97</f>
        <v>CS19</v>
      </c>
      <c r="E97" s="196"/>
      <c r="F97" s="479">
        <f>'FR-16(7)(v)-2 PROD Classified'!H97</f>
        <v>0</v>
      </c>
      <c r="G97" s="349">
        <f t="shared" si="38"/>
        <v>0</v>
      </c>
      <c r="H97" s="349">
        <f>ROUND($F$97*VLOOKUP($D$97,ALLOCTABLE_Prod_Commodity,$H$10,FALSE),0)</f>
        <v>0</v>
      </c>
      <c r="I97" s="347">
        <f t="shared" si="39"/>
        <v>0</v>
      </c>
      <c r="J97" s="347">
        <f t="shared" si="40"/>
        <v>0</v>
      </c>
      <c r="K97" s="347">
        <f t="shared" si="41"/>
        <v>0</v>
      </c>
      <c r="L97" s="347">
        <f t="shared" si="42"/>
        <v>0</v>
      </c>
    </row>
    <row r="98" spans="1:12">
      <c r="A98" s="333">
        <v>43</v>
      </c>
      <c r="C98" s="365" t="str">
        <f>'FR-16(7)(v)-1 Functional'!C98</f>
        <v>SALES</v>
      </c>
      <c r="D98" s="344" t="str">
        <f>'FR-16(7)(v)-1 Functional'!D98</f>
        <v>SE19</v>
      </c>
      <c r="E98" s="196"/>
      <c r="F98" s="479">
        <f>'FR-16(7)(v)-2 PROD Classified'!H98</f>
        <v>0</v>
      </c>
      <c r="G98" s="349">
        <f t="shared" si="38"/>
        <v>0</v>
      </c>
      <c r="H98" s="349">
        <f>ROUND($F$98*VLOOKUP($D$98,ALLOCTABLE_Prod_Commodity,$H$10,FALSE),0)</f>
        <v>0</v>
      </c>
      <c r="I98" s="347">
        <f t="shared" si="39"/>
        <v>0</v>
      </c>
      <c r="J98" s="347">
        <f t="shared" si="40"/>
        <v>0</v>
      </c>
      <c r="K98" s="347">
        <f t="shared" si="41"/>
        <v>0</v>
      </c>
      <c r="L98" s="347">
        <f t="shared" si="42"/>
        <v>0</v>
      </c>
    </row>
    <row r="99" spans="1:12">
      <c r="A99" s="333">
        <v>44</v>
      </c>
      <c r="C99" s="339" t="str">
        <f>'FR-16(7)(v)-1 Functional'!C99</f>
        <v xml:space="preserve">  COMMON &amp; OTHER PLANT IN SERVICE</v>
      </c>
      <c r="E99" s="196"/>
      <c r="F99" s="348">
        <f t="shared" ref="F99:L99" si="43">SUM(F93:F98)</f>
        <v>1330888</v>
      </c>
      <c r="G99" s="348">
        <f>SUM(G93:G98)</f>
        <v>673594</v>
      </c>
      <c r="H99" s="348">
        <f t="shared" si="43"/>
        <v>383687</v>
      </c>
      <c r="I99" s="348">
        <f t="shared" si="43"/>
        <v>271650</v>
      </c>
      <c r="J99" s="348">
        <f t="shared" si="43"/>
        <v>1957</v>
      </c>
      <c r="K99" s="348">
        <f t="shared" si="43"/>
        <v>1330888</v>
      </c>
      <c r="L99" s="348">
        <f t="shared" si="43"/>
        <v>0</v>
      </c>
    </row>
    <row r="100" spans="1:12">
      <c r="A100" s="333">
        <v>45</v>
      </c>
      <c r="E100" s="196"/>
      <c r="G100" s="353"/>
      <c r="H100" s="353"/>
      <c r="I100" s="332"/>
    </row>
    <row r="101" spans="1:12">
      <c r="A101" s="333">
        <v>46</v>
      </c>
      <c r="B101" s="332" t="s">
        <v>95</v>
      </c>
      <c r="E101" s="196"/>
      <c r="F101" s="347">
        <f t="shared" ref="F101:L101" si="44">F81+F90+F99</f>
        <v>6658967</v>
      </c>
      <c r="G101" s="349">
        <f>G81+G90+G99</f>
        <v>3586520</v>
      </c>
      <c r="H101" s="349">
        <f t="shared" si="44"/>
        <v>1965952</v>
      </c>
      <c r="I101" s="347">
        <f t="shared" si="44"/>
        <v>1100820</v>
      </c>
      <c r="J101" s="347">
        <f t="shared" si="44"/>
        <v>5675</v>
      </c>
      <c r="K101" s="347">
        <f t="shared" si="44"/>
        <v>6658967</v>
      </c>
      <c r="L101" s="347">
        <f t="shared" si="44"/>
        <v>0</v>
      </c>
    </row>
    <row r="102" spans="1:12">
      <c r="B102" s="343"/>
      <c r="C102" s="196"/>
      <c r="D102" s="344"/>
      <c r="E102" s="196"/>
      <c r="G102" s="196"/>
      <c r="H102" s="196"/>
      <c r="I102" s="196"/>
      <c r="J102" s="344"/>
      <c r="K102" s="196"/>
      <c r="L102" s="196"/>
    </row>
    <row r="103" spans="1:12">
      <c r="A103" s="343" t="str">
        <f>co_name</f>
        <v>DUKE ENERGY KENTUCKY, INC.</v>
      </c>
      <c r="C103" s="196"/>
      <c r="D103" s="344"/>
      <c r="E103" s="196"/>
      <c r="F103" s="344"/>
      <c r="G103" s="342"/>
      <c r="H103" s="342"/>
      <c r="I103" s="196"/>
      <c r="K103" s="361" t="str">
        <f>$K$1</f>
        <v>FR-16(7)(v)-3</v>
      </c>
      <c r="L103" s="196"/>
    </row>
    <row r="104" spans="1:12">
      <c r="A104" s="343" t="str">
        <f>$A$2</f>
        <v>PRODUCTION COMMODITY ALLOCATED - GAS COST OF SERVICE</v>
      </c>
      <c r="C104" s="196"/>
      <c r="D104" s="344"/>
      <c r="E104" s="196"/>
      <c r="F104" s="344"/>
      <c r="G104" s="342"/>
      <c r="H104" s="342"/>
      <c r="I104" s="196"/>
      <c r="K104" s="361" t="str">
        <f>$K$2</f>
        <v>WITNESS RESPONSIBLE:</v>
      </c>
      <c r="L104" s="196"/>
    </row>
    <row r="105" spans="1:12">
      <c r="A105" s="343" t="str">
        <f>case_name</f>
        <v>CASE NO: 2018-00261</v>
      </c>
      <c r="C105" s="196"/>
      <c r="D105" s="344"/>
      <c r="E105" s="196"/>
      <c r="F105" s="344"/>
      <c r="G105" s="342"/>
      <c r="H105" s="342"/>
      <c r="I105" s="196"/>
      <c r="K105" s="361" t="str">
        <f>Witness</f>
        <v>JAMES E. ZIOLKOWSKI</v>
      </c>
      <c r="L105" s="196"/>
    </row>
    <row r="106" spans="1:12">
      <c r="A106" s="343" t="str">
        <f>data_filing</f>
        <v>DATA: 12 MONTH FORECASTED PERIOD</v>
      </c>
      <c r="C106" s="196"/>
      <c r="D106" s="344"/>
      <c r="E106" s="196"/>
      <c r="F106" s="344"/>
      <c r="G106" s="342"/>
      <c r="H106" s="342"/>
      <c r="I106" s="196"/>
      <c r="K106" s="361" t="str">
        <f>"PAGE "&amp;Pages-15&amp;" OF "&amp;Pages</f>
        <v>PAGE 3 OF 18</v>
      </c>
      <c r="L106" s="196"/>
    </row>
    <row r="107" spans="1:12">
      <c r="A107" s="343" t="str">
        <f>type</f>
        <v xml:space="preserve">TYPE OF FILING: "X" ORIGINAL   UPDATED    REVISED  </v>
      </c>
      <c r="C107" s="196"/>
      <c r="D107" s="344"/>
      <c r="E107" s="196"/>
      <c r="F107" s="344"/>
      <c r="G107" s="342"/>
      <c r="H107" s="342"/>
      <c r="I107" s="196"/>
      <c r="J107" s="344"/>
      <c r="K107" s="196"/>
      <c r="L107" s="196"/>
    </row>
    <row r="108" spans="1:12">
      <c r="A108" s="343"/>
      <c r="C108" s="196"/>
      <c r="D108" s="344"/>
      <c r="E108" s="196"/>
      <c r="F108" s="344"/>
      <c r="G108" s="342"/>
      <c r="H108" s="342"/>
      <c r="I108" s="196"/>
      <c r="J108" s="344"/>
      <c r="K108" s="196"/>
      <c r="L108" s="196"/>
    </row>
    <row r="109" spans="1:12">
      <c r="B109" s="343"/>
      <c r="C109" s="196"/>
      <c r="D109" s="344"/>
      <c r="E109" s="196"/>
      <c r="F109" s="344" t="str">
        <f>$F$7</f>
        <v>TOTAL</v>
      </c>
      <c r="G109" s="196"/>
      <c r="H109" s="196"/>
      <c r="I109" s="196"/>
      <c r="J109" s="344"/>
      <c r="K109" s="196"/>
      <c r="L109" s="196"/>
    </row>
    <row r="110" spans="1:12">
      <c r="A110" s="344" t="s">
        <v>914</v>
      </c>
      <c r="B110" s="196"/>
      <c r="C110" s="196"/>
      <c r="D110" s="344"/>
      <c r="E110" s="196"/>
      <c r="F110" s="344" t="str">
        <f>$F$8</f>
        <v>PRODUCTION</v>
      </c>
      <c r="G110" s="344" t="s">
        <v>418</v>
      </c>
      <c r="H110" s="344" t="s">
        <v>864</v>
      </c>
      <c r="I110" s="344" t="s">
        <v>865</v>
      </c>
      <c r="J110" s="344" t="s">
        <v>549</v>
      </c>
      <c r="K110" s="344" t="s">
        <v>229</v>
      </c>
      <c r="L110" s="344" t="s">
        <v>342</v>
      </c>
    </row>
    <row r="111" spans="1:12">
      <c r="A111" s="346" t="s">
        <v>915</v>
      </c>
      <c r="B111" s="345" t="s">
        <v>22</v>
      </c>
      <c r="C111" s="345"/>
      <c r="D111" s="346" t="s">
        <v>337</v>
      </c>
      <c r="E111" s="345"/>
      <c r="F111" s="344" t="str">
        <f>$F$9</f>
        <v>COMMODITY</v>
      </c>
      <c r="G111" s="346" t="s">
        <v>338</v>
      </c>
      <c r="H111" s="346" t="s">
        <v>405</v>
      </c>
      <c r="I111" s="346" t="s">
        <v>405</v>
      </c>
      <c r="J111" s="346" t="s">
        <v>550</v>
      </c>
      <c r="K111" s="346" t="s">
        <v>341</v>
      </c>
      <c r="L111" s="346" t="s">
        <v>340</v>
      </c>
    </row>
    <row r="112" spans="1:12">
      <c r="C112" s="578" t="s">
        <v>345</v>
      </c>
      <c r="D112" s="344"/>
      <c r="E112" s="196"/>
      <c r="F112" s="761"/>
      <c r="G112" s="633">
        <f>$G$10</f>
        <v>3</v>
      </c>
      <c r="H112" s="633">
        <f>$H$10</f>
        <v>4</v>
      </c>
      <c r="I112" s="633">
        <f>$I$10</f>
        <v>5</v>
      </c>
      <c r="J112" s="633">
        <f>$J$10</f>
        <v>6</v>
      </c>
    </row>
    <row r="113" spans="1:12">
      <c r="A113" s="333">
        <v>1</v>
      </c>
      <c r="B113" s="332" t="s">
        <v>14</v>
      </c>
      <c r="D113" s="344"/>
      <c r="E113" s="196"/>
      <c r="I113" s="332"/>
    </row>
    <row r="114" spans="1:12">
      <c r="A114" s="333">
        <v>2</v>
      </c>
      <c r="C114" s="365" t="str">
        <f>'FR-16(7)(v)-1 Functional'!C114</f>
        <v>PRODUCTION PLANT</v>
      </c>
      <c r="D114" s="344" t="str">
        <f>'FR-16(7)(v)-1 Functional'!D114</f>
        <v>K205</v>
      </c>
      <c r="E114" s="196"/>
      <c r="F114" s="479">
        <f>'FR-16(7)(v)-2 PROD Classified'!H114</f>
        <v>1634598</v>
      </c>
      <c r="G114" s="349">
        <f>F114-SUM(H114:J114)</f>
        <v>953576</v>
      </c>
      <c r="H114" s="347">
        <f>ROUND($F$114*VLOOKUP($D$114,ALLOCTABLE_Prod_Commodity,$H$10,FALSE),0)</f>
        <v>498225</v>
      </c>
      <c r="I114" s="347">
        <f>ROUND(F114*VLOOKUP(D114,ALLOCTABLE_Prod_Commodity,$I$10,FALSE),0)</f>
        <v>182797</v>
      </c>
      <c r="J114" s="347">
        <f>ROUND(F114*VLOOKUP(D114,ALLOCTABLE_Prod_Commodity,$J$10,FALSE),0)</f>
        <v>0</v>
      </c>
      <c r="K114" s="347">
        <f>SUM(G114:J114)</f>
        <v>1634598</v>
      </c>
      <c r="L114" s="347">
        <f>F114-K114</f>
        <v>0</v>
      </c>
    </row>
    <row r="115" spans="1:12">
      <c r="A115" s="333">
        <v>3</v>
      </c>
      <c r="C115" s="339" t="str">
        <f>'FR-16(7)(v)-1 Functional'!C115</f>
        <v xml:space="preserve">  TOTAL PROD DEPREC RESERVE</v>
      </c>
      <c r="D115" s="344"/>
      <c r="E115" s="196"/>
      <c r="F115" s="348">
        <f t="shared" ref="F115:L115" si="45">SUM(F114:F114)</f>
        <v>1634598</v>
      </c>
      <c r="G115" s="348">
        <f>SUM(G114:G114)</f>
        <v>953576</v>
      </c>
      <c r="H115" s="348">
        <f t="shared" si="45"/>
        <v>498225</v>
      </c>
      <c r="I115" s="348">
        <f t="shared" si="45"/>
        <v>182797</v>
      </c>
      <c r="J115" s="348">
        <f t="shared" si="45"/>
        <v>0</v>
      </c>
      <c r="K115" s="348">
        <f t="shared" si="45"/>
        <v>1634598</v>
      </c>
      <c r="L115" s="348">
        <f t="shared" si="45"/>
        <v>0</v>
      </c>
    </row>
    <row r="116" spans="1:12">
      <c r="A116" s="333">
        <v>4</v>
      </c>
      <c r="D116" s="344"/>
      <c r="E116" s="196"/>
      <c r="I116" s="332"/>
    </row>
    <row r="117" spans="1:12">
      <c r="A117" s="333">
        <v>5</v>
      </c>
      <c r="B117" s="332" t="s">
        <v>15</v>
      </c>
      <c r="D117" s="344"/>
      <c r="E117" s="196"/>
      <c r="I117" s="332"/>
    </row>
    <row r="118" spans="1:12">
      <c r="A118" s="333">
        <v>6</v>
      </c>
      <c r="C118" s="359" t="str">
        <f>'FR-16(7)(v)-1 Functional'!C118</f>
        <v>TRANSMISSION PLANT</v>
      </c>
      <c r="D118" s="344" t="s">
        <v>343</v>
      </c>
      <c r="E118" s="196"/>
      <c r="F118" s="477"/>
      <c r="G118" s="347"/>
      <c r="H118" s="347"/>
      <c r="I118" s="347"/>
      <c r="J118" s="347"/>
      <c r="K118" s="347"/>
      <c r="L118" s="347"/>
    </row>
    <row r="119" spans="1:12">
      <c r="A119" s="333">
        <v>7</v>
      </c>
      <c r="C119" s="332" t="str">
        <f>'FR-16(7)(v)-1 Functional'!C119</f>
        <v>TOTAL TRANS DEPREC RESERVE</v>
      </c>
      <c r="D119" s="344"/>
      <c r="E119" s="196"/>
      <c r="F119" s="348">
        <f t="shared" ref="F119:L119" si="46">SUM(F118:F118)</f>
        <v>0</v>
      </c>
      <c r="G119" s="348">
        <f>SUM(G118:G118)</f>
        <v>0</v>
      </c>
      <c r="H119" s="348">
        <f t="shared" si="46"/>
        <v>0</v>
      </c>
      <c r="I119" s="348">
        <f t="shared" si="46"/>
        <v>0</v>
      </c>
      <c r="J119" s="348">
        <f t="shared" si="46"/>
        <v>0</v>
      </c>
      <c r="K119" s="348">
        <f t="shared" si="46"/>
        <v>0</v>
      </c>
      <c r="L119" s="348">
        <f t="shared" si="46"/>
        <v>0</v>
      </c>
    </row>
    <row r="120" spans="1:12">
      <c r="A120" s="333">
        <v>8</v>
      </c>
      <c r="D120" s="344"/>
      <c r="E120" s="196"/>
      <c r="I120" s="332"/>
    </row>
    <row r="121" spans="1:12">
      <c r="A121" s="333">
        <v>9</v>
      </c>
      <c r="B121" s="332" t="s">
        <v>17</v>
      </c>
      <c r="D121" s="344"/>
      <c r="E121" s="196"/>
      <c r="I121" s="332"/>
    </row>
    <row r="122" spans="1:12">
      <c r="A122" s="333">
        <v>10</v>
      </c>
      <c r="C122" s="332" t="str">
        <f>'FR-16(7)(v)-1 Functional'!C122</f>
        <v>SYSTEM M&amp;R - (2780, 2781)</v>
      </c>
      <c r="D122" s="344" t="str">
        <f>'FR-16(7)(v)-1 Functional'!D122</f>
        <v>K203</v>
      </c>
      <c r="E122" s="196"/>
      <c r="F122" s="479">
        <f>'FR-16(7)(v)-2 PROD Classified'!H122</f>
        <v>0</v>
      </c>
      <c r="G122" s="349">
        <f t="shared" ref="G122:G130" si="47">F122-SUM(H122:J122)</f>
        <v>0</v>
      </c>
      <c r="H122" s="347">
        <f>ROUND($F$122*VLOOKUP($D$122,ALLOCTABLE_Prod_Commodity,$H$10,FALSE),0)</f>
        <v>0</v>
      </c>
      <c r="I122" s="347">
        <f t="shared" ref="I122:I130" si="48">ROUND(F122*VLOOKUP(D122,ALLOCTABLE_Prod_Commodity,$I$10,FALSE),0)</f>
        <v>0</v>
      </c>
      <c r="J122" s="347">
        <f t="shared" ref="J122:J130" si="49">ROUND(F122*VLOOKUP(D122,ALLOCTABLE_Prod_Commodity,$J$10,FALSE),0)</f>
        <v>0</v>
      </c>
      <c r="K122" s="347">
        <f t="shared" ref="K122:K130" si="50">SUM(G122:J122)</f>
        <v>0</v>
      </c>
      <c r="L122" s="347">
        <f t="shared" ref="L122:L130" si="51">F122-K122</f>
        <v>0</v>
      </c>
    </row>
    <row r="123" spans="1:12">
      <c r="A123" s="333">
        <v>11</v>
      </c>
      <c r="C123" s="332" t="str">
        <f>'FR-16(7)(v)-1 Functional'!C123</f>
        <v xml:space="preserve">DIST REG EQUIP &amp; CITY GATE M&amp;R- (2782, 2790) </v>
      </c>
      <c r="D123" s="344" t="str">
        <f>'FR-16(7)(v)-1 Functional'!D123</f>
        <v>K203</v>
      </c>
      <c r="E123" s="196"/>
      <c r="F123" s="479">
        <f>'FR-16(7)(v)-2 PROD Classified'!H123</f>
        <v>0</v>
      </c>
      <c r="G123" s="349">
        <f t="shared" si="47"/>
        <v>0</v>
      </c>
      <c r="H123" s="347">
        <f>ROUND($F$123*VLOOKUP($D$123,ALLOCTABLE_Prod_Commodity,$H$10,FALSE),0)</f>
        <v>0</v>
      </c>
      <c r="I123" s="347">
        <f t="shared" si="48"/>
        <v>0</v>
      </c>
      <c r="J123" s="347">
        <f t="shared" si="49"/>
        <v>0</v>
      </c>
      <c r="K123" s="347">
        <f t="shared" si="50"/>
        <v>0</v>
      </c>
      <c r="L123" s="347">
        <f t="shared" si="51"/>
        <v>0</v>
      </c>
    </row>
    <row r="124" spans="1:12">
      <c r="A124" s="333">
        <v>12</v>
      </c>
      <c r="C124" s="332" t="str">
        <f>'FR-16(7)(v)-1 Functional'!C124</f>
        <v>LARGE IND M&amp;R - (2850, 2851)</v>
      </c>
      <c r="D124" s="344" t="str">
        <f>'FR-16(7)(v)-1 Functional'!D124</f>
        <v>K595</v>
      </c>
      <c r="E124" s="196"/>
      <c r="F124" s="479">
        <f>'FR-16(7)(v)-2 PROD Classified'!H124</f>
        <v>0</v>
      </c>
      <c r="G124" s="349">
        <f t="shared" si="47"/>
        <v>0</v>
      </c>
      <c r="H124" s="347">
        <f>ROUND($F$124*VLOOKUP($D$124,ALLOCTABLE_Prod_Commodity,$H$10,FALSE),0)</f>
        <v>0</v>
      </c>
      <c r="I124" s="347">
        <f t="shared" si="48"/>
        <v>0</v>
      </c>
      <c r="J124" s="347">
        <f t="shared" si="49"/>
        <v>0</v>
      </c>
      <c r="K124" s="347">
        <f t="shared" si="50"/>
        <v>0</v>
      </c>
      <c r="L124" s="347">
        <f t="shared" si="51"/>
        <v>0</v>
      </c>
    </row>
    <row r="125" spans="1:12">
      <c r="A125" s="333">
        <v>13</v>
      </c>
      <c r="C125" s="332" t="str">
        <f>'FR-16(7)(v)-1 Functional'!C125</f>
        <v>MAINS - (2761, 2762, 2763, 2765)</v>
      </c>
      <c r="D125" s="344" t="str">
        <f>'FR-16(7)(v)-1 Functional'!D125</f>
        <v>K415</v>
      </c>
      <c r="E125" s="196"/>
      <c r="F125" s="479">
        <f>'FR-16(7)(v)-2 PROD Classified'!H125</f>
        <v>0</v>
      </c>
      <c r="G125" s="349">
        <f t="shared" si="47"/>
        <v>0</v>
      </c>
      <c r="H125" s="347">
        <f>ROUND($F$125*VLOOKUP($D$125,ALLOCTABLE_Prod_Commodity,$H$10,FALSE),0)</f>
        <v>0</v>
      </c>
      <c r="I125" s="347">
        <f t="shared" si="48"/>
        <v>0</v>
      </c>
      <c r="J125" s="347">
        <f t="shared" si="49"/>
        <v>0</v>
      </c>
      <c r="K125" s="347">
        <f t="shared" si="50"/>
        <v>0</v>
      </c>
      <c r="L125" s="347">
        <f t="shared" si="51"/>
        <v>0</v>
      </c>
    </row>
    <row r="126" spans="1:12">
      <c r="A126" s="333">
        <v>14</v>
      </c>
      <c r="C126" s="332" t="str">
        <f>'FR-16(7)(v)-1 Functional'!C126</f>
        <v>SERVICES - (2801, 2802, 2803)</v>
      </c>
      <c r="D126" s="344" t="str">
        <f>'FR-16(7)(v)-1 Functional'!D126</f>
        <v>K403</v>
      </c>
      <c r="E126" s="196"/>
      <c r="F126" s="479">
        <f>'FR-16(7)(v)-2 PROD Classified'!H126</f>
        <v>0</v>
      </c>
      <c r="G126" s="349">
        <f t="shared" si="47"/>
        <v>0</v>
      </c>
      <c r="H126" s="347">
        <f>ROUND($F$126*VLOOKUP($D$126,ALLOCTABLE_Prod_Commodity,$H$10,FALSE),0)</f>
        <v>0</v>
      </c>
      <c r="I126" s="347">
        <f t="shared" si="48"/>
        <v>0</v>
      </c>
      <c r="J126" s="347">
        <f t="shared" si="49"/>
        <v>0</v>
      </c>
      <c r="K126" s="347">
        <f t="shared" si="50"/>
        <v>0</v>
      </c>
      <c r="L126" s="347">
        <f t="shared" si="51"/>
        <v>0</v>
      </c>
    </row>
    <row r="127" spans="1:12">
      <c r="A127" s="333">
        <v>15</v>
      </c>
      <c r="C127" s="332" t="str">
        <f>'FR-16(7)(v)-1 Functional'!C127</f>
        <v>MTRS &amp; MTR INST (2810, 2811, 2820, 2821)</v>
      </c>
      <c r="D127" s="344" t="str">
        <f>'FR-16(7)(v)-1 Functional'!D127</f>
        <v>K413</v>
      </c>
      <c r="E127" s="196"/>
      <c r="F127" s="479">
        <f>'FR-16(7)(v)-2 PROD Classified'!H127</f>
        <v>0</v>
      </c>
      <c r="G127" s="349">
        <f t="shared" si="47"/>
        <v>0</v>
      </c>
      <c r="H127" s="347">
        <f>ROUND($F$127*VLOOKUP($D$127,ALLOCTABLE_Prod_Commodity,$H$10,FALSE),0)</f>
        <v>0</v>
      </c>
      <c r="I127" s="347">
        <f t="shared" si="48"/>
        <v>0</v>
      </c>
      <c r="J127" s="347">
        <f t="shared" si="49"/>
        <v>0</v>
      </c>
      <c r="K127" s="347">
        <f t="shared" si="50"/>
        <v>0</v>
      </c>
      <c r="L127" s="347">
        <f t="shared" si="51"/>
        <v>0</v>
      </c>
    </row>
    <row r="128" spans="1:12">
      <c r="A128" s="333">
        <v>16</v>
      </c>
      <c r="C128" s="332" t="str">
        <f>'FR-16(7)(v)-1 Functional'!C128</f>
        <v>LAND, R OF W, STRUCT &amp; IMPROV &amp; OTH</v>
      </c>
      <c r="D128" s="344" t="str">
        <f>'FR-16(7)(v)-1 Functional'!D128</f>
        <v>K203</v>
      </c>
      <c r="E128" s="196"/>
      <c r="F128" s="479">
        <f>'FR-16(7)(v)-2 PROD Classified'!H128</f>
        <v>0</v>
      </c>
      <c r="G128" s="349">
        <f t="shared" si="47"/>
        <v>0</v>
      </c>
      <c r="H128" s="347">
        <f>ROUND($F$128*VLOOKUP($D$128,ALLOCTABLE_Prod_Commodity,$H$10,FALSE),0)</f>
        <v>0</v>
      </c>
      <c r="I128" s="347">
        <f t="shared" si="48"/>
        <v>0</v>
      </c>
      <c r="J128" s="347">
        <f t="shared" si="49"/>
        <v>0</v>
      </c>
      <c r="K128" s="347">
        <f t="shared" si="50"/>
        <v>0</v>
      </c>
      <c r="L128" s="347">
        <f t="shared" si="51"/>
        <v>0</v>
      </c>
    </row>
    <row r="129" spans="1:12">
      <c r="A129" s="333">
        <v>17</v>
      </c>
      <c r="C129" s="332" t="str">
        <f>'FR-16(7)(v)-1 Functional'!C129</f>
        <v>HOUSE REG &amp; INSTALL (2830, 2840)</v>
      </c>
      <c r="D129" s="344" t="str">
        <f>'FR-16(7)(v)-1 Functional'!D129</f>
        <v>K417</v>
      </c>
      <c r="E129" s="196"/>
      <c r="F129" s="479">
        <f>'FR-16(7)(v)-2 PROD Classified'!H129</f>
        <v>0</v>
      </c>
      <c r="G129" s="349">
        <f t="shared" si="47"/>
        <v>0</v>
      </c>
      <c r="H129" s="347">
        <f>ROUND($F$129*VLOOKUP($D$129,ALLOCTABLE_Prod_Commodity,$H$10,FALSE),0)</f>
        <v>0</v>
      </c>
      <c r="I129" s="347">
        <f t="shared" si="48"/>
        <v>0</v>
      </c>
      <c r="J129" s="347">
        <f t="shared" si="49"/>
        <v>0</v>
      </c>
      <c r="K129" s="347">
        <f t="shared" si="50"/>
        <v>0</v>
      </c>
      <c r="L129" s="347">
        <f t="shared" si="51"/>
        <v>0</v>
      </c>
    </row>
    <row r="130" spans="1:12">
      <c r="A130" s="333">
        <v>18</v>
      </c>
      <c r="C130" s="359" t="str">
        <f>'FR-16(7)(v)-1 Functional'!C130</f>
        <v>STREET LIGHTING EQUIPMENT &amp; OTH</v>
      </c>
      <c r="D130" s="344" t="str">
        <f>'FR-16(7)(v)-1 Functional'!D130</f>
        <v>K597</v>
      </c>
      <c r="E130" s="196"/>
      <c r="F130" s="479">
        <f>'FR-16(7)(v)-2 PROD Classified'!H130</f>
        <v>0</v>
      </c>
      <c r="G130" s="349">
        <f t="shared" si="47"/>
        <v>0</v>
      </c>
      <c r="H130" s="347">
        <f>ROUND($F$130*VLOOKUP($D$130,ALLOCTABLE_Prod_Commodity,$H$10,FALSE),0)</f>
        <v>0</v>
      </c>
      <c r="I130" s="347">
        <f t="shared" si="48"/>
        <v>0</v>
      </c>
      <c r="J130" s="347">
        <f t="shared" si="49"/>
        <v>0</v>
      </c>
      <c r="K130" s="347">
        <f t="shared" si="50"/>
        <v>0</v>
      </c>
      <c r="L130" s="347">
        <f t="shared" si="51"/>
        <v>0</v>
      </c>
    </row>
    <row r="131" spans="1:12">
      <c r="A131" s="333">
        <v>19</v>
      </c>
      <c r="C131" s="332" t="str">
        <f>'FR-16(7)(v)-1 Functional'!C131</f>
        <v xml:space="preserve">  TOTAL DIST DEPREC RESERVE</v>
      </c>
      <c r="D131" s="344"/>
      <c r="E131" s="196"/>
      <c r="F131" s="348">
        <f t="shared" ref="F131:L131" si="52">SUM(F121:F130)</f>
        <v>0</v>
      </c>
      <c r="G131" s="348">
        <f>SUM(G121:G130)</f>
        <v>0</v>
      </c>
      <c r="H131" s="348">
        <f t="shared" si="52"/>
        <v>0</v>
      </c>
      <c r="I131" s="348">
        <f t="shared" si="52"/>
        <v>0</v>
      </c>
      <c r="J131" s="348">
        <f t="shared" si="52"/>
        <v>0</v>
      </c>
      <c r="K131" s="348">
        <f t="shared" si="52"/>
        <v>0</v>
      </c>
      <c r="L131" s="348">
        <f t="shared" si="52"/>
        <v>0</v>
      </c>
    </row>
    <row r="132" spans="1:12">
      <c r="A132" s="333">
        <v>20</v>
      </c>
      <c r="D132" s="344"/>
      <c r="E132" s="196"/>
      <c r="I132" s="332"/>
    </row>
    <row r="133" spans="1:12">
      <c r="A133" s="333">
        <v>21</v>
      </c>
      <c r="B133" s="332" t="s">
        <v>20</v>
      </c>
      <c r="D133" s="344"/>
      <c r="E133" s="196"/>
      <c r="I133" s="332"/>
    </row>
    <row r="134" spans="1:12">
      <c r="A134" s="333">
        <v>22</v>
      </c>
      <c r="C134" s="332" t="str">
        <f>'FR-16(7)(v)-1 Functional'!C134</f>
        <v>PRODUCTION PLANT</v>
      </c>
      <c r="D134" s="344" t="str">
        <f>'FR-16(7)(v)-1 Functional'!D134</f>
        <v>K201</v>
      </c>
      <c r="E134" s="196"/>
      <c r="F134" s="479">
        <f>'FR-16(7)(v)-2 PROD Classified'!H134</f>
        <v>546802</v>
      </c>
      <c r="G134" s="349">
        <f t="shared" ref="G134:G139" si="53">F134-SUM(H134:J134)</f>
        <v>277157</v>
      </c>
      <c r="H134" s="347">
        <f>ROUND($F$134*VLOOKUP($D$134,ALLOCTABLE_Prod_Commodity,$H$10,FALSE),0)</f>
        <v>157873</v>
      </c>
      <c r="I134" s="347">
        <f t="shared" ref="I134:I139" si="54">ROUND(F134*VLOOKUP(D134,ALLOCTABLE_Prod_Commodity,$I$10,FALSE),0)</f>
        <v>111772</v>
      </c>
      <c r="J134" s="347">
        <f t="shared" ref="J134:J139" si="55">ROUND(F134*VLOOKUP(D134,ALLOCTABLE_Prod_Commodity,$J$10,FALSE),0)</f>
        <v>0</v>
      </c>
      <c r="K134" s="347">
        <f t="shared" ref="K134:K139" si="56">SUM(G134:J134)</f>
        <v>546802</v>
      </c>
      <c r="L134" s="347">
        <f t="shared" ref="L134:L139" si="57">F134-K134</f>
        <v>0</v>
      </c>
    </row>
    <row r="135" spans="1:12">
      <c r="A135" s="333">
        <v>23</v>
      </c>
      <c r="C135" s="332" t="str">
        <f>'FR-16(7)(v)-1 Functional'!C135</f>
        <v>PRODUCTION PLANT COMMODITY</v>
      </c>
      <c r="D135" s="344" t="str">
        <f>'FR-16(7)(v)-1 Functional'!D135</f>
        <v>P349</v>
      </c>
      <c r="E135" s="196"/>
      <c r="F135" s="479">
        <f>'FR-16(7)(v)-2 PROD Classified'!H135</f>
        <v>427728</v>
      </c>
      <c r="G135" s="349">
        <f t="shared" si="53"/>
        <v>216075</v>
      </c>
      <c r="H135" s="347">
        <f>ROUND($F$135*VLOOKUP($D$135,ALLOCTABLE_Prod_Commodity,$H$10,FALSE),0)</f>
        <v>123079</v>
      </c>
      <c r="I135" s="347">
        <f t="shared" si="54"/>
        <v>87141</v>
      </c>
      <c r="J135" s="347">
        <f t="shared" si="55"/>
        <v>1433</v>
      </c>
      <c r="K135" s="347">
        <f t="shared" si="56"/>
        <v>427728</v>
      </c>
      <c r="L135" s="347">
        <f t="shared" si="57"/>
        <v>0</v>
      </c>
    </row>
    <row r="136" spans="1:12">
      <c r="A136" s="333">
        <v>24</v>
      </c>
      <c r="C136" s="332" t="str">
        <f>'FR-16(7)(v)-1 Functional'!C136</f>
        <v>DISTRIBUTION PLANT</v>
      </c>
      <c r="D136" s="344" t="str">
        <f>'FR-16(7)(v)-1 Functional'!D136</f>
        <v>D349</v>
      </c>
      <c r="E136" s="196"/>
      <c r="F136" s="479">
        <f>'FR-16(7)(v)-2 PROD Classified'!H136</f>
        <v>0</v>
      </c>
      <c r="G136" s="349">
        <f t="shared" si="53"/>
        <v>0</v>
      </c>
      <c r="H136" s="347">
        <f>ROUND($F$136*VLOOKUP($D$136,ALLOCTABLE_Prod_Commodity,$H$10,FALSE),0)</f>
        <v>0</v>
      </c>
      <c r="I136" s="347">
        <f t="shared" si="54"/>
        <v>0</v>
      </c>
      <c r="J136" s="347">
        <f t="shared" si="55"/>
        <v>0</v>
      </c>
      <c r="K136" s="347">
        <f t="shared" si="56"/>
        <v>0</v>
      </c>
      <c r="L136" s="347">
        <f t="shared" si="57"/>
        <v>0</v>
      </c>
    </row>
    <row r="137" spans="1:12">
      <c r="A137" s="333">
        <v>25</v>
      </c>
      <c r="C137" s="332" t="str">
        <f>'FR-16(7)(v)-1 Functional'!C137</f>
        <v>CUSTOMER ACCOUNTING</v>
      </c>
      <c r="D137" s="344" t="str">
        <f>'FR-16(7)(v)-1 Functional'!D137</f>
        <v>CA19</v>
      </c>
      <c r="E137" s="196"/>
      <c r="F137" s="479">
        <f>'FR-16(7)(v)-2 PROD Classified'!H137</f>
        <v>0</v>
      </c>
      <c r="G137" s="349">
        <f t="shared" si="53"/>
        <v>0</v>
      </c>
      <c r="H137" s="347">
        <f>ROUND($F$137*VLOOKUP($D$137,ALLOCTABLE_Prod_Commodity,$H$10,FALSE),0)</f>
        <v>0</v>
      </c>
      <c r="I137" s="347">
        <f t="shared" si="54"/>
        <v>0</v>
      </c>
      <c r="J137" s="347">
        <f t="shared" si="55"/>
        <v>0</v>
      </c>
      <c r="K137" s="347">
        <f t="shared" si="56"/>
        <v>0</v>
      </c>
      <c r="L137" s="347">
        <f t="shared" si="57"/>
        <v>0</v>
      </c>
    </row>
    <row r="138" spans="1:12">
      <c r="A138" s="333">
        <v>26</v>
      </c>
      <c r="C138" s="332" t="str">
        <f>'FR-16(7)(v)-1 Functional'!C138</f>
        <v>CUSTOMER SERVICE &amp; INFORMATION</v>
      </c>
      <c r="D138" s="344" t="str">
        <f>'FR-16(7)(v)-1 Functional'!D138</f>
        <v>CS19</v>
      </c>
      <c r="E138" s="196"/>
      <c r="F138" s="479">
        <f>'FR-16(7)(v)-2 PROD Classified'!H138</f>
        <v>0</v>
      </c>
      <c r="G138" s="349">
        <f t="shared" si="53"/>
        <v>0</v>
      </c>
      <c r="H138" s="347">
        <f>ROUND($F$138*VLOOKUP($D$138,ALLOCTABLE_Prod_Commodity,$H$10,FALSE),0)</f>
        <v>0</v>
      </c>
      <c r="I138" s="347">
        <f t="shared" si="54"/>
        <v>0</v>
      </c>
      <c r="J138" s="347">
        <f t="shared" si="55"/>
        <v>0</v>
      </c>
      <c r="K138" s="347">
        <f t="shared" si="56"/>
        <v>0</v>
      </c>
      <c r="L138" s="347">
        <f t="shared" si="57"/>
        <v>0</v>
      </c>
    </row>
    <row r="139" spans="1:12">
      <c r="A139" s="333">
        <v>27</v>
      </c>
      <c r="C139" s="365" t="str">
        <f>'FR-16(7)(v)-1 Functional'!C139</f>
        <v>SALES</v>
      </c>
      <c r="D139" s="344" t="str">
        <f>'FR-16(7)(v)-1 Functional'!D139</f>
        <v>SE19</v>
      </c>
      <c r="E139" s="196"/>
      <c r="F139" s="479">
        <f>'FR-16(7)(v)-2 PROD Classified'!H139</f>
        <v>0</v>
      </c>
      <c r="G139" s="349">
        <f t="shared" si="53"/>
        <v>0</v>
      </c>
      <c r="H139" s="347">
        <f>ROUND($F$139*VLOOKUP($D$139,ALLOCTABLE_Prod_Commodity,$H$10,FALSE),0)</f>
        <v>0</v>
      </c>
      <c r="I139" s="347">
        <f t="shared" si="54"/>
        <v>0</v>
      </c>
      <c r="J139" s="347">
        <f t="shared" si="55"/>
        <v>0</v>
      </c>
      <c r="K139" s="347">
        <f t="shared" si="56"/>
        <v>0</v>
      </c>
      <c r="L139" s="347">
        <f t="shared" si="57"/>
        <v>0</v>
      </c>
    </row>
    <row r="140" spans="1:12">
      <c r="A140" s="333">
        <v>28</v>
      </c>
      <c r="C140" s="339" t="str">
        <f>'FR-16(7)(v)-1 Functional'!C140</f>
        <v xml:space="preserve">  TOTAL GEN DEPREC RESERVE</v>
      </c>
      <c r="D140" s="344"/>
      <c r="E140" s="196"/>
      <c r="F140" s="348">
        <f t="shared" ref="F140:L140" si="58">SUM(F133:F139)</f>
        <v>974530</v>
      </c>
      <c r="G140" s="348">
        <f>SUM(G133:G139)</f>
        <v>493232</v>
      </c>
      <c r="H140" s="348">
        <f t="shared" si="58"/>
        <v>280952</v>
      </c>
      <c r="I140" s="348">
        <f t="shared" si="58"/>
        <v>198913</v>
      </c>
      <c r="J140" s="348">
        <f t="shared" si="58"/>
        <v>1433</v>
      </c>
      <c r="K140" s="348">
        <f t="shared" si="58"/>
        <v>974530</v>
      </c>
      <c r="L140" s="348">
        <f t="shared" si="58"/>
        <v>0</v>
      </c>
    </row>
    <row r="141" spans="1:12">
      <c r="A141" s="333">
        <v>29</v>
      </c>
      <c r="C141" s="365"/>
      <c r="D141" s="344"/>
      <c r="E141" s="196"/>
      <c r="I141" s="332"/>
    </row>
    <row r="142" spans="1:12">
      <c r="A142" s="333">
        <v>30</v>
      </c>
      <c r="B142" s="332" t="s">
        <v>21</v>
      </c>
      <c r="C142" s="365"/>
      <c r="D142" s="344"/>
      <c r="E142" s="196"/>
      <c r="I142" s="332"/>
    </row>
    <row r="143" spans="1:12">
      <c r="A143" s="333">
        <v>31</v>
      </c>
      <c r="C143" s="365" t="str">
        <f>'FR-16(7)(v)-1 Functional'!C143</f>
        <v>PRODUCTION PLANT</v>
      </c>
      <c r="D143" s="344" t="str">
        <f>'FR-16(7)(v)-1 Functional'!D143</f>
        <v>K201</v>
      </c>
      <c r="E143" s="196"/>
      <c r="F143" s="479">
        <f>'FR-16(7)(v)-2 PROD Classified'!H143</f>
        <v>615843</v>
      </c>
      <c r="G143" s="349">
        <f t="shared" ref="G143:G148" si="59">F143-SUM(H143:J143)</f>
        <v>312153</v>
      </c>
      <c r="H143" s="347">
        <f>ROUND($F$143*VLOOKUP($D$143,ALLOCTABLE_Prod_Commodity,$H$10,FALSE),0)</f>
        <v>177806</v>
      </c>
      <c r="I143" s="347">
        <f t="shared" ref="I143:I148" si="60">ROUND(F143*VLOOKUP(D143,ALLOCTABLE_Prod_Commodity,$I$10,FALSE),0)</f>
        <v>125884</v>
      </c>
      <c r="J143" s="347">
        <f t="shared" ref="J143:J148" si="61">ROUND(F143*VLOOKUP(D143,ALLOCTABLE_Prod_Commodity,$J$10,FALSE),0)</f>
        <v>0</v>
      </c>
      <c r="K143" s="347">
        <f t="shared" ref="K143:K148" si="62">SUM(G143:J143)</f>
        <v>615843</v>
      </c>
      <c r="L143" s="347">
        <f t="shared" ref="L143:L148" si="63">F143-K143</f>
        <v>0</v>
      </c>
    </row>
    <row r="144" spans="1:12">
      <c r="A144" s="333">
        <v>32</v>
      </c>
      <c r="C144" s="365" t="str">
        <f>'FR-16(7)(v)-1 Functional'!C144</f>
        <v>PRODUCTION PLANT COMMODITY</v>
      </c>
      <c r="D144" s="344" t="str">
        <f>'FR-16(7)(v)-1 Functional'!D144</f>
        <v>P349</v>
      </c>
      <c r="E144" s="196"/>
      <c r="F144" s="479">
        <f>'FR-16(7)(v)-2 PROD Classified'!H144</f>
        <v>481734</v>
      </c>
      <c r="G144" s="349">
        <f t="shared" si="59"/>
        <v>243357</v>
      </c>
      <c r="H144" s="347">
        <f>ROUND($F$144*VLOOKUP($D$144,ALLOCTABLE_Prod_Commodity,$H$10,FALSE),0)</f>
        <v>138619</v>
      </c>
      <c r="I144" s="347">
        <f t="shared" si="60"/>
        <v>98144</v>
      </c>
      <c r="J144" s="347">
        <f t="shared" si="61"/>
        <v>1614</v>
      </c>
      <c r="K144" s="347">
        <f t="shared" si="62"/>
        <v>481734</v>
      </c>
      <c r="L144" s="347">
        <f t="shared" si="63"/>
        <v>0</v>
      </c>
    </row>
    <row r="145" spans="1:12">
      <c r="A145" s="333">
        <v>33</v>
      </c>
      <c r="C145" s="365" t="str">
        <f>'FR-16(7)(v)-1 Functional'!C145</f>
        <v>DISTRIBUTION PLANT</v>
      </c>
      <c r="D145" s="344" t="str">
        <f>'FR-16(7)(v)-1 Functional'!D145</f>
        <v>D349</v>
      </c>
      <c r="E145" s="196"/>
      <c r="F145" s="479">
        <f>'FR-16(7)(v)-2 PROD Classified'!H145</f>
        <v>0</v>
      </c>
      <c r="G145" s="349">
        <f t="shared" si="59"/>
        <v>0</v>
      </c>
      <c r="H145" s="347">
        <f>ROUND($F$145*VLOOKUP($D$145,ALLOCTABLE_Prod_Commodity,$H$10,FALSE),0)</f>
        <v>0</v>
      </c>
      <c r="I145" s="347">
        <f t="shared" si="60"/>
        <v>0</v>
      </c>
      <c r="J145" s="347">
        <f t="shared" si="61"/>
        <v>0</v>
      </c>
      <c r="K145" s="347">
        <f t="shared" si="62"/>
        <v>0</v>
      </c>
      <c r="L145" s="347">
        <f t="shared" si="63"/>
        <v>0</v>
      </c>
    </row>
    <row r="146" spans="1:12">
      <c r="A146" s="333">
        <v>34</v>
      </c>
      <c r="C146" s="365" t="str">
        <f>'FR-16(7)(v)-1 Functional'!C146</f>
        <v>CUSTOMER ACCOUNTING</v>
      </c>
      <c r="D146" s="344" t="str">
        <f>'FR-16(7)(v)-1 Functional'!D146</f>
        <v>CA19</v>
      </c>
      <c r="E146" s="196"/>
      <c r="F146" s="479">
        <f>'FR-16(7)(v)-2 PROD Classified'!H146</f>
        <v>0</v>
      </c>
      <c r="G146" s="349">
        <f t="shared" si="59"/>
        <v>0</v>
      </c>
      <c r="H146" s="347">
        <f>ROUND($F$146*VLOOKUP($D$146,ALLOCTABLE_Prod_Commodity,$H$10,FALSE),0)</f>
        <v>0</v>
      </c>
      <c r="I146" s="347">
        <f t="shared" si="60"/>
        <v>0</v>
      </c>
      <c r="J146" s="347">
        <f t="shared" si="61"/>
        <v>0</v>
      </c>
      <c r="K146" s="347">
        <f t="shared" si="62"/>
        <v>0</v>
      </c>
      <c r="L146" s="347">
        <f t="shared" si="63"/>
        <v>0</v>
      </c>
    </row>
    <row r="147" spans="1:12">
      <c r="A147" s="333">
        <v>35</v>
      </c>
      <c r="C147" s="365" t="str">
        <f>'FR-16(7)(v)-1 Functional'!C147</f>
        <v>CUSTOMER SERVICE &amp; INFORMATION</v>
      </c>
      <c r="D147" s="344" t="str">
        <f>'FR-16(7)(v)-1 Functional'!D147</f>
        <v>CS19</v>
      </c>
      <c r="E147" s="196"/>
      <c r="F147" s="479">
        <f>'FR-16(7)(v)-2 PROD Classified'!H147</f>
        <v>0</v>
      </c>
      <c r="G147" s="349">
        <f t="shared" si="59"/>
        <v>0</v>
      </c>
      <c r="H147" s="347">
        <f>ROUND($F$147*VLOOKUP($D$147,ALLOCTABLE_Prod_Commodity,$H$10,FALSE),0)</f>
        <v>0</v>
      </c>
      <c r="I147" s="347">
        <f t="shared" si="60"/>
        <v>0</v>
      </c>
      <c r="J147" s="347">
        <f t="shared" si="61"/>
        <v>0</v>
      </c>
      <c r="K147" s="347">
        <f t="shared" si="62"/>
        <v>0</v>
      </c>
      <c r="L147" s="347">
        <f t="shared" si="63"/>
        <v>0</v>
      </c>
    </row>
    <row r="148" spans="1:12">
      <c r="A148" s="333">
        <v>36</v>
      </c>
      <c r="C148" s="365" t="str">
        <f>'FR-16(7)(v)-1 Functional'!C148</f>
        <v>SALES</v>
      </c>
      <c r="D148" s="344" t="str">
        <f>'FR-16(7)(v)-1 Functional'!D148</f>
        <v>SE19</v>
      </c>
      <c r="E148" s="196"/>
      <c r="F148" s="479">
        <f>'FR-16(7)(v)-2 PROD Classified'!H148</f>
        <v>0</v>
      </c>
      <c r="G148" s="349">
        <f t="shared" si="59"/>
        <v>0</v>
      </c>
      <c r="H148" s="347">
        <f>ROUND($F$148*VLOOKUP($D$148,ALLOCTABLE_Prod_Commodity,$H$10,FALSE),0)</f>
        <v>0</v>
      </c>
      <c r="I148" s="347">
        <f t="shared" si="60"/>
        <v>0</v>
      </c>
      <c r="J148" s="347">
        <f t="shared" si="61"/>
        <v>0</v>
      </c>
      <c r="K148" s="347">
        <f t="shared" si="62"/>
        <v>0</v>
      </c>
      <c r="L148" s="347">
        <f t="shared" si="63"/>
        <v>0</v>
      </c>
    </row>
    <row r="149" spans="1:12">
      <c r="A149" s="333">
        <v>37</v>
      </c>
      <c r="C149" s="339" t="str">
        <f>'FR-16(7)(v)-1 Functional'!C149</f>
        <v xml:space="preserve">  TOTAL COM &amp; OTHER PLT RESERVE</v>
      </c>
      <c r="D149" s="344"/>
      <c r="E149" s="196"/>
      <c r="F149" s="348">
        <f>SUM(F143:F148)</f>
        <v>1097577</v>
      </c>
      <c r="G149" s="348">
        <f t="shared" ref="G149:L149" si="64">SUM(G142:G148)</f>
        <v>555510</v>
      </c>
      <c r="H149" s="348">
        <f t="shared" si="64"/>
        <v>316425</v>
      </c>
      <c r="I149" s="348">
        <f t="shared" si="64"/>
        <v>224028</v>
      </c>
      <c r="J149" s="348">
        <f t="shared" si="64"/>
        <v>1614</v>
      </c>
      <c r="K149" s="348">
        <f t="shared" si="64"/>
        <v>1097577</v>
      </c>
      <c r="L149" s="348">
        <f t="shared" si="64"/>
        <v>0</v>
      </c>
    </row>
    <row r="150" spans="1:12">
      <c r="A150" s="333">
        <v>38</v>
      </c>
      <c r="D150" s="344"/>
      <c r="E150" s="196"/>
      <c r="I150" s="332"/>
    </row>
    <row r="151" spans="1:12">
      <c r="A151" s="333">
        <v>39</v>
      </c>
      <c r="B151" s="332" t="s">
        <v>23</v>
      </c>
      <c r="D151" s="344"/>
      <c r="E151" s="196"/>
      <c r="F151" s="347">
        <f t="shared" ref="F151:L151" si="65">F149+F140+F131+F119+F115</f>
        <v>3706705</v>
      </c>
      <c r="G151" s="347">
        <f>G149+G140+G131+G119+G115</f>
        <v>2002318</v>
      </c>
      <c r="H151" s="347">
        <f t="shared" si="65"/>
        <v>1095602</v>
      </c>
      <c r="I151" s="347">
        <f t="shared" si="65"/>
        <v>605738</v>
      </c>
      <c r="J151" s="347">
        <f t="shared" si="65"/>
        <v>3047</v>
      </c>
      <c r="K151" s="347">
        <f t="shared" si="65"/>
        <v>3706705</v>
      </c>
      <c r="L151" s="347">
        <f t="shared" si="65"/>
        <v>0</v>
      </c>
    </row>
    <row r="152" spans="1:12">
      <c r="B152" s="343"/>
      <c r="C152" s="196"/>
      <c r="D152" s="344"/>
      <c r="E152" s="196"/>
      <c r="G152" s="196"/>
      <c r="H152" s="196"/>
      <c r="I152" s="196"/>
      <c r="J152" s="344"/>
      <c r="K152" s="196"/>
    </row>
    <row r="153" spans="1:12">
      <c r="A153" s="343" t="str">
        <f>co_name</f>
        <v>DUKE ENERGY KENTUCKY, INC.</v>
      </c>
      <c r="C153" s="196"/>
      <c r="D153" s="344"/>
      <c r="E153" s="196"/>
      <c r="F153" s="344"/>
      <c r="G153" s="342"/>
      <c r="H153" s="342"/>
      <c r="I153" s="196"/>
      <c r="K153" s="361" t="str">
        <f>$K$1</f>
        <v>FR-16(7)(v)-3</v>
      </c>
    </row>
    <row r="154" spans="1:12">
      <c r="A154" s="343" t="str">
        <f>$A$2</f>
        <v>PRODUCTION COMMODITY ALLOCATED - GAS COST OF SERVICE</v>
      </c>
      <c r="C154" s="196"/>
      <c r="D154" s="344"/>
      <c r="E154" s="196"/>
      <c r="F154" s="344"/>
      <c r="G154" s="342"/>
      <c r="H154" s="342"/>
      <c r="I154" s="196"/>
      <c r="K154" s="361" t="str">
        <f>$K$2</f>
        <v>WITNESS RESPONSIBLE:</v>
      </c>
    </row>
    <row r="155" spans="1:12">
      <c r="A155" s="343" t="str">
        <f>case_name</f>
        <v>CASE NO: 2018-00261</v>
      </c>
      <c r="C155" s="196"/>
      <c r="D155" s="344"/>
      <c r="E155" s="196"/>
      <c r="F155" s="344"/>
      <c r="G155" s="342"/>
      <c r="H155" s="342"/>
      <c r="I155" s="196"/>
      <c r="K155" s="361" t="str">
        <f>Witness</f>
        <v>JAMES E. ZIOLKOWSKI</v>
      </c>
    </row>
    <row r="156" spans="1:12">
      <c r="A156" s="343" t="str">
        <f>data_filing</f>
        <v>DATA: 12 MONTH FORECASTED PERIOD</v>
      </c>
      <c r="C156" s="196"/>
      <c r="D156" s="344"/>
      <c r="E156" s="196"/>
      <c r="F156" s="344"/>
      <c r="G156" s="342"/>
      <c r="H156" s="342"/>
      <c r="I156" s="196"/>
      <c r="K156" s="361" t="str">
        <f>"PAGE "&amp;Pages-14&amp;" OF "&amp;Pages</f>
        <v>PAGE 4 OF 18</v>
      </c>
    </row>
    <row r="157" spans="1:12">
      <c r="A157" s="343" t="str">
        <f>type</f>
        <v xml:space="preserve">TYPE OF FILING: "X" ORIGINAL   UPDATED    REVISED  </v>
      </c>
      <c r="C157" s="196"/>
      <c r="D157" s="344"/>
      <c r="E157" s="196"/>
      <c r="F157" s="344"/>
      <c r="G157" s="342"/>
      <c r="H157" s="342"/>
      <c r="I157" s="196"/>
      <c r="J157" s="344"/>
      <c r="K157" s="196"/>
    </row>
    <row r="158" spans="1:12">
      <c r="A158" s="343"/>
      <c r="C158" s="196"/>
      <c r="D158" s="344"/>
      <c r="E158" s="196"/>
      <c r="F158" s="344"/>
      <c r="G158" s="342"/>
      <c r="H158" s="342"/>
      <c r="I158" s="196"/>
      <c r="J158" s="344"/>
      <c r="K158" s="196"/>
    </row>
    <row r="159" spans="1:12">
      <c r="B159" s="343"/>
      <c r="C159" s="196"/>
      <c r="D159" s="344"/>
      <c r="E159" s="196"/>
      <c r="F159" s="344" t="str">
        <f>$F$7</f>
        <v>TOTAL</v>
      </c>
      <c r="G159" s="196"/>
      <c r="H159" s="196"/>
      <c r="I159" s="196"/>
      <c r="J159" s="344"/>
      <c r="K159" s="196"/>
    </row>
    <row r="160" spans="1:12">
      <c r="A160" s="344" t="s">
        <v>914</v>
      </c>
      <c r="B160" s="196"/>
      <c r="C160" s="196"/>
      <c r="D160" s="344"/>
      <c r="E160" s="196"/>
      <c r="F160" s="344" t="str">
        <f>$F$8</f>
        <v>PRODUCTION</v>
      </c>
      <c r="G160" s="344" t="s">
        <v>418</v>
      </c>
      <c r="H160" s="344" t="s">
        <v>864</v>
      </c>
      <c r="I160" s="344" t="s">
        <v>865</v>
      </c>
      <c r="J160" s="344" t="s">
        <v>549</v>
      </c>
      <c r="K160" s="344" t="s">
        <v>229</v>
      </c>
      <c r="L160" s="344" t="s">
        <v>342</v>
      </c>
    </row>
    <row r="161" spans="1:12">
      <c r="A161" s="346" t="s">
        <v>915</v>
      </c>
      <c r="B161" s="345" t="str">
        <f>"NET GAS PLANT"</f>
        <v>NET GAS PLANT</v>
      </c>
      <c r="C161" s="345"/>
      <c r="D161" s="346" t="s">
        <v>337</v>
      </c>
      <c r="E161" s="345"/>
      <c r="F161" s="344" t="str">
        <f>$F$9</f>
        <v>COMMODITY</v>
      </c>
      <c r="G161" s="346" t="s">
        <v>338</v>
      </c>
      <c r="H161" s="346" t="s">
        <v>405</v>
      </c>
      <c r="I161" s="346" t="s">
        <v>405</v>
      </c>
      <c r="J161" s="346" t="s">
        <v>550</v>
      </c>
      <c r="K161" s="346" t="s">
        <v>341</v>
      </c>
      <c r="L161" s="346" t="s">
        <v>340</v>
      </c>
    </row>
    <row r="162" spans="1:12">
      <c r="C162" s="578" t="s">
        <v>346</v>
      </c>
      <c r="D162" s="344"/>
      <c r="E162" s="196"/>
      <c r="F162" s="761"/>
      <c r="G162" s="633">
        <f>$G$10</f>
        <v>3</v>
      </c>
      <c r="H162" s="633">
        <f>$H$10</f>
        <v>4</v>
      </c>
      <c r="I162" s="633">
        <f>$I$10</f>
        <v>5</v>
      </c>
      <c r="J162" s="633">
        <f>$J$10</f>
        <v>6</v>
      </c>
    </row>
    <row r="163" spans="1:12">
      <c r="A163" s="333">
        <v>1</v>
      </c>
      <c r="B163" s="332" t="s">
        <v>14</v>
      </c>
      <c r="D163" s="344"/>
      <c r="E163" s="196"/>
      <c r="I163" s="332"/>
    </row>
    <row r="164" spans="1:12">
      <c r="A164" s="333">
        <v>2</v>
      </c>
      <c r="C164" s="332" t="str">
        <f>'FR-16(7)(v)-1 Functional'!C164</f>
        <v>PRODUCTION PLANT IN SERVICE</v>
      </c>
      <c r="D164" s="344"/>
      <c r="E164" s="196"/>
      <c r="F164" s="347">
        <f>F59</f>
        <v>2799608</v>
      </c>
      <c r="G164" s="347">
        <f>$G$59</f>
        <v>1633207</v>
      </c>
      <c r="H164" s="347">
        <f>$H$59</f>
        <v>853321</v>
      </c>
      <c r="I164" s="347">
        <f>$I$59</f>
        <v>313080</v>
      </c>
      <c r="J164" s="347">
        <f>$J$59</f>
        <v>0</v>
      </c>
      <c r="K164" s="347">
        <f>$K$59</f>
        <v>2799608</v>
      </c>
      <c r="L164" s="347">
        <f>F164-K164</f>
        <v>0</v>
      </c>
    </row>
    <row r="165" spans="1:12">
      <c r="A165" s="333">
        <v>3</v>
      </c>
      <c r="C165" s="359" t="str">
        <f>'FR-16(7)(v)-1 Functional'!C165</f>
        <v>TOTAL PROD DEPRC RESERVE</v>
      </c>
      <c r="D165" s="344"/>
      <c r="E165" s="196"/>
      <c r="F165" s="347">
        <f t="shared" ref="F165:K165" si="66">-F115</f>
        <v>-1634598</v>
      </c>
      <c r="G165" s="347">
        <f t="shared" si="66"/>
        <v>-953576</v>
      </c>
      <c r="H165" s="347">
        <f t="shared" si="66"/>
        <v>-498225</v>
      </c>
      <c r="I165" s="347">
        <f t="shared" si="66"/>
        <v>-182797</v>
      </c>
      <c r="J165" s="347">
        <f t="shared" si="66"/>
        <v>0</v>
      </c>
      <c r="K165" s="347">
        <f t="shared" si="66"/>
        <v>-1634598</v>
      </c>
      <c r="L165" s="347">
        <f>F165-K165</f>
        <v>0</v>
      </c>
    </row>
    <row r="166" spans="1:12">
      <c r="A166" s="333">
        <v>4</v>
      </c>
      <c r="C166" s="332" t="str">
        <f>'FR-16(7)(v)-1 Functional'!C166</f>
        <v xml:space="preserve">  NET PRODUCTION PLANT</v>
      </c>
      <c r="D166" s="344"/>
      <c r="E166" s="196"/>
      <c r="F166" s="348">
        <f t="shared" ref="F166:L166" si="67">SUM(F164:F165)</f>
        <v>1165010</v>
      </c>
      <c r="G166" s="348">
        <f t="shared" si="67"/>
        <v>679631</v>
      </c>
      <c r="H166" s="348">
        <f t="shared" si="67"/>
        <v>355096</v>
      </c>
      <c r="I166" s="348">
        <f t="shared" si="67"/>
        <v>130283</v>
      </c>
      <c r="J166" s="348">
        <f t="shared" si="67"/>
        <v>0</v>
      </c>
      <c r="K166" s="348">
        <f t="shared" si="67"/>
        <v>1165010</v>
      </c>
      <c r="L166" s="348">
        <f t="shared" si="67"/>
        <v>0</v>
      </c>
    </row>
    <row r="167" spans="1:12">
      <c r="A167" s="333">
        <v>5</v>
      </c>
      <c r="D167" s="344"/>
      <c r="E167" s="196"/>
      <c r="I167" s="332"/>
    </row>
    <row r="168" spans="1:12">
      <c r="A168" s="333">
        <v>6</v>
      </c>
      <c r="B168" s="359" t="s">
        <v>15</v>
      </c>
      <c r="C168" s="359"/>
      <c r="D168" s="344"/>
      <c r="E168" s="196"/>
      <c r="F168" s="347"/>
      <c r="G168" s="347"/>
      <c r="H168" s="347"/>
      <c r="I168" s="347"/>
      <c r="J168" s="347"/>
      <c r="K168" s="347"/>
    </row>
    <row r="169" spans="1:12">
      <c r="A169" s="333">
        <v>7</v>
      </c>
      <c r="C169" s="332" t="str">
        <f>'FR-16(7)(v)-1 Functional'!C169</f>
        <v>TRANSMISSION PLANT IN SERVICE</v>
      </c>
      <c r="D169" s="344"/>
      <c r="E169" s="196"/>
      <c r="F169" s="347">
        <f>F63</f>
        <v>0</v>
      </c>
      <c r="G169" s="347">
        <f>$G$63</f>
        <v>0</v>
      </c>
      <c r="H169" s="347">
        <f>$H$63</f>
        <v>0</v>
      </c>
      <c r="I169" s="347">
        <f>$I$63</f>
        <v>0</v>
      </c>
      <c r="J169" s="347">
        <f>$J$63</f>
        <v>0</v>
      </c>
      <c r="K169" s="347">
        <f>$K$63</f>
        <v>0</v>
      </c>
      <c r="L169" s="347">
        <f>F169-K169</f>
        <v>0</v>
      </c>
    </row>
    <row r="170" spans="1:12">
      <c r="A170" s="333">
        <v>8</v>
      </c>
      <c r="C170" s="332" t="str">
        <f>'FR-16(7)(v)-1 Functional'!C170</f>
        <v>TOTAL TRANS DEPREC RESERVE</v>
      </c>
      <c r="D170" s="344"/>
      <c r="E170" s="196"/>
      <c r="F170" s="347">
        <f t="shared" ref="F170:K170" si="68">-F119</f>
        <v>0</v>
      </c>
      <c r="G170" s="347">
        <f t="shared" si="68"/>
        <v>0</v>
      </c>
      <c r="H170" s="347">
        <f t="shared" si="68"/>
        <v>0</v>
      </c>
      <c r="I170" s="347">
        <f t="shared" si="68"/>
        <v>0</v>
      </c>
      <c r="J170" s="347">
        <f t="shared" si="68"/>
        <v>0</v>
      </c>
      <c r="K170" s="347">
        <f t="shared" si="68"/>
        <v>0</v>
      </c>
      <c r="L170" s="347">
        <f>F170-K170</f>
        <v>0</v>
      </c>
    </row>
    <row r="171" spans="1:12">
      <c r="A171" s="333">
        <v>9</v>
      </c>
      <c r="C171" s="332" t="str">
        <f>'FR-16(7)(v)-1 Functional'!C171</f>
        <v xml:space="preserve">    NET TRANSMISSION PLANT</v>
      </c>
      <c r="D171" s="344"/>
      <c r="E171" s="196"/>
      <c r="F171" s="348">
        <f t="shared" ref="F171:L171" si="69">SUM(F168:F170)</f>
        <v>0</v>
      </c>
      <c r="G171" s="348">
        <f t="shared" si="69"/>
        <v>0</v>
      </c>
      <c r="H171" s="348">
        <f t="shared" si="69"/>
        <v>0</v>
      </c>
      <c r="I171" s="348">
        <f t="shared" si="69"/>
        <v>0</v>
      </c>
      <c r="J171" s="348">
        <f t="shared" si="69"/>
        <v>0</v>
      </c>
      <c r="K171" s="348">
        <f t="shared" si="69"/>
        <v>0</v>
      </c>
      <c r="L171" s="348">
        <f t="shared" si="69"/>
        <v>0</v>
      </c>
    </row>
    <row r="172" spans="1:12">
      <c r="A172" s="333">
        <v>10</v>
      </c>
      <c r="D172" s="344"/>
      <c r="E172" s="196"/>
      <c r="I172" s="332"/>
    </row>
    <row r="173" spans="1:12">
      <c r="A173" s="333">
        <v>11</v>
      </c>
      <c r="B173" s="332" t="s">
        <v>17</v>
      </c>
      <c r="D173" s="344"/>
      <c r="E173" s="196"/>
      <c r="I173" s="332"/>
    </row>
    <row r="174" spans="1:12">
      <c r="A174" s="333">
        <v>12</v>
      </c>
      <c r="C174" s="332" t="str">
        <f>'FR-16(7)(v)-1 Functional'!C174</f>
        <v>DISTRIBUTION PLANT IN SERVICE</v>
      </c>
      <c r="D174" s="344"/>
      <c r="E174" s="196"/>
      <c r="F174" s="347">
        <f t="shared" ref="F174:K174" si="70">F78</f>
        <v>0</v>
      </c>
      <c r="G174" s="347">
        <f t="shared" si="70"/>
        <v>0</v>
      </c>
      <c r="H174" s="347">
        <f t="shared" si="70"/>
        <v>0</v>
      </c>
      <c r="I174" s="347">
        <f t="shared" si="70"/>
        <v>0</v>
      </c>
      <c r="J174" s="347">
        <f t="shared" si="70"/>
        <v>0</v>
      </c>
      <c r="K174" s="347">
        <f t="shared" si="70"/>
        <v>0</v>
      </c>
      <c r="L174" s="347">
        <f>F174-K174</f>
        <v>0</v>
      </c>
    </row>
    <row r="175" spans="1:12">
      <c r="A175" s="333">
        <v>13</v>
      </c>
      <c r="C175" s="359" t="str">
        <f>'FR-16(7)(v)-1 Functional'!C175</f>
        <v>TOTAL DIST DEPREC RESERVE</v>
      </c>
      <c r="D175" s="344"/>
      <c r="E175" s="196"/>
      <c r="F175" s="347">
        <f t="shared" ref="F175:K175" si="71">-F131</f>
        <v>0</v>
      </c>
      <c r="G175" s="347">
        <f t="shared" si="71"/>
        <v>0</v>
      </c>
      <c r="H175" s="347">
        <f t="shared" si="71"/>
        <v>0</v>
      </c>
      <c r="I175" s="347">
        <f t="shared" si="71"/>
        <v>0</v>
      </c>
      <c r="J175" s="347">
        <f t="shared" si="71"/>
        <v>0</v>
      </c>
      <c r="K175" s="347">
        <f t="shared" si="71"/>
        <v>0</v>
      </c>
      <c r="L175" s="347">
        <f>F175-K175</f>
        <v>0</v>
      </c>
    </row>
    <row r="176" spans="1:12">
      <c r="A176" s="333">
        <v>14</v>
      </c>
      <c r="C176" s="332" t="str">
        <f>'FR-16(7)(v)-1 Functional'!C176</f>
        <v xml:space="preserve">  NET DISTRIBUTION PLANT</v>
      </c>
      <c r="D176" s="344"/>
      <c r="E176" s="196"/>
      <c r="F176" s="348">
        <f t="shared" ref="F176:L176" si="72">SUM(F173:F175)</f>
        <v>0</v>
      </c>
      <c r="G176" s="348">
        <f t="shared" si="72"/>
        <v>0</v>
      </c>
      <c r="H176" s="348">
        <f t="shared" si="72"/>
        <v>0</v>
      </c>
      <c r="I176" s="348">
        <f t="shared" si="72"/>
        <v>0</v>
      </c>
      <c r="J176" s="348">
        <f t="shared" si="72"/>
        <v>0</v>
      </c>
      <c r="K176" s="348">
        <f t="shared" si="72"/>
        <v>0</v>
      </c>
      <c r="L176" s="348">
        <f t="shared" si="72"/>
        <v>0</v>
      </c>
    </row>
    <row r="177" spans="1:12">
      <c r="A177" s="333">
        <v>15</v>
      </c>
      <c r="D177" s="344"/>
      <c r="E177" s="196"/>
      <c r="I177" s="332"/>
    </row>
    <row r="178" spans="1:12">
      <c r="A178" s="333">
        <v>16</v>
      </c>
      <c r="B178" s="332" t="s">
        <v>430</v>
      </c>
      <c r="D178" s="344"/>
      <c r="E178" s="196"/>
      <c r="F178" s="347">
        <f t="shared" ref="F178:L178" si="73">F176+F171+F166</f>
        <v>1165010</v>
      </c>
      <c r="G178" s="347">
        <f t="shared" si="73"/>
        <v>679631</v>
      </c>
      <c r="H178" s="347">
        <f t="shared" si="73"/>
        <v>355096</v>
      </c>
      <c r="I178" s="347">
        <f t="shared" si="73"/>
        <v>130283</v>
      </c>
      <c r="J178" s="347">
        <f t="shared" si="73"/>
        <v>0</v>
      </c>
      <c r="K178" s="347">
        <f t="shared" si="73"/>
        <v>1165010</v>
      </c>
      <c r="L178" s="347">
        <f t="shared" si="73"/>
        <v>0</v>
      </c>
    </row>
    <row r="179" spans="1:12">
      <c r="A179" s="333">
        <v>17</v>
      </c>
      <c r="B179" s="332" t="s">
        <v>24</v>
      </c>
      <c r="D179" s="344"/>
      <c r="E179" s="196"/>
      <c r="F179" s="347">
        <f t="shared" ref="F179:L179" si="74">F176+F171</f>
        <v>0</v>
      </c>
      <c r="G179" s="347">
        <f t="shared" si="74"/>
        <v>0</v>
      </c>
      <c r="H179" s="347">
        <f t="shared" si="74"/>
        <v>0</v>
      </c>
      <c r="I179" s="347">
        <f t="shared" si="74"/>
        <v>0</v>
      </c>
      <c r="J179" s="347">
        <f t="shared" si="74"/>
        <v>0</v>
      </c>
      <c r="K179" s="347">
        <f t="shared" si="74"/>
        <v>0</v>
      </c>
      <c r="L179" s="347">
        <f t="shared" si="74"/>
        <v>0</v>
      </c>
    </row>
    <row r="180" spans="1:12">
      <c r="A180" s="333">
        <v>18</v>
      </c>
      <c r="D180" s="344"/>
      <c r="E180" s="196"/>
      <c r="I180" s="332"/>
    </row>
    <row r="181" spans="1:12">
      <c r="A181" s="333">
        <v>19</v>
      </c>
      <c r="B181" s="332" t="s">
        <v>20</v>
      </c>
      <c r="D181" s="344"/>
      <c r="E181" s="196"/>
      <c r="I181" s="332"/>
    </row>
    <row r="182" spans="1:12">
      <c r="A182" s="333">
        <v>20</v>
      </c>
      <c r="C182" s="332" t="str">
        <f>'FR-16(7)(v)-1 Functional'!C182</f>
        <v>GEN &amp; INTANG PLANT IN SERVICE</v>
      </c>
      <c r="D182" s="344"/>
      <c r="E182" s="196"/>
      <c r="F182" s="347">
        <f t="shared" ref="F182:K182" si="75">F90</f>
        <v>2528471</v>
      </c>
      <c r="G182" s="347">
        <f t="shared" si="75"/>
        <v>1279719</v>
      </c>
      <c r="H182" s="347">
        <f t="shared" si="75"/>
        <v>728944</v>
      </c>
      <c r="I182" s="347">
        <f t="shared" si="75"/>
        <v>516090</v>
      </c>
      <c r="J182" s="347">
        <f t="shared" si="75"/>
        <v>3718</v>
      </c>
      <c r="K182" s="347">
        <f t="shared" si="75"/>
        <v>2528471</v>
      </c>
      <c r="L182" s="347">
        <f>F182-K182</f>
        <v>0</v>
      </c>
    </row>
    <row r="183" spans="1:12">
      <c r="A183" s="333">
        <v>21</v>
      </c>
      <c r="C183" s="359" t="str">
        <f>'FR-16(7)(v)-1 Functional'!C183</f>
        <v>TOTAL GEN &amp; INTG DEPREC RESERVE</v>
      </c>
      <c r="D183" s="344"/>
      <c r="E183" s="196"/>
      <c r="F183" s="347">
        <f t="shared" ref="F183:K183" si="76">-F140</f>
        <v>-974530</v>
      </c>
      <c r="G183" s="347">
        <f t="shared" si="76"/>
        <v>-493232</v>
      </c>
      <c r="H183" s="347">
        <f t="shared" si="76"/>
        <v>-280952</v>
      </c>
      <c r="I183" s="347">
        <f t="shared" si="76"/>
        <v>-198913</v>
      </c>
      <c r="J183" s="347">
        <f t="shared" si="76"/>
        <v>-1433</v>
      </c>
      <c r="K183" s="347">
        <f t="shared" si="76"/>
        <v>-974530</v>
      </c>
      <c r="L183" s="347">
        <f>F183-K183</f>
        <v>0</v>
      </c>
    </row>
    <row r="184" spans="1:12">
      <c r="A184" s="333">
        <v>22</v>
      </c>
      <c r="C184" s="332" t="str">
        <f>'FR-16(7)(v)-1 Functional'!C184</f>
        <v xml:space="preserve">  NET GENERAL &amp; INTANG PLANT</v>
      </c>
      <c r="D184" s="344"/>
      <c r="E184" s="196"/>
      <c r="F184" s="348">
        <f t="shared" ref="F184:L184" si="77">SUM(F181:F183)</f>
        <v>1553941</v>
      </c>
      <c r="G184" s="348">
        <f t="shared" si="77"/>
        <v>786487</v>
      </c>
      <c r="H184" s="348">
        <f t="shared" si="77"/>
        <v>447992</v>
      </c>
      <c r="I184" s="348">
        <f t="shared" si="77"/>
        <v>317177</v>
      </c>
      <c r="J184" s="348">
        <f t="shared" si="77"/>
        <v>2285</v>
      </c>
      <c r="K184" s="348">
        <f t="shared" si="77"/>
        <v>1553941</v>
      </c>
      <c r="L184" s="348">
        <f t="shared" si="77"/>
        <v>0</v>
      </c>
    </row>
    <row r="185" spans="1:12">
      <c r="A185" s="333">
        <v>23</v>
      </c>
      <c r="D185" s="344"/>
      <c r="E185" s="196"/>
      <c r="F185" s="347"/>
      <c r="G185" s="347"/>
      <c r="H185" s="347"/>
      <c r="I185" s="347"/>
      <c r="J185" s="347"/>
      <c r="K185" s="347"/>
    </row>
    <row r="186" spans="1:12">
      <c r="A186" s="333">
        <v>24</v>
      </c>
      <c r="B186" s="332" t="s">
        <v>21</v>
      </c>
      <c r="D186" s="344"/>
      <c r="E186" s="196"/>
      <c r="F186" s="347"/>
      <c r="G186" s="347"/>
      <c r="H186" s="347"/>
      <c r="I186" s="347"/>
      <c r="J186" s="347"/>
      <c r="K186" s="347"/>
    </row>
    <row r="187" spans="1:12">
      <c r="A187" s="333">
        <v>25</v>
      </c>
      <c r="C187" s="332" t="str">
        <f>'FR-16(7)(v)-1 Functional'!C187</f>
        <v>COMMON &amp; OTH PLT IN SERVICE</v>
      </c>
      <c r="D187" s="344"/>
      <c r="E187" s="196"/>
      <c r="F187" s="347">
        <f t="shared" ref="F187:K187" si="78">F99</f>
        <v>1330888</v>
      </c>
      <c r="G187" s="347">
        <f t="shared" si="78"/>
        <v>673594</v>
      </c>
      <c r="H187" s="347">
        <f t="shared" si="78"/>
        <v>383687</v>
      </c>
      <c r="I187" s="347">
        <f t="shared" si="78"/>
        <v>271650</v>
      </c>
      <c r="J187" s="347">
        <f t="shared" si="78"/>
        <v>1957</v>
      </c>
      <c r="K187" s="347">
        <f t="shared" si="78"/>
        <v>1330888</v>
      </c>
      <c r="L187" s="347">
        <f>F187-K187</f>
        <v>0</v>
      </c>
    </row>
    <row r="188" spans="1:12">
      <c r="A188" s="333">
        <v>26</v>
      </c>
      <c r="C188" s="359" t="str">
        <f>'FR-16(7)(v)-1 Functional'!C188</f>
        <v>TOTAL COM &amp; OTH DEPREC RESERVE</v>
      </c>
      <c r="D188" s="344"/>
      <c r="E188" s="196"/>
      <c r="F188" s="347">
        <f t="shared" ref="F188:K188" si="79">-F149</f>
        <v>-1097577</v>
      </c>
      <c r="G188" s="347">
        <f t="shared" si="79"/>
        <v>-555510</v>
      </c>
      <c r="H188" s="347">
        <f t="shared" si="79"/>
        <v>-316425</v>
      </c>
      <c r="I188" s="347">
        <f t="shared" si="79"/>
        <v>-224028</v>
      </c>
      <c r="J188" s="347">
        <f t="shared" si="79"/>
        <v>-1614</v>
      </c>
      <c r="K188" s="347">
        <f t="shared" si="79"/>
        <v>-1097577</v>
      </c>
      <c r="L188" s="347">
        <f>F188-K188</f>
        <v>0</v>
      </c>
    </row>
    <row r="189" spans="1:12">
      <c r="A189" s="333">
        <v>27</v>
      </c>
      <c r="C189" s="332" t="str">
        <f>'FR-16(7)(v)-1 Functional'!C189</f>
        <v xml:space="preserve">  NET COMMON &amp; OTHER PLANT</v>
      </c>
      <c r="D189" s="344"/>
      <c r="E189" s="196"/>
      <c r="F189" s="348">
        <f t="shared" ref="F189:L189" si="80">SUM(F186:F188)</f>
        <v>233311</v>
      </c>
      <c r="G189" s="348">
        <f t="shared" si="80"/>
        <v>118084</v>
      </c>
      <c r="H189" s="348">
        <f t="shared" si="80"/>
        <v>67262</v>
      </c>
      <c r="I189" s="348">
        <f t="shared" si="80"/>
        <v>47622</v>
      </c>
      <c r="J189" s="348">
        <f t="shared" si="80"/>
        <v>343</v>
      </c>
      <c r="K189" s="348">
        <f t="shared" si="80"/>
        <v>233311</v>
      </c>
      <c r="L189" s="348">
        <f t="shared" si="80"/>
        <v>0</v>
      </c>
    </row>
    <row r="190" spans="1:12">
      <c r="A190" s="333">
        <v>28</v>
      </c>
      <c r="D190" s="344"/>
      <c r="E190" s="196"/>
      <c r="F190" s="347"/>
      <c r="G190" s="347"/>
      <c r="H190" s="347"/>
      <c r="I190" s="347"/>
      <c r="J190" s="347"/>
      <c r="K190" s="347"/>
      <c r="L190" s="347"/>
    </row>
    <row r="191" spans="1:12">
      <c r="A191" s="333">
        <v>29</v>
      </c>
      <c r="C191" s="332" t="str">
        <f>'FR-16(7)(v)-1 Functional'!C191</f>
        <v>NET GAS PLANT IN SERVICE</v>
      </c>
      <c r="D191" s="344"/>
      <c r="E191" s="196"/>
      <c r="F191" s="347">
        <f t="shared" ref="F191:L191" si="81">F189+F184+F176+F171+F166</f>
        <v>2952262</v>
      </c>
      <c r="G191" s="347">
        <f t="shared" si="81"/>
        <v>1584202</v>
      </c>
      <c r="H191" s="347">
        <f t="shared" si="81"/>
        <v>870350</v>
      </c>
      <c r="I191" s="347">
        <f t="shared" si="81"/>
        <v>495082</v>
      </c>
      <c r="J191" s="347">
        <f t="shared" si="81"/>
        <v>2628</v>
      </c>
      <c r="K191" s="347">
        <f t="shared" si="81"/>
        <v>2952262</v>
      </c>
      <c r="L191" s="347">
        <f t="shared" si="81"/>
        <v>0</v>
      </c>
    </row>
    <row r="192" spans="1:12">
      <c r="B192" s="343"/>
      <c r="C192" s="196"/>
      <c r="D192" s="344"/>
      <c r="E192" s="196"/>
      <c r="G192" s="196"/>
      <c r="H192" s="196"/>
      <c r="I192" s="196"/>
      <c r="J192" s="344"/>
      <c r="K192" s="196"/>
      <c r="L192" s="196"/>
    </row>
    <row r="193" spans="1:12">
      <c r="A193" s="343" t="str">
        <f>co_name</f>
        <v>DUKE ENERGY KENTUCKY, INC.</v>
      </c>
      <c r="C193" s="196"/>
      <c r="D193" s="344"/>
      <c r="E193" s="196"/>
      <c r="F193" s="344"/>
      <c r="G193" s="342"/>
      <c r="H193" s="342"/>
      <c r="I193" s="196"/>
      <c r="K193" s="361" t="str">
        <f>$K$1</f>
        <v>FR-16(7)(v)-3</v>
      </c>
      <c r="L193" s="196"/>
    </row>
    <row r="194" spans="1:12">
      <c r="A194" s="343" t="str">
        <f>$A$2</f>
        <v>PRODUCTION COMMODITY ALLOCATED - GAS COST OF SERVICE</v>
      </c>
      <c r="C194" s="196"/>
      <c r="D194" s="344"/>
      <c r="E194" s="196"/>
      <c r="F194" s="344"/>
      <c r="G194" s="342"/>
      <c r="H194" s="342"/>
      <c r="I194" s="196"/>
      <c r="K194" s="361" t="str">
        <f>$K$2</f>
        <v>WITNESS RESPONSIBLE:</v>
      </c>
      <c r="L194" s="196"/>
    </row>
    <row r="195" spans="1:12">
      <c r="A195" s="343" t="str">
        <f>case_name</f>
        <v>CASE NO: 2018-00261</v>
      </c>
      <c r="C195" s="196"/>
      <c r="D195" s="344"/>
      <c r="E195" s="196"/>
      <c r="F195" s="344"/>
      <c r="G195" s="342"/>
      <c r="H195" s="342"/>
      <c r="I195" s="196"/>
      <c r="K195" s="361" t="str">
        <f>Witness</f>
        <v>JAMES E. ZIOLKOWSKI</v>
      </c>
      <c r="L195" s="196"/>
    </row>
    <row r="196" spans="1:12">
      <c r="A196" s="343" t="str">
        <f>data_filing</f>
        <v>DATA: 12 MONTH FORECASTED PERIOD</v>
      </c>
      <c r="C196" s="196"/>
      <c r="D196" s="344"/>
      <c r="E196" s="196"/>
      <c r="F196" s="344"/>
      <c r="G196" s="342"/>
      <c r="H196" s="342"/>
      <c r="I196" s="196"/>
      <c r="K196" s="361" t="str">
        <f>"PAGE "&amp;Pages-13&amp;" OF "&amp;Pages</f>
        <v>PAGE 5 OF 18</v>
      </c>
      <c r="L196" s="196"/>
    </row>
    <row r="197" spans="1:12">
      <c r="A197" s="343" t="str">
        <f>type</f>
        <v xml:space="preserve">TYPE OF FILING: "X" ORIGINAL   UPDATED    REVISED  </v>
      </c>
      <c r="C197" s="196"/>
      <c r="D197" s="344"/>
      <c r="E197" s="196"/>
      <c r="F197" s="344"/>
      <c r="G197" s="342"/>
      <c r="H197" s="342"/>
      <c r="I197" s="196"/>
      <c r="J197" s="344"/>
      <c r="K197" s="196"/>
      <c r="L197" s="196"/>
    </row>
    <row r="198" spans="1:12">
      <c r="B198" s="343"/>
      <c r="C198" s="196"/>
      <c r="D198" s="344"/>
      <c r="E198" s="196"/>
      <c r="F198" s="344"/>
      <c r="G198" s="196"/>
      <c r="H198" s="196"/>
      <c r="I198" s="196"/>
      <c r="J198" s="344"/>
      <c r="K198" s="196"/>
      <c r="L198" s="196"/>
    </row>
    <row r="199" spans="1:12">
      <c r="B199" s="343"/>
      <c r="C199" s="196"/>
      <c r="D199" s="344"/>
      <c r="E199" s="196"/>
      <c r="F199" s="344" t="str">
        <f>$F$7</f>
        <v>TOTAL</v>
      </c>
      <c r="G199" s="196"/>
      <c r="H199" s="196"/>
      <c r="I199" s="196"/>
      <c r="J199" s="344"/>
      <c r="K199" s="196"/>
      <c r="L199" s="196"/>
    </row>
    <row r="200" spans="1:12">
      <c r="A200" s="344" t="s">
        <v>914</v>
      </c>
      <c r="B200" s="196"/>
      <c r="C200" s="196"/>
      <c r="D200" s="344"/>
      <c r="E200" s="196"/>
      <c r="F200" s="344" t="str">
        <f>$F$8</f>
        <v>PRODUCTION</v>
      </c>
      <c r="G200" s="344" t="s">
        <v>418</v>
      </c>
      <c r="H200" s="344" t="s">
        <v>864</v>
      </c>
      <c r="I200" s="344" t="s">
        <v>865</v>
      </c>
      <c r="J200" s="344" t="s">
        <v>549</v>
      </c>
      <c r="K200" s="344" t="s">
        <v>229</v>
      </c>
      <c r="L200" s="344" t="s">
        <v>342</v>
      </c>
    </row>
    <row r="201" spans="1:12">
      <c r="A201" s="346" t="s">
        <v>915</v>
      </c>
      <c r="B201" s="345" t="s">
        <v>953</v>
      </c>
      <c r="C201" s="345"/>
      <c r="D201" s="346" t="s">
        <v>337</v>
      </c>
      <c r="E201" s="345"/>
      <c r="F201" s="344" t="str">
        <f>$F$9</f>
        <v>COMMODITY</v>
      </c>
      <c r="G201" s="346" t="s">
        <v>338</v>
      </c>
      <c r="H201" s="346" t="s">
        <v>405</v>
      </c>
      <c r="I201" s="346" t="s">
        <v>405</v>
      </c>
      <c r="J201" s="346" t="s">
        <v>550</v>
      </c>
      <c r="K201" s="346" t="s">
        <v>341</v>
      </c>
      <c r="L201" s="346" t="s">
        <v>340</v>
      </c>
    </row>
    <row r="202" spans="1:12">
      <c r="C202" s="578" t="s">
        <v>347</v>
      </c>
      <c r="D202" s="344"/>
      <c r="E202" s="196"/>
      <c r="F202" s="761"/>
      <c r="G202" s="633">
        <f>$G$10</f>
        <v>3</v>
      </c>
      <c r="H202" s="633">
        <f>$H$10</f>
        <v>4</v>
      </c>
      <c r="I202" s="633">
        <f>$I$10</f>
        <v>5</v>
      </c>
      <c r="J202" s="633">
        <f>$J$10</f>
        <v>6</v>
      </c>
    </row>
    <row r="203" spans="1:12">
      <c r="A203" s="333">
        <v>1</v>
      </c>
      <c r="B203" s="332" t="s">
        <v>26</v>
      </c>
      <c r="D203" s="344"/>
      <c r="E203" s="196"/>
      <c r="I203" s="332"/>
    </row>
    <row r="204" spans="1:12">
      <c r="A204" s="333">
        <v>2</v>
      </c>
      <c r="B204" s="332" t="s">
        <v>823</v>
      </c>
      <c r="D204" s="344"/>
      <c r="E204" s="196"/>
      <c r="I204" s="332"/>
    </row>
    <row r="205" spans="1:12">
      <c r="A205" s="333">
        <v>3</v>
      </c>
      <c r="B205" s="332" t="s">
        <v>27</v>
      </c>
      <c r="D205" s="344"/>
      <c r="E205" s="196"/>
      <c r="I205" s="332"/>
    </row>
    <row r="206" spans="1:12">
      <c r="A206" s="333">
        <v>4</v>
      </c>
      <c r="C206" s="332" t="str">
        <f>'FR-16(7)(v)-1 Functional'!C206</f>
        <v>LIBERALIZED DEPRECIATION</v>
      </c>
      <c r="D206" s="344" t="str">
        <f>'FR-16(7)(v)-1 Functional'!D206</f>
        <v>NP29</v>
      </c>
      <c r="E206" s="332" t="s">
        <v>343</v>
      </c>
      <c r="F206" s="479">
        <f>'FR-16(7)(v)-2 PROD Classified'!H206</f>
        <v>388726</v>
      </c>
      <c r="G206" s="349">
        <f t="shared" ref="G206:G214" si="82">F206-SUM(H206:J206)</f>
        <v>208591</v>
      </c>
      <c r="H206" s="347">
        <f>ROUND($F$206*VLOOKUP($D$206,ALLOCTABLE_Prod_Commodity,$H$10,FALSE),0)</f>
        <v>114600</v>
      </c>
      <c r="I206" s="347">
        <f t="shared" ref="I206:I214" si="83">ROUND(F206*VLOOKUP(D206,ALLOCTABLE_Prod_Commodity,$I$10,FALSE),0)</f>
        <v>65189</v>
      </c>
      <c r="J206" s="347">
        <f t="shared" ref="J206:J214" si="84">ROUND(F206*VLOOKUP(D206,ALLOCTABLE_Prod_Commodity,$J$10,FALSE),0)</f>
        <v>346</v>
      </c>
      <c r="K206" s="347">
        <f t="shared" ref="K206:K214" si="85">SUM(G206:J206)</f>
        <v>388726</v>
      </c>
      <c r="L206" s="347">
        <f t="shared" ref="L206:L214" si="86">F206-K206</f>
        <v>0</v>
      </c>
    </row>
    <row r="207" spans="1:12">
      <c r="A207" s="333">
        <v>5</v>
      </c>
      <c r="C207" s="332" t="str">
        <f>'FR-16(7)(v)-1 Functional'!C207</f>
        <v>LEASED METERS</v>
      </c>
      <c r="D207" s="344" t="str">
        <f>'FR-16(7)(v)-1 Functional'!D207</f>
        <v>K413</v>
      </c>
      <c r="E207" s="332" t="s">
        <v>343</v>
      </c>
      <c r="F207" s="479">
        <f>'FR-16(7)(v)-2 PROD Classified'!H207</f>
        <v>0</v>
      </c>
      <c r="G207" s="349">
        <f t="shared" si="82"/>
        <v>0</v>
      </c>
      <c r="H207" s="347">
        <f>ROUND($F$207*VLOOKUP($D$207,ALLOCTABLE_Prod_Commodity,$H$10,FALSE),0)</f>
        <v>0</v>
      </c>
      <c r="I207" s="347">
        <f t="shared" si="83"/>
        <v>0</v>
      </c>
      <c r="J207" s="347">
        <f t="shared" si="84"/>
        <v>0</v>
      </c>
      <c r="K207" s="347">
        <f t="shared" si="85"/>
        <v>0</v>
      </c>
      <c r="L207" s="347">
        <f t="shared" si="86"/>
        <v>0</v>
      </c>
    </row>
    <row r="208" spans="1:12">
      <c r="A208" s="333">
        <v>6</v>
      </c>
      <c r="C208" s="332" t="str">
        <f>'FR-16(7)(v)-1 Functional'!C208</f>
        <v>CONTRIB AID CONSTR</v>
      </c>
      <c r="D208" s="344" t="str">
        <f>'FR-16(7)(v)-1 Functional'!D208</f>
        <v>D249</v>
      </c>
      <c r="E208" s="332" t="s">
        <v>343</v>
      </c>
      <c r="F208" s="479">
        <f>'FR-16(7)(v)-2 PROD Classified'!H208</f>
        <v>0</v>
      </c>
      <c r="G208" s="349">
        <f t="shared" si="82"/>
        <v>0</v>
      </c>
      <c r="H208" s="347">
        <f>ROUND($F$208*VLOOKUP($D$208,ALLOCTABLE_Prod_Commodity,$H$10,FALSE),0)</f>
        <v>0</v>
      </c>
      <c r="I208" s="347">
        <f t="shared" si="83"/>
        <v>0</v>
      </c>
      <c r="J208" s="347">
        <f t="shared" si="84"/>
        <v>0</v>
      </c>
      <c r="K208" s="347">
        <f t="shared" si="85"/>
        <v>0</v>
      </c>
      <c r="L208" s="347">
        <f t="shared" si="86"/>
        <v>0</v>
      </c>
    </row>
    <row r="209" spans="1:12">
      <c r="A209" s="333">
        <v>7</v>
      </c>
      <c r="C209" s="332" t="str">
        <f>'FR-16(7)(v)-1 Functional'!C209</f>
        <v>CAPITALIZED INTEREST</v>
      </c>
      <c r="D209" s="344" t="str">
        <f>'FR-16(7)(v)-1 Functional'!D209</f>
        <v>NP29</v>
      </c>
      <c r="E209" s="332" t="s">
        <v>343</v>
      </c>
      <c r="F209" s="479">
        <f>'FR-16(7)(v)-2 PROD Classified'!H209</f>
        <v>-6912</v>
      </c>
      <c r="G209" s="349">
        <f t="shared" si="82"/>
        <v>-3709</v>
      </c>
      <c r="H209" s="347">
        <f>ROUND($F$209*VLOOKUP($D$209,ALLOCTABLE_Prod_Commodity,$H$10,FALSE),0)</f>
        <v>-2038</v>
      </c>
      <c r="I209" s="347">
        <f t="shared" si="83"/>
        <v>-1159</v>
      </c>
      <c r="J209" s="347">
        <f t="shared" si="84"/>
        <v>-6</v>
      </c>
      <c r="K209" s="347">
        <f t="shared" si="85"/>
        <v>-6912</v>
      </c>
      <c r="L209" s="347">
        <f t="shared" si="86"/>
        <v>0</v>
      </c>
    </row>
    <row r="210" spans="1:12">
      <c r="A210" s="333">
        <v>8</v>
      </c>
      <c r="C210" s="332" t="str">
        <f>'FR-16(7)(v)-1 Functional'!C210</f>
        <v>AFUDC IN DEBT</v>
      </c>
      <c r="D210" s="344" t="str">
        <f>'FR-16(7)(v)-1 Functional'!D210</f>
        <v>NP29</v>
      </c>
      <c r="E210" s="332" t="s">
        <v>343</v>
      </c>
      <c r="F210" s="479">
        <f>'FR-16(7)(v)-2 PROD Classified'!H210</f>
        <v>1864</v>
      </c>
      <c r="G210" s="349">
        <f t="shared" si="82"/>
        <v>999</v>
      </c>
      <c r="H210" s="347">
        <f>ROUND($F$210*VLOOKUP($D$210,ALLOCTABLE_Prod_Commodity,$H$10,FALSE),0)</f>
        <v>550</v>
      </c>
      <c r="I210" s="347">
        <f t="shared" si="83"/>
        <v>313</v>
      </c>
      <c r="J210" s="347">
        <f t="shared" si="84"/>
        <v>2</v>
      </c>
      <c r="K210" s="347">
        <f t="shared" si="85"/>
        <v>1864</v>
      </c>
      <c r="L210" s="347">
        <f t="shared" si="86"/>
        <v>0</v>
      </c>
    </row>
    <row r="211" spans="1:12">
      <c r="A211" s="333">
        <v>9</v>
      </c>
      <c r="C211" s="332" t="str">
        <f>'FR-16(7)(v)-1 Functional'!C211</f>
        <v>CWIP DIFFERENCES</v>
      </c>
      <c r="D211" s="344" t="str">
        <f>'FR-16(7)(v)-1 Functional'!D211</f>
        <v>NP29</v>
      </c>
      <c r="E211" s="332" t="s">
        <v>343</v>
      </c>
      <c r="F211" s="479">
        <f>'FR-16(7)(v)-2 PROD Classified'!H211</f>
        <v>0</v>
      </c>
      <c r="G211" s="349">
        <f t="shared" si="82"/>
        <v>0</v>
      </c>
      <c r="H211" s="347">
        <f>ROUND($F$211*VLOOKUP($D$211,ALLOCTABLE_Prod_Commodity,$H$10,FALSE),0)</f>
        <v>0</v>
      </c>
      <c r="I211" s="347">
        <f t="shared" si="83"/>
        <v>0</v>
      </c>
      <c r="J211" s="347">
        <f t="shared" si="84"/>
        <v>0</v>
      </c>
      <c r="K211" s="347">
        <f t="shared" si="85"/>
        <v>0</v>
      </c>
      <c r="L211" s="347">
        <f t="shared" si="86"/>
        <v>0</v>
      </c>
    </row>
    <row r="212" spans="1:12">
      <c r="A212" s="333">
        <v>10</v>
      </c>
      <c r="C212" s="332" t="str">
        <f>'FR-16(7)(v)-1 Functional'!C212</f>
        <v>NON-CASH OVERHEADS</v>
      </c>
      <c r="D212" s="344" t="str">
        <f>'FR-16(7)(v)-1 Functional'!D212</f>
        <v>AG39</v>
      </c>
      <c r="E212" s="332" t="s">
        <v>343</v>
      </c>
      <c r="F212" s="479">
        <f>'FR-16(7)(v)-2 PROD Classified'!H212</f>
        <v>-55497</v>
      </c>
      <c r="G212" s="349">
        <f t="shared" si="82"/>
        <v>-28077</v>
      </c>
      <c r="H212" s="347">
        <f>ROUND($F$212*VLOOKUP($D$212,ALLOCTABLE_Prod_Commodity,$H$10,FALSE),0)</f>
        <v>-15993</v>
      </c>
      <c r="I212" s="347">
        <f t="shared" si="83"/>
        <v>-11323</v>
      </c>
      <c r="J212" s="347">
        <f t="shared" si="84"/>
        <v>-104</v>
      </c>
      <c r="K212" s="347">
        <f t="shared" si="85"/>
        <v>-55497</v>
      </c>
      <c r="L212" s="347">
        <f t="shared" si="86"/>
        <v>0</v>
      </c>
    </row>
    <row r="213" spans="1:12">
      <c r="A213" s="333">
        <v>11</v>
      </c>
      <c r="C213" s="332" t="str">
        <f>'FR-16(7)(v)-1 Functional'!C213</f>
        <v>PLANT FAS 109</v>
      </c>
      <c r="D213" s="344" t="str">
        <f>'FR-16(7)(v)-1 Functional'!D213</f>
        <v>NP29</v>
      </c>
      <c r="E213" s="332" t="s">
        <v>343</v>
      </c>
      <c r="F213" s="479">
        <f>'FR-16(7)(v)-2 PROD Classified'!H213</f>
        <v>0</v>
      </c>
      <c r="G213" s="349">
        <f t="shared" si="82"/>
        <v>0</v>
      </c>
      <c r="H213" s="347">
        <f>ROUND($F$213*VLOOKUP($D$213,ALLOCTABLE_Prod_Commodity,$H$10,FALSE),0)</f>
        <v>0</v>
      </c>
      <c r="I213" s="347">
        <f t="shared" si="83"/>
        <v>0</v>
      </c>
      <c r="J213" s="347">
        <f t="shared" si="84"/>
        <v>0</v>
      </c>
      <c r="K213" s="347">
        <f t="shared" si="85"/>
        <v>0</v>
      </c>
      <c r="L213" s="347">
        <f t="shared" si="86"/>
        <v>0</v>
      </c>
    </row>
    <row r="214" spans="1:12">
      <c r="A214" s="333">
        <v>12</v>
      </c>
      <c r="C214" s="365" t="str">
        <f>'FR-16(7)(v)-1 Functional'!C214</f>
        <v>MISCELLANEOUS</v>
      </c>
      <c r="D214" s="344" t="str">
        <f>'FR-16(7)(v)-1 Functional'!D214</f>
        <v>AG39</v>
      </c>
      <c r="F214" s="479">
        <f>'FR-16(7)(v)-2 PROD Classified'!H214</f>
        <v>977188</v>
      </c>
      <c r="G214" s="349">
        <f t="shared" si="82"/>
        <v>494369</v>
      </c>
      <c r="H214" s="347">
        <f>ROUND($F$214*VLOOKUP($D$214,ALLOCTABLE_Prod_Commodity,$H$10,FALSE),0)</f>
        <v>281606</v>
      </c>
      <c r="I214" s="347">
        <f t="shared" si="83"/>
        <v>199376</v>
      </c>
      <c r="J214" s="347">
        <f t="shared" si="84"/>
        <v>1837</v>
      </c>
      <c r="K214" s="347">
        <f t="shared" si="85"/>
        <v>977188</v>
      </c>
      <c r="L214" s="347">
        <f t="shared" si="86"/>
        <v>0</v>
      </c>
    </row>
    <row r="215" spans="1:12">
      <c r="A215" s="333">
        <v>13</v>
      </c>
      <c r="C215" s="339" t="str">
        <f>'FR-16(7)(v)-1 Functional'!C215</f>
        <v xml:space="preserve">  TOTAL ACCOUNT 282</v>
      </c>
      <c r="D215" s="344"/>
      <c r="F215" s="348">
        <f t="shared" ref="F215:L215" si="87">SUM(F206:F214)</f>
        <v>1305369</v>
      </c>
      <c r="G215" s="348">
        <f>SUM(G206:G214)</f>
        <v>672173</v>
      </c>
      <c r="H215" s="348">
        <f t="shared" si="87"/>
        <v>378725</v>
      </c>
      <c r="I215" s="348">
        <f t="shared" si="87"/>
        <v>252396</v>
      </c>
      <c r="J215" s="348">
        <f t="shared" si="87"/>
        <v>2075</v>
      </c>
      <c r="K215" s="348">
        <f t="shared" si="87"/>
        <v>1305369</v>
      </c>
      <c r="L215" s="348">
        <f t="shared" si="87"/>
        <v>0</v>
      </c>
    </row>
    <row r="216" spans="1:12">
      <c r="A216" s="333">
        <v>14</v>
      </c>
      <c r="D216" s="344"/>
      <c r="E216" s="196"/>
      <c r="I216" s="332"/>
    </row>
    <row r="217" spans="1:12">
      <c r="A217" s="333">
        <v>15</v>
      </c>
      <c r="B217" s="332" t="s">
        <v>28</v>
      </c>
      <c r="D217" s="344"/>
      <c r="E217" s="196"/>
      <c r="I217" s="332"/>
    </row>
    <row r="218" spans="1:12">
      <c r="A218" s="333">
        <v>16</v>
      </c>
      <c r="C218" s="332" t="str">
        <f>'FR-16(7)(v)-1 Functional'!C218</f>
        <v>BLANK</v>
      </c>
      <c r="D218" s="344" t="str">
        <f>'FR-16(7)(v)-1 Functional'!D218</f>
        <v>K413</v>
      </c>
      <c r="F218" s="479">
        <f>'FR-16(7)(v)-2 PROD Classified'!H218</f>
        <v>0</v>
      </c>
      <c r="G218" s="349">
        <f t="shared" ref="G218:G228" si="88">F218-SUM(H218:J218)</f>
        <v>0</v>
      </c>
      <c r="H218" s="347">
        <f>ROUND($F$218*VLOOKUP($D$218,ALLOCTABLE_Prod_Commodity,$H$10,FALSE),0)</f>
        <v>0</v>
      </c>
      <c r="I218" s="347">
        <f t="shared" ref="I218:I225" si="89">ROUND(F218*VLOOKUP(D218,ALLOCTABLE_Prod_Commodity,$I$10,FALSE),0)</f>
        <v>0</v>
      </c>
      <c r="J218" s="347">
        <f t="shared" ref="J218:J225" si="90">ROUND(F218*VLOOKUP(D218,ALLOCTABLE_Prod_Commodity,$J$10,FALSE),0)</f>
        <v>0</v>
      </c>
      <c r="K218" s="347">
        <f t="shared" ref="K218:K228" si="91">SUM(G218:J218)</f>
        <v>0</v>
      </c>
      <c r="L218" s="347">
        <f t="shared" ref="L218:L228" si="92">F218-K218</f>
        <v>0</v>
      </c>
    </row>
    <row r="219" spans="1:12">
      <c r="A219" s="333">
        <v>17</v>
      </c>
      <c r="C219" s="332" t="str">
        <f>'FR-16(7)(v)-1 Functional'!C219</f>
        <v>BLANK</v>
      </c>
      <c r="D219" s="344" t="str">
        <f>'FR-16(7)(v)-1 Functional'!D219</f>
        <v>K413</v>
      </c>
      <c r="F219" s="479">
        <f>'FR-16(7)(v)-2 PROD Classified'!H219</f>
        <v>0</v>
      </c>
      <c r="G219" s="349">
        <f t="shared" si="88"/>
        <v>0</v>
      </c>
      <c r="H219" s="347">
        <f>ROUND($F$219*VLOOKUP($D$219,ALLOCTABLE_Prod_Commodity,$H$10,FALSE),0)</f>
        <v>0</v>
      </c>
      <c r="I219" s="347">
        <f t="shared" si="89"/>
        <v>0</v>
      </c>
      <c r="J219" s="347">
        <f t="shared" si="90"/>
        <v>0</v>
      </c>
      <c r="K219" s="347">
        <f t="shared" si="91"/>
        <v>0</v>
      </c>
      <c r="L219" s="347">
        <f t="shared" si="92"/>
        <v>0</v>
      </c>
    </row>
    <row r="220" spans="1:12">
      <c r="A220" s="333">
        <v>18</v>
      </c>
      <c r="C220" s="332" t="str">
        <f>'FR-16(7)(v)-1 Functional'!C220</f>
        <v>UNRECOVERED PURCHASED GAS COST</v>
      </c>
      <c r="D220" s="344" t="str">
        <f>'FR-16(7)(v)-1 Functional'!D220</f>
        <v>AG39</v>
      </c>
      <c r="F220" s="479">
        <f>'FR-16(7)(v)-2 PROD Classified'!H220</f>
        <v>2070</v>
      </c>
      <c r="G220" s="349">
        <f t="shared" si="88"/>
        <v>1047</v>
      </c>
      <c r="H220" s="347">
        <f>ROUND($F$220*VLOOKUP($D$220,ALLOCTABLE_Prod_Commodity,$H$10,FALSE),0)</f>
        <v>597</v>
      </c>
      <c r="I220" s="347">
        <f t="shared" si="89"/>
        <v>422</v>
      </c>
      <c r="J220" s="347">
        <f t="shared" si="90"/>
        <v>4</v>
      </c>
      <c r="K220" s="347">
        <f t="shared" si="91"/>
        <v>2070</v>
      </c>
      <c r="L220" s="347">
        <f t="shared" si="92"/>
        <v>0</v>
      </c>
    </row>
    <row r="221" spans="1:12">
      <c r="A221" s="333">
        <v>19</v>
      </c>
      <c r="C221" s="332" t="str">
        <f>'FR-16(7)(v)-1 Functional'!C221</f>
        <v>ENVIRONMENTAL RESERVE</v>
      </c>
      <c r="D221" s="344" t="str">
        <f>'FR-16(7)(v)-1 Functional'!D221</f>
        <v>NP29</v>
      </c>
      <c r="F221" s="479">
        <f>'FR-16(7)(v)-2 PROD Classified'!H221</f>
        <v>0</v>
      </c>
      <c r="G221" s="349">
        <f t="shared" si="88"/>
        <v>0</v>
      </c>
      <c r="H221" s="347">
        <f>ROUND($F$221*VLOOKUP($D$221,ALLOCTABLE_Prod_Commodity,$H$10,FALSE),0)</f>
        <v>0</v>
      </c>
      <c r="I221" s="347">
        <f t="shared" si="89"/>
        <v>0</v>
      </c>
      <c r="J221" s="347">
        <f t="shared" si="90"/>
        <v>0</v>
      </c>
      <c r="K221" s="347">
        <f t="shared" si="91"/>
        <v>0</v>
      </c>
      <c r="L221" s="347">
        <f t="shared" si="92"/>
        <v>0</v>
      </c>
    </row>
    <row r="222" spans="1:12">
      <c r="A222" s="333">
        <v>20</v>
      </c>
      <c r="C222" s="332" t="str">
        <f>'FR-16(7)(v)-1 Functional'!C222</f>
        <v>POST IN-SERVICE CARRYING COSTS</v>
      </c>
      <c r="D222" s="344" t="str">
        <f>'FR-16(7)(v)-1 Functional'!D222</f>
        <v>K667</v>
      </c>
      <c r="F222" s="479">
        <f>'FR-16(7)(v)-2 PROD Classified'!H222</f>
        <v>0</v>
      </c>
      <c r="G222" s="349">
        <f t="shared" si="88"/>
        <v>0</v>
      </c>
      <c r="H222" s="347">
        <f>ROUND($F$222*VLOOKUP($D$222,ALLOCTABLE_Prod_Commodity,$H$10,FALSE),0)</f>
        <v>0</v>
      </c>
      <c r="I222" s="347">
        <f t="shared" si="89"/>
        <v>0</v>
      </c>
      <c r="J222" s="347">
        <f t="shared" si="90"/>
        <v>0</v>
      </c>
      <c r="K222" s="347">
        <f t="shared" si="91"/>
        <v>0</v>
      </c>
      <c r="L222" s="347">
        <f t="shared" si="92"/>
        <v>0</v>
      </c>
    </row>
    <row r="223" spans="1:12">
      <c r="A223" s="333">
        <v>21</v>
      </c>
      <c r="C223" s="332" t="str">
        <f>'FR-16(7)(v)-1 Functional'!C223</f>
        <v>ARO CUMULATIVE EFFECT</v>
      </c>
      <c r="D223" s="344" t="str">
        <f>'FR-16(7)(v)-1 Functional'!D223</f>
        <v>NP29</v>
      </c>
      <c r="F223" s="479">
        <f>'FR-16(7)(v)-2 PROD Classified'!H223</f>
        <v>0</v>
      </c>
      <c r="G223" s="349">
        <f t="shared" si="88"/>
        <v>0</v>
      </c>
      <c r="H223" s="347">
        <f>ROUND($F$223*VLOOKUP($D$223,ALLOCTABLE_Prod_Commodity,$H$10,FALSE),0)</f>
        <v>0</v>
      </c>
      <c r="I223" s="347">
        <f t="shared" si="89"/>
        <v>0</v>
      </c>
      <c r="J223" s="347">
        <f t="shared" si="90"/>
        <v>0</v>
      </c>
      <c r="K223" s="347">
        <f t="shared" si="91"/>
        <v>0</v>
      </c>
      <c r="L223" s="347">
        <f t="shared" si="92"/>
        <v>0</v>
      </c>
    </row>
    <row r="224" spans="1:12">
      <c r="A224" s="333">
        <v>22</v>
      </c>
      <c r="C224" s="332" t="str">
        <f>'FR-16(7)(v)-1 Functional'!C224</f>
        <v>LOSS ON REACQUIRED DEBT</v>
      </c>
      <c r="D224" s="344" t="str">
        <f>'FR-16(7)(v)-1 Functional'!D224</f>
        <v>NP29</v>
      </c>
      <c r="F224" s="479">
        <f>'FR-16(7)(v)-2 PROD Classified'!H224</f>
        <v>126</v>
      </c>
      <c r="G224" s="349">
        <f t="shared" si="88"/>
        <v>68</v>
      </c>
      <c r="H224" s="347">
        <f>ROUND($F$224*VLOOKUP($D$224,ALLOCTABLE_Prod_Commodity,$H$10,FALSE),0)</f>
        <v>37</v>
      </c>
      <c r="I224" s="347">
        <f t="shared" si="89"/>
        <v>21</v>
      </c>
      <c r="J224" s="347">
        <f t="shared" si="90"/>
        <v>0</v>
      </c>
      <c r="K224" s="347">
        <f t="shared" si="91"/>
        <v>126</v>
      </c>
      <c r="L224" s="347">
        <f t="shared" si="92"/>
        <v>0</v>
      </c>
    </row>
    <row r="225" spans="1:12">
      <c r="A225" s="333">
        <v>23</v>
      </c>
      <c r="C225" s="332" t="str">
        <f>'FR-16(7)(v)-1 Functional'!C225</f>
        <v>VACATION PAY ACCRUAL</v>
      </c>
      <c r="D225" s="344" t="str">
        <f>'FR-16(7)(v)-1 Functional'!D225</f>
        <v>AG39</v>
      </c>
      <c r="F225" s="479">
        <f>'FR-16(7)(v)-2 PROD Classified'!H225</f>
        <v>9485</v>
      </c>
      <c r="G225" s="349">
        <f t="shared" si="88"/>
        <v>4799</v>
      </c>
      <c r="H225" s="347">
        <f>ROUND($F$225*VLOOKUP($D$225,ALLOCTABLE_Prod_Commodity,$H$10,FALSE),0)</f>
        <v>2733</v>
      </c>
      <c r="I225" s="347">
        <f t="shared" si="89"/>
        <v>1935</v>
      </c>
      <c r="J225" s="347">
        <f t="shared" si="90"/>
        <v>18</v>
      </c>
      <c r="K225" s="347">
        <f t="shared" si="91"/>
        <v>9485</v>
      </c>
      <c r="L225" s="347">
        <f t="shared" si="92"/>
        <v>0</v>
      </c>
    </row>
    <row r="226" spans="1:12">
      <c r="A226" s="333">
        <v>24</v>
      </c>
      <c r="C226" s="618" t="str">
        <f>'FR-16(7)(v)-1 Functional'!C226</f>
        <v>RATE CASE EXPENSE AMORT</v>
      </c>
      <c r="D226" s="344" t="str">
        <f>'FR-16(7)(v)-1 Functional'!D226</f>
        <v>AG39</v>
      </c>
      <c r="F226" s="479">
        <f>'FR-16(7)(v)-2 PROD Classified'!H226</f>
        <v>-2593</v>
      </c>
      <c r="G226" s="349">
        <f t="shared" si="88"/>
        <v>-1312</v>
      </c>
      <c r="H226" s="347">
        <f>ROUND($F$226*VLOOKUP($D$226,ALLOCTABLE_Prod_Commodity,$H$10,FALSE),0)</f>
        <v>-747</v>
      </c>
      <c r="I226" s="347">
        <f>ROUND(F226*VLOOKUP(D226,ALLOCTABLE_Prod_Commodity,$I$10,FALSE),0)</f>
        <v>-529</v>
      </c>
      <c r="J226" s="347">
        <f>ROUND(F226*VLOOKUP(D226,ALLOCTABLE_Prod_Commodity,$J$10,FALSE),0)</f>
        <v>-5</v>
      </c>
      <c r="K226" s="347">
        <f>SUM(G226:J226)</f>
        <v>-2593</v>
      </c>
      <c r="L226" s="347">
        <f>F226-K226</f>
        <v>0</v>
      </c>
    </row>
    <row r="227" spans="1:12">
      <c r="A227" s="333">
        <v>25</v>
      </c>
      <c r="C227" s="332" t="str">
        <f>'FR-16(7)(v)-1 Functional'!C227</f>
        <v>PENSION</v>
      </c>
      <c r="D227" s="344" t="str">
        <f>'FR-16(7)(v)-1 Functional'!D227</f>
        <v>AG39</v>
      </c>
      <c r="F227" s="479">
        <f>'FR-16(7)(v)-2 PROD Classified'!H227</f>
        <v>165705</v>
      </c>
      <c r="G227" s="349">
        <f t="shared" si="88"/>
        <v>83831</v>
      </c>
      <c r="H227" s="347">
        <f>ROUND($F$227*VLOOKUP($D$227,ALLOCTABLE_Prod_Commodity,$H$10,FALSE),0)</f>
        <v>47753</v>
      </c>
      <c r="I227" s="347">
        <f>ROUND(F227*VLOOKUP(D227,ALLOCTABLE_Prod_Commodity,$I$10,FALSE),0)</f>
        <v>33809</v>
      </c>
      <c r="J227" s="347">
        <f>ROUND(F227*VLOOKUP(D227,ALLOCTABLE_Prod_Commodity,$J$10,FALSE),0)</f>
        <v>312</v>
      </c>
      <c r="K227" s="347">
        <f>SUM(G227:J227)</f>
        <v>165705</v>
      </c>
      <c r="L227" s="347">
        <f>F227-K227</f>
        <v>0</v>
      </c>
    </row>
    <row r="228" spans="1:12">
      <c r="A228" s="333">
        <v>26</v>
      </c>
      <c r="C228" s="365" t="str">
        <f>'FR-16(7)(v)-1 Functional'!C228</f>
        <v>MISCELLANEOUS</v>
      </c>
      <c r="D228" s="344" t="str">
        <f>'FR-16(7)(v)-1 Functional'!D228</f>
        <v>K406</v>
      </c>
      <c r="F228" s="479">
        <f>'FR-16(7)(v)-2 PROD Classified'!H228</f>
        <v>0</v>
      </c>
      <c r="G228" s="349">
        <f t="shared" si="88"/>
        <v>0</v>
      </c>
      <c r="H228" s="347">
        <f>ROUND($F$228*VLOOKUP($D$228,ALLOCTABLE_Prod_Commodity,$H$10,FALSE),0)</f>
        <v>0</v>
      </c>
      <c r="I228" s="347">
        <f>ROUND(F228*VLOOKUP(D228,ALLOCTABLE_Prod_Commodity,$I$10,FALSE),0)</f>
        <v>0</v>
      </c>
      <c r="J228" s="347">
        <f>ROUND(F228*VLOOKUP(D228,ALLOCTABLE_Prod_Commodity,$J$10,FALSE),0)</f>
        <v>0</v>
      </c>
      <c r="K228" s="347">
        <f t="shared" si="91"/>
        <v>0</v>
      </c>
      <c r="L228" s="347">
        <f t="shared" si="92"/>
        <v>0</v>
      </c>
    </row>
    <row r="229" spans="1:12">
      <c r="A229" s="333">
        <v>27</v>
      </c>
      <c r="C229" s="339" t="str">
        <f>'FR-16(7)(v)-1 Functional'!C229</f>
        <v xml:space="preserve">  TOTAL ACCOUNT 283</v>
      </c>
      <c r="D229" s="344"/>
      <c r="F229" s="348">
        <f t="shared" ref="F229:L229" si="93">SUM(F217:F228)</f>
        <v>174793</v>
      </c>
      <c r="G229" s="348">
        <f>SUM(G217:G228)</f>
        <v>88433</v>
      </c>
      <c r="H229" s="348">
        <f t="shared" si="93"/>
        <v>50373</v>
      </c>
      <c r="I229" s="348">
        <f t="shared" si="93"/>
        <v>35658</v>
      </c>
      <c r="J229" s="348">
        <f t="shared" si="93"/>
        <v>329</v>
      </c>
      <c r="K229" s="348">
        <f t="shared" si="93"/>
        <v>174793</v>
      </c>
      <c r="L229" s="348">
        <f t="shared" si="93"/>
        <v>0</v>
      </c>
    </row>
    <row r="230" spans="1:12">
      <c r="A230" s="333">
        <v>28</v>
      </c>
      <c r="D230" s="344"/>
      <c r="E230" s="196"/>
      <c r="I230" s="332"/>
    </row>
    <row r="231" spans="1:12">
      <c r="A231" s="333">
        <v>29</v>
      </c>
      <c r="B231" s="353" t="s">
        <v>824</v>
      </c>
      <c r="C231" s="353"/>
      <c r="D231" s="344"/>
      <c r="E231" s="196"/>
      <c r="I231" s="332"/>
    </row>
    <row r="232" spans="1:12">
      <c r="A232" s="333">
        <v>30</v>
      </c>
      <c r="C232" s="332" t="str">
        <f>'FR-16(7)(v)-1 Functional'!C232</f>
        <v>CUSTOMER ADVANCES FOR CONSTRUCTION</v>
      </c>
      <c r="D232" s="344" t="s">
        <v>312</v>
      </c>
      <c r="E232" s="196"/>
      <c r="F232" s="479">
        <f>'FR-16(7)(v)-2 PROD Classified'!H232</f>
        <v>0</v>
      </c>
      <c r="G232" s="349">
        <f>F232-SUM(H232:J232)</f>
        <v>0</v>
      </c>
      <c r="H232" s="347">
        <f>ROUND($F$232*VLOOKUP($D$232,ALLOCTABLE_Prod_Commodity,$H$10,FALSE),0)</f>
        <v>0</v>
      </c>
      <c r="I232" s="347">
        <f>ROUND(F232*VLOOKUP(D232,ALLOCTABLE_Prod_Commodity,$I$10,FALSE),0)</f>
        <v>0</v>
      </c>
      <c r="J232" s="347">
        <f>ROUND(F232*VLOOKUP(D232,ALLOCTABLE_Prod_Commodity,$J$10,FALSE),0)</f>
        <v>0</v>
      </c>
      <c r="K232" s="347">
        <f>SUM(G232:J232)</f>
        <v>0</v>
      </c>
      <c r="L232" s="347">
        <f>F232-K232</f>
        <v>0</v>
      </c>
    </row>
    <row r="233" spans="1:12">
      <c r="A233" s="333">
        <v>31</v>
      </c>
      <c r="C233" s="332" t="str">
        <f>'FR-16(7)(v)-1 Functional'!C233</f>
        <v>CUSTOMER SERVICE DEPOSITS</v>
      </c>
      <c r="D233" s="344" t="str">
        <f>'FR-16(7)(v)-1 Functional'!D233</f>
        <v>D249</v>
      </c>
      <c r="E233" s="196"/>
      <c r="F233" s="479">
        <f>'FR-16(7)(v)-2 PROD Classified'!H233</f>
        <v>0</v>
      </c>
      <c r="G233" s="349">
        <f>F233-SUM(H233:J233)</f>
        <v>0</v>
      </c>
      <c r="H233" s="347">
        <f>ROUND($F$233*VLOOKUP($D$233,ALLOCTABLE_Prod_Commodity,$H$10,FALSE),0)</f>
        <v>0</v>
      </c>
      <c r="I233" s="347">
        <f>ROUND(F233*VLOOKUP(D233,ALLOCTABLE_Prod_Commodity,$I$10,FALSE),0)</f>
        <v>0</v>
      </c>
      <c r="J233" s="347">
        <f>ROUND(F233*VLOOKUP(D233,ALLOCTABLE_Prod_Commodity,$J$10,FALSE),0)</f>
        <v>0</v>
      </c>
      <c r="K233" s="347">
        <f>SUM(G233:J233)</f>
        <v>0</v>
      </c>
      <c r="L233" s="347">
        <f>F233-K233</f>
        <v>0</v>
      </c>
    </row>
    <row r="234" spans="1:12">
      <c r="A234" s="333">
        <v>32</v>
      </c>
      <c r="C234" s="332" t="str">
        <f>'FR-16(7)(v)-1 Functional'!C234</f>
        <v>POST RETIREMENT BENEFITS</v>
      </c>
      <c r="D234" s="344" t="str">
        <f>'FR-16(7)(v)-1 Functional'!D234</f>
        <v>AG39</v>
      </c>
      <c r="E234" s="196"/>
      <c r="F234" s="479">
        <f>'FR-16(7)(v)-2 PROD Classified'!H234</f>
        <v>0</v>
      </c>
      <c r="G234" s="349">
        <f>F234-SUM(H234:J234)</f>
        <v>0</v>
      </c>
      <c r="H234" s="347">
        <f>ROUND($F$234*VLOOKUP($D$234,ALLOCTABLE_Prod_Commodity,$H$10,FALSE),0)</f>
        <v>0</v>
      </c>
      <c r="I234" s="347">
        <f>ROUND(F234*VLOOKUP(D234,ALLOCTABLE_Prod_Commodity,$I$10,FALSE),0)</f>
        <v>0</v>
      </c>
      <c r="J234" s="347">
        <f>ROUND(F234*VLOOKUP(D234,ALLOCTABLE_Prod_Commodity,$J$10,FALSE),0)</f>
        <v>0</v>
      </c>
      <c r="K234" s="347">
        <f>SUM(G234:J234)</f>
        <v>0</v>
      </c>
      <c r="L234" s="347">
        <f>F234-K234</f>
        <v>0</v>
      </c>
    </row>
    <row r="235" spans="1:12">
      <c r="A235" s="333">
        <v>33</v>
      </c>
      <c r="C235" s="365" t="str">
        <f>'FR-16(7)(v)-1 Functional'!C235</f>
        <v>EDIT</v>
      </c>
      <c r="D235" s="344" t="str">
        <f>'FR-16(7)(v)-1 Functional'!D235</f>
        <v>NP29</v>
      </c>
      <c r="E235" s="196"/>
      <c r="F235" s="479">
        <f>'FR-16(7)(v)-2 PROD Classified'!H235</f>
        <v>230517</v>
      </c>
      <c r="G235" s="349">
        <f>F235-SUM(H235:J235)</f>
        <v>123695</v>
      </c>
      <c r="H235" s="347">
        <f>ROUND($F$235*VLOOKUP($D$235,ALLOCTABLE_Prod_Commodity,$H$10,FALSE),0)</f>
        <v>67959</v>
      </c>
      <c r="I235" s="347">
        <f>ROUND(F235*VLOOKUP(D235,ALLOCTABLE_Prod_Commodity,$I$10,FALSE),0)</f>
        <v>38658</v>
      </c>
      <c r="J235" s="347">
        <f>ROUND(F235*VLOOKUP(D235,ALLOCTABLE_Prod_Commodity,$J$10,FALSE),0)</f>
        <v>205</v>
      </c>
      <c r="K235" s="347">
        <f>SUM(G235:J235)</f>
        <v>230517</v>
      </c>
      <c r="L235" s="347">
        <f>F235-K235</f>
        <v>0</v>
      </c>
    </row>
    <row r="236" spans="1:12">
      <c r="A236" s="333">
        <v>34</v>
      </c>
      <c r="C236" s="339" t="str">
        <f>'FR-16(7)(v)-1 Functional'!C236</f>
        <v xml:space="preserve">  TOTAL OTHER SUBTRACTIVE ADJS</v>
      </c>
      <c r="D236" s="344"/>
      <c r="E236" s="196"/>
      <c r="F236" s="348">
        <f t="shared" ref="F236:L236" si="94">SUM(F231:F235)</f>
        <v>230517</v>
      </c>
      <c r="G236" s="348">
        <f>SUM(G231:G235)</f>
        <v>123695</v>
      </c>
      <c r="H236" s="348">
        <f t="shared" si="94"/>
        <v>67959</v>
      </c>
      <c r="I236" s="348">
        <f t="shared" si="94"/>
        <v>38658</v>
      </c>
      <c r="J236" s="348">
        <f t="shared" si="94"/>
        <v>205</v>
      </c>
      <c r="K236" s="348">
        <f t="shared" si="94"/>
        <v>230517</v>
      </c>
      <c r="L236" s="348">
        <f t="shared" si="94"/>
        <v>0</v>
      </c>
    </row>
    <row r="237" spans="1:12">
      <c r="A237" s="333">
        <v>35</v>
      </c>
      <c r="D237" s="344"/>
      <c r="E237" s="196"/>
      <c r="I237" s="332"/>
    </row>
    <row r="238" spans="1:12">
      <c r="A238" s="333">
        <v>36</v>
      </c>
      <c r="B238" s="332" t="s">
        <v>828</v>
      </c>
      <c r="D238" s="344"/>
      <c r="E238" s="196"/>
      <c r="F238" s="347">
        <f t="shared" ref="F238:L238" si="95">F236+F229+F215</f>
        <v>1710679</v>
      </c>
      <c r="G238" s="347">
        <f>G236+G229+G215</f>
        <v>884301</v>
      </c>
      <c r="H238" s="347">
        <f t="shared" si="95"/>
        <v>497057</v>
      </c>
      <c r="I238" s="347">
        <f t="shared" si="95"/>
        <v>326712</v>
      </c>
      <c r="J238" s="347">
        <f t="shared" si="95"/>
        <v>2609</v>
      </c>
      <c r="K238" s="347">
        <f t="shared" si="95"/>
        <v>1710679</v>
      </c>
      <c r="L238" s="347">
        <f t="shared" si="95"/>
        <v>0</v>
      </c>
    </row>
    <row r="239" spans="1:12">
      <c r="B239" s="343"/>
      <c r="C239" s="196"/>
      <c r="D239" s="344"/>
      <c r="E239" s="196"/>
      <c r="G239" s="196"/>
      <c r="H239" s="196"/>
      <c r="I239" s="196"/>
      <c r="J239" s="344"/>
      <c r="K239" s="196"/>
      <c r="L239" s="196"/>
    </row>
    <row r="240" spans="1:12">
      <c r="A240" s="343" t="str">
        <f>co_name</f>
        <v>DUKE ENERGY KENTUCKY, INC.</v>
      </c>
      <c r="C240" s="196"/>
      <c r="D240" s="344"/>
      <c r="E240" s="196"/>
      <c r="F240" s="344"/>
      <c r="G240" s="342"/>
      <c r="H240" s="342"/>
      <c r="I240" s="196"/>
      <c r="K240" s="361" t="str">
        <f>$K$1</f>
        <v>FR-16(7)(v)-3</v>
      </c>
      <c r="L240" s="196"/>
    </row>
    <row r="241" spans="1:12">
      <c r="A241" s="343" t="str">
        <f>$A$2</f>
        <v>PRODUCTION COMMODITY ALLOCATED - GAS COST OF SERVICE</v>
      </c>
      <c r="C241" s="196"/>
      <c r="D241" s="344"/>
      <c r="E241" s="196"/>
      <c r="F241" s="344"/>
      <c r="G241" s="342"/>
      <c r="H241" s="342"/>
      <c r="I241" s="196"/>
      <c r="K241" s="361" t="str">
        <f>$K$2</f>
        <v>WITNESS RESPONSIBLE:</v>
      </c>
      <c r="L241" s="196"/>
    </row>
    <row r="242" spans="1:12">
      <c r="A242" s="343" t="str">
        <f>case_name</f>
        <v>CASE NO: 2018-00261</v>
      </c>
      <c r="C242" s="196"/>
      <c r="D242" s="344"/>
      <c r="E242" s="196"/>
      <c r="F242" s="344"/>
      <c r="G242" s="342"/>
      <c r="H242" s="342"/>
      <c r="I242" s="196"/>
      <c r="K242" s="361" t="str">
        <f>Witness</f>
        <v>JAMES E. ZIOLKOWSKI</v>
      </c>
      <c r="L242" s="196"/>
    </row>
    <row r="243" spans="1:12">
      <c r="A243" s="343" t="str">
        <f>data_filing</f>
        <v>DATA: 12 MONTH FORECASTED PERIOD</v>
      </c>
      <c r="C243" s="196"/>
      <c r="D243" s="344"/>
      <c r="E243" s="196"/>
      <c r="F243" s="344"/>
      <c r="G243" s="342"/>
      <c r="H243" s="342"/>
      <c r="I243" s="196"/>
      <c r="K243" s="361" t="str">
        <f>"PAGE "&amp;Pages-12&amp;" OF "&amp;Pages</f>
        <v>PAGE 6 OF 18</v>
      </c>
      <c r="L243" s="196"/>
    </row>
    <row r="244" spans="1:12">
      <c r="A244" s="343" t="str">
        <f>type</f>
        <v xml:space="preserve">TYPE OF FILING: "X" ORIGINAL   UPDATED    REVISED  </v>
      </c>
      <c r="C244" s="196"/>
      <c r="D244" s="344"/>
      <c r="E244" s="196"/>
      <c r="F244" s="344"/>
      <c r="G244" s="342"/>
      <c r="H244" s="342"/>
      <c r="I244" s="196"/>
      <c r="J244" s="344"/>
      <c r="K244" s="196"/>
      <c r="L244" s="196"/>
    </row>
    <row r="245" spans="1:12">
      <c r="B245" s="343"/>
      <c r="C245" s="196"/>
      <c r="D245" s="344"/>
      <c r="E245" s="196"/>
      <c r="F245" s="344"/>
      <c r="G245" s="196"/>
      <c r="H245" s="196"/>
      <c r="I245" s="196"/>
      <c r="J245" s="344"/>
      <c r="K245" s="196"/>
      <c r="L245" s="196"/>
    </row>
    <row r="246" spans="1:12">
      <c r="B246" s="343"/>
      <c r="C246" s="196"/>
      <c r="D246" s="344"/>
      <c r="E246" s="196"/>
      <c r="F246" s="344" t="str">
        <f>$F$7</f>
        <v>TOTAL</v>
      </c>
      <c r="G246" s="196"/>
      <c r="H246" s="196"/>
      <c r="I246" s="196"/>
      <c r="J246" s="344"/>
      <c r="K246" s="196"/>
      <c r="L246" s="196"/>
    </row>
    <row r="247" spans="1:12">
      <c r="A247" s="344" t="s">
        <v>914</v>
      </c>
      <c r="B247" s="196"/>
      <c r="C247" s="196"/>
      <c r="D247" s="344"/>
      <c r="E247" s="196"/>
      <c r="F247" s="344" t="str">
        <f>$F$8</f>
        <v>PRODUCTION</v>
      </c>
      <c r="G247" s="344" t="s">
        <v>418</v>
      </c>
      <c r="H247" s="344" t="s">
        <v>864</v>
      </c>
      <c r="I247" s="344" t="s">
        <v>865</v>
      </c>
      <c r="J247" s="344" t="s">
        <v>549</v>
      </c>
      <c r="K247" s="344" t="s">
        <v>229</v>
      </c>
      <c r="L247" s="344" t="s">
        <v>342</v>
      </c>
    </row>
    <row r="248" spans="1:12">
      <c r="A248" s="346" t="s">
        <v>915</v>
      </c>
      <c r="B248" s="345" t="s">
        <v>954</v>
      </c>
      <c r="C248" s="345"/>
      <c r="D248" s="346" t="s">
        <v>337</v>
      </c>
      <c r="E248" s="345"/>
      <c r="F248" s="344" t="str">
        <f>$F$9</f>
        <v>COMMODITY</v>
      </c>
      <c r="G248" s="346" t="s">
        <v>338</v>
      </c>
      <c r="H248" s="346" t="s">
        <v>405</v>
      </c>
      <c r="I248" s="346" t="s">
        <v>405</v>
      </c>
      <c r="J248" s="346" t="s">
        <v>550</v>
      </c>
      <c r="K248" s="346" t="s">
        <v>341</v>
      </c>
      <c r="L248" s="346" t="s">
        <v>340</v>
      </c>
    </row>
    <row r="249" spans="1:12">
      <c r="C249" s="578" t="s">
        <v>558</v>
      </c>
      <c r="D249" s="344"/>
      <c r="E249" s="196"/>
      <c r="F249" s="761"/>
      <c r="G249" s="633">
        <f>$G$10</f>
        <v>3</v>
      </c>
      <c r="H249" s="633">
        <f>$H$10</f>
        <v>4</v>
      </c>
      <c r="I249" s="633">
        <f>$I$10</f>
        <v>5</v>
      </c>
      <c r="J249" s="633">
        <f>$J$10</f>
        <v>6</v>
      </c>
    </row>
    <row r="250" spans="1:12">
      <c r="A250" s="333">
        <v>1</v>
      </c>
      <c r="B250" s="332" t="s">
        <v>826</v>
      </c>
      <c r="D250" s="344"/>
      <c r="E250" s="196"/>
      <c r="I250" s="332"/>
    </row>
    <row r="251" spans="1:12">
      <c r="A251" s="333">
        <v>2</v>
      </c>
      <c r="B251" s="332" t="s">
        <v>29</v>
      </c>
      <c r="D251" s="344"/>
      <c r="E251" s="196"/>
      <c r="I251" s="332"/>
    </row>
    <row r="252" spans="1:12">
      <c r="A252" s="333">
        <v>3</v>
      </c>
      <c r="C252" s="332" t="str">
        <f>'FR-16(7)(v)-1 Functional'!C252</f>
        <v>UNCOLLECTIBLE ACCTS</v>
      </c>
      <c r="D252" s="344" t="str">
        <f>'FR-16(7)(v)-1 Functional'!D252</f>
        <v>K406</v>
      </c>
      <c r="F252" s="479">
        <f>'FR-16(7)(v)-2 PROD Classified'!H252</f>
        <v>0</v>
      </c>
      <c r="G252" s="349">
        <f t="shared" ref="G252:G274" si="96">F252-SUM(H252:J252)</f>
        <v>0</v>
      </c>
      <c r="H252" s="347">
        <f>ROUND($F$252*VLOOKUP($D$252,ALLOCTABLE_Prod_Commodity,$H$10,FALSE),0)</f>
        <v>0</v>
      </c>
      <c r="I252" s="347">
        <f t="shared" ref="I252:I274" si="97">ROUND(F252*VLOOKUP(D252,ALLOCTABLE_Prod_Commodity,$I$10,FALSE),0)</f>
        <v>0</v>
      </c>
      <c r="J252" s="347">
        <f t="shared" ref="J252:J274" si="98">ROUND(F252*VLOOKUP(D252,ALLOCTABLE_Prod_Commodity,$J$10,FALSE),0)</f>
        <v>0</v>
      </c>
      <c r="K252" s="347">
        <f t="shared" ref="K252:K274" si="99">SUM(G252:J252)</f>
        <v>0</v>
      </c>
      <c r="L252" s="347">
        <f t="shared" ref="L252:L274" si="100">F252-K252</f>
        <v>0</v>
      </c>
    </row>
    <row r="253" spans="1:12">
      <c r="A253" s="333">
        <v>4</v>
      </c>
      <c r="C253" s="332" t="str">
        <f>'FR-16(7)(v)-1 Functional'!C253</f>
        <v>GAS SUPPLIER REFUND</v>
      </c>
      <c r="D253" s="344" t="str">
        <f>'FR-16(7)(v)-1 Functional'!D253</f>
        <v>K300</v>
      </c>
      <c r="F253" s="479">
        <f>'FR-16(7)(v)-2 PROD Classified'!H253</f>
        <v>40128</v>
      </c>
      <c r="G253" s="349">
        <f t="shared" si="96"/>
        <v>17727</v>
      </c>
      <c r="H253" s="347">
        <f>ROUND($F$253*VLOOKUP($D$253,ALLOCTABLE_Prod_Commodity,$H$10,FALSE),0)</f>
        <v>10098</v>
      </c>
      <c r="I253" s="347">
        <f t="shared" si="97"/>
        <v>7149</v>
      </c>
      <c r="J253" s="347">
        <f t="shared" si="98"/>
        <v>5154</v>
      </c>
      <c r="K253" s="347">
        <f t="shared" si="99"/>
        <v>40128</v>
      </c>
      <c r="L253" s="347">
        <f t="shared" si="100"/>
        <v>0</v>
      </c>
    </row>
    <row r="254" spans="1:12">
      <c r="A254" s="333">
        <v>5</v>
      </c>
      <c r="C254" s="332" t="str">
        <f>'FR-16(7)(v)-1 Functional'!C254</f>
        <v>UNBILLED REVENUE - FUEL &amp; RATE REFUNDS</v>
      </c>
      <c r="D254" s="344" t="str">
        <f>'FR-16(7)(v)-1 Functional'!D254</f>
        <v>K300</v>
      </c>
      <c r="F254" s="479">
        <f>'FR-16(7)(v)-2 PROD Classified'!H254</f>
        <v>727162</v>
      </c>
      <c r="G254" s="349">
        <f t="shared" si="96"/>
        <v>321224</v>
      </c>
      <c r="H254" s="347">
        <f>ROUND($F$254*VLOOKUP($D$254,ALLOCTABLE_Prod_Commodity,$H$10,FALSE),0)</f>
        <v>182983</v>
      </c>
      <c r="I254" s="347">
        <f t="shared" si="97"/>
        <v>129551</v>
      </c>
      <c r="J254" s="347">
        <f t="shared" si="98"/>
        <v>93404</v>
      </c>
      <c r="K254" s="347">
        <f t="shared" si="99"/>
        <v>727162</v>
      </c>
      <c r="L254" s="347">
        <f t="shared" si="100"/>
        <v>0</v>
      </c>
    </row>
    <row r="255" spans="1:12">
      <c r="A255" s="333">
        <v>6</v>
      </c>
      <c r="C255" s="353" t="str">
        <f>'FR-16(7)(v)-1 Functional'!C255</f>
        <v>OFFSITE GAS STORAGE</v>
      </c>
      <c r="D255" s="344" t="str">
        <f>'FR-16(7)(v)-1 Functional'!D255</f>
        <v>K300</v>
      </c>
      <c r="F255" s="479">
        <f>'FR-16(7)(v)-2 PROD Classified'!H255</f>
        <v>88650</v>
      </c>
      <c r="G255" s="349">
        <f t="shared" si="96"/>
        <v>39161</v>
      </c>
      <c r="H255" s="347">
        <f>ROUND($F$255*VLOOKUP($D$255,ALLOCTABLE_Prod_Commodity,$H$10,FALSE),0)</f>
        <v>22308</v>
      </c>
      <c r="I255" s="347">
        <f t="shared" si="97"/>
        <v>15794</v>
      </c>
      <c r="J255" s="347">
        <f t="shared" si="98"/>
        <v>11387</v>
      </c>
      <c r="K255" s="347">
        <f t="shared" si="99"/>
        <v>88650</v>
      </c>
      <c r="L255" s="347">
        <f t="shared" si="100"/>
        <v>0</v>
      </c>
    </row>
    <row r="256" spans="1:12">
      <c r="A256" s="333">
        <v>7</v>
      </c>
      <c r="C256" s="332" t="str">
        <f>'FR-16(7)(v)-1 Functional'!C256</f>
        <v>GAS METERS</v>
      </c>
      <c r="D256" s="344" t="str">
        <f>'FR-16(7)(v)-1 Functional'!D256</f>
        <v>K413</v>
      </c>
      <c r="F256" s="479">
        <f>'FR-16(7)(v)-2 PROD Classified'!H256</f>
        <v>0</v>
      </c>
      <c r="G256" s="349">
        <f t="shared" si="96"/>
        <v>0</v>
      </c>
      <c r="H256" s="347">
        <f>ROUND($F$256*VLOOKUP($D$256,ALLOCTABLE_Prod_Commodity,$H$10,FALSE),0)</f>
        <v>0</v>
      </c>
      <c r="I256" s="347">
        <f t="shared" si="97"/>
        <v>0</v>
      </c>
      <c r="J256" s="347">
        <f t="shared" si="98"/>
        <v>0</v>
      </c>
      <c r="K256" s="347">
        <f t="shared" si="99"/>
        <v>0</v>
      </c>
      <c r="L256" s="347">
        <f t="shared" si="100"/>
        <v>0</v>
      </c>
    </row>
    <row r="257" spans="1:12">
      <c r="A257" s="333">
        <v>8</v>
      </c>
      <c r="C257" s="332" t="str">
        <f>'FR-16(7)(v)-1 Functional'!C257</f>
        <v>UNAMORTIZED DEBT PREMIUM</v>
      </c>
      <c r="D257" s="344" t="str">
        <f>'FR-16(7)(v)-1 Functional'!D257</f>
        <v>NP29</v>
      </c>
      <c r="F257" s="479">
        <f>'FR-16(7)(v)-2 PROD Classified'!H257</f>
        <v>-13</v>
      </c>
      <c r="G257" s="349">
        <f t="shared" si="96"/>
        <v>-7</v>
      </c>
      <c r="H257" s="347">
        <f>ROUND($F$257*VLOOKUP($D$257,ALLOCTABLE_Prod_Commodity,$H$10,FALSE),0)</f>
        <v>-4</v>
      </c>
      <c r="I257" s="347">
        <f t="shared" si="97"/>
        <v>-2</v>
      </c>
      <c r="J257" s="347">
        <f t="shared" si="98"/>
        <v>0</v>
      </c>
      <c r="K257" s="347">
        <f t="shared" si="99"/>
        <v>-13</v>
      </c>
      <c r="L257" s="347">
        <f t="shared" si="100"/>
        <v>0</v>
      </c>
    </row>
    <row r="258" spans="1:12">
      <c r="A258" s="333">
        <v>9</v>
      </c>
      <c r="C258" s="332" t="str">
        <f>'FR-16(7)(v)-1 Functional'!C258</f>
        <v>ARO CUMULATIVE EFFECT</v>
      </c>
      <c r="D258" s="344" t="str">
        <f>'FR-16(7)(v)-1 Functional'!D258</f>
        <v>NP29</v>
      </c>
      <c r="F258" s="479">
        <f>'FR-16(7)(v)-2 PROD Classified'!H258</f>
        <v>0</v>
      </c>
      <c r="G258" s="349">
        <f t="shared" si="96"/>
        <v>0</v>
      </c>
      <c r="H258" s="347">
        <f>ROUND($F$258*VLOOKUP($D$258,ALLOCTABLE_Prod_Commodity,$H$10,FALSE),0)</f>
        <v>0</v>
      </c>
      <c r="I258" s="347">
        <f t="shared" si="97"/>
        <v>0</v>
      </c>
      <c r="J258" s="347">
        <f t="shared" si="98"/>
        <v>0</v>
      </c>
      <c r="K258" s="347">
        <f t="shared" si="99"/>
        <v>0</v>
      </c>
      <c r="L258" s="347">
        <f t="shared" si="100"/>
        <v>0</v>
      </c>
    </row>
    <row r="259" spans="1:12">
      <c r="A259" s="333">
        <v>10</v>
      </c>
      <c r="C259" s="332" t="str">
        <f>'FR-16(7)(v)-1 Functional'!C259</f>
        <v>PENSION EXPENSE</v>
      </c>
      <c r="D259" s="344" t="str">
        <f>'FR-16(7)(v)-1 Functional'!D259</f>
        <v>AG39</v>
      </c>
      <c r="F259" s="479">
        <f>'FR-16(7)(v)-2 PROD Classified'!H259</f>
        <v>19059</v>
      </c>
      <c r="G259" s="349">
        <f t="shared" si="96"/>
        <v>9642</v>
      </c>
      <c r="H259" s="347">
        <f>ROUND($F$259*VLOOKUP($D$259,ALLOCTABLE_Prod_Commodity,$H$10,FALSE),0)</f>
        <v>5492</v>
      </c>
      <c r="I259" s="347">
        <f t="shared" si="97"/>
        <v>3889</v>
      </c>
      <c r="J259" s="347">
        <f t="shared" si="98"/>
        <v>36</v>
      </c>
      <c r="K259" s="347">
        <f t="shared" si="99"/>
        <v>19059</v>
      </c>
      <c r="L259" s="347">
        <f t="shared" si="100"/>
        <v>0</v>
      </c>
    </row>
    <row r="260" spans="1:12">
      <c r="A260" s="333">
        <v>11</v>
      </c>
      <c r="C260" s="332" t="str">
        <f>'FR-16(7)(v)-1 Functional'!C260</f>
        <v>POST RETIREMENT BENEFITS - LIFE INS</v>
      </c>
      <c r="D260" s="344" t="str">
        <f>'FR-16(7)(v)-1 Functional'!D260</f>
        <v>AG39</v>
      </c>
      <c r="F260" s="479">
        <f>'FR-16(7)(v)-2 PROD Classified'!H260</f>
        <v>0</v>
      </c>
      <c r="G260" s="349">
        <f t="shared" si="96"/>
        <v>0</v>
      </c>
      <c r="H260" s="347">
        <f>ROUND($F$260*VLOOKUP($D$260,ALLOCTABLE_Prod_Commodity,$H$10,FALSE),0)</f>
        <v>0</v>
      </c>
      <c r="I260" s="347">
        <f t="shared" si="97"/>
        <v>0</v>
      </c>
      <c r="J260" s="347">
        <f t="shared" si="98"/>
        <v>0</v>
      </c>
      <c r="K260" s="347">
        <f t="shared" si="99"/>
        <v>0</v>
      </c>
      <c r="L260" s="347">
        <f t="shared" si="100"/>
        <v>0</v>
      </c>
    </row>
    <row r="261" spans="1:12">
      <c r="A261" s="333">
        <v>12</v>
      </c>
      <c r="C261" s="332" t="str">
        <f>'FR-16(7)(v)-1 Functional'!C261</f>
        <v>POST RETIREMENT BENEFITS - HEALTH CARE</v>
      </c>
      <c r="D261" s="344" t="str">
        <f>'FR-16(7)(v)-1 Functional'!D261</f>
        <v>AG39</v>
      </c>
      <c r="F261" s="479">
        <f>'FR-16(7)(v)-2 PROD Classified'!H261</f>
        <v>0</v>
      </c>
      <c r="G261" s="349">
        <f t="shared" si="96"/>
        <v>0</v>
      </c>
      <c r="H261" s="347">
        <f>ROUND($F$261*VLOOKUP($D$261,ALLOCTABLE_Prod_Commodity,$H$10,FALSE),0)</f>
        <v>0</v>
      </c>
      <c r="I261" s="347">
        <f t="shared" si="97"/>
        <v>0</v>
      </c>
      <c r="J261" s="347">
        <f t="shared" si="98"/>
        <v>0</v>
      </c>
      <c r="K261" s="347">
        <f t="shared" si="99"/>
        <v>0</v>
      </c>
      <c r="L261" s="347">
        <f t="shared" si="100"/>
        <v>0</v>
      </c>
    </row>
    <row r="262" spans="1:12">
      <c r="A262" s="333">
        <v>13</v>
      </c>
      <c r="C262" s="332" t="str">
        <f>'FR-16(7)(v)-1 Functional'!C262</f>
        <v>POST EMPLOYMENT BENEFITS - SFAS 112</v>
      </c>
      <c r="D262" s="344" t="str">
        <f>'FR-16(7)(v)-1 Functional'!D262</f>
        <v>AG39</v>
      </c>
      <c r="F262" s="479">
        <f>'FR-16(7)(v)-2 PROD Classified'!H262</f>
        <v>4546</v>
      </c>
      <c r="G262" s="349">
        <f t="shared" si="96"/>
        <v>2299</v>
      </c>
      <c r="H262" s="347">
        <f>ROUND($F$262*VLOOKUP($D$262,ALLOCTABLE_Prod_Commodity,$H$10,FALSE),0)</f>
        <v>1310</v>
      </c>
      <c r="I262" s="347">
        <f t="shared" si="97"/>
        <v>928</v>
      </c>
      <c r="J262" s="347">
        <f t="shared" si="98"/>
        <v>9</v>
      </c>
      <c r="K262" s="347">
        <f t="shared" si="99"/>
        <v>4546</v>
      </c>
      <c r="L262" s="347">
        <f t="shared" si="100"/>
        <v>0</v>
      </c>
    </row>
    <row r="263" spans="1:12">
      <c r="A263" s="333">
        <v>14</v>
      </c>
      <c r="C263" s="332" t="str">
        <f>'FR-16(7)(v)-1 Functional'!C263</f>
        <v>OPEB EXPENSE ACCRUAL</v>
      </c>
      <c r="D263" s="344" t="str">
        <f>'FR-16(7)(v)-1 Functional'!D263</f>
        <v>AG39</v>
      </c>
      <c r="F263" s="479">
        <f>'FR-16(7)(v)-2 PROD Classified'!H263</f>
        <v>31281</v>
      </c>
      <c r="G263" s="349">
        <f t="shared" si="96"/>
        <v>15825</v>
      </c>
      <c r="H263" s="347">
        <f>ROUND($F$263*VLOOKUP($D$263,ALLOCTABLE_Prod_Commodity,$H$10,FALSE),0)</f>
        <v>9015</v>
      </c>
      <c r="I263" s="347">
        <f t="shared" si="97"/>
        <v>6382</v>
      </c>
      <c r="J263" s="347">
        <f t="shared" si="98"/>
        <v>59</v>
      </c>
      <c r="K263" s="347">
        <f t="shared" si="99"/>
        <v>31281</v>
      </c>
      <c r="L263" s="347">
        <f t="shared" si="100"/>
        <v>0</v>
      </c>
    </row>
    <row r="264" spans="1:12">
      <c r="A264" s="333">
        <v>15</v>
      </c>
      <c r="C264" s="332" t="str">
        <f>'FR-16(7)(v)-1 Functional'!C264</f>
        <v>INCENTIVE PLAN</v>
      </c>
      <c r="D264" s="344" t="str">
        <f>'FR-16(7)(v)-1 Functional'!D264</f>
        <v>AG39</v>
      </c>
      <c r="F264" s="479">
        <f>'FR-16(7)(v)-2 PROD Classified'!H264</f>
        <v>0</v>
      </c>
      <c r="G264" s="349">
        <f t="shared" si="96"/>
        <v>0</v>
      </c>
      <c r="H264" s="347">
        <f>ROUND($F$264*VLOOKUP($D$264,ALLOCTABLE_Prod_Commodity,$H$10,FALSE),0)</f>
        <v>0</v>
      </c>
      <c r="I264" s="347">
        <f t="shared" si="97"/>
        <v>0</v>
      </c>
      <c r="J264" s="347">
        <f t="shared" si="98"/>
        <v>0</v>
      </c>
      <c r="K264" s="347">
        <f t="shared" si="99"/>
        <v>0</v>
      </c>
      <c r="L264" s="347">
        <f t="shared" si="100"/>
        <v>0</v>
      </c>
    </row>
    <row r="265" spans="1:12">
      <c r="A265" s="333">
        <v>16</v>
      </c>
      <c r="C265" s="332" t="str">
        <f>'FR-16(7)(v)-1 Functional'!C265</f>
        <v>FEDERAL DEFERRED TAX RECEIVEABLE</v>
      </c>
      <c r="D265" s="344" t="str">
        <f>'FR-16(7)(v)-1 Functional'!D265</f>
        <v>AG39</v>
      </c>
      <c r="F265" s="479">
        <f>'FR-16(7)(v)-2 PROD Classified'!H265</f>
        <v>0</v>
      </c>
      <c r="G265" s="349">
        <f t="shared" si="96"/>
        <v>0</v>
      </c>
      <c r="H265" s="347">
        <f>ROUND($F$265*VLOOKUP($D$265,ALLOCTABLE_Prod_Commodity,$H$10,FALSE),0)</f>
        <v>0</v>
      </c>
      <c r="I265" s="347">
        <f t="shared" si="97"/>
        <v>0</v>
      </c>
      <c r="J265" s="347">
        <f t="shared" si="98"/>
        <v>0</v>
      </c>
      <c r="K265" s="347">
        <f t="shared" si="99"/>
        <v>0</v>
      </c>
      <c r="L265" s="347">
        <f t="shared" si="100"/>
        <v>0</v>
      </c>
    </row>
    <row r="266" spans="1:12">
      <c r="A266" s="333">
        <v>17</v>
      </c>
      <c r="C266" s="332" t="str">
        <f>'FR-16(7)(v)-1 Functional'!C266</f>
        <v>DSM DEFERRAL</v>
      </c>
      <c r="D266" s="344" t="str">
        <f>'FR-16(7)(v)-1 Functional'!D266</f>
        <v>AG39</v>
      </c>
      <c r="F266" s="479">
        <f>'FR-16(7)(v)-2 PROD Classified'!H266</f>
        <v>19371</v>
      </c>
      <c r="G266" s="349">
        <f t="shared" si="96"/>
        <v>9801</v>
      </c>
      <c r="H266" s="347">
        <f>ROUND($F$266*VLOOKUP($D$266,ALLOCTABLE_Prod_Commodity,$H$10,FALSE),0)</f>
        <v>5582</v>
      </c>
      <c r="I266" s="347">
        <f t="shared" si="97"/>
        <v>3952</v>
      </c>
      <c r="J266" s="347">
        <f t="shared" si="98"/>
        <v>36</v>
      </c>
      <c r="K266" s="347">
        <f t="shared" si="99"/>
        <v>19371</v>
      </c>
      <c r="L266" s="347">
        <f t="shared" si="100"/>
        <v>0</v>
      </c>
    </row>
    <row r="267" spans="1:12">
      <c r="A267" s="333">
        <v>18</v>
      </c>
      <c r="C267" s="332" t="str">
        <f>'FR-16(7)(v)-1 Functional'!C267</f>
        <v>PROPERTY TAX</v>
      </c>
      <c r="D267" s="344" t="str">
        <f>'FR-16(7)(v)-1 Functional'!D267</f>
        <v>P229</v>
      </c>
      <c r="F267" s="479">
        <f>'FR-16(7)(v)-2 PROD Classified'!H267</f>
        <v>0</v>
      </c>
      <c r="G267" s="349">
        <f t="shared" si="96"/>
        <v>0</v>
      </c>
      <c r="H267" s="347">
        <f>ROUND($F$267*VLOOKUP($D$267,ALLOCTABLE_Prod_Commodity,$H$10,FALSE),0)</f>
        <v>0</v>
      </c>
      <c r="I267" s="347">
        <f t="shared" si="97"/>
        <v>0</v>
      </c>
      <c r="J267" s="347">
        <f t="shared" si="98"/>
        <v>0</v>
      </c>
      <c r="K267" s="347">
        <f t="shared" si="99"/>
        <v>0</v>
      </c>
      <c r="L267" s="347">
        <f t="shared" si="100"/>
        <v>0</v>
      </c>
    </row>
    <row r="268" spans="1:12">
      <c r="A268" s="333">
        <v>19</v>
      </c>
      <c r="C268" s="353" t="str">
        <f>'FR-16(7)(v)-1 Functional'!C268</f>
        <v>PROPERTY TAX ON PROPANE</v>
      </c>
      <c r="D268" s="344" t="str">
        <f>'FR-16(7)(v)-1 Functional'!D268</f>
        <v>P229</v>
      </c>
      <c r="F268" s="479">
        <f>'FR-16(7)(v)-2 PROD Classified'!H268</f>
        <v>0</v>
      </c>
      <c r="G268" s="349">
        <f t="shared" si="96"/>
        <v>0</v>
      </c>
      <c r="H268" s="347">
        <f>ROUND($F$268*VLOOKUP($D$268,ALLOCTABLE_Prod_Commodity,$H$10,FALSE),0)</f>
        <v>0</v>
      </c>
      <c r="I268" s="347">
        <f t="shared" si="97"/>
        <v>0</v>
      </c>
      <c r="J268" s="347">
        <f t="shared" si="98"/>
        <v>0</v>
      </c>
      <c r="K268" s="347">
        <f t="shared" si="99"/>
        <v>0</v>
      </c>
      <c r="L268" s="347">
        <f t="shared" si="100"/>
        <v>0</v>
      </c>
    </row>
    <row r="269" spans="1:12">
      <c r="A269" s="333">
        <v>20</v>
      </c>
      <c r="C269" s="489" t="str">
        <f>'FR-16(7)(v)-1 Functional'!C269</f>
        <v>401K INCENTIVE PLAN</v>
      </c>
      <c r="D269" s="344" t="str">
        <f>'FR-16(7)(v)-1 Functional'!D269</f>
        <v>AG39</v>
      </c>
      <c r="F269" s="479">
        <f>'FR-16(7)(v)-2 PROD Classified'!H269</f>
        <v>0</v>
      </c>
      <c r="G269" s="349">
        <f t="shared" si="96"/>
        <v>0</v>
      </c>
      <c r="H269" s="347">
        <f>ROUND($F$269*VLOOKUP($D$269,ALLOCTABLE_Prod_Commodity,$H$10,FALSE),0)</f>
        <v>0</v>
      </c>
      <c r="I269" s="347">
        <f t="shared" si="97"/>
        <v>0</v>
      </c>
      <c r="J269" s="347">
        <f t="shared" si="98"/>
        <v>0</v>
      </c>
      <c r="K269" s="347">
        <f t="shared" si="99"/>
        <v>0</v>
      </c>
      <c r="L269" s="347">
        <f t="shared" si="100"/>
        <v>0</v>
      </c>
    </row>
    <row r="270" spans="1:12">
      <c r="A270" s="333">
        <v>21</v>
      </c>
      <c r="C270" s="332" t="str">
        <f>'FR-16(7)(v)-1 Functional'!C270</f>
        <v>ENVIRONMENTAL RESERVE</v>
      </c>
      <c r="D270" s="344" t="str">
        <f>'FR-16(7)(v)-1 Functional'!D270</f>
        <v>NP29</v>
      </c>
      <c r="F270" s="479">
        <f>'FR-16(7)(v)-2 PROD Classified'!H270</f>
        <v>1172</v>
      </c>
      <c r="G270" s="349">
        <f t="shared" si="96"/>
        <v>628</v>
      </c>
      <c r="H270" s="347">
        <f>ROUND($F$270*VLOOKUP($D$270,ALLOCTABLE_Prod_Commodity,$H$10,FALSE),0)</f>
        <v>346</v>
      </c>
      <c r="I270" s="347">
        <f t="shared" si="97"/>
        <v>197</v>
      </c>
      <c r="J270" s="347">
        <f t="shared" si="98"/>
        <v>1</v>
      </c>
      <c r="K270" s="347">
        <f t="shared" si="99"/>
        <v>1172</v>
      </c>
      <c r="L270" s="347">
        <f t="shared" si="100"/>
        <v>0</v>
      </c>
    </row>
    <row r="271" spans="1:12">
      <c r="A271" s="333">
        <v>22</v>
      </c>
      <c r="C271" s="332" t="str">
        <f>'FR-16(7)(v)-1 Functional'!C271</f>
        <v>VACATION PAY ACCRUALS</v>
      </c>
      <c r="D271" s="344" t="str">
        <f>'FR-16(7)(v)-1 Functional'!D271</f>
        <v>G129</v>
      </c>
      <c r="F271" s="479">
        <f>'FR-16(7)(v)-2 PROD Classified'!H271</f>
        <v>16939</v>
      </c>
      <c r="G271" s="349">
        <f t="shared" si="96"/>
        <v>8574</v>
      </c>
      <c r="H271" s="347">
        <f>ROUND($F$271*VLOOKUP($D$271,ALLOCTABLE_Prod_Commodity,$H$10,FALSE),0)</f>
        <v>4883</v>
      </c>
      <c r="I271" s="347">
        <f t="shared" si="97"/>
        <v>3457</v>
      </c>
      <c r="J271" s="347">
        <f t="shared" si="98"/>
        <v>25</v>
      </c>
      <c r="K271" s="347">
        <f t="shared" si="99"/>
        <v>16939</v>
      </c>
      <c r="L271" s="347">
        <f t="shared" si="100"/>
        <v>0</v>
      </c>
    </row>
    <row r="272" spans="1:12">
      <c r="A272" s="333">
        <v>23</v>
      </c>
      <c r="C272" s="332" t="str">
        <f>'FR-16(7)(v)-1 Functional'!C272</f>
        <v>SMART GRID</v>
      </c>
      <c r="D272" s="344" t="str">
        <f>'FR-16(7)(v)-1 Functional'!D272</f>
        <v>K413</v>
      </c>
      <c r="F272" s="479">
        <f>'FR-16(7)(v)-2 PROD Classified'!H272</f>
        <v>0</v>
      </c>
      <c r="G272" s="349">
        <f t="shared" si="96"/>
        <v>0</v>
      </c>
      <c r="H272" s="347">
        <f>ROUND($F$272*VLOOKUP($D$272,ALLOCTABLE_Prod_Commodity,$H$10,FALSE),0)</f>
        <v>0</v>
      </c>
      <c r="I272" s="347">
        <f t="shared" si="97"/>
        <v>0</v>
      </c>
      <c r="J272" s="347">
        <f t="shared" si="98"/>
        <v>0</v>
      </c>
      <c r="K272" s="347">
        <f t="shared" si="99"/>
        <v>0</v>
      </c>
      <c r="L272" s="347">
        <f t="shared" si="100"/>
        <v>0</v>
      </c>
    </row>
    <row r="273" spans="1:12">
      <c r="A273" s="333">
        <v>24</v>
      </c>
      <c r="C273" s="332" t="str">
        <f>'FR-16(7)(v)-1 Functional'!C273</f>
        <v>METERS &amp; TRANSFORMERS</v>
      </c>
      <c r="D273" s="344" t="str">
        <f>'FR-16(7)(v)-1 Functional'!D273</f>
        <v>D249</v>
      </c>
      <c r="F273" s="479">
        <f>'FR-16(7)(v)-2 PROD Classified'!H273</f>
        <v>0</v>
      </c>
      <c r="G273" s="349">
        <f t="shared" si="96"/>
        <v>0</v>
      </c>
      <c r="H273" s="347">
        <f>ROUND($F$273*VLOOKUP($D$273,ALLOCTABLE_Prod_Commodity,$H$10,FALSE),0)</f>
        <v>0</v>
      </c>
      <c r="I273" s="347">
        <f t="shared" si="97"/>
        <v>0</v>
      </c>
      <c r="J273" s="347">
        <f t="shared" si="98"/>
        <v>0</v>
      </c>
      <c r="K273" s="347">
        <f t="shared" si="99"/>
        <v>0</v>
      </c>
      <c r="L273" s="347">
        <f t="shared" si="100"/>
        <v>0</v>
      </c>
    </row>
    <row r="274" spans="1:12">
      <c r="A274" s="333">
        <v>25</v>
      </c>
      <c r="C274" s="359" t="str">
        <f>'FR-16(7)(v)-1 Functional'!C274</f>
        <v>OTHER</v>
      </c>
      <c r="D274" s="344" t="str">
        <f>'FR-16(7)(v)-1 Functional'!D274</f>
        <v>AG39</v>
      </c>
      <c r="F274" s="479">
        <f>'FR-16(7)(v)-2 PROD Classified'!H274</f>
        <v>39212</v>
      </c>
      <c r="G274" s="349">
        <f t="shared" si="96"/>
        <v>19838</v>
      </c>
      <c r="H274" s="347">
        <f>ROUND($F$274*VLOOKUP($D$274,ALLOCTABLE_Prod_Commodity,$H$10,FALSE),0)</f>
        <v>11300</v>
      </c>
      <c r="I274" s="347">
        <f t="shared" si="97"/>
        <v>8000</v>
      </c>
      <c r="J274" s="347">
        <f t="shared" si="98"/>
        <v>74</v>
      </c>
      <c r="K274" s="347">
        <f t="shared" si="99"/>
        <v>39212</v>
      </c>
      <c r="L274" s="347">
        <f t="shared" si="100"/>
        <v>0</v>
      </c>
    </row>
    <row r="275" spans="1:12">
      <c r="A275" s="333">
        <v>26</v>
      </c>
      <c r="C275" s="332" t="str">
        <f>'FR-16(7)(v)-1 Functional'!C275</f>
        <v xml:space="preserve">  TOTAL ACCOUNT 190</v>
      </c>
      <c r="D275" s="344"/>
      <c r="F275" s="348">
        <f t="shared" ref="F275:L275" si="101">SUM(F251:F274)</f>
        <v>987507</v>
      </c>
      <c r="G275" s="348">
        <f>SUM(G251:G274)</f>
        <v>444712</v>
      </c>
      <c r="H275" s="348">
        <f t="shared" si="101"/>
        <v>253313</v>
      </c>
      <c r="I275" s="348">
        <f t="shared" si="101"/>
        <v>179297</v>
      </c>
      <c r="J275" s="348">
        <f t="shared" si="101"/>
        <v>110185</v>
      </c>
      <c r="K275" s="348">
        <f t="shared" si="101"/>
        <v>987507</v>
      </c>
      <c r="L275" s="348">
        <f t="shared" si="101"/>
        <v>0</v>
      </c>
    </row>
    <row r="276" spans="1:12">
      <c r="A276" s="333">
        <v>27</v>
      </c>
      <c r="D276" s="344"/>
      <c r="E276" s="196"/>
      <c r="I276" s="332"/>
    </row>
    <row r="277" spans="1:12">
      <c r="A277" s="333">
        <v>28</v>
      </c>
      <c r="B277" s="332" t="s">
        <v>30</v>
      </c>
      <c r="D277" s="344"/>
      <c r="E277" s="196"/>
      <c r="I277" s="332"/>
    </row>
    <row r="278" spans="1:12">
      <c r="A278" s="333">
        <v>29</v>
      </c>
      <c r="C278" s="365" t="str">
        <f>'FR-16(7)(v)-1 Functional'!C278</f>
        <v>RESERVED FOR FUTURE USE</v>
      </c>
      <c r="D278" s="344" t="str">
        <f>'FR-16(7)(v)-1 Functional'!D278</f>
        <v>D249</v>
      </c>
      <c r="F278" s="479">
        <f>'FR-16(7)(v)-2 PROD Classified'!H278</f>
        <v>0</v>
      </c>
      <c r="G278" s="347">
        <f>ROUND($F$278*VLOOKUP($D$278,ALLOCTABLE_Prod_Commodity,$G$10,FALSE),0)</f>
        <v>0</v>
      </c>
      <c r="H278" s="347">
        <f>ROUND($F$278*VLOOKUP($D$278,ALLOCTABLE_Prod_Commodity,$H$10,FALSE),0)</f>
        <v>0</v>
      </c>
      <c r="I278" s="347">
        <f>ROUND(F278*VLOOKUP(D278,ALLOCTABLE_Prod_Commodity,$I$10,FALSE),0)</f>
        <v>0</v>
      </c>
      <c r="J278" s="347">
        <f>ROUND(F278*VLOOKUP(D278,ALLOCTABLE_Prod_Commodity,$J$10,FALSE),0)</f>
        <v>0</v>
      </c>
      <c r="K278" s="347">
        <f>SUM(G278:J278)</f>
        <v>0</v>
      </c>
      <c r="L278" s="347">
        <f>F278-K278</f>
        <v>0</v>
      </c>
    </row>
    <row r="279" spans="1:12">
      <c r="A279" s="333">
        <v>30</v>
      </c>
      <c r="C279" s="332" t="str">
        <f>'FR-16(7)(v)-1 Functional'!C279</f>
        <v>ANNUALIZE DEPRECIATION</v>
      </c>
      <c r="D279" s="344" t="str">
        <f>'FR-16(7)(v)-1 Functional'!D279</f>
        <v>NP29</v>
      </c>
      <c r="F279" s="477">
        <f>'FR-16(7)(v)-2 PROD Classified'!H279</f>
        <v>-1989</v>
      </c>
      <c r="G279" s="347">
        <f>ROUND($F$279*VLOOKUP($D$279,ALLOCTABLE_Prod_Commodity,$G$10,FALSE),0)</f>
        <v>-1067</v>
      </c>
      <c r="H279" s="347">
        <f>ROUND($F$279*VLOOKUP($D$279,ALLOCTABLE_Prod_Commodity,$H$10,FALSE),0)</f>
        <v>-586</v>
      </c>
      <c r="I279" s="347">
        <f>ROUND(F279*VLOOKUP(D279,ALLOCTABLE_Prod_Commodity,$I$10,FALSE),0)</f>
        <v>-334</v>
      </c>
      <c r="J279" s="347">
        <f>ROUND(F279*VLOOKUP(D279,ALLOCTABLE_Prod_Commodity,$J$10,FALSE),0)</f>
        <v>-2</v>
      </c>
      <c r="K279" s="347">
        <f>SUM(G279:J279)</f>
        <v>-1989</v>
      </c>
      <c r="L279" s="347">
        <f>F279-K279</f>
        <v>0</v>
      </c>
    </row>
    <row r="280" spans="1:12">
      <c r="A280" s="333">
        <v>31</v>
      </c>
      <c r="C280" s="332" t="str">
        <f>'FR-16(7)(v)-1 Functional'!C280</f>
        <v>ELIMINATE UNBILLED REVENUE AND GAS COSTS</v>
      </c>
      <c r="D280" s="344" t="str">
        <f>'FR-16(7)(v)-1 Functional'!D280</f>
        <v>K300</v>
      </c>
      <c r="F280" s="477">
        <f>'FR-16(7)(v)-2 PROD Classified'!H280</f>
        <v>-20077</v>
      </c>
      <c r="G280" s="347">
        <f>ROUND($F$280*VLOOKUP($D$280,ALLOCTABLE_Prod_Commodity,$G$10,FALSE),0)</f>
        <v>-8869</v>
      </c>
      <c r="H280" s="347">
        <f>ROUND($F$280*VLOOKUP($D$280,ALLOCTABLE_Prod_Commodity,$H$10,FALSE),0)</f>
        <v>-5052</v>
      </c>
      <c r="I280" s="347">
        <f>ROUND(F280*VLOOKUP(D280,ALLOCTABLE_Prod_Commodity,$I$10,FALSE),0)</f>
        <v>-3577</v>
      </c>
      <c r="J280" s="347">
        <f>ROUND(F280*VLOOKUP(D280,ALLOCTABLE_Prod_Commodity,$J$10,FALSE),0)</f>
        <v>-2579</v>
      </c>
      <c r="K280" s="347">
        <f>SUM(G280:J280)</f>
        <v>-20077</v>
      </c>
      <c r="L280" s="347">
        <f>F280-K280</f>
        <v>0</v>
      </c>
    </row>
    <row r="281" spans="1:12">
      <c r="A281" s="333">
        <v>32</v>
      </c>
      <c r="C281" s="339" t="str">
        <f>'FR-16(7)(v)-1 Functional'!C281</f>
        <v xml:space="preserve">  OTHER</v>
      </c>
      <c r="D281" s="344"/>
      <c r="F281" s="348">
        <f>SUM(F278:F280)</f>
        <v>-22066</v>
      </c>
      <c r="G281" s="348">
        <f t="shared" ref="G281:L281" si="102">SUM(G277:G280)</f>
        <v>-9936</v>
      </c>
      <c r="H281" s="348">
        <f t="shared" si="102"/>
        <v>-5638</v>
      </c>
      <c r="I281" s="348">
        <f t="shared" si="102"/>
        <v>-3911</v>
      </c>
      <c r="J281" s="348">
        <f t="shared" si="102"/>
        <v>-2581</v>
      </c>
      <c r="K281" s="348">
        <f t="shared" si="102"/>
        <v>-22066</v>
      </c>
      <c r="L281" s="348">
        <f t="shared" si="102"/>
        <v>0</v>
      </c>
    </row>
    <row r="282" spans="1:12">
      <c r="A282" s="333">
        <v>33</v>
      </c>
      <c r="D282" s="344"/>
      <c r="F282" s="335" t="s">
        <v>343</v>
      </c>
      <c r="I282" s="332"/>
    </row>
    <row r="283" spans="1:12">
      <c r="A283" s="333">
        <v>34</v>
      </c>
      <c r="B283" s="332" t="s">
        <v>825</v>
      </c>
      <c r="D283" s="344"/>
      <c r="F283" s="347">
        <f t="shared" ref="F283:L283" si="103">F275+F281</f>
        <v>965441</v>
      </c>
      <c r="G283" s="347">
        <f>G275+G281</f>
        <v>434776</v>
      </c>
      <c r="H283" s="347">
        <f t="shared" si="103"/>
        <v>247675</v>
      </c>
      <c r="I283" s="347">
        <f t="shared" si="103"/>
        <v>175386</v>
      </c>
      <c r="J283" s="347">
        <f t="shared" si="103"/>
        <v>107604</v>
      </c>
      <c r="K283" s="347">
        <f t="shared" si="103"/>
        <v>965441</v>
      </c>
      <c r="L283" s="347">
        <f t="shared" si="103"/>
        <v>0</v>
      </c>
    </row>
    <row r="284" spans="1:12">
      <c r="B284" s="343"/>
      <c r="C284" s="196"/>
      <c r="D284" s="344"/>
      <c r="E284" s="196"/>
      <c r="G284" s="196"/>
      <c r="H284" s="196"/>
      <c r="I284" s="196"/>
      <c r="J284" s="344"/>
      <c r="K284" s="196"/>
      <c r="L284" s="196"/>
    </row>
    <row r="285" spans="1:12">
      <c r="A285" s="343" t="str">
        <f>co_name</f>
        <v>DUKE ENERGY KENTUCKY, INC.</v>
      </c>
      <c r="C285" s="196"/>
      <c r="D285" s="344"/>
      <c r="E285" s="196"/>
      <c r="F285" s="344"/>
      <c r="G285" s="342"/>
      <c r="H285" s="342"/>
      <c r="I285" s="196"/>
      <c r="K285" s="361" t="str">
        <f>$K$1</f>
        <v>FR-16(7)(v)-3</v>
      </c>
      <c r="L285" s="196"/>
    </row>
    <row r="286" spans="1:12">
      <c r="A286" s="343" t="str">
        <f>$A$2</f>
        <v>PRODUCTION COMMODITY ALLOCATED - GAS COST OF SERVICE</v>
      </c>
      <c r="C286" s="196"/>
      <c r="D286" s="344"/>
      <c r="E286" s="196"/>
      <c r="F286" s="344"/>
      <c r="G286" s="342"/>
      <c r="H286" s="342"/>
      <c r="I286" s="196"/>
      <c r="K286" s="361" t="str">
        <f>$K$2</f>
        <v>WITNESS RESPONSIBLE:</v>
      </c>
      <c r="L286" s="196"/>
    </row>
    <row r="287" spans="1:12">
      <c r="A287" s="343" t="str">
        <f>case_name</f>
        <v>CASE NO: 2018-00261</v>
      </c>
      <c r="C287" s="196"/>
      <c r="D287" s="344"/>
      <c r="E287" s="196"/>
      <c r="F287" s="344"/>
      <c r="G287" s="342"/>
      <c r="H287" s="342"/>
      <c r="I287" s="196"/>
      <c r="K287" s="361" t="str">
        <f>Witness</f>
        <v>JAMES E. ZIOLKOWSKI</v>
      </c>
      <c r="L287" s="196"/>
    </row>
    <row r="288" spans="1:12">
      <c r="A288" s="343" t="str">
        <f>data_filing</f>
        <v>DATA: 12 MONTH FORECASTED PERIOD</v>
      </c>
      <c r="C288" s="196"/>
      <c r="D288" s="344"/>
      <c r="E288" s="196"/>
      <c r="F288" s="344"/>
      <c r="G288" s="342"/>
      <c r="H288" s="342"/>
      <c r="I288" s="196"/>
      <c r="K288" s="361" t="str">
        <f>"PAGE "&amp;Pages-11&amp;" OF "&amp;Pages</f>
        <v>PAGE 7 OF 18</v>
      </c>
      <c r="L288" s="196"/>
    </row>
    <row r="289" spans="1:12">
      <c r="A289" s="343" t="str">
        <f>type</f>
        <v xml:space="preserve">TYPE OF FILING: "X" ORIGINAL   UPDATED    REVISED  </v>
      </c>
      <c r="C289" s="196"/>
      <c r="D289" s="344"/>
      <c r="E289" s="196"/>
      <c r="F289" s="344"/>
      <c r="G289" s="342"/>
      <c r="H289" s="342"/>
      <c r="I289" s="196"/>
      <c r="J289" s="344"/>
      <c r="K289" s="196"/>
      <c r="L289" s="196"/>
    </row>
    <row r="290" spans="1:12">
      <c r="B290" s="343"/>
      <c r="C290" s="196"/>
      <c r="D290" s="344"/>
      <c r="E290" s="196"/>
      <c r="F290" s="344"/>
      <c r="G290" s="196"/>
      <c r="H290" s="196"/>
      <c r="I290" s="196"/>
      <c r="J290" s="344"/>
      <c r="K290" s="196"/>
      <c r="L290" s="196"/>
    </row>
    <row r="291" spans="1:12">
      <c r="B291" s="343"/>
      <c r="C291" s="196"/>
      <c r="D291" s="344"/>
      <c r="E291" s="196"/>
      <c r="F291" s="344" t="str">
        <f>$F$7</f>
        <v>TOTAL</v>
      </c>
      <c r="G291" s="196"/>
      <c r="H291" s="196"/>
      <c r="I291" s="196"/>
      <c r="J291" s="344"/>
      <c r="K291" s="196"/>
      <c r="L291" s="196"/>
    </row>
    <row r="292" spans="1:12">
      <c r="A292" s="344" t="s">
        <v>914</v>
      </c>
      <c r="B292" s="196"/>
      <c r="C292" s="196"/>
      <c r="D292" s="344"/>
      <c r="E292" s="196"/>
      <c r="F292" s="344" t="str">
        <f>$F$8</f>
        <v>PRODUCTION</v>
      </c>
      <c r="G292" s="344" t="s">
        <v>418</v>
      </c>
      <c r="H292" s="344" t="s">
        <v>864</v>
      </c>
      <c r="I292" s="344" t="s">
        <v>865</v>
      </c>
      <c r="J292" s="344" t="s">
        <v>549</v>
      </c>
      <c r="K292" s="344" t="s">
        <v>229</v>
      </c>
      <c r="L292" s="344" t="s">
        <v>342</v>
      </c>
    </row>
    <row r="293" spans="1:12">
      <c r="A293" s="346" t="s">
        <v>915</v>
      </c>
      <c r="B293" s="345" t="s">
        <v>32</v>
      </c>
      <c r="C293" s="345"/>
      <c r="D293" s="346" t="s">
        <v>337</v>
      </c>
      <c r="E293" s="345"/>
      <c r="F293" s="344" t="str">
        <f>$F$9</f>
        <v>COMMODITY</v>
      </c>
      <c r="G293" s="346" t="s">
        <v>338</v>
      </c>
      <c r="H293" s="346" t="s">
        <v>405</v>
      </c>
      <c r="I293" s="346" t="s">
        <v>405</v>
      </c>
      <c r="J293" s="346" t="s">
        <v>550</v>
      </c>
      <c r="K293" s="346" t="s">
        <v>341</v>
      </c>
      <c r="L293" s="346" t="s">
        <v>340</v>
      </c>
    </row>
    <row r="294" spans="1:12">
      <c r="C294" s="578" t="s">
        <v>559</v>
      </c>
      <c r="D294" s="344"/>
      <c r="E294" s="490"/>
      <c r="F294" s="763"/>
      <c r="G294" s="633">
        <f>$G$10</f>
        <v>3</v>
      </c>
      <c r="H294" s="633">
        <f>$H$10</f>
        <v>4</v>
      </c>
      <c r="I294" s="633">
        <f>$I$10</f>
        <v>5</v>
      </c>
      <c r="J294" s="633">
        <f>$J$10</f>
        <v>6</v>
      </c>
      <c r="K294" s="490"/>
      <c r="L294" s="490"/>
    </row>
    <row r="295" spans="1:12">
      <c r="C295" s="578"/>
      <c r="D295" s="344"/>
      <c r="E295" s="490"/>
      <c r="F295" s="491"/>
      <c r="G295" s="633"/>
      <c r="H295" s="633"/>
      <c r="I295" s="633"/>
      <c r="J295" s="633"/>
      <c r="K295" s="490"/>
      <c r="L295" s="490"/>
    </row>
    <row r="296" spans="1:12">
      <c r="A296" s="333">
        <v>1</v>
      </c>
      <c r="B296" s="332" t="s">
        <v>31</v>
      </c>
      <c r="D296" s="344"/>
      <c r="E296" s="196"/>
      <c r="F296" s="347">
        <f t="shared" ref="F296:L296" si="104">F191-F238+F283</f>
        <v>2207024</v>
      </c>
      <c r="G296" s="347">
        <f>G191-G238+G283</f>
        <v>1134677</v>
      </c>
      <c r="H296" s="347">
        <f t="shared" si="104"/>
        <v>620968</v>
      </c>
      <c r="I296" s="347">
        <f t="shared" si="104"/>
        <v>343756</v>
      </c>
      <c r="J296" s="347">
        <f t="shared" si="104"/>
        <v>107623</v>
      </c>
      <c r="K296" s="347">
        <f t="shared" si="104"/>
        <v>2207024</v>
      </c>
      <c r="L296" s="347">
        <f t="shared" si="104"/>
        <v>0</v>
      </c>
    </row>
    <row r="297" spans="1:12">
      <c r="A297" s="333">
        <v>2</v>
      </c>
      <c r="D297" s="344"/>
      <c r="E297" s="196"/>
      <c r="I297" s="332"/>
    </row>
    <row r="298" spans="1:12">
      <c r="A298" s="333">
        <v>3</v>
      </c>
      <c r="B298" s="332" t="s">
        <v>32</v>
      </c>
      <c r="D298" s="344"/>
      <c r="E298" s="196"/>
      <c r="I298" s="332"/>
    </row>
    <row r="299" spans="1:12">
      <c r="A299" s="333">
        <v>4</v>
      </c>
      <c r="D299" s="344"/>
      <c r="E299" s="196"/>
      <c r="I299" s="332"/>
    </row>
    <row r="300" spans="1:12">
      <c r="A300" s="333">
        <v>5</v>
      </c>
      <c r="B300" s="332" t="s">
        <v>33</v>
      </c>
      <c r="D300" s="344"/>
      <c r="E300" s="196"/>
      <c r="I300" s="332"/>
    </row>
    <row r="301" spans="1:12">
      <c r="A301" s="333">
        <v>6</v>
      </c>
      <c r="C301" s="332" t="str">
        <f>'FR-16(7)(v)-1 Functional'!C301</f>
        <v>GAS ENRICHER LIQUID</v>
      </c>
      <c r="D301" s="344" t="str">
        <f>'FR-16(7)(v)-1 Functional'!D301</f>
        <v>K301</v>
      </c>
      <c r="E301" s="196"/>
      <c r="F301" s="479">
        <f>'FR-16(7)(v)-2 PROD Classified'!H301</f>
        <v>1284114</v>
      </c>
      <c r="G301" s="349">
        <f>F301-SUM(H301:J301)</f>
        <v>650879</v>
      </c>
      <c r="H301" s="347">
        <f>ROUND($F$301*VLOOKUP($D$301,ALLOCTABLE_Prod_Commodity,$H$10,FALSE),0)</f>
        <v>370749</v>
      </c>
      <c r="I301" s="347">
        <f>ROUND(F301*VLOOKUP(D301,ALLOCTABLE_Prod_Commodity,$I$10,FALSE),0)</f>
        <v>262486</v>
      </c>
      <c r="J301" s="347">
        <f>ROUND(F301*VLOOKUP(D301,ALLOCTABLE_Prod_Commodity,$J$10,FALSE),0)</f>
        <v>0</v>
      </c>
      <c r="K301" s="347">
        <f>SUM(G301:J301)</f>
        <v>1284114</v>
      </c>
      <c r="L301" s="347">
        <f>F301-K301</f>
        <v>0</v>
      </c>
    </row>
    <row r="302" spans="1:12">
      <c r="A302" s="333">
        <v>7</v>
      </c>
      <c r="C302" s="359" t="str">
        <f>'FR-16(7)(v)-1 Functional'!C302</f>
        <v>OTHER SUPPLIES</v>
      </c>
      <c r="D302" s="344" t="str">
        <f>'FR-16(7)(v)-1 Functional'!D302</f>
        <v>NP29</v>
      </c>
      <c r="E302" s="196"/>
      <c r="F302" s="479">
        <f>'FR-16(7)(v)-2 PROD Classified'!H302</f>
        <v>8413</v>
      </c>
      <c r="G302" s="349">
        <f>F302-SUM(H302:J302)</f>
        <v>4515</v>
      </c>
      <c r="H302" s="347">
        <f>ROUND($F$302*VLOOKUP($D$302,ALLOCTABLE_Prod_Commodity,$H$10,FALSE),0)</f>
        <v>2480</v>
      </c>
      <c r="I302" s="347">
        <f>ROUND(F302*VLOOKUP(D302,ALLOCTABLE_Prod_Commodity,$I$10,FALSE),0)</f>
        <v>1411</v>
      </c>
      <c r="J302" s="347">
        <f>ROUND(F302*VLOOKUP(D302,ALLOCTABLE_Prod_Commodity,$J$10,FALSE),0)</f>
        <v>7</v>
      </c>
      <c r="K302" s="347">
        <f>SUM(G302:J302)</f>
        <v>8413</v>
      </c>
      <c r="L302" s="347">
        <f>F302-K302</f>
        <v>0</v>
      </c>
    </row>
    <row r="303" spans="1:12">
      <c r="A303" s="333">
        <v>8</v>
      </c>
      <c r="C303" s="332" t="str">
        <f>'FR-16(7)(v)-1 Functional'!C303</f>
        <v xml:space="preserve">  TOTAL PLANT MATS. &amp; SUPPLIES</v>
      </c>
      <c r="D303" s="344"/>
      <c r="E303" s="196"/>
      <c r="F303" s="348">
        <f t="shared" ref="F303:L303" si="105">SUM(F300:F302)</f>
        <v>1292527</v>
      </c>
      <c r="G303" s="348">
        <f>SUM(G300:G302)</f>
        <v>655394</v>
      </c>
      <c r="H303" s="348">
        <f t="shared" si="105"/>
        <v>373229</v>
      </c>
      <c r="I303" s="348">
        <f t="shared" si="105"/>
        <v>263897</v>
      </c>
      <c r="J303" s="348">
        <f t="shared" si="105"/>
        <v>7</v>
      </c>
      <c r="K303" s="348">
        <f t="shared" si="105"/>
        <v>1292527</v>
      </c>
      <c r="L303" s="348">
        <f t="shared" si="105"/>
        <v>0</v>
      </c>
    </row>
    <row r="304" spans="1:12">
      <c r="A304" s="333">
        <v>9</v>
      </c>
      <c r="B304" s="332" t="s">
        <v>34</v>
      </c>
      <c r="D304" s="344"/>
      <c r="E304" s="196"/>
      <c r="F304" s="347">
        <f t="shared" ref="F304:L304" si="106">F303</f>
        <v>1292527</v>
      </c>
      <c r="G304" s="670">
        <f t="shared" si="106"/>
        <v>655394</v>
      </c>
      <c r="H304" s="670">
        <f t="shared" si="106"/>
        <v>373229</v>
      </c>
      <c r="I304" s="347">
        <f t="shared" si="106"/>
        <v>263897</v>
      </c>
      <c r="J304" s="347">
        <f t="shared" si="106"/>
        <v>7</v>
      </c>
      <c r="K304" s="347">
        <f t="shared" si="106"/>
        <v>1292527</v>
      </c>
      <c r="L304" s="347">
        <f t="shared" si="106"/>
        <v>0</v>
      </c>
    </row>
    <row r="305" spans="1:12">
      <c r="A305" s="333">
        <v>10</v>
      </c>
      <c r="D305" s="344"/>
      <c r="E305" s="196"/>
      <c r="I305" s="332"/>
    </row>
    <row r="306" spans="1:12">
      <c r="A306" s="333">
        <v>11</v>
      </c>
      <c r="B306" s="332" t="s">
        <v>35</v>
      </c>
      <c r="D306" s="344"/>
      <c r="E306" s="196"/>
      <c r="I306" s="332"/>
    </row>
    <row r="307" spans="1:12">
      <c r="A307" s="333">
        <v>12</v>
      </c>
      <c r="C307" s="332" t="str">
        <f>'FR-16(7)(v)-1 Functional'!C307</f>
        <v>INSURANCE GENERAL</v>
      </c>
      <c r="D307" s="344" t="str">
        <f>'FR-16(7)(v)-1 Functional'!D307</f>
        <v>OM39</v>
      </c>
      <c r="E307" s="196"/>
      <c r="F307" s="479">
        <f>'FR-16(7)(v)-2 PROD Classified'!H307</f>
        <v>23723</v>
      </c>
      <c r="G307" s="349">
        <f>F307-SUM(H307:J307)</f>
        <v>11984</v>
      </c>
      <c r="H307" s="347">
        <f>ROUND($F$307*VLOOKUP($D$307,ALLOCTABLE_Prod_Commodity,$H$10,FALSE),0)</f>
        <v>6827</v>
      </c>
      <c r="I307" s="347">
        <f>ROUND(F307*VLOOKUP(D307,ALLOCTABLE_Prod_Commodity,$I$10,FALSE),0)</f>
        <v>4833</v>
      </c>
      <c r="J307" s="347">
        <f>ROUND(F307*VLOOKUP(D307,ALLOCTABLE_Prod_Commodity,$J$10,FALSE),0)</f>
        <v>79</v>
      </c>
      <c r="K307" s="347">
        <f>SUM(G307:J307)</f>
        <v>23723</v>
      </c>
      <c r="L307" s="347">
        <f>F307-K307</f>
        <v>0</v>
      </c>
    </row>
    <row r="308" spans="1:12">
      <c r="A308" s="333">
        <v>13</v>
      </c>
      <c r="C308" s="332" t="str">
        <f>'FR-16(7)(v)-1 Functional'!C308</f>
        <v>EXCISE TAX</v>
      </c>
      <c r="D308" s="344" t="str">
        <f>'FR-16(7)(v)-1 Functional'!D308</f>
        <v>OM39</v>
      </c>
      <c r="E308" s="196"/>
      <c r="F308" s="479">
        <f>'FR-16(7)(v)-2 PROD Classified'!H308</f>
        <v>0</v>
      </c>
      <c r="G308" s="349">
        <f>F308-SUM(H308:J308)</f>
        <v>0</v>
      </c>
      <c r="H308" s="347">
        <f>ROUND($F$308*VLOOKUP($D$308,ALLOCTABLE_Prod_Commodity,$H$10,FALSE),0)</f>
        <v>0</v>
      </c>
      <c r="I308" s="347">
        <f>ROUND(F308*VLOOKUP(D308,ALLOCTABLE_Prod_Commodity,$I$10,FALSE),0)</f>
        <v>0</v>
      </c>
      <c r="J308" s="347">
        <f>ROUND(F308*VLOOKUP(D308,ALLOCTABLE_Prod_Commodity,$J$10,FALSE),0)</f>
        <v>0</v>
      </c>
      <c r="K308" s="347">
        <f>SUM(G308:J308)</f>
        <v>0</v>
      </c>
      <c r="L308" s="347">
        <f>F308-K308</f>
        <v>0</v>
      </c>
    </row>
    <row r="309" spans="1:12">
      <c r="A309" s="333">
        <v>14</v>
      </c>
      <c r="C309" s="332" t="str">
        <f>'FR-16(7)(v)-1 Functional'!C309</f>
        <v>GAS PURCHASE</v>
      </c>
      <c r="D309" s="344" t="str">
        <f>'FR-16(7)(v)-1 Functional'!D309</f>
        <v>K301</v>
      </c>
      <c r="E309" s="196"/>
      <c r="F309" s="479">
        <f>'FR-16(7)(v)-2 PROD Classified'!H309</f>
        <v>0</v>
      </c>
      <c r="G309" s="349">
        <f>F309-SUM(H309:J309)</f>
        <v>0</v>
      </c>
      <c r="H309" s="347">
        <f>ROUND($F$309*VLOOKUP($D$309,ALLOCTABLE_Prod_Commodity,$H$10,FALSE),0)</f>
        <v>0</v>
      </c>
      <c r="I309" s="347">
        <f>ROUND(F309*VLOOKUP(D309,ALLOCTABLE_Prod_Commodity,$I$10,FALSE),0)</f>
        <v>0</v>
      </c>
      <c r="J309" s="347">
        <f>ROUND(F309*VLOOKUP(D309,ALLOCTABLE_Prod_Commodity,$J$10,FALSE),0)</f>
        <v>0</v>
      </c>
      <c r="K309" s="347">
        <f>SUM(G309:J309)</f>
        <v>0</v>
      </c>
      <c r="L309" s="347">
        <f>F309-K309</f>
        <v>0</v>
      </c>
    </row>
    <row r="310" spans="1:12">
      <c r="A310" s="333">
        <v>15</v>
      </c>
      <c r="C310" s="339" t="str">
        <f>'FR-16(7)(v)-1 Functional'!C310</f>
        <v xml:space="preserve">  TOTAL PREPAYMENTS</v>
      </c>
      <c r="D310" s="344"/>
      <c r="E310" s="196"/>
      <c r="F310" s="579">
        <f t="shared" ref="F310:L310" si="107">SUM(F306:F309)</f>
        <v>23723</v>
      </c>
      <c r="G310" s="579">
        <f>SUM(G306:G309)</f>
        <v>11984</v>
      </c>
      <c r="H310" s="579">
        <f t="shared" si="107"/>
        <v>6827</v>
      </c>
      <c r="I310" s="579">
        <f t="shared" si="107"/>
        <v>4833</v>
      </c>
      <c r="J310" s="579">
        <f t="shared" si="107"/>
        <v>79</v>
      </c>
      <c r="K310" s="579">
        <f t="shared" si="107"/>
        <v>23723</v>
      </c>
      <c r="L310" s="579">
        <f t="shared" si="107"/>
        <v>0</v>
      </c>
    </row>
    <row r="311" spans="1:12">
      <c r="A311" s="333">
        <v>16</v>
      </c>
      <c r="D311" s="344"/>
      <c r="E311" s="196"/>
      <c r="I311" s="332"/>
    </row>
    <row r="312" spans="1:12">
      <c r="A312" s="333">
        <v>17</v>
      </c>
      <c r="B312" s="332" t="s">
        <v>36</v>
      </c>
      <c r="D312" s="344"/>
      <c r="E312" s="196"/>
      <c r="F312" s="347">
        <f>IF(WorkingCap="No",0,ROUND((F433-F348-F353)/8,0))</f>
        <v>212325</v>
      </c>
      <c r="G312" s="347">
        <f>IF(WorkingCap="No",0,ROUND((G433-G348-G353)/8,0))</f>
        <v>99616</v>
      </c>
      <c r="H312" s="347">
        <f>IF(WorkingCap="No",0,ROUND((H433-H348-H353)/8,0))</f>
        <v>56744</v>
      </c>
      <c r="I312" s="347">
        <f>IF(WorkingCap="No",0,ROUND((I433-I348-I353)/8,0))</f>
        <v>40175</v>
      </c>
      <c r="J312" s="347">
        <f>IF(WorkingCap="No",0,ROUND((J433-J348-J353)/8,0))</f>
        <v>15791</v>
      </c>
      <c r="K312" s="347">
        <f>SUM(G312:J312)</f>
        <v>212326</v>
      </c>
      <c r="L312" s="347">
        <f>F312-K312</f>
        <v>-1</v>
      </c>
    </row>
    <row r="313" spans="1:12">
      <c r="A313" s="333">
        <v>18</v>
      </c>
      <c r="B313" s="332" t="s">
        <v>37</v>
      </c>
      <c r="D313" s="344"/>
      <c r="E313" s="196"/>
      <c r="F313" s="347">
        <f t="shared" ref="F313:L313" si="108">F312</f>
        <v>212325</v>
      </c>
      <c r="G313" s="670">
        <f t="shared" si="108"/>
        <v>99616</v>
      </c>
      <c r="H313" s="670">
        <f t="shared" si="108"/>
        <v>56744</v>
      </c>
      <c r="I313" s="670">
        <f t="shared" si="108"/>
        <v>40175</v>
      </c>
      <c r="J313" s="347">
        <f t="shared" si="108"/>
        <v>15791</v>
      </c>
      <c r="K313" s="347">
        <f t="shared" si="108"/>
        <v>212326</v>
      </c>
      <c r="L313" s="347">
        <f t="shared" si="108"/>
        <v>-1</v>
      </c>
    </row>
    <row r="314" spans="1:12">
      <c r="A314" s="333">
        <v>19</v>
      </c>
      <c r="D314" s="344"/>
      <c r="E314" s="196"/>
      <c r="I314" s="332"/>
    </row>
    <row r="315" spans="1:12">
      <c r="A315" s="333">
        <v>20</v>
      </c>
      <c r="B315" s="332" t="s">
        <v>38</v>
      </c>
      <c r="D315" s="344"/>
      <c r="E315" s="196"/>
      <c r="I315" s="332"/>
    </row>
    <row r="316" spans="1:12">
      <c r="A316" s="333">
        <v>21</v>
      </c>
      <c r="C316" s="618" t="str">
        <f>'FR-16(7)(v)-1 Functional'!C316</f>
        <v>GAS STORED UNDERGROUND</v>
      </c>
      <c r="D316" s="344" t="str">
        <f>'FR-16(7)(v)-1 Functional'!D316</f>
        <v>K301</v>
      </c>
      <c r="E316" s="196"/>
      <c r="F316" s="479">
        <f>'FR-16(7)(v)-2 PROD Classified'!H316</f>
        <v>2958880</v>
      </c>
      <c r="G316" s="349">
        <f>F316-SUM(H316:J316)</f>
        <v>1499767</v>
      </c>
      <c r="H316" s="347">
        <f>ROUND($F$316*VLOOKUP($D$316,ALLOCTABLE_Prod_Commodity,$H$10,FALSE),0)</f>
        <v>854288</v>
      </c>
      <c r="I316" s="347">
        <f>ROUND(F316*VLOOKUP(D316,ALLOCTABLE_Prod_Commodity,$I$10,FALSE),0)</f>
        <v>604825</v>
      </c>
      <c r="J316" s="347">
        <f>ROUND(F316*VLOOKUP(D316,ALLOCTABLE_Prod_Commodity,$J$10,FALSE),0)</f>
        <v>0</v>
      </c>
      <c r="K316" s="347">
        <f>SUM(G316:J316)</f>
        <v>2958880</v>
      </c>
      <c r="L316" s="347">
        <f>F316-K316</f>
        <v>0</v>
      </c>
    </row>
    <row r="317" spans="1:12">
      <c r="A317" s="333">
        <v>22</v>
      </c>
      <c r="C317" s="353" t="str">
        <f>'FR-16(7)(v)-1 Functional'!C317</f>
        <v>PIPP UNCOLLECTIBLES</v>
      </c>
      <c r="D317" s="344" t="str">
        <f>'FR-16(7)(v)-1 Functional'!D317</f>
        <v>K406</v>
      </c>
      <c r="E317" s="196"/>
      <c r="F317" s="479">
        <f>'FR-16(7)(v)-2 PROD Classified'!H317</f>
        <v>0</v>
      </c>
      <c r="G317" s="349">
        <f>F317-SUM(H317:J317)</f>
        <v>0</v>
      </c>
      <c r="H317" s="347">
        <f>ROUND($F$317*VLOOKUP($D$317,ALLOCTABLE_Prod_Commodity,$H$10,FALSE),0)</f>
        <v>0</v>
      </c>
      <c r="I317" s="347">
        <f>ROUND(F317*VLOOKUP(D317,ALLOCTABLE_Prod_Commodity,$I$10,FALSE),0)</f>
        <v>0</v>
      </c>
      <c r="J317" s="347">
        <f>ROUND(F317*VLOOKUP(D317,ALLOCTABLE_Prod_Commodity,$J$10,FALSE),0)</f>
        <v>0</v>
      </c>
      <c r="K317" s="347">
        <f>SUM(G317:J317)</f>
        <v>0</v>
      </c>
      <c r="L317" s="347">
        <f>F317-K317</f>
        <v>0</v>
      </c>
    </row>
    <row r="318" spans="1:12">
      <c r="A318" s="333">
        <v>23</v>
      </c>
      <c r="C318" s="511" t="str">
        <f>'FR-16(7)(v)-1 Functional'!C318</f>
        <v>RESERVED FOR FUTURE USE</v>
      </c>
      <c r="D318" s="344" t="str">
        <f>'FR-16(7)(v)-1 Functional'!D318</f>
        <v>D249</v>
      </c>
      <c r="E318" s="196"/>
      <c r="F318" s="479">
        <f>'FR-16(7)(v)-2 PROD Classified'!H318</f>
        <v>0</v>
      </c>
      <c r="G318" s="349">
        <f>F318-SUM(H318:J318)</f>
        <v>0</v>
      </c>
      <c r="H318" s="347">
        <f>ROUND($F$318*VLOOKUP($D$318,ALLOCTABLE_Prod_Commodity,$H$10,FALSE),0)</f>
        <v>0</v>
      </c>
      <c r="I318" s="347">
        <f>ROUND(F318*VLOOKUP(D318,ALLOCTABLE_Prod_Commodity,$I$10,FALSE),0)</f>
        <v>0</v>
      </c>
      <c r="J318" s="347">
        <f>ROUND(F318*VLOOKUP(D318,ALLOCTABLE_Prod_Commodity,$J$10,FALSE),0)</f>
        <v>0</v>
      </c>
      <c r="K318" s="347">
        <f>SUM(G318:J318)</f>
        <v>0</v>
      </c>
      <c r="L318" s="347">
        <f>F318-K318</f>
        <v>0</v>
      </c>
    </row>
    <row r="319" spans="1:12">
      <c r="A319" s="333">
        <v>24</v>
      </c>
      <c r="C319" s="332" t="str">
        <f>'FR-16(7)(v)-1 Functional'!C319</f>
        <v xml:space="preserve">  TOTAL MISC WORK CAPITAL</v>
      </c>
      <c r="D319" s="344"/>
      <c r="E319" s="196"/>
      <c r="F319" s="348">
        <f t="shared" ref="F319:L319" si="109">SUM(F315:F318)</f>
        <v>2958880</v>
      </c>
      <c r="G319" s="348">
        <f>SUM(G315:G318)</f>
        <v>1499767</v>
      </c>
      <c r="H319" s="348">
        <f t="shared" si="109"/>
        <v>854288</v>
      </c>
      <c r="I319" s="348">
        <f t="shared" si="109"/>
        <v>604825</v>
      </c>
      <c r="J319" s="348">
        <f t="shared" si="109"/>
        <v>0</v>
      </c>
      <c r="K319" s="348">
        <f t="shared" si="109"/>
        <v>2958880</v>
      </c>
      <c r="L319" s="348">
        <f t="shared" si="109"/>
        <v>0</v>
      </c>
    </row>
    <row r="320" spans="1:12">
      <c r="A320" s="333">
        <v>25</v>
      </c>
      <c r="D320" s="344"/>
      <c r="E320" s="196"/>
      <c r="I320" s="332"/>
    </row>
    <row r="321" spans="1:12">
      <c r="A321" s="333">
        <v>26</v>
      </c>
      <c r="B321" s="332" t="s">
        <v>39</v>
      </c>
      <c r="D321" s="344"/>
      <c r="E321" s="196"/>
      <c r="F321" s="347">
        <f t="shared" ref="F321:L321" si="110">F304+F310+F313+F319</f>
        <v>4487455</v>
      </c>
      <c r="G321" s="347">
        <f>G304+G310+G313+G319</f>
        <v>2266761</v>
      </c>
      <c r="H321" s="347">
        <f t="shared" si="110"/>
        <v>1291088</v>
      </c>
      <c r="I321" s="347">
        <f t="shared" si="110"/>
        <v>913730</v>
      </c>
      <c r="J321" s="347">
        <f t="shared" si="110"/>
        <v>15877</v>
      </c>
      <c r="K321" s="347">
        <f t="shared" si="110"/>
        <v>4487456</v>
      </c>
      <c r="L321" s="347">
        <f t="shared" si="110"/>
        <v>-1</v>
      </c>
    </row>
    <row r="322" spans="1:12">
      <c r="A322" s="333">
        <v>27</v>
      </c>
      <c r="B322" s="332" t="s">
        <v>40</v>
      </c>
      <c r="D322" s="344"/>
      <c r="E322" s="196"/>
      <c r="I322" s="332"/>
    </row>
    <row r="323" spans="1:12">
      <c r="A323" s="333">
        <v>28</v>
      </c>
      <c r="C323" s="332" t="str">
        <f>'FR-16(7)(v)-1 Functional'!C323</f>
        <v>TOTAL ACCUMULATED DEFERRED INCOME TAXES</v>
      </c>
      <c r="D323" s="344"/>
      <c r="E323" s="196"/>
      <c r="F323" s="347">
        <f t="shared" ref="F323:L323" si="111">-F238</f>
        <v>-1710679</v>
      </c>
      <c r="G323" s="347">
        <f>-G238</f>
        <v>-884301</v>
      </c>
      <c r="H323" s="347">
        <f t="shared" si="111"/>
        <v>-497057</v>
      </c>
      <c r="I323" s="347">
        <f t="shared" si="111"/>
        <v>-326712</v>
      </c>
      <c r="J323" s="347">
        <f t="shared" si="111"/>
        <v>-2609</v>
      </c>
      <c r="K323" s="347">
        <f t="shared" si="111"/>
        <v>-1710679</v>
      </c>
      <c r="L323" s="347">
        <f t="shared" si="111"/>
        <v>0</v>
      </c>
    </row>
    <row r="324" spans="1:12">
      <c r="A324" s="333">
        <v>29</v>
      </c>
      <c r="C324" s="332" t="str">
        <f>'FR-16(7)(v)-1 Functional'!C324</f>
        <v>TOTAL OTHER ACCUMULATED DEFERRED INCOME TAXES</v>
      </c>
      <c r="D324" s="344"/>
      <c r="E324" s="196"/>
      <c r="F324" s="347">
        <f t="shared" ref="F324:L324" si="112">F283</f>
        <v>965441</v>
      </c>
      <c r="G324" s="347">
        <f>G283</f>
        <v>434776</v>
      </c>
      <c r="H324" s="347">
        <f t="shared" si="112"/>
        <v>247675</v>
      </c>
      <c r="I324" s="347">
        <f t="shared" si="112"/>
        <v>175386</v>
      </c>
      <c r="J324" s="347">
        <f t="shared" si="112"/>
        <v>107604</v>
      </c>
      <c r="K324" s="347">
        <f t="shared" si="112"/>
        <v>965441</v>
      </c>
      <c r="L324" s="347">
        <f t="shared" si="112"/>
        <v>0</v>
      </c>
    </row>
    <row r="325" spans="1:12">
      <c r="A325" s="333">
        <v>30</v>
      </c>
      <c r="C325" s="359" t="str">
        <f>'FR-16(7)(v)-1 Functional'!C325</f>
        <v>TOTAL WORKING CAPITAL</v>
      </c>
      <c r="D325" s="344"/>
      <c r="E325" s="196"/>
      <c r="F325" s="347">
        <f t="shared" ref="F325:L325" si="113">F321</f>
        <v>4487455</v>
      </c>
      <c r="G325" s="347">
        <f>G321</f>
        <v>2266761</v>
      </c>
      <c r="H325" s="347">
        <f t="shared" si="113"/>
        <v>1291088</v>
      </c>
      <c r="I325" s="347">
        <f t="shared" si="113"/>
        <v>913730</v>
      </c>
      <c r="J325" s="347">
        <f t="shared" si="113"/>
        <v>15877</v>
      </c>
      <c r="K325" s="347">
        <f t="shared" si="113"/>
        <v>4487456</v>
      </c>
      <c r="L325" s="347">
        <f t="shared" si="113"/>
        <v>-1</v>
      </c>
    </row>
    <row r="326" spans="1:12">
      <c r="A326" s="333">
        <v>31</v>
      </c>
      <c r="C326" s="332" t="str">
        <f>'FR-16(7)(v)-1 Functional'!C326</f>
        <v xml:space="preserve">  TOTAL RATE BASE ADJUSTMENTS</v>
      </c>
      <c r="D326" s="344"/>
      <c r="E326" s="196"/>
      <c r="F326" s="348">
        <f t="shared" ref="F326:L326" si="114">SUM(F322:F325)</f>
        <v>3742217</v>
      </c>
      <c r="G326" s="348">
        <f>SUM(G322:G325)</f>
        <v>1817236</v>
      </c>
      <c r="H326" s="348">
        <f t="shared" si="114"/>
        <v>1041706</v>
      </c>
      <c r="I326" s="348">
        <f t="shared" si="114"/>
        <v>762404</v>
      </c>
      <c r="J326" s="348">
        <f t="shared" si="114"/>
        <v>120872</v>
      </c>
      <c r="K326" s="348">
        <f t="shared" si="114"/>
        <v>3742218</v>
      </c>
      <c r="L326" s="348">
        <f t="shared" si="114"/>
        <v>-1</v>
      </c>
    </row>
    <row r="327" spans="1:12">
      <c r="A327" s="333">
        <v>32</v>
      </c>
      <c r="D327" s="344"/>
      <c r="E327" s="196"/>
      <c r="I327" s="332"/>
    </row>
    <row r="328" spans="1:12">
      <c r="A328" s="333">
        <v>33</v>
      </c>
      <c r="B328" s="332" t="s">
        <v>41</v>
      </c>
      <c r="D328" s="344"/>
      <c r="E328" s="196"/>
      <c r="I328" s="332"/>
    </row>
    <row r="329" spans="1:12">
      <c r="A329" s="333">
        <v>34</v>
      </c>
      <c r="C329" s="332" t="str">
        <f>'FR-16(7)(v)-1 Functional'!C329</f>
        <v>NET GAS PLANT IN SERVICE</v>
      </c>
      <c r="D329" s="344"/>
      <c r="E329" s="196"/>
      <c r="F329" s="347">
        <f t="shared" ref="F329:L329" si="115">F191</f>
        <v>2952262</v>
      </c>
      <c r="G329" s="347">
        <f>G191</f>
        <v>1584202</v>
      </c>
      <c r="H329" s="347">
        <f t="shared" si="115"/>
        <v>870350</v>
      </c>
      <c r="I329" s="347">
        <f t="shared" si="115"/>
        <v>495082</v>
      </c>
      <c r="J329" s="347">
        <f t="shared" si="115"/>
        <v>2628</v>
      </c>
      <c r="K329" s="347">
        <f t="shared" si="115"/>
        <v>2952262</v>
      </c>
      <c r="L329" s="347">
        <f t="shared" si="115"/>
        <v>0</v>
      </c>
    </row>
    <row r="330" spans="1:12">
      <c r="A330" s="333">
        <v>35</v>
      </c>
      <c r="C330" s="359" t="str">
        <f>'FR-16(7)(v)-1 Functional'!C330</f>
        <v>TOTAL RATE BASE ADJUSTMENTS</v>
      </c>
      <c r="D330" s="344"/>
      <c r="E330" s="196"/>
      <c r="F330" s="347">
        <f t="shared" ref="F330:L330" si="116">F326</f>
        <v>3742217</v>
      </c>
      <c r="G330" s="347">
        <f>G326</f>
        <v>1817236</v>
      </c>
      <c r="H330" s="347">
        <f t="shared" si="116"/>
        <v>1041706</v>
      </c>
      <c r="I330" s="347">
        <f t="shared" si="116"/>
        <v>762404</v>
      </c>
      <c r="J330" s="347">
        <f t="shared" si="116"/>
        <v>120872</v>
      </c>
      <c r="K330" s="347">
        <f t="shared" si="116"/>
        <v>3742218</v>
      </c>
      <c r="L330" s="347">
        <f t="shared" si="116"/>
        <v>-1</v>
      </c>
    </row>
    <row r="331" spans="1:12">
      <c r="A331" s="333">
        <v>36</v>
      </c>
      <c r="C331" s="332" t="str">
        <f>'FR-16(7)(v)-1 Functional'!C331</f>
        <v xml:space="preserve">  TOTAL RATE BASE</v>
      </c>
      <c r="D331" s="344"/>
      <c r="E331" s="196"/>
      <c r="F331" s="348">
        <f t="shared" ref="F331:L331" si="117">SUM(F328:F330)</f>
        <v>6694479</v>
      </c>
      <c r="G331" s="348">
        <f>SUM(G328:G330)</f>
        <v>3401438</v>
      </c>
      <c r="H331" s="348">
        <f t="shared" si="117"/>
        <v>1912056</v>
      </c>
      <c r="I331" s="348">
        <f t="shared" si="117"/>
        <v>1257486</v>
      </c>
      <c r="J331" s="348">
        <f t="shared" si="117"/>
        <v>123500</v>
      </c>
      <c r="K331" s="348">
        <f t="shared" si="117"/>
        <v>6694480</v>
      </c>
      <c r="L331" s="348">
        <f t="shared" si="117"/>
        <v>-1</v>
      </c>
    </row>
    <row r="332" spans="1:12">
      <c r="A332" s="333">
        <v>37</v>
      </c>
      <c r="D332" s="344"/>
      <c r="E332" s="196"/>
      <c r="I332" s="332"/>
    </row>
    <row r="333" spans="1:12">
      <c r="A333" s="333">
        <v>38</v>
      </c>
      <c r="B333" s="332" t="s">
        <v>42</v>
      </c>
      <c r="D333" s="344"/>
      <c r="E333" s="196"/>
      <c r="F333" s="1284">
        <f>$F$688</f>
        <v>7.1809999999999999E-2</v>
      </c>
      <c r="G333" s="1284">
        <f>F688</f>
        <v>7.1809999999999999E-2</v>
      </c>
      <c r="H333" s="1284">
        <f>F688</f>
        <v>7.1809999999999999E-2</v>
      </c>
      <c r="I333" s="1284">
        <f>F688</f>
        <v>7.1809999999999999E-2</v>
      </c>
      <c r="J333" s="1284">
        <f>F688</f>
        <v>7.1809999999999999E-2</v>
      </c>
      <c r="K333" s="1284">
        <f>F688</f>
        <v>7.1809999999999999E-2</v>
      </c>
      <c r="L333" s="1284">
        <f>'FR-16(7)(v)-1 Functional'!F688</f>
        <v>7.1809999999999999E-2</v>
      </c>
    </row>
    <row r="334" spans="1:12">
      <c r="A334" s="333">
        <v>39</v>
      </c>
      <c r="B334" s="332" t="s">
        <v>43</v>
      </c>
      <c r="D334" s="344"/>
      <c r="E334" s="196"/>
      <c r="F334" s="615">
        <f>ROUND(F333*F331,0)+1</f>
        <v>480732</v>
      </c>
      <c r="G334" s="349">
        <f>F334-SUM(H334:J334)</f>
        <v>244258</v>
      </c>
      <c r="H334" s="477">
        <f>ROUND(H331*H333,0)</f>
        <v>137305</v>
      </c>
      <c r="I334" s="477">
        <f>ROUND(I331*I333,0)</f>
        <v>90300</v>
      </c>
      <c r="J334" s="477">
        <f>ROUND(J331*J333,0)</f>
        <v>8869</v>
      </c>
      <c r="K334" s="347">
        <f>SUM(G334:J334)</f>
        <v>480732</v>
      </c>
      <c r="L334" s="347">
        <f>F334-K334</f>
        <v>0</v>
      </c>
    </row>
    <row r="335" spans="1:12">
      <c r="B335" s="343"/>
      <c r="C335" s="196"/>
      <c r="D335" s="344"/>
      <c r="E335" s="196"/>
      <c r="G335" s="196"/>
      <c r="H335" s="196"/>
      <c r="I335" s="196"/>
      <c r="J335" s="344"/>
      <c r="K335" s="196"/>
      <c r="L335" s="196"/>
    </row>
    <row r="336" spans="1:12">
      <c r="A336" s="343" t="str">
        <f>co_name</f>
        <v>DUKE ENERGY KENTUCKY, INC.</v>
      </c>
      <c r="C336" s="196"/>
      <c r="D336" s="344"/>
      <c r="E336" s="196"/>
      <c r="F336" s="344"/>
      <c r="G336" s="342"/>
      <c r="H336" s="342"/>
      <c r="I336" s="196"/>
      <c r="K336" s="361" t="str">
        <f>$K$1</f>
        <v>FR-16(7)(v)-3</v>
      </c>
      <c r="L336" s="196"/>
    </row>
    <row r="337" spans="1:12">
      <c r="A337" s="343" t="str">
        <f>$A$2</f>
        <v>PRODUCTION COMMODITY ALLOCATED - GAS COST OF SERVICE</v>
      </c>
      <c r="C337" s="196"/>
      <c r="D337" s="344"/>
      <c r="E337" s="196"/>
      <c r="F337" s="344"/>
      <c r="G337" s="342"/>
      <c r="H337" s="342"/>
      <c r="I337" s="196"/>
      <c r="K337" s="361" t="str">
        <f>$K$2</f>
        <v>WITNESS RESPONSIBLE:</v>
      </c>
      <c r="L337" s="196"/>
    </row>
    <row r="338" spans="1:12">
      <c r="A338" s="343" t="str">
        <f>case_name</f>
        <v>CASE NO: 2018-00261</v>
      </c>
      <c r="C338" s="196"/>
      <c r="D338" s="344"/>
      <c r="E338" s="196"/>
      <c r="F338" s="344"/>
      <c r="G338" s="342"/>
      <c r="H338" s="342"/>
      <c r="I338" s="196"/>
      <c r="K338" s="361" t="str">
        <f>Witness</f>
        <v>JAMES E. ZIOLKOWSKI</v>
      </c>
      <c r="L338" s="196"/>
    </row>
    <row r="339" spans="1:12">
      <c r="A339" s="343" t="str">
        <f>data_filing</f>
        <v>DATA: 12 MONTH FORECASTED PERIOD</v>
      </c>
      <c r="C339" s="196"/>
      <c r="D339" s="344"/>
      <c r="E339" s="196"/>
      <c r="F339" s="344"/>
      <c r="G339" s="342"/>
      <c r="H339" s="342"/>
      <c r="I339" s="196"/>
      <c r="K339" s="361" t="str">
        <f>"PAGE "&amp;Pages-10&amp;" OF "&amp;Pages</f>
        <v>PAGE 8 OF 18</v>
      </c>
      <c r="L339" s="196"/>
    </row>
    <row r="340" spans="1:12">
      <c r="A340" s="343" t="str">
        <f>type</f>
        <v xml:space="preserve">TYPE OF FILING: "X" ORIGINAL   UPDATED    REVISED  </v>
      </c>
      <c r="C340" s="196"/>
      <c r="D340" s="344"/>
      <c r="E340" s="196"/>
      <c r="F340" s="344"/>
      <c r="G340" s="342"/>
      <c r="H340" s="342"/>
      <c r="I340" s="196"/>
      <c r="J340" s="344"/>
      <c r="K340" s="196"/>
      <c r="L340" s="196"/>
    </row>
    <row r="341" spans="1:12">
      <c r="B341" s="343"/>
      <c r="C341" s="196"/>
      <c r="D341" s="344"/>
      <c r="E341" s="196"/>
      <c r="F341" s="344"/>
      <c r="G341" s="196"/>
      <c r="H341" s="196"/>
      <c r="I341" s="196"/>
      <c r="J341" s="344"/>
      <c r="K341" s="196"/>
      <c r="L341" s="196"/>
    </row>
    <row r="342" spans="1:12">
      <c r="B342" s="343"/>
      <c r="C342" s="196"/>
      <c r="D342" s="344"/>
      <c r="E342" s="196"/>
      <c r="F342" s="344" t="str">
        <f>$F$7</f>
        <v>TOTAL</v>
      </c>
      <c r="G342" s="196"/>
      <c r="H342" s="196"/>
      <c r="I342" s="196"/>
      <c r="J342" s="344"/>
      <c r="K342" s="196"/>
      <c r="L342" s="196"/>
    </row>
    <row r="343" spans="1:12">
      <c r="A343" s="344" t="s">
        <v>914</v>
      </c>
      <c r="B343" s="196"/>
      <c r="C343" s="196"/>
      <c r="D343" s="344"/>
      <c r="E343" s="196"/>
      <c r="F343" s="344" t="str">
        <f>$F$8</f>
        <v>PRODUCTION</v>
      </c>
      <c r="G343" s="344" t="s">
        <v>418</v>
      </c>
      <c r="H343" s="344" t="s">
        <v>864</v>
      </c>
      <c r="I343" s="344" t="s">
        <v>865</v>
      </c>
      <c r="J343" s="344" t="s">
        <v>549</v>
      </c>
      <c r="K343" s="344" t="s">
        <v>229</v>
      </c>
      <c r="L343" s="344" t="s">
        <v>342</v>
      </c>
    </row>
    <row r="344" spans="1:12">
      <c r="A344" s="346" t="s">
        <v>915</v>
      </c>
      <c r="B344" s="345" t="s">
        <v>44</v>
      </c>
      <c r="C344" s="345"/>
      <c r="D344" s="346" t="s">
        <v>337</v>
      </c>
      <c r="E344" s="345"/>
      <c r="F344" s="344" t="str">
        <f>$F$9</f>
        <v>COMMODITY</v>
      </c>
      <c r="G344" s="346" t="s">
        <v>338</v>
      </c>
      <c r="H344" s="346" t="s">
        <v>405</v>
      </c>
      <c r="I344" s="346" t="s">
        <v>405</v>
      </c>
      <c r="J344" s="346" t="s">
        <v>550</v>
      </c>
      <c r="K344" s="346" t="s">
        <v>341</v>
      </c>
      <c r="L344" s="346" t="s">
        <v>340</v>
      </c>
    </row>
    <row r="345" spans="1:12">
      <c r="C345" s="578" t="s">
        <v>348</v>
      </c>
      <c r="D345" s="344"/>
      <c r="E345" s="196"/>
      <c r="F345" s="761"/>
      <c r="G345" s="633">
        <f>$G$10</f>
        <v>3</v>
      </c>
      <c r="H345" s="633">
        <f>$H$10</f>
        <v>4</v>
      </c>
      <c r="I345" s="633">
        <f>$I$10</f>
        <v>5</v>
      </c>
      <c r="J345" s="633">
        <f>$J$10</f>
        <v>6</v>
      </c>
    </row>
    <row r="346" spans="1:12">
      <c r="A346" s="333">
        <v>1</v>
      </c>
      <c r="B346" s="332" t="s">
        <v>45</v>
      </c>
      <c r="D346" s="344"/>
      <c r="E346" s="196"/>
      <c r="I346" s="332"/>
    </row>
    <row r="347" spans="1:12">
      <c r="A347" s="333">
        <v>2</v>
      </c>
      <c r="B347" s="332" t="s">
        <v>46</v>
      </c>
      <c r="D347" s="344"/>
      <c r="E347" s="196"/>
      <c r="I347" s="332"/>
    </row>
    <row r="348" spans="1:12">
      <c r="A348" s="333">
        <v>3</v>
      </c>
      <c r="C348" s="332" t="str">
        <f>'FR-16(7)(v)-1 Functional'!C348</f>
        <v>ANNUALIZED GAS COST</v>
      </c>
      <c r="D348" s="344" t="str">
        <f>'FR-16(7)(v)-1 Functional'!D348</f>
        <v>K301</v>
      </c>
      <c r="E348" s="196"/>
      <c r="F348" s="479">
        <f>'FR-16(7)(v)-2 PROD Classified'!H348</f>
        <v>36334092</v>
      </c>
      <c r="G348" s="349">
        <f>F348-SUM(H348:J348)</f>
        <v>18416661</v>
      </c>
      <c r="H348" s="347">
        <f>ROUND($F$348*VLOOKUP($D$348,ALLOCTABLE_Prod_Commodity,$H$10,FALSE),0)</f>
        <v>10490379</v>
      </c>
      <c r="I348" s="347">
        <f>ROUND(F348*VLOOKUP(D348,ALLOCTABLE_Prod_Commodity,$I$10,FALSE),0)</f>
        <v>7427052</v>
      </c>
      <c r="J348" s="347">
        <f>ROUND(F348*VLOOKUP(D348,ALLOCTABLE_Prod_Commodity,$J$10,FALSE),0)</f>
        <v>0</v>
      </c>
      <c r="K348" s="347">
        <f>SUM(G348:J348)</f>
        <v>36334092</v>
      </c>
      <c r="L348" s="347">
        <f>F348-K348</f>
        <v>0</v>
      </c>
    </row>
    <row r="349" spans="1:12">
      <c r="A349" s="333">
        <v>4</v>
      </c>
      <c r="C349" s="359" t="str">
        <f>'FR-16(7)(v)-1 Functional'!C349</f>
        <v>OTHER ASSOCIATED COST</v>
      </c>
      <c r="D349" s="344" t="str">
        <f>'FR-16(7)(v)-1 Functional'!D349</f>
        <v>K300</v>
      </c>
      <c r="E349" s="196"/>
      <c r="F349" s="479">
        <f>'FR-16(7)(v)-2 PROD Classified'!H349</f>
        <v>972828</v>
      </c>
      <c r="G349" s="349">
        <f>F349-SUM(H349:J349)</f>
        <v>429747</v>
      </c>
      <c r="H349" s="347">
        <f>ROUND($F$349*VLOOKUP($D$349,ALLOCTABLE_Prod_Commodity,$H$10,FALSE),0)</f>
        <v>244802</v>
      </c>
      <c r="I349" s="347">
        <f>ROUND(F349*VLOOKUP(D349,ALLOCTABLE_Prod_Commodity,$I$10,FALSE),0)</f>
        <v>173319</v>
      </c>
      <c r="J349" s="347">
        <f>ROUND(F349*VLOOKUP(D349,ALLOCTABLE_Prod_Commodity,$J$10,FALSE),0)</f>
        <v>124960</v>
      </c>
      <c r="K349" s="347">
        <f>SUM(G349:J349)</f>
        <v>972828</v>
      </c>
      <c r="L349" s="347">
        <f>F349-K349</f>
        <v>0</v>
      </c>
    </row>
    <row r="350" spans="1:12">
      <c r="A350" s="333">
        <v>5</v>
      </c>
      <c r="C350" s="332" t="str">
        <f>'FR-16(7)(v)-1 Functional'!C350</f>
        <v xml:space="preserve">  TOTAL COMMODITY RELATED</v>
      </c>
      <c r="D350" s="344"/>
      <c r="E350" s="196"/>
      <c r="F350" s="348">
        <f t="shared" ref="F350:L350" si="118">SUM(F348:F349)</f>
        <v>37306920</v>
      </c>
      <c r="G350" s="348">
        <f>SUM(G348:G349)</f>
        <v>18846408</v>
      </c>
      <c r="H350" s="348">
        <f t="shared" si="118"/>
        <v>10735181</v>
      </c>
      <c r="I350" s="348">
        <f t="shared" si="118"/>
        <v>7600371</v>
      </c>
      <c r="J350" s="348">
        <f t="shared" si="118"/>
        <v>124960</v>
      </c>
      <c r="K350" s="348">
        <f t="shared" si="118"/>
        <v>37306920</v>
      </c>
      <c r="L350" s="348">
        <f t="shared" si="118"/>
        <v>0</v>
      </c>
    </row>
    <row r="351" spans="1:12">
      <c r="A351" s="333">
        <v>6</v>
      </c>
      <c r="D351" s="344"/>
      <c r="E351" s="196"/>
      <c r="I351" s="332"/>
    </row>
    <row r="352" spans="1:12">
      <c r="A352" s="333">
        <v>7</v>
      </c>
      <c r="B352" s="359" t="s">
        <v>47</v>
      </c>
      <c r="C352" s="359"/>
      <c r="D352" s="344"/>
      <c r="E352" s="196"/>
      <c r="F352" s="347"/>
      <c r="I352" s="332"/>
      <c r="J352" s="347"/>
      <c r="K352" s="347"/>
      <c r="L352" s="347"/>
    </row>
    <row r="353" spans="1:12">
      <c r="A353" s="333">
        <v>8</v>
      </c>
      <c r="C353" s="332" t="str">
        <f>'FR-16(7)(v)-1 Functional'!C353</f>
        <v>ANNUALIZED GAS COST - DEMAND</v>
      </c>
      <c r="D353" s="344" t="s">
        <v>290</v>
      </c>
      <c r="E353" s="196"/>
      <c r="F353" s="477">
        <v>0</v>
      </c>
      <c r="G353" s="349">
        <f>F353-SUM(H353:J353)</f>
        <v>0</v>
      </c>
      <c r="H353" s="347">
        <f>ROUND($F$353*VLOOKUP($D$353,ALLOCTABLE_Prod_Commodity,$H$10,FALSE),0)</f>
        <v>0</v>
      </c>
      <c r="I353" s="347">
        <f>ROUND(F353*VLOOKUP(D353,ALLOCTABLE_Prod_Commodity,$I$10,FALSE),0)</f>
        <v>0</v>
      </c>
      <c r="J353" s="347">
        <f>ROUND(F353*VLOOKUP(D353,ALLOCTABLE_Prod_Commodity,$J$10,FALSE),0)</f>
        <v>0</v>
      </c>
      <c r="K353" s="347">
        <f>SUM(G353:J353)</f>
        <v>0</v>
      </c>
      <c r="L353" s="347">
        <f>F353-K353</f>
        <v>0</v>
      </c>
    </row>
    <row r="354" spans="1:12">
      <c r="A354" s="333">
        <v>9</v>
      </c>
      <c r="C354" s="332" t="str">
        <f>'FR-16(7)(v)-1 Functional'!C354</f>
        <v xml:space="preserve">  TOTAL DEMAND RELATED</v>
      </c>
      <c r="D354" s="344"/>
      <c r="E354" s="196"/>
      <c r="F354" s="348">
        <f t="shared" ref="F354:L354" si="119">SUM(F352:F353)</f>
        <v>0</v>
      </c>
      <c r="G354" s="348">
        <f>SUM(G352:G353)</f>
        <v>0</v>
      </c>
      <c r="H354" s="348">
        <f t="shared" si="119"/>
        <v>0</v>
      </c>
      <c r="I354" s="348">
        <f t="shared" si="119"/>
        <v>0</v>
      </c>
      <c r="J354" s="348">
        <f t="shared" si="119"/>
        <v>0</v>
      </c>
      <c r="K354" s="348">
        <f t="shared" si="119"/>
        <v>0</v>
      </c>
      <c r="L354" s="348">
        <f t="shared" si="119"/>
        <v>0</v>
      </c>
    </row>
    <row r="355" spans="1:12">
      <c r="A355" s="333">
        <v>10</v>
      </c>
      <c r="D355" s="344"/>
      <c r="E355" s="196"/>
      <c r="I355" s="332"/>
    </row>
    <row r="356" spans="1:12">
      <c r="A356" s="333">
        <v>11</v>
      </c>
      <c r="B356" s="332" t="s">
        <v>1010</v>
      </c>
      <c r="D356" s="344"/>
      <c r="E356" s="196"/>
      <c r="I356" s="332"/>
    </row>
    <row r="357" spans="1:12">
      <c r="A357" s="333">
        <v>12</v>
      </c>
      <c r="C357" s="359" t="str">
        <f>'FR-16(7)(v)-1 Functional'!C357</f>
        <v>PRODUCTION EXPENSES</v>
      </c>
      <c r="D357" s="344" t="str">
        <f>'FR-16(7)(v)-1 Functional'!D357</f>
        <v>K201</v>
      </c>
      <c r="E357" s="196"/>
      <c r="F357" s="479">
        <f>'FR-16(7)(v)-2 PROD Classified'!H357</f>
        <v>0</v>
      </c>
      <c r="G357" s="349">
        <f>F357-SUM(H357:J357)</f>
        <v>0</v>
      </c>
      <c r="H357" s="347">
        <f>ROUND($F$357*VLOOKUP($D$357,ALLOCTABLE_Prod_Commodity,$H$10,FALSE),0)</f>
        <v>0</v>
      </c>
      <c r="I357" s="347">
        <f>ROUND(F357*VLOOKUP(D357,ALLOCTABLE_Prod_Commodity,$I$10,FALSE),0)</f>
        <v>0</v>
      </c>
      <c r="J357" s="347">
        <f>ROUND(F357*VLOOKUP(D357,ALLOCTABLE_Prod_Commodity,$J$10,FALSE),0)</f>
        <v>0</v>
      </c>
      <c r="K357" s="347">
        <f>SUM(G357:J357)</f>
        <v>0</v>
      </c>
      <c r="L357" s="347">
        <f>F357-K357</f>
        <v>0</v>
      </c>
    </row>
    <row r="358" spans="1:12">
      <c r="A358" s="333">
        <v>13</v>
      </c>
      <c r="C358" s="332" t="str">
        <f>'FR-16(7)(v)-1 Functional'!C358</f>
        <v xml:space="preserve">  TOTAL DEM REL &amp; OTH PROD O&amp;M </v>
      </c>
      <c r="D358" s="344"/>
      <c r="E358" s="196"/>
      <c r="F358" s="348">
        <f t="shared" ref="F358:L358" si="120">SUM(F356:F357)</f>
        <v>0</v>
      </c>
      <c r="G358" s="348">
        <f>SUM(G356:G357)</f>
        <v>0</v>
      </c>
      <c r="H358" s="348">
        <f t="shared" si="120"/>
        <v>0</v>
      </c>
      <c r="I358" s="348">
        <f t="shared" si="120"/>
        <v>0</v>
      </c>
      <c r="J358" s="348">
        <f t="shared" si="120"/>
        <v>0</v>
      </c>
      <c r="K358" s="348">
        <f t="shared" si="120"/>
        <v>0</v>
      </c>
      <c r="L358" s="348">
        <f t="shared" si="120"/>
        <v>0</v>
      </c>
    </row>
    <row r="359" spans="1:12">
      <c r="A359" s="333">
        <v>14</v>
      </c>
      <c r="D359" s="344"/>
      <c r="E359" s="196"/>
      <c r="F359" s="347"/>
      <c r="I359" s="332"/>
      <c r="J359" s="347"/>
      <c r="K359" s="347"/>
      <c r="L359" s="347"/>
    </row>
    <row r="360" spans="1:12">
      <c r="A360" s="333">
        <v>15</v>
      </c>
      <c r="B360" s="332" t="s">
        <v>48</v>
      </c>
      <c r="D360" s="344"/>
      <c r="E360" s="196" t="s">
        <v>343</v>
      </c>
      <c r="F360" s="347">
        <f t="shared" ref="F360:L360" si="121">F358+F354+F350</f>
        <v>37306920</v>
      </c>
      <c r="G360" s="347">
        <f>G358+G354+G350</f>
        <v>18846408</v>
      </c>
      <c r="H360" s="347">
        <f t="shared" si="121"/>
        <v>10735181</v>
      </c>
      <c r="I360" s="347">
        <f t="shared" si="121"/>
        <v>7600371</v>
      </c>
      <c r="J360" s="347">
        <f t="shared" si="121"/>
        <v>124960</v>
      </c>
      <c r="K360" s="347">
        <f t="shared" si="121"/>
        <v>37306920</v>
      </c>
      <c r="L360" s="347">
        <f t="shared" si="121"/>
        <v>0</v>
      </c>
    </row>
    <row r="361" spans="1:12">
      <c r="A361" s="333">
        <v>16</v>
      </c>
      <c r="D361" s="344"/>
      <c r="E361" s="196"/>
      <c r="I361" s="332"/>
    </row>
    <row r="362" spans="1:12">
      <c r="A362" s="333">
        <v>17</v>
      </c>
      <c r="B362" s="332" t="s">
        <v>49</v>
      </c>
      <c r="D362" s="344"/>
      <c r="E362" s="196"/>
      <c r="I362" s="332"/>
    </row>
    <row r="363" spans="1:12">
      <c r="A363" s="333">
        <v>18</v>
      </c>
      <c r="C363" s="359" t="str">
        <f>'FR-16(7)(v)-1 Functional'!C363</f>
        <v>TRANSMISSION O &amp; M</v>
      </c>
      <c r="D363" s="344" t="s">
        <v>343</v>
      </c>
      <c r="E363" s="196"/>
      <c r="F363" s="477"/>
      <c r="G363" s="347"/>
      <c r="H363" s="347"/>
      <c r="I363" s="347"/>
      <c r="J363" s="347"/>
      <c r="K363" s="347"/>
      <c r="L363" s="347"/>
    </row>
    <row r="364" spans="1:12">
      <c r="A364" s="333">
        <v>19</v>
      </c>
      <c r="C364" s="332" t="str">
        <f>'FR-16(7)(v)-1 Functional'!C364</f>
        <v xml:space="preserve">  TOTAL TRANSMISSION O &amp; M</v>
      </c>
      <c r="D364" s="344"/>
      <c r="E364" s="196"/>
      <c r="F364" s="348">
        <f t="shared" ref="F364:L364" si="122">SUM(F363)</f>
        <v>0</v>
      </c>
      <c r="G364" s="348">
        <f>SUM(G363)</f>
        <v>0</v>
      </c>
      <c r="H364" s="348">
        <f t="shared" si="122"/>
        <v>0</v>
      </c>
      <c r="I364" s="348">
        <f t="shared" si="122"/>
        <v>0</v>
      </c>
      <c r="J364" s="348">
        <f t="shared" si="122"/>
        <v>0</v>
      </c>
      <c r="K364" s="348">
        <f t="shared" si="122"/>
        <v>0</v>
      </c>
      <c r="L364" s="348">
        <f t="shared" si="122"/>
        <v>0</v>
      </c>
    </row>
    <row r="365" spans="1:12">
      <c r="A365" s="333">
        <v>20</v>
      </c>
      <c r="D365" s="344"/>
      <c r="E365" s="196"/>
      <c r="I365" s="332"/>
    </row>
    <row r="366" spans="1:12">
      <c r="A366" s="333">
        <v>21</v>
      </c>
      <c r="B366" s="332" t="s">
        <v>50</v>
      </c>
      <c r="D366" s="344"/>
      <c r="E366" s="196"/>
      <c r="I366" s="332"/>
    </row>
    <row r="367" spans="1:12">
      <c r="A367" s="333">
        <v>22</v>
      </c>
      <c r="C367" s="332" t="str">
        <f>'FR-16(7)(v)-1 Functional'!C367</f>
        <v>LOAD DISPATCHING</v>
      </c>
      <c r="D367" s="344" t="str">
        <f>'FR-16(7)(v)-1 Functional'!D367</f>
        <v>K203</v>
      </c>
      <c r="E367" s="196"/>
      <c r="F367" s="479">
        <f>'FR-16(7)(v)-2 PROD Classified'!H367</f>
        <v>0</v>
      </c>
      <c r="G367" s="349">
        <f t="shared" ref="G367:G377" si="123">F367-SUM(H367:J367)</f>
        <v>0</v>
      </c>
      <c r="H367" s="347">
        <f>ROUND($F$367*VLOOKUP($D$367,ALLOCTABLE_Prod_Commodity,$H$10,FALSE),0)</f>
        <v>0</v>
      </c>
      <c r="I367" s="347">
        <f t="shared" ref="I367:I377" si="124">ROUND(F367*VLOOKUP(D367,ALLOCTABLE_Prod_Commodity,$I$10,FALSE),0)</f>
        <v>0</v>
      </c>
      <c r="J367" s="347">
        <f t="shared" ref="J367:J377" si="125">ROUND(F367*VLOOKUP(D367,ALLOCTABLE_Prod_Commodity,$J$10,FALSE),0)</f>
        <v>0</v>
      </c>
      <c r="K367" s="347">
        <f t="shared" ref="K367:K377" si="126">SUM(G367:J367)</f>
        <v>0</v>
      </c>
      <c r="L367" s="347">
        <f t="shared" ref="L367:L377" si="127">F367-K367</f>
        <v>0</v>
      </c>
    </row>
    <row r="368" spans="1:12">
      <c r="A368" s="333">
        <v>23</v>
      </c>
      <c r="C368" s="332" t="str">
        <f>'FR-16(7)(v)-1 Functional'!C368</f>
        <v>MAINS &amp; SERVICES OPER</v>
      </c>
      <c r="D368" s="344" t="str">
        <f>'FR-16(7)(v)-1 Functional'!D368</f>
        <v>K667</v>
      </c>
      <c r="E368" s="196"/>
      <c r="F368" s="479">
        <f>'FR-16(7)(v)-2 PROD Classified'!H368</f>
        <v>0</v>
      </c>
      <c r="G368" s="349">
        <f t="shared" si="123"/>
        <v>0</v>
      </c>
      <c r="H368" s="347">
        <f>ROUND($F$368*VLOOKUP($D$368,ALLOCTABLE_Prod_Commodity,$H$10,FALSE),0)</f>
        <v>0</v>
      </c>
      <c r="I368" s="347">
        <f t="shared" si="124"/>
        <v>0</v>
      </c>
      <c r="J368" s="347">
        <f t="shared" si="125"/>
        <v>0</v>
      </c>
      <c r="K368" s="347">
        <f t="shared" si="126"/>
        <v>0</v>
      </c>
      <c r="L368" s="347">
        <f t="shared" si="127"/>
        <v>0</v>
      </c>
    </row>
    <row r="369" spans="1:12">
      <c r="A369" s="333">
        <v>24</v>
      </c>
      <c r="C369" s="332" t="str">
        <f>'FR-16(7)(v)-1 Functional'!C369</f>
        <v>M &amp; R STATION GENERAL</v>
      </c>
      <c r="D369" s="344" t="str">
        <f>'FR-16(7)(v)-1 Functional'!D369</f>
        <v>K203</v>
      </c>
      <c r="E369" s="196"/>
      <c r="F369" s="479">
        <f>'FR-16(7)(v)-2 PROD Classified'!H369</f>
        <v>0</v>
      </c>
      <c r="G369" s="349">
        <f t="shared" si="123"/>
        <v>0</v>
      </c>
      <c r="H369" s="347">
        <f>ROUND($F$369*VLOOKUP($D$369,ALLOCTABLE_Prod_Commodity,$H$10,FALSE),0)</f>
        <v>0</v>
      </c>
      <c r="I369" s="347">
        <f t="shared" si="124"/>
        <v>0</v>
      </c>
      <c r="J369" s="347">
        <f t="shared" si="125"/>
        <v>0</v>
      </c>
      <c r="K369" s="347">
        <f t="shared" si="126"/>
        <v>0</v>
      </c>
      <c r="L369" s="347">
        <f t="shared" si="127"/>
        <v>0</v>
      </c>
    </row>
    <row r="370" spans="1:12">
      <c r="A370" s="333">
        <v>25</v>
      </c>
      <c r="C370" s="332" t="str">
        <f>'FR-16(7)(v)-1 Functional'!C370</f>
        <v>CUSTOMER INST &amp; OTHER</v>
      </c>
      <c r="D370" s="344" t="str">
        <f>'FR-16(7)(v)-1 Functional'!D370</f>
        <v>K415</v>
      </c>
      <c r="E370" s="196"/>
      <c r="F370" s="479">
        <f>'FR-16(7)(v)-2 PROD Classified'!H370</f>
        <v>0</v>
      </c>
      <c r="G370" s="349">
        <f t="shared" si="123"/>
        <v>0</v>
      </c>
      <c r="H370" s="347">
        <f>ROUND($F$370*VLOOKUP($D$370,ALLOCTABLE_Prod_Commodity,$H$10,FALSE),0)</f>
        <v>0</v>
      </c>
      <c r="I370" s="347">
        <f t="shared" si="124"/>
        <v>0</v>
      </c>
      <c r="J370" s="347">
        <f t="shared" si="125"/>
        <v>0</v>
      </c>
      <c r="K370" s="347">
        <f t="shared" si="126"/>
        <v>0</v>
      </c>
      <c r="L370" s="347">
        <f t="shared" si="127"/>
        <v>0</v>
      </c>
    </row>
    <row r="371" spans="1:12">
      <c r="A371" s="333">
        <v>26</v>
      </c>
      <c r="C371" s="332" t="str">
        <f>'FR-16(7)(v)-1 Functional'!C371</f>
        <v>METERS &amp; HOUSE REG</v>
      </c>
      <c r="D371" s="344" t="str">
        <f>'FR-16(7)(v)-1 Functional'!D371</f>
        <v>K697</v>
      </c>
      <c r="E371" s="196"/>
      <c r="F371" s="479">
        <f>'FR-16(7)(v)-2 PROD Classified'!H371</f>
        <v>0</v>
      </c>
      <c r="G371" s="349">
        <f t="shared" si="123"/>
        <v>0</v>
      </c>
      <c r="H371" s="347">
        <f>ROUND($F$371*VLOOKUP($D$371,ALLOCTABLE_Prod_Commodity,$H$10,FALSE),0)</f>
        <v>0</v>
      </c>
      <c r="I371" s="347">
        <f t="shared" si="124"/>
        <v>0</v>
      </c>
      <c r="J371" s="347">
        <f t="shared" si="125"/>
        <v>0</v>
      </c>
      <c r="K371" s="347">
        <f t="shared" si="126"/>
        <v>0</v>
      </c>
      <c r="L371" s="347">
        <f t="shared" si="127"/>
        <v>0</v>
      </c>
    </row>
    <row r="372" spans="1:12">
      <c r="A372" s="333">
        <v>27</v>
      </c>
      <c r="C372" s="332" t="str">
        <f>'FR-16(7)(v)-1 Functional'!C372</f>
        <v>MAINS</v>
      </c>
      <c r="D372" s="344" t="str">
        <f>'FR-16(7)(v)-1 Functional'!D372</f>
        <v>K415</v>
      </c>
      <c r="E372" s="196"/>
      <c r="F372" s="479">
        <f>'FR-16(7)(v)-2 PROD Classified'!H372</f>
        <v>0</v>
      </c>
      <c r="G372" s="349">
        <f t="shared" si="123"/>
        <v>0</v>
      </c>
      <c r="H372" s="347">
        <f>ROUND($F$372*VLOOKUP($D$372,ALLOCTABLE_Prod_Commodity,$H$10,FALSE),0)</f>
        <v>0</v>
      </c>
      <c r="I372" s="347">
        <f t="shared" si="124"/>
        <v>0</v>
      </c>
      <c r="J372" s="347">
        <f t="shared" si="125"/>
        <v>0</v>
      </c>
      <c r="K372" s="347">
        <f t="shared" si="126"/>
        <v>0</v>
      </c>
      <c r="L372" s="347">
        <f t="shared" si="127"/>
        <v>0</v>
      </c>
    </row>
    <row r="373" spans="1:12">
      <c r="A373" s="333">
        <v>28</v>
      </c>
      <c r="C373" s="332" t="str">
        <f>'FR-16(7)(v)-1 Functional'!C373</f>
        <v>SERVICES</v>
      </c>
      <c r="D373" s="344" t="str">
        <f>'FR-16(7)(v)-1 Functional'!D373</f>
        <v>K403</v>
      </c>
      <c r="E373" s="196"/>
      <c r="F373" s="479">
        <f>'FR-16(7)(v)-2 PROD Classified'!H373</f>
        <v>0</v>
      </c>
      <c r="G373" s="349">
        <f t="shared" si="123"/>
        <v>0</v>
      </c>
      <c r="H373" s="347">
        <f>ROUND($F$373*VLOOKUP($D$373,ALLOCTABLE_Prod_Commodity,$H$10,FALSE),0)</f>
        <v>0</v>
      </c>
      <c r="I373" s="347">
        <f t="shared" si="124"/>
        <v>0</v>
      </c>
      <c r="J373" s="347">
        <f t="shared" si="125"/>
        <v>0</v>
      </c>
      <c r="K373" s="347">
        <f t="shared" si="126"/>
        <v>0</v>
      </c>
      <c r="L373" s="347">
        <f t="shared" si="127"/>
        <v>0</v>
      </c>
    </row>
    <row r="374" spans="1:12">
      <c r="A374" s="333">
        <v>29</v>
      </c>
      <c r="C374" s="332" t="str">
        <f>'FR-16(7)(v)-1 Functional'!C374</f>
        <v>SUPV &amp; ENG</v>
      </c>
      <c r="D374" s="344" t="str">
        <f>'FR-16(7)(v)-1 Functional'!D374</f>
        <v>D249</v>
      </c>
      <c r="E374" s="196"/>
      <c r="F374" s="479">
        <f>'FR-16(7)(v)-2 PROD Classified'!H374</f>
        <v>0</v>
      </c>
      <c r="G374" s="349">
        <f t="shared" si="123"/>
        <v>0</v>
      </c>
      <c r="H374" s="347">
        <f>ROUND($F$374*VLOOKUP($D$374,ALLOCTABLE_Prod_Commodity,$H$10,FALSE),0)</f>
        <v>0</v>
      </c>
      <c r="I374" s="347">
        <f t="shared" si="124"/>
        <v>0</v>
      </c>
      <c r="J374" s="347">
        <f t="shared" si="125"/>
        <v>0</v>
      </c>
      <c r="K374" s="347">
        <f t="shared" si="126"/>
        <v>0</v>
      </c>
      <c r="L374" s="347">
        <f t="shared" si="127"/>
        <v>0</v>
      </c>
    </row>
    <row r="375" spans="1:12">
      <c r="A375" s="333">
        <v>30</v>
      </c>
      <c r="C375" s="332" t="str">
        <f>'FR-16(7)(v)-1 Functional'!C375</f>
        <v>ELIMINATE NON-KY CUSTOMER</v>
      </c>
      <c r="D375" s="344" t="str">
        <f>'FR-16(7)(v)-1 Functional'!D375</f>
        <v>K595</v>
      </c>
      <c r="E375" s="196"/>
      <c r="F375" s="479">
        <f>'FR-16(7)(v)-2 PROD Classified'!H375</f>
        <v>0</v>
      </c>
      <c r="G375" s="349">
        <f t="shared" si="123"/>
        <v>0</v>
      </c>
      <c r="H375" s="347">
        <f>ROUND($F$375*VLOOKUP($D$375,ALLOCTABLE_Prod_Commodity,$H$10,FALSE),0)</f>
        <v>0</v>
      </c>
      <c r="I375" s="347">
        <f t="shared" si="124"/>
        <v>0</v>
      </c>
      <c r="J375" s="347">
        <f t="shared" si="125"/>
        <v>0</v>
      </c>
      <c r="K375" s="347">
        <f t="shared" si="126"/>
        <v>0</v>
      </c>
      <c r="L375" s="347">
        <f t="shared" si="127"/>
        <v>0</v>
      </c>
    </row>
    <row r="376" spans="1:12">
      <c r="A376" s="333">
        <v>31</v>
      </c>
      <c r="C376" s="332" t="str">
        <f>'FR-16(7)(v)-1 Functional'!C376</f>
        <v>INTEGRITY MANAGEMENT EXPENSES</v>
      </c>
      <c r="D376" s="344" t="str">
        <f>'FR-16(7)(v)-1 Functional'!D376</f>
        <v>K203</v>
      </c>
      <c r="E376" s="196"/>
      <c r="F376" s="479">
        <f>'FR-16(7)(v)-2 PROD Classified'!H376</f>
        <v>0</v>
      </c>
      <c r="G376" s="349">
        <f t="shared" si="123"/>
        <v>0</v>
      </c>
      <c r="H376" s="347">
        <f>ROUND($F$376*VLOOKUP($D$376,ALLOCTABLE_Prod_Commodity,$H$10,FALSE),0)</f>
        <v>0</v>
      </c>
      <c r="I376" s="347">
        <f t="shared" si="124"/>
        <v>0</v>
      </c>
      <c r="J376" s="347">
        <f t="shared" si="125"/>
        <v>0</v>
      </c>
      <c r="K376" s="347">
        <f t="shared" si="126"/>
        <v>0</v>
      </c>
      <c r="L376" s="347">
        <f t="shared" si="127"/>
        <v>0</v>
      </c>
    </row>
    <row r="377" spans="1:12">
      <c r="A377" s="333">
        <v>32</v>
      </c>
      <c r="C377" s="359" t="str">
        <f>'FR-16(7)(v)-1 Functional'!C377</f>
        <v>OTHER DISTRIBUTION EXPENSES</v>
      </c>
      <c r="D377" s="344" t="str">
        <f>'FR-16(7)(v)-1 Functional'!D377</f>
        <v>K415</v>
      </c>
      <c r="E377" s="196"/>
      <c r="F377" s="479">
        <f>'FR-16(7)(v)-2 PROD Classified'!H377</f>
        <v>0</v>
      </c>
      <c r="G377" s="349">
        <f t="shared" si="123"/>
        <v>0</v>
      </c>
      <c r="H377" s="347">
        <f>ROUND($F$377*VLOOKUP($D$377,ALLOCTABLE_Prod_Commodity,$H$10,FALSE),0)</f>
        <v>0</v>
      </c>
      <c r="I377" s="347">
        <f t="shared" si="124"/>
        <v>0</v>
      </c>
      <c r="J377" s="347">
        <f t="shared" si="125"/>
        <v>0</v>
      </c>
      <c r="K377" s="347">
        <f t="shared" si="126"/>
        <v>0</v>
      </c>
      <c r="L377" s="347">
        <f t="shared" si="127"/>
        <v>0</v>
      </c>
    </row>
    <row r="378" spans="1:12">
      <c r="A378" s="333">
        <v>33</v>
      </c>
      <c r="C378" s="332" t="str">
        <f>'FR-16(7)(v)-1 Functional'!C378</f>
        <v xml:space="preserve">  TOTAL DISTRIBUTION O &amp; M</v>
      </c>
      <c r="D378" s="344"/>
      <c r="E378" s="196" t="s">
        <v>343</v>
      </c>
      <c r="F378" s="348">
        <f t="shared" ref="F378:L378" si="128">SUM(F366:F377)</f>
        <v>0</v>
      </c>
      <c r="G378" s="348">
        <f>SUM(G366:G377)</f>
        <v>0</v>
      </c>
      <c r="H378" s="348">
        <f t="shared" si="128"/>
        <v>0</v>
      </c>
      <c r="I378" s="348">
        <f t="shared" si="128"/>
        <v>0</v>
      </c>
      <c r="J378" s="348">
        <f t="shared" si="128"/>
        <v>0</v>
      </c>
      <c r="K378" s="348">
        <f t="shared" si="128"/>
        <v>0</v>
      </c>
      <c r="L378" s="348">
        <f t="shared" si="128"/>
        <v>0</v>
      </c>
    </row>
    <row r="379" spans="1:12">
      <c r="A379" s="333">
        <v>34</v>
      </c>
      <c r="C379" s="332" t="s">
        <v>343</v>
      </c>
      <c r="D379" s="344"/>
      <c r="E379" s="196"/>
      <c r="I379" s="332"/>
    </row>
    <row r="380" spans="1:12">
      <c r="A380" s="333">
        <v>35</v>
      </c>
      <c r="B380" s="332" t="s">
        <v>51</v>
      </c>
      <c r="D380" s="344"/>
      <c r="E380" s="196"/>
      <c r="F380" s="332" t="s">
        <v>343</v>
      </c>
      <c r="I380" s="332"/>
    </row>
    <row r="381" spans="1:12">
      <c r="A381" s="333">
        <v>36</v>
      </c>
      <c r="C381" s="332" t="str">
        <f>'FR-16(7)(v)-1 Functional'!C381</f>
        <v>SUPERVISION &amp; ENGINEERING</v>
      </c>
      <c r="D381" s="344" t="str">
        <f>'FR-16(7)(v)-1 Functional'!D381</f>
        <v>K405</v>
      </c>
      <c r="E381" s="196"/>
      <c r="F381" s="479">
        <f>'FR-16(7)(v)-2 PROD Classified'!H381</f>
        <v>0</v>
      </c>
      <c r="G381" s="349">
        <f t="shared" ref="G381:G388" si="129">F381-SUM(H381:J381)</f>
        <v>0</v>
      </c>
      <c r="H381" s="347">
        <f>ROUND($F$381*VLOOKUP($D$381,ALLOCTABLE_Prod_Commodity,$H$10,FALSE),0)</f>
        <v>0</v>
      </c>
      <c r="I381" s="347">
        <f t="shared" ref="I381:I388" si="130">ROUND(F381*VLOOKUP(D381,ALLOCTABLE_Prod_Commodity,$I$10,FALSE),0)</f>
        <v>0</v>
      </c>
      <c r="J381" s="347">
        <f t="shared" ref="J381:J388" si="131">ROUND(F381*VLOOKUP(D381,ALLOCTABLE_Prod_Commodity,$J$10,FALSE),0)</f>
        <v>0</v>
      </c>
      <c r="K381" s="347">
        <f t="shared" ref="K381:K388" si="132">SUM(G381:J381)</f>
        <v>0</v>
      </c>
      <c r="L381" s="347">
        <f t="shared" ref="L381:L388" si="133">F381-K381</f>
        <v>0</v>
      </c>
    </row>
    <row r="382" spans="1:12">
      <c r="A382" s="333">
        <v>37</v>
      </c>
      <c r="C382" s="332" t="str">
        <f>'FR-16(7)(v)-1 Functional'!C382</f>
        <v>METER READING</v>
      </c>
      <c r="D382" s="344" t="str">
        <f>'FR-16(7)(v)-1 Functional'!D382</f>
        <v>K405</v>
      </c>
      <c r="E382" s="196"/>
      <c r="F382" s="479">
        <f>'FR-16(7)(v)-2 PROD Classified'!H382</f>
        <v>0</v>
      </c>
      <c r="G382" s="349">
        <f t="shared" si="129"/>
        <v>0</v>
      </c>
      <c r="H382" s="347">
        <f>ROUND($F$382*VLOOKUP($D$382,ALLOCTABLE_Prod_Commodity,$H$10,FALSE),0)</f>
        <v>0</v>
      </c>
      <c r="I382" s="347">
        <f t="shared" si="130"/>
        <v>0</v>
      </c>
      <c r="J382" s="347">
        <f t="shared" si="131"/>
        <v>0</v>
      </c>
      <c r="K382" s="347">
        <f t="shared" si="132"/>
        <v>0</v>
      </c>
      <c r="L382" s="347">
        <f t="shared" si="133"/>
        <v>0</v>
      </c>
    </row>
    <row r="383" spans="1:12">
      <c r="A383" s="333">
        <v>38</v>
      </c>
      <c r="C383" s="332" t="str">
        <f>'FR-16(7)(v)-1 Functional'!C383</f>
        <v>CUSTOMER BILLING &amp; COLLECTIONS</v>
      </c>
      <c r="D383" s="344" t="str">
        <f>'FR-16(7)(v)-1 Functional'!D383</f>
        <v>K405</v>
      </c>
      <c r="E383" s="196"/>
      <c r="F383" s="479">
        <f>'FR-16(7)(v)-2 PROD Classified'!H383</f>
        <v>0</v>
      </c>
      <c r="G383" s="349">
        <f t="shared" si="129"/>
        <v>0</v>
      </c>
      <c r="H383" s="347">
        <f>ROUND($F$383*VLOOKUP($D$383,ALLOCTABLE_Prod_Commodity,$H$10,FALSE),0)</f>
        <v>0</v>
      </c>
      <c r="I383" s="347">
        <f t="shared" si="130"/>
        <v>0</v>
      </c>
      <c r="J383" s="347">
        <f t="shared" si="131"/>
        <v>0</v>
      </c>
      <c r="K383" s="347">
        <f t="shared" si="132"/>
        <v>0</v>
      </c>
      <c r="L383" s="347">
        <f t="shared" si="133"/>
        <v>0</v>
      </c>
    </row>
    <row r="384" spans="1:12">
      <c r="A384" s="333">
        <v>39</v>
      </c>
      <c r="C384" s="332" t="str">
        <f>'FR-16(7)(v)-1 Functional'!C384</f>
        <v>UNCOLLECTIBLE EXP</v>
      </c>
      <c r="D384" s="344" t="str">
        <f>'FR-16(7)(v)-1 Functional'!D384</f>
        <v>K406</v>
      </c>
      <c r="E384" s="196"/>
      <c r="F384" s="479">
        <f>'FR-16(7)(v)-2 PROD Classified'!H384</f>
        <v>0</v>
      </c>
      <c r="G384" s="349">
        <f t="shared" si="129"/>
        <v>0</v>
      </c>
      <c r="H384" s="347">
        <f>ROUND($F$384*VLOOKUP($D$384,ALLOCTABLE_Prod_Commodity,$H$10,FALSE),0)</f>
        <v>0</v>
      </c>
      <c r="I384" s="347">
        <f t="shared" si="130"/>
        <v>0</v>
      </c>
      <c r="J384" s="347">
        <f t="shared" si="131"/>
        <v>0</v>
      </c>
      <c r="K384" s="347">
        <f t="shared" si="132"/>
        <v>0</v>
      </c>
      <c r="L384" s="347">
        <f t="shared" si="133"/>
        <v>0</v>
      </c>
    </row>
    <row r="385" spans="1:12">
      <c r="A385" s="333">
        <v>40</v>
      </c>
      <c r="C385" s="332" t="str">
        <f>'FR-16(7)(v)-1 Functional'!C385</f>
        <v>ELIMINATE MISC EXPENSES</v>
      </c>
      <c r="D385" s="344" t="str">
        <f>'FR-16(7)(v)-1 Functional'!D385</f>
        <v>K406</v>
      </c>
      <c r="E385" s="196"/>
      <c r="F385" s="479">
        <f>'FR-16(7)(v)-2 PROD Classified'!H385</f>
        <v>0</v>
      </c>
      <c r="G385" s="349">
        <f t="shared" si="129"/>
        <v>0</v>
      </c>
      <c r="H385" s="347">
        <f>ROUND($F$385*VLOOKUP($D$385,ALLOCTABLE_Prod_Commodity,$H$10,FALSE),0)</f>
        <v>0</v>
      </c>
      <c r="I385" s="347">
        <f t="shared" si="130"/>
        <v>0</v>
      </c>
      <c r="J385" s="347">
        <f t="shared" si="131"/>
        <v>0</v>
      </c>
      <c r="K385" s="347">
        <f t="shared" si="132"/>
        <v>0</v>
      </c>
      <c r="L385" s="347">
        <f t="shared" si="133"/>
        <v>0</v>
      </c>
    </row>
    <row r="386" spans="1:12">
      <c r="A386" s="333">
        <v>41</v>
      </c>
      <c r="C386" s="332" t="str">
        <f>'FR-16(7)(v)-1 Functional'!C386</f>
        <v>SALE OF A/R</v>
      </c>
      <c r="D386" s="344" t="str">
        <f>'FR-16(7)(v)-1 Functional'!D386</f>
        <v>K406</v>
      </c>
      <c r="E386" s="196"/>
      <c r="F386" s="479">
        <f>'FR-16(7)(v)-2 PROD Classified'!H386</f>
        <v>0</v>
      </c>
      <c r="G386" s="349">
        <f t="shared" si="129"/>
        <v>0</v>
      </c>
      <c r="H386" s="347">
        <f>ROUND($F$386*VLOOKUP($D$386,ALLOCTABLE_Prod_Commodity,$H$10,FALSE),0)</f>
        <v>0</v>
      </c>
      <c r="I386" s="347">
        <f t="shared" si="130"/>
        <v>0</v>
      </c>
      <c r="J386" s="347">
        <f t="shared" si="131"/>
        <v>0</v>
      </c>
      <c r="K386" s="347">
        <f t="shared" si="132"/>
        <v>0</v>
      </c>
      <c r="L386" s="347">
        <f t="shared" si="133"/>
        <v>0</v>
      </c>
    </row>
    <row r="387" spans="1:12">
      <c r="A387" s="333">
        <v>42</v>
      </c>
      <c r="C387" s="332" t="str">
        <f>'FR-16(7)(v)-1 Functional'!C387</f>
        <v>INTEREST ON CUSTOMER SERVICE DEPOSITS</v>
      </c>
      <c r="D387" s="344" t="str">
        <f>'FR-16(7)(v)-1 Functional'!D387</f>
        <v>K405</v>
      </c>
      <c r="E387" s="196"/>
      <c r="F387" s="479">
        <f>'FR-16(7)(v)-2 PROD Classified'!H387</f>
        <v>0</v>
      </c>
      <c r="G387" s="349">
        <f t="shared" si="129"/>
        <v>0</v>
      </c>
      <c r="H387" s="347">
        <f>ROUND($F$387*VLOOKUP($D$387,ALLOCTABLE_Prod_Commodity,$H$10,FALSE),0)</f>
        <v>0</v>
      </c>
      <c r="I387" s="347">
        <f t="shared" si="130"/>
        <v>0</v>
      </c>
      <c r="J387" s="347">
        <f t="shared" si="131"/>
        <v>0</v>
      </c>
      <c r="K387" s="347">
        <f t="shared" si="132"/>
        <v>0</v>
      </c>
      <c r="L387" s="347">
        <f t="shared" si="133"/>
        <v>0</v>
      </c>
    </row>
    <row r="388" spans="1:12">
      <c r="A388" s="333">
        <v>43</v>
      </c>
      <c r="C388" s="359" t="str">
        <f>'FR-16(7)(v)-1 Functional'!C388</f>
        <v>ANNUALIZED UNCOLL EXP ON INCR</v>
      </c>
      <c r="D388" s="344" t="str">
        <f>'FR-16(7)(v)-1 Functional'!D388</f>
        <v>K406</v>
      </c>
      <c r="E388" s="196"/>
      <c r="F388" s="479">
        <f>'FR-16(7)(v)-2 PROD Classified'!H388</f>
        <v>0</v>
      </c>
      <c r="G388" s="349">
        <f t="shared" si="129"/>
        <v>0</v>
      </c>
      <c r="H388" s="347">
        <f>ROUND($F$388*VLOOKUP($D$388,ALLOCTABLE_Prod_Commodity,$H$10,FALSE),0)</f>
        <v>0</v>
      </c>
      <c r="I388" s="347">
        <f t="shared" si="130"/>
        <v>0</v>
      </c>
      <c r="J388" s="347">
        <f t="shared" si="131"/>
        <v>0</v>
      </c>
      <c r="K388" s="347">
        <f t="shared" si="132"/>
        <v>0</v>
      </c>
      <c r="L388" s="347">
        <f t="shared" si="133"/>
        <v>0</v>
      </c>
    </row>
    <row r="389" spans="1:12">
      <c r="A389" s="333">
        <v>44</v>
      </c>
      <c r="C389" s="332" t="str">
        <f>'FR-16(7)(v)-1 Functional'!C389</f>
        <v xml:space="preserve">  TOTAL CUSTOMER ACCT EXPENSE</v>
      </c>
      <c r="D389" s="344"/>
      <c r="E389" s="196" t="s">
        <v>343</v>
      </c>
      <c r="F389" s="348">
        <f t="shared" ref="F389:L389" si="134">SUM(F380:F388)</f>
        <v>0</v>
      </c>
      <c r="G389" s="348">
        <f>SUM(G380:G388)</f>
        <v>0</v>
      </c>
      <c r="H389" s="348">
        <f t="shared" si="134"/>
        <v>0</v>
      </c>
      <c r="I389" s="348">
        <f t="shared" si="134"/>
        <v>0</v>
      </c>
      <c r="J389" s="348">
        <f t="shared" si="134"/>
        <v>0</v>
      </c>
      <c r="K389" s="348">
        <f t="shared" si="134"/>
        <v>0</v>
      </c>
      <c r="L389" s="348">
        <f t="shared" si="134"/>
        <v>0</v>
      </c>
    </row>
    <row r="390" spans="1:12">
      <c r="B390" s="343"/>
      <c r="C390" s="196"/>
      <c r="D390" s="344"/>
      <c r="E390" s="196"/>
      <c r="G390" s="196"/>
      <c r="H390" s="196"/>
      <c r="I390" s="196"/>
      <c r="J390" s="344"/>
      <c r="K390" s="196"/>
      <c r="L390" s="196"/>
    </row>
    <row r="391" spans="1:12">
      <c r="A391" s="343" t="str">
        <f>co_name</f>
        <v>DUKE ENERGY KENTUCKY, INC.</v>
      </c>
      <c r="C391" s="196"/>
      <c r="D391" s="344"/>
      <c r="E391" s="196"/>
      <c r="F391" s="344"/>
      <c r="G391" s="342"/>
      <c r="H391" s="342"/>
      <c r="I391" s="196"/>
      <c r="K391" s="361" t="str">
        <f>$K$1</f>
        <v>FR-16(7)(v)-3</v>
      </c>
      <c r="L391" s="196"/>
    </row>
    <row r="392" spans="1:12">
      <c r="A392" s="343" t="str">
        <f>$A$2</f>
        <v>PRODUCTION COMMODITY ALLOCATED - GAS COST OF SERVICE</v>
      </c>
      <c r="C392" s="196"/>
      <c r="D392" s="344"/>
      <c r="E392" s="196"/>
      <c r="F392" s="344"/>
      <c r="G392" s="342"/>
      <c r="H392" s="342"/>
      <c r="I392" s="196"/>
      <c r="K392" s="361" t="str">
        <f>$K$2</f>
        <v>WITNESS RESPONSIBLE:</v>
      </c>
      <c r="L392" s="196"/>
    </row>
    <row r="393" spans="1:12">
      <c r="A393" s="343" t="str">
        <f>case_name</f>
        <v>CASE NO: 2018-00261</v>
      </c>
      <c r="C393" s="196"/>
      <c r="D393" s="344"/>
      <c r="E393" s="196"/>
      <c r="F393" s="344"/>
      <c r="G393" s="342"/>
      <c r="H393" s="342"/>
      <c r="I393" s="196"/>
      <c r="K393" s="361" t="str">
        <f>Witness</f>
        <v>JAMES E. ZIOLKOWSKI</v>
      </c>
      <c r="L393" s="196"/>
    </row>
    <row r="394" spans="1:12">
      <c r="A394" s="343" t="str">
        <f>data_filing</f>
        <v>DATA: 12 MONTH FORECASTED PERIOD</v>
      </c>
      <c r="C394" s="196"/>
      <c r="D394" s="344"/>
      <c r="E394" s="196"/>
      <c r="F394" s="344"/>
      <c r="G394" s="342"/>
      <c r="H394" s="342"/>
      <c r="I394" s="196"/>
      <c r="K394" s="361" t="str">
        <f>"PAGE "&amp;Pages-9&amp;" OF "&amp;Pages</f>
        <v>PAGE 9 OF 18</v>
      </c>
      <c r="L394" s="196"/>
    </row>
    <row r="395" spans="1:12">
      <c r="A395" s="343" t="str">
        <f>type</f>
        <v xml:space="preserve">TYPE OF FILING: "X" ORIGINAL   UPDATED    REVISED  </v>
      </c>
      <c r="C395" s="196"/>
      <c r="D395" s="344"/>
      <c r="E395" s="196"/>
      <c r="F395" s="344"/>
      <c r="G395" s="342"/>
      <c r="H395" s="342"/>
      <c r="I395" s="196"/>
      <c r="J395" s="344"/>
      <c r="K395" s="196"/>
      <c r="L395" s="196"/>
    </row>
    <row r="396" spans="1:12">
      <c r="B396" s="343"/>
      <c r="C396" s="196"/>
      <c r="D396" s="344"/>
      <c r="E396" s="196"/>
      <c r="F396" s="344"/>
      <c r="G396" s="196"/>
      <c r="H396" s="196"/>
      <c r="I396" s="196"/>
      <c r="J396" s="344"/>
      <c r="K396" s="196"/>
      <c r="L396" s="196"/>
    </row>
    <row r="397" spans="1:12">
      <c r="B397" s="343"/>
      <c r="C397" s="196"/>
      <c r="D397" s="344"/>
      <c r="E397" s="196"/>
      <c r="F397" s="344" t="str">
        <f>$F$7</f>
        <v>TOTAL</v>
      </c>
      <c r="G397" s="196"/>
      <c r="H397" s="196"/>
      <c r="I397" s="196"/>
      <c r="J397" s="344"/>
      <c r="K397" s="196"/>
      <c r="L397" s="196"/>
    </row>
    <row r="398" spans="1:12">
      <c r="A398" s="344" t="s">
        <v>914</v>
      </c>
      <c r="B398" s="196"/>
      <c r="C398" s="196"/>
      <c r="D398" s="344"/>
      <c r="E398" s="196"/>
      <c r="F398" s="344" t="str">
        <f>$F$8</f>
        <v>PRODUCTION</v>
      </c>
      <c r="G398" s="344" t="s">
        <v>418</v>
      </c>
      <c r="H398" s="344" t="s">
        <v>864</v>
      </c>
      <c r="I398" s="344" t="s">
        <v>865</v>
      </c>
      <c r="J398" s="344" t="s">
        <v>549</v>
      </c>
      <c r="K398" s="344" t="s">
        <v>229</v>
      </c>
      <c r="L398" s="344" t="s">
        <v>342</v>
      </c>
    </row>
    <row r="399" spans="1:12">
      <c r="A399" s="346" t="s">
        <v>915</v>
      </c>
      <c r="B399" s="345" t="s">
        <v>44</v>
      </c>
      <c r="C399" s="345"/>
      <c r="D399" s="346" t="s">
        <v>337</v>
      </c>
      <c r="E399" s="345"/>
      <c r="F399" s="344" t="str">
        <f>$F$9</f>
        <v>COMMODITY</v>
      </c>
      <c r="G399" s="346" t="s">
        <v>338</v>
      </c>
      <c r="H399" s="346" t="s">
        <v>405</v>
      </c>
      <c r="I399" s="346" t="s">
        <v>405</v>
      </c>
      <c r="J399" s="346" t="s">
        <v>550</v>
      </c>
      <c r="K399" s="346" t="s">
        <v>341</v>
      </c>
      <c r="L399" s="346" t="s">
        <v>340</v>
      </c>
    </row>
    <row r="400" spans="1:12">
      <c r="C400" s="578" t="s">
        <v>560</v>
      </c>
      <c r="D400" s="344"/>
      <c r="E400" s="196"/>
      <c r="F400" s="761"/>
      <c r="G400" s="633">
        <f>$G$10</f>
        <v>3</v>
      </c>
      <c r="H400" s="633">
        <f>$H$10</f>
        <v>4</v>
      </c>
      <c r="I400" s="633">
        <f>$I$10</f>
        <v>5</v>
      </c>
      <c r="J400" s="633">
        <f>$J$10</f>
        <v>6</v>
      </c>
    </row>
    <row r="401" spans="1:12">
      <c r="A401" s="333">
        <v>1</v>
      </c>
      <c r="B401" s="332" t="s">
        <v>52</v>
      </c>
      <c r="D401" s="344"/>
      <c r="E401" s="196"/>
      <c r="I401" s="332"/>
    </row>
    <row r="402" spans="1:12">
      <c r="A402" s="333">
        <v>2</v>
      </c>
      <c r="C402" s="359" t="str">
        <f>'FR-16(7)(v)-1 Functional'!C402</f>
        <v>TOTAL CUST SERVICE &amp; INFO</v>
      </c>
      <c r="D402" s="344" t="str">
        <f>'FR-16(7)(v)-1 Functional'!D402</f>
        <v>K407</v>
      </c>
      <c r="E402" s="196"/>
      <c r="F402" s="479">
        <f>'FR-16(7)(v)-2 PROD Classified'!H402</f>
        <v>0</v>
      </c>
      <c r="G402" s="349">
        <f>F402-SUM(H402:J402)</f>
        <v>0</v>
      </c>
      <c r="H402" s="347">
        <f>ROUND($F$402*VLOOKUP($D$402,ALLOCTABLE_Prod_Commodity,$H$10,FALSE),0)</f>
        <v>0</v>
      </c>
      <c r="I402" s="347">
        <f>ROUND(F402*VLOOKUP(D402,ALLOCTABLE_Prod_Commodity,$I$10,FALSE),0)</f>
        <v>0</v>
      </c>
      <c r="J402" s="347">
        <f>ROUND(F402*VLOOKUP(D402,ALLOCTABLE_Prod_Commodity,$J$10,FALSE),0)</f>
        <v>0</v>
      </c>
      <c r="K402" s="347">
        <f>SUM(G402:J402)</f>
        <v>0</v>
      </c>
      <c r="L402" s="347">
        <f>F402-K402</f>
        <v>0</v>
      </c>
    </row>
    <row r="403" spans="1:12">
      <c r="A403" s="333">
        <v>3</v>
      </c>
      <c r="C403" s="332" t="str">
        <f>'FR-16(7)(v)-1 Functional'!C403</f>
        <v xml:space="preserve">  TOTAL CUSTOMER SERV. &amp; INFO.</v>
      </c>
      <c r="D403" s="344"/>
      <c r="E403" s="196" t="s">
        <v>343</v>
      </c>
      <c r="F403" s="348">
        <f t="shared" ref="F403:L403" si="135">SUM(F402:F402)</f>
        <v>0</v>
      </c>
      <c r="G403" s="348">
        <f>SUM(G402:G402)</f>
        <v>0</v>
      </c>
      <c r="H403" s="348">
        <f t="shared" si="135"/>
        <v>0</v>
      </c>
      <c r="I403" s="348">
        <f t="shared" si="135"/>
        <v>0</v>
      </c>
      <c r="J403" s="348">
        <f t="shared" si="135"/>
        <v>0</v>
      </c>
      <c r="K403" s="348">
        <f t="shared" si="135"/>
        <v>0</v>
      </c>
      <c r="L403" s="348">
        <f t="shared" si="135"/>
        <v>0</v>
      </c>
    </row>
    <row r="404" spans="1:12">
      <c r="A404" s="333">
        <v>4</v>
      </c>
      <c r="D404" s="344"/>
      <c r="E404" s="196"/>
      <c r="F404" s="347"/>
      <c r="I404" s="332"/>
      <c r="J404" s="347"/>
      <c r="K404" s="347"/>
      <c r="L404" s="347"/>
    </row>
    <row r="405" spans="1:12">
      <c r="A405" s="333">
        <v>5</v>
      </c>
      <c r="B405" s="332" t="s">
        <v>53</v>
      </c>
      <c r="D405" s="344"/>
      <c r="E405" s="196"/>
      <c r="F405" s="347"/>
      <c r="I405" s="332"/>
      <c r="J405" s="347"/>
      <c r="K405" s="347"/>
      <c r="L405" s="347"/>
    </row>
    <row r="406" spans="1:12">
      <c r="A406" s="333">
        <v>6</v>
      </c>
      <c r="C406" s="359" t="str">
        <f>'FR-16(7)(v)-1 Functional'!C406</f>
        <v>SALES EXPENSE</v>
      </c>
      <c r="D406" s="344" t="str">
        <f>'FR-16(7)(v)-1 Functional'!D406</f>
        <v>K408</v>
      </c>
      <c r="E406" s="196" t="s">
        <v>343</v>
      </c>
      <c r="F406" s="479">
        <f>'FR-16(7)(v)-2 PROD Classified'!H406</f>
        <v>0</v>
      </c>
      <c r="G406" s="349">
        <f>F406-SUM(H406:J406)</f>
        <v>0</v>
      </c>
      <c r="H406" s="347">
        <f>ROUND($F$406*VLOOKUP($D$406,ALLOCTABLE_Prod_Commodity,$H$10,FALSE),0)</f>
        <v>0</v>
      </c>
      <c r="I406" s="347">
        <f>ROUND(F406*VLOOKUP(D406,ALLOCTABLE_Prod_Commodity,$I$10,FALSE),0)</f>
        <v>0</v>
      </c>
      <c r="J406" s="347">
        <f>ROUND(F406*VLOOKUP(D406,ALLOCTABLE_Prod_Commodity,$J$10,FALSE),0)</f>
        <v>0</v>
      </c>
      <c r="K406" s="347">
        <f>SUM(G406:J406)</f>
        <v>0</v>
      </c>
      <c r="L406" s="347">
        <f>F406-K406</f>
        <v>0</v>
      </c>
    </row>
    <row r="407" spans="1:12">
      <c r="A407" s="333">
        <v>7</v>
      </c>
      <c r="C407" s="332" t="str">
        <f>'FR-16(7)(v)-1 Functional'!C407</f>
        <v xml:space="preserve">  TOTAL SALES EXPENSE</v>
      </c>
      <c r="D407" s="344"/>
      <c r="E407" s="196" t="s">
        <v>343</v>
      </c>
      <c r="F407" s="348">
        <f t="shared" ref="F407:L407" si="136">SUM(F405:F406)</f>
        <v>0</v>
      </c>
      <c r="G407" s="348">
        <f>SUM(G405:G406)</f>
        <v>0</v>
      </c>
      <c r="H407" s="348">
        <f t="shared" si="136"/>
        <v>0</v>
      </c>
      <c r="I407" s="348">
        <f t="shared" si="136"/>
        <v>0</v>
      </c>
      <c r="J407" s="348">
        <f t="shared" si="136"/>
        <v>0</v>
      </c>
      <c r="K407" s="348">
        <f t="shared" si="136"/>
        <v>0</v>
      </c>
      <c r="L407" s="348">
        <f t="shared" si="136"/>
        <v>0</v>
      </c>
    </row>
    <row r="408" spans="1:12">
      <c r="A408" s="333">
        <v>8</v>
      </c>
      <c r="D408" s="344"/>
      <c r="E408" s="196"/>
      <c r="I408" s="332"/>
    </row>
    <row r="409" spans="1:12">
      <c r="A409" s="333">
        <v>9</v>
      </c>
      <c r="B409" s="332" t="s">
        <v>54</v>
      </c>
      <c r="D409" s="344"/>
      <c r="E409" s="196"/>
      <c r="I409" s="332"/>
    </row>
    <row r="410" spans="1:12">
      <c r="A410" s="333">
        <v>10</v>
      </c>
      <c r="C410" s="332" t="str">
        <f>'FR-16(7)(v)-1 Functional'!C410</f>
        <v>PRODUCTION PLANT DEMAND</v>
      </c>
      <c r="D410" s="344" t="str">
        <f>'FR-16(7)(v)-1 Functional'!D410</f>
        <v>P349</v>
      </c>
      <c r="E410" s="196"/>
      <c r="F410" s="479">
        <f>'FR-16(7)(v)-2 PROD Classified'!H410</f>
        <v>403815</v>
      </c>
      <c r="G410" s="349">
        <f t="shared" ref="G410:G415" si="137">F410-SUM(H410:J410)</f>
        <v>203995</v>
      </c>
      <c r="H410" s="347">
        <f>ROUND($F$410*VLOOKUP($D$410,ALLOCTABLE_Prod_Commodity,$H$10,FALSE),0)</f>
        <v>116198</v>
      </c>
      <c r="I410" s="347">
        <f t="shared" ref="I410:I415" si="138">ROUND(F410*VLOOKUP(D410,ALLOCTABLE_Prod_Commodity,$I$10,FALSE),0)</f>
        <v>82269</v>
      </c>
      <c r="J410" s="347">
        <f t="shared" ref="J410:J415" si="139">ROUND(F410*VLOOKUP(D410,ALLOCTABLE_Prod_Commodity,$J$10,FALSE),0)</f>
        <v>1353</v>
      </c>
      <c r="K410" s="347">
        <f t="shared" ref="K410:K415" si="140">SUM(G410:J410)</f>
        <v>403815</v>
      </c>
      <c r="L410" s="347">
        <f t="shared" ref="L410:L415" si="141">F410-K410</f>
        <v>0</v>
      </c>
    </row>
    <row r="411" spans="1:12">
      <c r="A411" s="333">
        <v>11</v>
      </c>
      <c r="C411" s="332" t="str">
        <f>'FR-16(7)(v)-1 Functional'!C411</f>
        <v>PRODUCTION PLANT COMMODITY</v>
      </c>
      <c r="D411" s="344" t="str">
        <f>'FR-16(7)(v)-1 Functional'!D411</f>
        <v>K301</v>
      </c>
      <c r="E411" s="196"/>
      <c r="F411" s="479">
        <f>'FR-16(7)(v)-2 PROD Classified'!H411</f>
        <v>315879</v>
      </c>
      <c r="G411" s="349">
        <f t="shared" si="137"/>
        <v>160109</v>
      </c>
      <c r="H411" s="347">
        <f>ROUND($F$411*VLOOKUP($D$411,ALLOCTABLE_Prod_Commodity,$H$10,FALSE),0)</f>
        <v>91201</v>
      </c>
      <c r="I411" s="347">
        <f t="shared" si="138"/>
        <v>64569</v>
      </c>
      <c r="J411" s="347">
        <f t="shared" si="139"/>
        <v>0</v>
      </c>
      <c r="K411" s="347">
        <f t="shared" si="140"/>
        <v>315879</v>
      </c>
      <c r="L411" s="347">
        <f t="shared" si="141"/>
        <v>0</v>
      </c>
    </row>
    <row r="412" spans="1:12">
      <c r="A412" s="333">
        <v>12</v>
      </c>
      <c r="C412" s="332" t="str">
        <f>'FR-16(7)(v)-1 Functional'!C412</f>
        <v>DISTRIBUTION PLANT</v>
      </c>
      <c r="D412" s="344" t="str">
        <f>'FR-16(7)(v)-1 Functional'!D412</f>
        <v>D349</v>
      </c>
      <c r="E412" s="196"/>
      <c r="F412" s="479">
        <f>'FR-16(7)(v)-2 PROD Classified'!H412</f>
        <v>0</v>
      </c>
      <c r="G412" s="349">
        <f t="shared" si="137"/>
        <v>0</v>
      </c>
      <c r="H412" s="347">
        <f>ROUND($F$412*VLOOKUP($D$412,ALLOCTABLE_Prod_Commodity,$H$10,FALSE),0)</f>
        <v>0</v>
      </c>
      <c r="I412" s="347">
        <f t="shared" si="138"/>
        <v>0</v>
      </c>
      <c r="J412" s="347">
        <f t="shared" si="139"/>
        <v>0</v>
      </c>
      <c r="K412" s="347">
        <f t="shared" si="140"/>
        <v>0</v>
      </c>
      <c r="L412" s="347">
        <f t="shared" si="141"/>
        <v>0</v>
      </c>
    </row>
    <row r="413" spans="1:12">
      <c r="A413" s="333">
        <v>13</v>
      </c>
      <c r="C413" s="332" t="str">
        <f>'FR-16(7)(v)-1 Functional'!C413</f>
        <v>CUSTOMER ACCOUNTING</v>
      </c>
      <c r="D413" s="344" t="str">
        <f>'FR-16(7)(v)-1 Functional'!D413</f>
        <v>CA19</v>
      </c>
      <c r="E413" s="196"/>
      <c r="F413" s="479">
        <f>'FR-16(7)(v)-2 PROD Classified'!H413</f>
        <v>0</v>
      </c>
      <c r="G413" s="349">
        <f t="shared" si="137"/>
        <v>0</v>
      </c>
      <c r="H413" s="347">
        <f>ROUND($F$413*VLOOKUP($D$413,ALLOCTABLE_Prod_Commodity,$H$10,FALSE),0)</f>
        <v>0</v>
      </c>
      <c r="I413" s="347">
        <f t="shared" si="138"/>
        <v>0</v>
      </c>
      <c r="J413" s="347">
        <f t="shared" si="139"/>
        <v>0</v>
      </c>
      <c r="K413" s="347">
        <f t="shared" si="140"/>
        <v>0</v>
      </c>
      <c r="L413" s="347">
        <f t="shared" si="141"/>
        <v>0</v>
      </c>
    </row>
    <row r="414" spans="1:12">
      <c r="A414" s="333">
        <v>14</v>
      </c>
      <c r="C414" s="332" t="str">
        <f>'FR-16(7)(v)-1 Functional'!C414</f>
        <v>CUSTOMER SERVICE &amp; INFORMATION</v>
      </c>
      <c r="D414" s="344" t="str">
        <f>'FR-16(7)(v)-1 Functional'!D414</f>
        <v>CS19</v>
      </c>
      <c r="E414" s="196"/>
      <c r="F414" s="479">
        <f>'FR-16(7)(v)-2 PROD Classified'!H414</f>
        <v>0</v>
      </c>
      <c r="G414" s="349">
        <f t="shared" si="137"/>
        <v>0</v>
      </c>
      <c r="H414" s="347">
        <f>ROUND($F$414*VLOOKUP($D$414,ALLOCTABLE_Prod_Commodity,$H$10,FALSE),0)</f>
        <v>0</v>
      </c>
      <c r="I414" s="347">
        <f t="shared" si="138"/>
        <v>0</v>
      </c>
      <c r="J414" s="347">
        <f t="shared" si="139"/>
        <v>0</v>
      </c>
      <c r="K414" s="347">
        <f t="shared" si="140"/>
        <v>0</v>
      </c>
      <c r="L414" s="347">
        <f t="shared" si="141"/>
        <v>0</v>
      </c>
    </row>
    <row r="415" spans="1:12">
      <c r="A415" s="333">
        <v>15</v>
      </c>
      <c r="C415" s="359" t="str">
        <f>'FR-16(7)(v)-1 Functional'!C415</f>
        <v>SALES</v>
      </c>
      <c r="D415" s="344" t="str">
        <f>'FR-16(7)(v)-1 Functional'!D415</f>
        <v>SE19</v>
      </c>
      <c r="E415" s="196"/>
      <c r="F415" s="479">
        <f>'FR-16(7)(v)-2 PROD Classified'!H415</f>
        <v>0</v>
      </c>
      <c r="G415" s="349">
        <f t="shared" si="137"/>
        <v>0</v>
      </c>
      <c r="H415" s="347">
        <f>ROUND($F$415*VLOOKUP($D$415,ALLOCTABLE_Prod_Commodity,$H$10,FALSE),0)</f>
        <v>0</v>
      </c>
      <c r="I415" s="347">
        <f t="shared" si="138"/>
        <v>0</v>
      </c>
      <c r="J415" s="347">
        <f t="shared" si="139"/>
        <v>0</v>
      </c>
      <c r="K415" s="502">
        <f t="shared" si="140"/>
        <v>0</v>
      </c>
      <c r="L415" s="502">
        <f t="shared" si="141"/>
        <v>0</v>
      </c>
    </row>
    <row r="416" spans="1:12">
      <c r="A416" s="333">
        <v>16</v>
      </c>
      <c r="C416" s="332" t="str">
        <f>'FR-16(7)(v)-1 Functional'!C416</f>
        <v xml:space="preserve"> TOT ADMIN &amp; GEN LESS REG EXP</v>
      </c>
      <c r="D416" s="344" t="s">
        <v>343</v>
      </c>
      <c r="E416" s="196"/>
      <c r="F416" s="503">
        <f t="shared" ref="F416:L416" si="142">SUM(F410:F415)</f>
        <v>719694</v>
      </c>
      <c r="G416" s="503">
        <f>SUM(G410:G415)</f>
        <v>364104</v>
      </c>
      <c r="H416" s="503">
        <f t="shared" si="142"/>
        <v>207399</v>
      </c>
      <c r="I416" s="503">
        <f t="shared" si="142"/>
        <v>146838</v>
      </c>
      <c r="J416" s="503">
        <f t="shared" si="142"/>
        <v>1353</v>
      </c>
      <c r="K416" s="477">
        <f t="shared" si="142"/>
        <v>719694</v>
      </c>
      <c r="L416" s="477">
        <f t="shared" si="142"/>
        <v>0</v>
      </c>
    </row>
    <row r="417" spans="1:12">
      <c r="A417" s="333">
        <v>17</v>
      </c>
      <c r="C417" s="332" t="str">
        <f>'FR-16(7)(v)-1 Functional'!C417</f>
        <v>AMORTIZATION RATE CASE EXPENSE</v>
      </c>
      <c r="D417" s="344" t="str">
        <f>'FR-16(7)(v)-1 Functional'!D417</f>
        <v>AG39</v>
      </c>
      <c r="E417" s="196"/>
      <c r="F417" s="479">
        <f>'FR-16(7)(v)-2 PROD Classified'!H417</f>
        <v>11896</v>
      </c>
      <c r="G417" s="349">
        <f t="shared" ref="G417:G430" si="143">F417-SUM(H417:J417)</f>
        <v>6019</v>
      </c>
      <c r="H417" s="347">
        <f>ROUND($F$417*VLOOKUP($D$417,ALLOCTABLE_Prod_Commodity,$H$10,FALSE),0)</f>
        <v>3428</v>
      </c>
      <c r="I417" s="347">
        <f t="shared" ref="I417:I430" si="144">ROUND(F417*VLOOKUP(D417,ALLOCTABLE_Prod_Commodity,$I$10,FALSE),0)</f>
        <v>2427</v>
      </c>
      <c r="J417" s="347">
        <f t="shared" ref="J417:J430" si="145">ROUND(F417*VLOOKUP(D417,ALLOCTABLE_Prod_Commodity,$J$10,FALSE),0)</f>
        <v>22</v>
      </c>
      <c r="K417" s="347">
        <f t="shared" ref="K417:K430" si="146">SUM(G417:J417)</f>
        <v>11896</v>
      </c>
      <c r="L417" s="347">
        <f t="shared" ref="L417:L430" si="147">F417-K417</f>
        <v>0</v>
      </c>
    </row>
    <row r="418" spans="1:12">
      <c r="A418" s="333">
        <v>18</v>
      </c>
      <c r="C418" s="332" t="str">
        <f>'FR-16(7)(v)-1 Functional'!C418</f>
        <v>INCENTIVE COMPENSATION</v>
      </c>
      <c r="D418" s="344" t="str">
        <f>'FR-16(7)(v)-1 Functional'!D418</f>
        <v>AG39</v>
      </c>
      <c r="E418" s="196"/>
      <c r="F418" s="479">
        <f>'FR-16(7)(v)-2 PROD Classified'!H418</f>
        <v>-28656</v>
      </c>
      <c r="G418" s="349">
        <f t="shared" si="143"/>
        <v>-14497</v>
      </c>
      <c r="H418" s="347">
        <f>ROUND($F$418*VLOOKUP($D$418,ALLOCTABLE_Prod_Commodity,$H$10,FALSE),0)</f>
        <v>-8258</v>
      </c>
      <c r="I418" s="347">
        <f t="shared" si="144"/>
        <v>-5847</v>
      </c>
      <c r="J418" s="347">
        <f t="shared" si="145"/>
        <v>-54</v>
      </c>
      <c r="K418" s="347">
        <f t="shared" si="146"/>
        <v>-28656</v>
      </c>
      <c r="L418" s="347">
        <f t="shared" si="147"/>
        <v>0</v>
      </c>
    </row>
    <row r="419" spans="1:12">
      <c r="A419" s="333">
        <v>19</v>
      </c>
      <c r="C419" s="332" t="str">
        <f>'FR-16(7)(v)-1 Functional'!C419</f>
        <v>ELIMINATE MISCELLANEOUS EXPENSES</v>
      </c>
      <c r="D419" s="344" t="str">
        <f>'FR-16(7)(v)-1 Functional'!D419</f>
        <v>AG39</v>
      </c>
      <c r="E419" s="196"/>
      <c r="F419" s="479">
        <f>'FR-16(7)(v)-2 PROD Classified'!H419</f>
        <v>-33286</v>
      </c>
      <c r="G419" s="349">
        <f t="shared" si="143"/>
        <v>-16840</v>
      </c>
      <c r="H419" s="347">
        <f>ROUND($F$419*VLOOKUP($D$419,ALLOCTABLE_Prod_Commodity,$H$10,FALSE),0)</f>
        <v>-9592</v>
      </c>
      <c r="I419" s="347">
        <f t="shared" si="144"/>
        <v>-6791</v>
      </c>
      <c r="J419" s="347">
        <f t="shared" si="145"/>
        <v>-63</v>
      </c>
      <c r="K419" s="347">
        <f t="shared" si="146"/>
        <v>-33286</v>
      </c>
      <c r="L419" s="347">
        <f t="shared" si="147"/>
        <v>0</v>
      </c>
    </row>
    <row r="420" spans="1:12">
      <c r="A420" s="333">
        <v>20</v>
      </c>
      <c r="C420" s="332" t="str">
        <f>'FR-16(7)(v)-1 Functional'!C420</f>
        <v>ELIMINATE NON-JURISDICTIONAL EXPENSES</v>
      </c>
      <c r="D420" s="344" t="str">
        <f>'FR-16(7)(v)-1 Functional'!D420</f>
        <v>NP29</v>
      </c>
      <c r="E420" s="196"/>
      <c r="F420" s="479">
        <f>'FR-16(7)(v)-2 PROD Classified'!H420</f>
        <v>0</v>
      </c>
      <c r="G420" s="349">
        <f t="shared" si="143"/>
        <v>0</v>
      </c>
      <c r="H420" s="347">
        <f>ROUND($F$420*VLOOKUP($D$420,ALLOCTABLE_Prod_Commodity,$H$10,FALSE),0)</f>
        <v>0</v>
      </c>
      <c r="I420" s="347">
        <f t="shared" si="144"/>
        <v>0</v>
      </c>
      <c r="J420" s="347">
        <f t="shared" si="145"/>
        <v>0</v>
      </c>
      <c r="K420" s="347">
        <f t="shared" si="146"/>
        <v>0</v>
      </c>
      <c r="L420" s="347">
        <f t="shared" si="147"/>
        <v>0</v>
      </c>
    </row>
    <row r="421" spans="1:12">
      <c r="A421" s="333">
        <v>21</v>
      </c>
      <c r="C421" s="332" t="str">
        <f>'FR-16(7)(v)-1 Functional'!C421</f>
        <v xml:space="preserve">AMORTIZATION OF DEFERRED EXP </v>
      </c>
      <c r="D421" s="344" t="str">
        <f>'FR-16(7)(v)-1 Functional'!D421</f>
        <v>AG39</v>
      </c>
      <c r="E421" s="196"/>
      <c r="F421" s="479">
        <f>'FR-16(7)(v)-2 PROD Classified'!H421</f>
        <v>56123</v>
      </c>
      <c r="G421" s="349">
        <f t="shared" si="143"/>
        <v>28392</v>
      </c>
      <c r="H421" s="347">
        <f>ROUND($F$421*VLOOKUP($D$421,ALLOCTABLE_Prod_Commodity,$H$10,FALSE),0)</f>
        <v>16174</v>
      </c>
      <c r="I421" s="347">
        <f t="shared" si="144"/>
        <v>11451</v>
      </c>
      <c r="J421" s="347">
        <f t="shared" si="145"/>
        <v>106</v>
      </c>
      <c r="K421" s="347">
        <f t="shared" si="146"/>
        <v>56123</v>
      </c>
      <c r="L421" s="347">
        <f t="shared" si="147"/>
        <v>0</v>
      </c>
    </row>
    <row r="422" spans="1:12">
      <c r="A422" s="333">
        <v>22</v>
      </c>
      <c r="C422" s="332" t="str">
        <f>'FR-16(7)(v)-1 Functional'!C422</f>
        <v>STATE REG COMMISSION EXPENSES</v>
      </c>
      <c r="D422" s="344" t="str">
        <f>'FR-16(7)(v)-1 Functional'!D422</f>
        <v>AG39</v>
      </c>
      <c r="E422" s="196"/>
      <c r="F422" s="479">
        <f>'FR-16(7)(v)-2 PROD Classified'!H422</f>
        <v>0</v>
      </c>
      <c r="G422" s="349">
        <f t="shared" si="143"/>
        <v>0</v>
      </c>
      <c r="H422" s="347">
        <f>ROUND($F$422*VLOOKUP($D$422,ALLOCTABLE_Prod_Commodity,$H$10,FALSE),0)</f>
        <v>0</v>
      </c>
      <c r="I422" s="347">
        <f t="shared" si="144"/>
        <v>0</v>
      </c>
      <c r="J422" s="347">
        <f t="shared" si="145"/>
        <v>0</v>
      </c>
      <c r="K422" s="347">
        <f t="shared" si="146"/>
        <v>0</v>
      </c>
      <c r="L422" s="347">
        <f t="shared" si="147"/>
        <v>0</v>
      </c>
    </row>
    <row r="423" spans="1:12">
      <c r="A423" s="333">
        <v>23</v>
      </c>
      <c r="C423" s="332" t="str">
        <f>'FR-16(7)(v)-1 Functional'!C423</f>
        <v>STATE REG COM EXP ANN ADJ.</v>
      </c>
      <c r="D423" s="344" t="str">
        <f>'FR-16(7)(v)-1 Functional'!D423</f>
        <v>AG39</v>
      </c>
      <c r="E423" s="196"/>
      <c r="F423" s="479">
        <f>'FR-16(7)(v)-2 PROD Classified'!H423</f>
        <v>0</v>
      </c>
      <c r="G423" s="349">
        <f t="shared" si="143"/>
        <v>0</v>
      </c>
      <c r="H423" s="347">
        <f>ROUND($F$423*VLOOKUP($D$423,ALLOCTABLE_Prod_Commodity,$H$10,FALSE),0)</f>
        <v>0</v>
      </c>
      <c r="I423" s="347">
        <f t="shared" si="144"/>
        <v>0</v>
      </c>
      <c r="J423" s="347">
        <f t="shared" si="145"/>
        <v>0</v>
      </c>
      <c r="K423" s="347">
        <f t="shared" si="146"/>
        <v>0</v>
      </c>
      <c r="L423" s="347">
        <f t="shared" si="147"/>
        <v>0</v>
      </c>
    </row>
    <row r="424" spans="1:12">
      <c r="A424" s="333">
        <v>24</v>
      </c>
      <c r="C424" s="332" t="str">
        <f>'FR-16(7)(v)-1 Functional'!C424</f>
        <v>AMORTIZE CAMERA WORK</v>
      </c>
      <c r="D424" s="344" t="str">
        <f>'FR-16(7)(v)-1 Functional'!D424</f>
        <v>AG39</v>
      </c>
      <c r="E424" s="196"/>
      <c r="F424" s="479">
        <f>'FR-16(7)(v)-2 PROD Classified'!H424</f>
        <v>0</v>
      </c>
      <c r="G424" s="349">
        <f t="shared" si="143"/>
        <v>0</v>
      </c>
      <c r="H424" s="347">
        <f>ROUND($F$424*VLOOKUP($D$424,ALLOCTABLE_Prod_Commodity,$H$10,FALSE),0)</f>
        <v>0</v>
      </c>
      <c r="I424" s="347">
        <f t="shared" si="144"/>
        <v>0</v>
      </c>
      <c r="J424" s="347">
        <f t="shared" si="145"/>
        <v>0</v>
      </c>
      <c r="K424" s="347">
        <f t="shared" ref="K424:K429" si="148">SUM(G424:J424)</f>
        <v>0</v>
      </c>
      <c r="L424" s="347">
        <f t="shared" ref="L424:L429" si="149">F424-K424</f>
        <v>0</v>
      </c>
    </row>
    <row r="425" spans="1:12">
      <c r="A425" s="333">
        <v>25</v>
      </c>
      <c r="C425" s="332" t="str">
        <f>'FR-16(7)(v)-1 Functional'!C425</f>
        <v>ELIMINATE MERGER EXPENSE</v>
      </c>
      <c r="D425" s="344" t="str">
        <f>'FR-16(7)(v)-1 Functional'!D425</f>
        <v>AG39</v>
      </c>
      <c r="E425" s="196"/>
      <c r="F425" s="479">
        <f>'FR-16(7)(v)-2 PROD Classified'!H425</f>
        <v>0</v>
      </c>
      <c r="G425" s="349">
        <f t="shared" si="143"/>
        <v>0</v>
      </c>
      <c r="H425" s="347">
        <f>ROUND($F$425*VLOOKUP($D$425,ALLOCTABLE_Prod_Commodity,$H$10,FALSE),0)</f>
        <v>0</v>
      </c>
      <c r="I425" s="347">
        <f t="shared" si="144"/>
        <v>0</v>
      </c>
      <c r="J425" s="347">
        <f t="shared" si="145"/>
        <v>0</v>
      </c>
      <c r="K425" s="347">
        <f t="shared" si="148"/>
        <v>0</v>
      </c>
      <c r="L425" s="347">
        <f t="shared" si="149"/>
        <v>0</v>
      </c>
    </row>
    <row r="426" spans="1:12">
      <c r="A426" s="333">
        <v>26</v>
      </c>
      <c r="C426" s="332" t="str">
        <f>'FR-16(7)(v)-1 Functional'!C426</f>
        <v>SMART GRID AMORTIZATION ADJUSTMENT</v>
      </c>
      <c r="D426" s="344" t="str">
        <f>'FR-16(7)(v)-1 Functional'!D426</f>
        <v>K413</v>
      </c>
      <c r="E426" s="196"/>
      <c r="F426" s="479">
        <f>'FR-16(7)(v)-2 PROD Classified'!H426</f>
        <v>0</v>
      </c>
      <c r="G426" s="349">
        <f t="shared" si="143"/>
        <v>0</v>
      </c>
      <c r="H426" s="347">
        <f>ROUND($F$426*VLOOKUP($D$426,ALLOCTABLE_Prod_Commodity,$H$10,FALSE),0)</f>
        <v>0</v>
      </c>
      <c r="I426" s="347">
        <f t="shared" si="144"/>
        <v>0</v>
      </c>
      <c r="J426" s="347">
        <f t="shared" si="145"/>
        <v>0</v>
      </c>
      <c r="K426" s="347">
        <f t="shared" si="148"/>
        <v>0</v>
      </c>
      <c r="L426" s="347">
        <f t="shared" si="149"/>
        <v>0</v>
      </c>
    </row>
    <row r="427" spans="1:12">
      <c r="A427" s="333">
        <v>27</v>
      </c>
      <c r="C427" s="332" t="str">
        <f>'FR-16(7)(v)-1 Functional'!C427</f>
        <v>AMORTIZE 2011 SMART GRID DEFERRED O&amp;M</v>
      </c>
      <c r="D427" s="344" t="str">
        <f>'FR-16(7)(v)-1 Functional'!D427</f>
        <v>K413</v>
      </c>
      <c r="E427" s="196"/>
      <c r="F427" s="479">
        <f>'FR-16(7)(v)-2 PROD Classified'!H427</f>
        <v>0</v>
      </c>
      <c r="G427" s="349">
        <f t="shared" si="143"/>
        <v>0</v>
      </c>
      <c r="H427" s="347">
        <f>ROUND($F$427*VLOOKUP($D$427,ALLOCTABLE_Prod_Commodity,$H$10,FALSE),0)</f>
        <v>0</v>
      </c>
      <c r="I427" s="347">
        <f t="shared" si="144"/>
        <v>0</v>
      </c>
      <c r="J427" s="347">
        <f t="shared" si="145"/>
        <v>0</v>
      </c>
      <c r="K427" s="347">
        <f t="shared" si="148"/>
        <v>0</v>
      </c>
      <c r="L427" s="347">
        <f t="shared" si="149"/>
        <v>0</v>
      </c>
    </row>
    <row r="428" spans="1:12">
      <c r="A428" s="333">
        <v>28</v>
      </c>
      <c r="C428" s="332" t="str">
        <f>'FR-16(7)(v)-1 Functional'!C428</f>
        <v>INCREASED MEDICAL COSTS</v>
      </c>
      <c r="D428" s="344" t="str">
        <f>'FR-16(7)(v)-1 Functional'!D428</f>
        <v>AG39</v>
      </c>
      <c r="E428" s="196"/>
      <c r="F428" s="479">
        <f>'FR-16(7)(v)-2 PROD Classified'!H428</f>
        <v>0</v>
      </c>
      <c r="G428" s="349">
        <f t="shared" si="143"/>
        <v>0</v>
      </c>
      <c r="H428" s="347">
        <f>ROUND($F$428*VLOOKUP($D$428,ALLOCTABLE_Prod_Commodity,$H$10,FALSE),0)</f>
        <v>0</v>
      </c>
      <c r="I428" s="347">
        <f t="shared" si="144"/>
        <v>0</v>
      </c>
      <c r="J428" s="347">
        <f t="shared" si="145"/>
        <v>0</v>
      </c>
      <c r="K428" s="347">
        <f t="shared" si="148"/>
        <v>0</v>
      </c>
      <c r="L428" s="347">
        <f t="shared" si="149"/>
        <v>0</v>
      </c>
    </row>
    <row r="429" spans="1:12">
      <c r="A429" s="333">
        <v>29</v>
      </c>
      <c r="C429" s="332" t="str">
        <f>'FR-16(7)(v)-1 Functional'!C429</f>
        <v>AMORTIZE GAS FURNACE PROGRAM</v>
      </c>
      <c r="D429" s="344" t="str">
        <f>'FR-16(7)(v)-1 Functional'!D429</f>
        <v>NP29</v>
      </c>
      <c r="E429" s="196"/>
      <c r="F429" s="479">
        <f>'FR-16(7)(v)-2 PROD Classified'!H429</f>
        <v>0</v>
      </c>
      <c r="G429" s="349">
        <f t="shared" si="143"/>
        <v>0</v>
      </c>
      <c r="H429" s="347">
        <f>ROUND($F$429*VLOOKUP($D$429,ALLOCTABLE_Prod_Commodity,$H$10,FALSE),0)</f>
        <v>0</v>
      </c>
      <c r="I429" s="347">
        <f t="shared" si="144"/>
        <v>0</v>
      </c>
      <c r="J429" s="347">
        <f t="shared" si="145"/>
        <v>0</v>
      </c>
      <c r="K429" s="347">
        <f t="shared" si="148"/>
        <v>0</v>
      </c>
      <c r="L429" s="347">
        <f t="shared" si="149"/>
        <v>0</v>
      </c>
    </row>
    <row r="430" spans="1:12">
      <c r="A430" s="333">
        <v>30</v>
      </c>
      <c r="C430" s="359" t="str">
        <f>'FR-16(7)(v)-1 Functional'!C430</f>
        <v>AMORTIZATION OF MGP DEFERRED EXP</v>
      </c>
      <c r="D430" s="344" t="str">
        <f>'FR-16(7)(v)-1 Functional'!D430</f>
        <v>NP29</v>
      </c>
      <c r="E430" s="196"/>
      <c r="F430" s="479">
        <f>'FR-16(7)(v)-2 PROD Classified'!H430</f>
        <v>0</v>
      </c>
      <c r="G430" s="349">
        <f t="shared" si="143"/>
        <v>0</v>
      </c>
      <c r="H430" s="347">
        <f>ROUND($F$430*VLOOKUP($D$430,ALLOCTABLE_Prod_Commodity,$H$10,FALSE),0)</f>
        <v>0</v>
      </c>
      <c r="I430" s="347">
        <f t="shared" si="144"/>
        <v>0</v>
      </c>
      <c r="J430" s="347">
        <f t="shared" si="145"/>
        <v>0</v>
      </c>
      <c r="K430" s="347">
        <f t="shared" si="146"/>
        <v>0</v>
      </c>
      <c r="L430" s="347">
        <f t="shared" si="147"/>
        <v>0</v>
      </c>
    </row>
    <row r="431" spans="1:12">
      <c r="A431" s="333">
        <v>31</v>
      </c>
      <c r="C431" s="332" t="str">
        <f>'FR-16(7)(v)-1 Functional'!C431</f>
        <v xml:space="preserve">  TOTAL ADMIN. &amp; GENERAL</v>
      </c>
      <c r="D431" s="344"/>
      <c r="E431" s="196" t="s">
        <v>343</v>
      </c>
      <c r="F431" s="348">
        <f t="shared" ref="F431:L431" si="150">SUM(F416:F430)</f>
        <v>725771</v>
      </c>
      <c r="G431" s="348">
        <f>SUM(G416:G430)</f>
        <v>367178</v>
      </c>
      <c r="H431" s="348">
        <f t="shared" si="150"/>
        <v>209151</v>
      </c>
      <c r="I431" s="348">
        <f t="shared" si="150"/>
        <v>148078</v>
      </c>
      <c r="J431" s="348">
        <f t="shared" si="150"/>
        <v>1364</v>
      </c>
      <c r="K431" s="348">
        <f t="shared" si="150"/>
        <v>725771</v>
      </c>
      <c r="L431" s="348">
        <f t="shared" si="150"/>
        <v>0</v>
      </c>
    </row>
    <row r="432" spans="1:12">
      <c r="A432" s="333">
        <v>32</v>
      </c>
      <c r="D432" s="344"/>
      <c r="E432" s="196"/>
      <c r="F432" s="335"/>
      <c r="I432" s="332"/>
      <c r="J432" s="347"/>
      <c r="K432" s="347"/>
      <c r="L432" s="347"/>
    </row>
    <row r="433" spans="1:12">
      <c r="A433" s="333">
        <v>33</v>
      </c>
      <c r="C433" s="332" t="str">
        <f>'FR-16(7)(v)-1 Functional'!C433</f>
        <v>TOTAL O &amp; M EXPENSE</v>
      </c>
      <c r="D433" s="344"/>
      <c r="E433" s="196"/>
      <c r="F433" s="347">
        <f t="shared" ref="F433:L433" si="151">F431+F407+F403+F389+F378+F364+F360</f>
        <v>38032691</v>
      </c>
      <c r="G433" s="347">
        <f>G431+G407+G403+G389+G378+G364+G360</f>
        <v>19213586</v>
      </c>
      <c r="H433" s="347">
        <f t="shared" si="151"/>
        <v>10944332</v>
      </c>
      <c r="I433" s="347">
        <f t="shared" si="151"/>
        <v>7748449</v>
      </c>
      <c r="J433" s="347">
        <f t="shared" si="151"/>
        <v>126324</v>
      </c>
      <c r="K433" s="347">
        <f t="shared" si="151"/>
        <v>38032691</v>
      </c>
      <c r="L433" s="347">
        <f t="shared" si="151"/>
        <v>0</v>
      </c>
    </row>
    <row r="434" spans="1:12">
      <c r="B434" s="343"/>
      <c r="C434" s="196"/>
      <c r="D434" s="344"/>
      <c r="E434" s="196"/>
      <c r="G434" s="196"/>
      <c r="H434" s="342"/>
      <c r="I434" s="342"/>
      <c r="J434" s="354"/>
      <c r="K434" s="196"/>
      <c r="L434" s="196"/>
    </row>
    <row r="435" spans="1:12">
      <c r="A435" s="343" t="str">
        <f>co_name</f>
        <v>DUKE ENERGY KENTUCKY, INC.</v>
      </c>
      <c r="C435" s="196"/>
      <c r="D435" s="344"/>
      <c r="E435" s="196"/>
      <c r="F435" s="344"/>
      <c r="G435" s="342"/>
      <c r="H435" s="342"/>
      <c r="I435" s="196"/>
      <c r="K435" s="361" t="str">
        <f>$K$1</f>
        <v>FR-16(7)(v)-3</v>
      </c>
      <c r="L435" s="196"/>
    </row>
    <row r="436" spans="1:12">
      <c r="A436" s="343" t="str">
        <f>$A$2</f>
        <v>PRODUCTION COMMODITY ALLOCATED - GAS COST OF SERVICE</v>
      </c>
      <c r="C436" s="196"/>
      <c r="D436" s="344"/>
      <c r="E436" s="196"/>
      <c r="F436" s="344"/>
      <c r="G436" s="342"/>
      <c r="H436" s="342"/>
      <c r="I436" s="196"/>
      <c r="K436" s="361" t="str">
        <f>$K$2</f>
        <v>WITNESS RESPONSIBLE:</v>
      </c>
      <c r="L436" s="196"/>
    </row>
    <row r="437" spans="1:12">
      <c r="A437" s="343" t="str">
        <f>case_name</f>
        <v>CASE NO: 2018-00261</v>
      </c>
      <c r="C437" s="196"/>
      <c r="D437" s="344"/>
      <c r="E437" s="196"/>
      <c r="F437" s="344"/>
      <c r="G437" s="342"/>
      <c r="H437" s="342"/>
      <c r="I437" s="196"/>
      <c r="K437" s="361" t="str">
        <f>Witness</f>
        <v>JAMES E. ZIOLKOWSKI</v>
      </c>
      <c r="L437" s="196"/>
    </row>
    <row r="438" spans="1:12">
      <c r="A438" s="343" t="str">
        <f>data_filing</f>
        <v>DATA: 12 MONTH FORECASTED PERIOD</v>
      </c>
      <c r="C438" s="196"/>
      <c r="D438" s="344"/>
      <c r="E438" s="196"/>
      <c r="F438" s="344"/>
      <c r="G438" s="342"/>
      <c r="H438" s="342"/>
      <c r="I438" s="196"/>
      <c r="K438" s="361" t="str">
        <f>"PAGE "&amp;Pages-8&amp;" OF "&amp;Pages</f>
        <v>PAGE 10 OF 18</v>
      </c>
      <c r="L438" s="196"/>
    </row>
    <row r="439" spans="1:12">
      <c r="A439" s="343" t="str">
        <f>type</f>
        <v xml:space="preserve">TYPE OF FILING: "X" ORIGINAL   UPDATED    REVISED  </v>
      </c>
      <c r="C439" s="196"/>
      <c r="D439" s="344"/>
      <c r="E439" s="196"/>
      <c r="F439" s="344"/>
      <c r="G439" s="342"/>
      <c r="H439" s="342"/>
      <c r="I439" s="196"/>
      <c r="J439" s="344"/>
      <c r="K439" s="196"/>
      <c r="L439" s="196"/>
    </row>
    <row r="440" spans="1:12">
      <c r="B440" s="343"/>
      <c r="C440" s="196"/>
      <c r="D440" s="344"/>
      <c r="E440" s="196"/>
      <c r="F440" s="344"/>
      <c r="G440" s="196"/>
      <c r="H440" s="342"/>
      <c r="I440" s="342"/>
      <c r="J440" s="354"/>
      <c r="K440" s="196"/>
      <c r="L440" s="196"/>
    </row>
    <row r="441" spans="1:12">
      <c r="B441" s="343"/>
      <c r="C441" s="196"/>
      <c r="D441" s="344"/>
      <c r="E441" s="196"/>
      <c r="F441" s="344" t="str">
        <f>$F$7</f>
        <v>TOTAL</v>
      </c>
      <c r="G441" s="196"/>
      <c r="H441" s="342"/>
      <c r="I441" s="342"/>
      <c r="J441" s="354"/>
      <c r="K441" s="196"/>
      <c r="L441" s="196"/>
    </row>
    <row r="442" spans="1:12">
      <c r="A442" s="344" t="s">
        <v>914</v>
      </c>
      <c r="B442" s="196"/>
      <c r="C442" s="196"/>
      <c r="D442" s="344"/>
      <c r="E442" s="196"/>
      <c r="F442" s="344" t="str">
        <f>$F$8</f>
        <v>PRODUCTION</v>
      </c>
      <c r="G442" s="344" t="s">
        <v>418</v>
      </c>
      <c r="H442" s="354" t="s">
        <v>864</v>
      </c>
      <c r="I442" s="354" t="s">
        <v>865</v>
      </c>
      <c r="J442" s="354" t="s">
        <v>549</v>
      </c>
      <c r="K442" s="344" t="s">
        <v>229</v>
      </c>
      <c r="L442" s="344" t="s">
        <v>342</v>
      </c>
    </row>
    <row r="443" spans="1:12">
      <c r="A443" s="346" t="s">
        <v>915</v>
      </c>
      <c r="B443" s="345" t="s">
        <v>55</v>
      </c>
      <c r="C443" s="345"/>
      <c r="D443" s="346" t="s">
        <v>337</v>
      </c>
      <c r="E443" s="345"/>
      <c r="F443" s="344" t="str">
        <f>$F$9</f>
        <v>COMMODITY</v>
      </c>
      <c r="G443" s="346" t="s">
        <v>338</v>
      </c>
      <c r="H443" s="355" t="s">
        <v>405</v>
      </c>
      <c r="I443" s="355" t="s">
        <v>405</v>
      </c>
      <c r="J443" s="355" t="s">
        <v>550</v>
      </c>
      <c r="K443" s="346" t="s">
        <v>341</v>
      </c>
      <c r="L443" s="346" t="s">
        <v>340</v>
      </c>
    </row>
    <row r="444" spans="1:12">
      <c r="C444" s="578" t="s">
        <v>349</v>
      </c>
      <c r="D444" s="344"/>
      <c r="E444" s="196"/>
      <c r="F444" s="762"/>
      <c r="G444" s="633">
        <f>$G$10</f>
        <v>3</v>
      </c>
      <c r="H444" s="633">
        <f>$H$10</f>
        <v>4</v>
      </c>
      <c r="I444" s="633">
        <f>$I$10</f>
        <v>5</v>
      </c>
      <c r="J444" s="633">
        <f>$J$10</f>
        <v>6</v>
      </c>
      <c r="K444" s="510"/>
      <c r="L444" s="510"/>
    </row>
    <row r="445" spans="1:12">
      <c r="A445" s="333">
        <v>1</v>
      </c>
      <c r="B445" s="353" t="s">
        <v>56</v>
      </c>
      <c r="C445" s="353"/>
      <c r="D445" s="344"/>
      <c r="E445" s="196"/>
      <c r="H445" s="353"/>
      <c r="J445" s="353"/>
    </row>
    <row r="446" spans="1:12">
      <c r="A446" s="333">
        <v>2</v>
      </c>
      <c r="B446" s="353"/>
      <c r="C446" s="511" t="str">
        <f>'FR-16(7)(v)-1 Functional'!C446</f>
        <v>PRODUCTION DEPRECIATION</v>
      </c>
      <c r="D446" s="344" t="str">
        <f>'FR-16(7)(v)-1 Functional'!D446</f>
        <v>P229</v>
      </c>
      <c r="E446" s="196"/>
      <c r="F446" s="479">
        <f>'FR-16(7)(v)-2 PROD Classified'!H446</f>
        <v>217881</v>
      </c>
      <c r="G446" s="349">
        <f>F446-SUM(H446:J446)</f>
        <v>127105</v>
      </c>
      <c r="H446" s="349">
        <f>ROUND($F$446*VLOOKUP($D$446,ALLOCTABLE_Prod_Commodity,$H$10,FALSE),0)</f>
        <v>66410</v>
      </c>
      <c r="I446" s="349">
        <f>ROUND(F446*VLOOKUP(D446,ALLOCTABLE_Prod_Commodity,$I$10,FALSE),0)</f>
        <v>24366</v>
      </c>
      <c r="J446" s="349">
        <f>ROUND(F446*VLOOKUP(D446,ALLOCTABLE_Prod_Commodity,$J$10,FALSE),0)</f>
        <v>0</v>
      </c>
      <c r="K446" s="347">
        <f>SUM(G446:J446)</f>
        <v>217881</v>
      </c>
      <c r="L446" s="347">
        <f>F446-K446</f>
        <v>0</v>
      </c>
    </row>
    <row r="447" spans="1:12">
      <c r="A447" s="333">
        <v>3</v>
      </c>
      <c r="B447" s="353"/>
      <c r="C447" s="353" t="str">
        <f>'FR-16(7)(v)-1 Functional'!C447</f>
        <v xml:space="preserve">  TOTAL PRODUCTION DEPREC EXP.</v>
      </c>
      <c r="D447" s="344"/>
      <c r="E447" s="196"/>
      <c r="F447" s="348">
        <f t="shared" ref="F447:L447" si="152">SUM(F446:F446)</f>
        <v>217881</v>
      </c>
      <c r="G447" s="348">
        <f>SUM(G446:G446)</f>
        <v>127105</v>
      </c>
      <c r="H447" s="348">
        <f t="shared" si="152"/>
        <v>66410</v>
      </c>
      <c r="I447" s="348">
        <f t="shared" si="152"/>
        <v>24366</v>
      </c>
      <c r="J447" s="348">
        <f t="shared" si="152"/>
        <v>0</v>
      </c>
      <c r="K447" s="348">
        <f t="shared" si="152"/>
        <v>217881</v>
      </c>
      <c r="L447" s="348">
        <f t="shared" si="152"/>
        <v>0</v>
      </c>
    </row>
    <row r="448" spans="1:12">
      <c r="A448" s="333">
        <v>4</v>
      </c>
      <c r="B448" s="353"/>
      <c r="C448" s="353"/>
      <c r="D448" s="344"/>
      <c r="E448" s="196"/>
      <c r="F448" s="353"/>
      <c r="G448" s="353"/>
      <c r="H448" s="353"/>
      <c r="J448" s="353"/>
    </row>
    <row r="449" spans="1:12">
      <c r="A449" s="333">
        <v>5</v>
      </c>
      <c r="B449" s="511" t="s">
        <v>57</v>
      </c>
      <c r="C449" s="511"/>
      <c r="D449" s="344"/>
      <c r="E449" s="196"/>
      <c r="F449" s="349"/>
      <c r="G449" s="353"/>
      <c r="H449" s="353"/>
      <c r="J449" s="349"/>
      <c r="K449" s="347"/>
      <c r="L449" s="347"/>
    </row>
    <row r="450" spans="1:12">
      <c r="A450" s="333">
        <v>6</v>
      </c>
      <c r="B450" s="353"/>
      <c r="C450" s="353" t="str">
        <f>'FR-16(7)(v)-1 Functional'!C450</f>
        <v xml:space="preserve">  TOTAL TRANSMISSION DEP. EXP.</v>
      </c>
      <c r="D450" s="344"/>
      <c r="E450" s="196"/>
      <c r="F450" s="348">
        <f t="shared" ref="F450:L450" si="153">SUM(F449)</f>
        <v>0</v>
      </c>
      <c r="G450" s="762">
        <f t="shared" si="153"/>
        <v>0</v>
      </c>
      <c r="H450" s="762">
        <f t="shared" si="153"/>
        <v>0</v>
      </c>
      <c r="I450" s="348">
        <f t="shared" si="153"/>
        <v>0</v>
      </c>
      <c r="J450" s="348">
        <f t="shared" si="153"/>
        <v>0</v>
      </c>
      <c r="K450" s="348">
        <f t="shared" si="153"/>
        <v>0</v>
      </c>
      <c r="L450" s="348">
        <f t="shared" si="153"/>
        <v>0</v>
      </c>
    </row>
    <row r="451" spans="1:12">
      <c r="A451" s="333">
        <v>7</v>
      </c>
      <c r="B451" s="353"/>
      <c r="C451" s="353"/>
      <c r="D451" s="344"/>
      <c r="E451" s="196"/>
      <c r="F451" s="353"/>
      <c r="G451" s="353"/>
      <c r="H451" s="353"/>
      <c r="J451" s="353"/>
    </row>
    <row r="452" spans="1:12">
      <c r="A452" s="333">
        <v>8</v>
      </c>
      <c r="B452" s="353" t="s">
        <v>58</v>
      </c>
      <c r="C452" s="353"/>
      <c r="D452" s="344"/>
      <c r="E452" s="196"/>
      <c r="F452" s="353"/>
      <c r="G452" s="353"/>
      <c r="H452" s="353"/>
      <c r="J452" s="353"/>
    </row>
    <row r="453" spans="1:12">
      <c r="A453" s="333">
        <v>9</v>
      </c>
      <c r="B453" s="353"/>
      <c r="C453" s="511" t="str">
        <f>'FR-16(7)(v)-1 Functional'!C453</f>
        <v>DISTRIBUTION DEPRECIATION</v>
      </c>
      <c r="D453" s="344" t="str">
        <f>'FR-16(7)(v)-1 Functional'!D453</f>
        <v>D249</v>
      </c>
      <c r="E453" s="196"/>
      <c r="F453" s="479">
        <f>'FR-16(7)(v)-2 PROD Classified'!H453</f>
        <v>0</v>
      </c>
      <c r="G453" s="349">
        <f>F453-SUM(H453:J453)</f>
        <v>0</v>
      </c>
      <c r="H453" s="349">
        <f>ROUND($F$453*VLOOKUP($D$453,ALLOCTABLE_Prod_Commodity,$H$10,FALSE),0)</f>
        <v>0</v>
      </c>
      <c r="I453" s="349">
        <f>ROUND(F453*VLOOKUP(D453,ALLOCTABLE_Prod_Commodity,$I$10,FALSE),0)</f>
        <v>0</v>
      </c>
      <c r="J453" s="349">
        <f>ROUND(F453*VLOOKUP(D453,ALLOCTABLE_Prod_Commodity,$J$10,FALSE),0)</f>
        <v>0</v>
      </c>
      <c r="K453" s="347">
        <f>SUM(G453:J453)</f>
        <v>0</v>
      </c>
      <c r="L453" s="347">
        <f>F453-K453</f>
        <v>0</v>
      </c>
    </row>
    <row r="454" spans="1:12">
      <c r="A454" s="333">
        <v>10</v>
      </c>
      <c r="B454" s="353"/>
      <c r="C454" s="353" t="str">
        <f>'FR-16(7)(v)-1 Functional'!C454</f>
        <v xml:space="preserve">  TOTAL DIST. DEPREC EXP.</v>
      </c>
      <c r="D454" s="344"/>
      <c r="E454" s="196"/>
      <c r="F454" s="348">
        <f t="shared" ref="F454:L454" si="154">SUM(F453:F453)</f>
        <v>0</v>
      </c>
      <c r="G454" s="348">
        <f>SUM(G453:G453)</f>
        <v>0</v>
      </c>
      <c r="H454" s="348">
        <f t="shared" si="154"/>
        <v>0</v>
      </c>
      <c r="I454" s="348">
        <f t="shared" si="154"/>
        <v>0</v>
      </c>
      <c r="J454" s="348">
        <f t="shared" si="154"/>
        <v>0</v>
      </c>
      <c r="K454" s="348">
        <f t="shared" si="154"/>
        <v>0</v>
      </c>
      <c r="L454" s="348">
        <f t="shared" si="154"/>
        <v>0</v>
      </c>
    </row>
    <row r="455" spans="1:12">
      <c r="A455" s="333">
        <v>11</v>
      </c>
      <c r="B455" s="353"/>
      <c r="C455" s="353"/>
      <c r="D455" s="344"/>
      <c r="E455" s="196"/>
      <c r="F455" s="353" t="s">
        <v>343</v>
      </c>
      <c r="G455" s="353"/>
      <c r="H455" s="353"/>
      <c r="J455" s="353"/>
    </row>
    <row r="456" spans="1:12">
      <c r="A456" s="333">
        <v>12</v>
      </c>
      <c r="B456" s="353" t="s">
        <v>59</v>
      </c>
      <c r="C456" s="353"/>
      <c r="D456" s="344"/>
      <c r="E456" s="196"/>
      <c r="F456" s="353"/>
      <c r="G456" s="353"/>
      <c r="H456" s="353"/>
      <c r="J456" s="353"/>
    </row>
    <row r="457" spans="1:12">
      <c r="A457" s="333">
        <v>13</v>
      </c>
      <c r="B457" s="353"/>
      <c r="C457" s="511" t="str">
        <f>'FR-16(7)(v)-1 Functional'!C457</f>
        <v>GENERAL DEPRECIATION</v>
      </c>
      <c r="D457" s="344" t="str">
        <f>'FR-16(7)(v)-1 Functional'!D457</f>
        <v>G229</v>
      </c>
      <c r="E457" s="196"/>
      <c r="F457" s="479">
        <f>'FR-16(7)(v)-2 PROD Classified'!H457</f>
        <v>226854</v>
      </c>
      <c r="G457" s="349">
        <f>F457-SUM(H457:J457)</f>
        <v>114818</v>
      </c>
      <c r="H457" s="349">
        <f>ROUND($F$457*VLOOKUP($D$457,ALLOCTABLE_Prod_Commodity,$H$10,FALSE),0)</f>
        <v>65400</v>
      </c>
      <c r="I457" s="349">
        <f>ROUND(F457*VLOOKUP(D457,ALLOCTABLE_Prod_Commodity,$I$10,FALSE),0)</f>
        <v>46303</v>
      </c>
      <c r="J457" s="349">
        <f>ROUND(F457*VLOOKUP(D457,ALLOCTABLE_Prod_Commodity,$J$10,FALSE),0)</f>
        <v>333</v>
      </c>
      <c r="K457" s="347">
        <f>SUM(G457:J457)</f>
        <v>226854</v>
      </c>
      <c r="L457" s="347">
        <f>F457-K457</f>
        <v>0</v>
      </c>
    </row>
    <row r="458" spans="1:12">
      <c r="A458" s="333">
        <v>14</v>
      </c>
      <c r="B458" s="353"/>
      <c r="C458" s="353" t="str">
        <f>'FR-16(7)(v)-1 Functional'!C458</f>
        <v xml:space="preserve">  TOTAL GENERAL DEPREC EXP.</v>
      </c>
      <c r="D458" s="344"/>
      <c r="E458" s="196"/>
      <c r="F458" s="348">
        <f t="shared" ref="F458:L458" si="155">SUM(F457:F457)</f>
        <v>226854</v>
      </c>
      <c r="G458" s="348">
        <f>SUM(G457:G457)</f>
        <v>114818</v>
      </c>
      <c r="H458" s="348">
        <f t="shared" si="155"/>
        <v>65400</v>
      </c>
      <c r="I458" s="348">
        <f t="shared" si="155"/>
        <v>46303</v>
      </c>
      <c r="J458" s="348">
        <f t="shared" si="155"/>
        <v>333</v>
      </c>
      <c r="K458" s="348">
        <f t="shared" si="155"/>
        <v>226854</v>
      </c>
      <c r="L458" s="348">
        <f t="shared" si="155"/>
        <v>0</v>
      </c>
    </row>
    <row r="459" spans="1:12">
      <c r="A459" s="333">
        <v>15</v>
      </c>
      <c r="B459" s="353"/>
      <c r="C459" s="353"/>
      <c r="D459" s="344"/>
      <c r="E459" s="196"/>
      <c r="F459" s="353"/>
      <c r="G459" s="353"/>
      <c r="H459" s="353"/>
      <c r="J459" s="353"/>
    </row>
    <row r="460" spans="1:12">
      <c r="A460" s="333">
        <v>16</v>
      </c>
      <c r="B460" s="353" t="s">
        <v>60</v>
      </c>
      <c r="C460" s="353"/>
      <c r="D460" s="344"/>
      <c r="E460" s="196"/>
      <c r="F460" s="476"/>
      <c r="G460" s="349"/>
      <c r="H460" s="349"/>
      <c r="I460" s="349"/>
      <c r="J460" s="349"/>
      <c r="K460" s="347"/>
      <c r="L460" s="347"/>
    </row>
    <row r="461" spans="1:12">
      <c r="A461" s="333">
        <v>17</v>
      </c>
      <c r="B461" s="353"/>
      <c r="C461" s="511" t="str">
        <f>'FR-16(7)(v)-1 Functional'!C461</f>
        <v>COMMON DEPRECIATION</v>
      </c>
      <c r="D461" s="344" t="str">
        <f>'FR-16(7)(v)-1 Functional'!D461</f>
        <v>C229</v>
      </c>
      <c r="E461" s="196"/>
      <c r="F461" s="479">
        <f>'FR-16(7)(v)-2 PROD Classified'!H461</f>
        <v>13170</v>
      </c>
      <c r="G461" s="349">
        <f>F461-SUM(H461:J461)</f>
        <v>6666</v>
      </c>
      <c r="H461" s="349">
        <f>ROUND($F$461*VLOOKUP($D$461,ALLOCTABLE_Prod_Commodity,$H$10,FALSE),0)</f>
        <v>3797</v>
      </c>
      <c r="I461" s="349">
        <f>ROUND(F461*VLOOKUP(D461,ALLOCTABLE_Prod_Commodity,$I$10,FALSE),0)</f>
        <v>2688</v>
      </c>
      <c r="J461" s="349">
        <f>ROUND(F461*VLOOKUP(D461,ALLOCTABLE_Prod_Commodity,$J$10,FALSE),0)</f>
        <v>19</v>
      </c>
      <c r="K461" s="347">
        <f>SUM(G461:J461)</f>
        <v>13170</v>
      </c>
      <c r="L461" s="347">
        <f>F461-K461</f>
        <v>0</v>
      </c>
    </row>
    <row r="462" spans="1:12">
      <c r="A462" s="333">
        <v>18</v>
      </c>
      <c r="B462" s="353"/>
      <c r="C462" s="353" t="str">
        <f>'FR-16(7)(v)-1 Functional'!C462</f>
        <v xml:space="preserve">  TOTAL COM &amp; OTHER DEPREC EXP.</v>
      </c>
      <c r="D462" s="344"/>
      <c r="E462" s="196"/>
      <c r="F462" s="348">
        <f t="shared" ref="F462:L462" si="156">SUM(F461:F461)</f>
        <v>13170</v>
      </c>
      <c r="G462" s="348">
        <f>SUM(G461:G461)</f>
        <v>6666</v>
      </c>
      <c r="H462" s="348">
        <f t="shared" si="156"/>
        <v>3797</v>
      </c>
      <c r="I462" s="348">
        <f t="shared" si="156"/>
        <v>2688</v>
      </c>
      <c r="J462" s="348">
        <f t="shared" si="156"/>
        <v>19</v>
      </c>
      <c r="K462" s="348">
        <f t="shared" si="156"/>
        <v>13170</v>
      </c>
      <c r="L462" s="348">
        <f t="shared" si="156"/>
        <v>0</v>
      </c>
    </row>
    <row r="463" spans="1:12">
      <c r="A463" s="333">
        <v>19</v>
      </c>
      <c r="B463" s="353"/>
      <c r="C463" s="353"/>
      <c r="D463" s="344"/>
      <c r="E463" s="196"/>
      <c r="G463" s="353"/>
      <c r="H463" s="353"/>
      <c r="J463" s="353"/>
    </row>
    <row r="464" spans="1:12">
      <c r="A464" s="333">
        <v>20</v>
      </c>
      <c r="B464" s="353"/>
      <c r="C464" s="353"/>
      <c r="D464" s="344"/>
      <c r="E464" s="196"/>
      <c r="G464" s="353"/>
      <c r="H464" s="353"/>
      <c r="J464" s="353"/>
    </row>
    <row r="465" spans="1:13">
      <c r="A465" s="333">
        <v>21</v>
      </c>
      <c r="B465" s="353" t="s">
        <v>61</v>
      </c>
      <c r="C465" s="353"/>
      <c r="D465" s="344"/>
      <c r="E465" s="332" t="s">
        <v>343</v>
      </c>
      <c r="F465" s="347">
        <f t="shared" ref="F465:L465" si="157">F462+F458+F454+F450+F447</f>
        <v>457905</v>
      </c>
      <c r="G465" s="349">
        <f>G462+G458+G454+G450+G447</f>
        <v>248589</v>
      </c>
      <c r="H465" s="349">
        <f t="shared" si="157"/>
        <v>135607</v>
      </c>
      <c r="I465" s="349">
        <f t="shared" si="157"/>
        <v>73357</v>
      </c>
      <c r="J465" s="349">
        <f t="shared" si="157"/>
        <v>352</v>
      </c>
      <c r="K465" s="347">
        <f t="shared" si="157"/>
        <v>457905</v>
      </c>
      <c r="L465" s="347">
        <f t="shared" si="157"/>
        <v>0</v>
      </c>
    </row>
    <row r="466" spans="1:13">
      <c r="B466" s="343"/>
      <c r="C466" s="196"/>
      <c r="D466" s="344"/>
      <c r="E466" s="196"/>
      <c r="G466" s="196"/>
      <c r="H466" s="196"/>
      <c r="I466" s="196"/>
      <c r="J466" s="344"/>
      <c r="K466" s="196"/>
      <c r="L466" s="196"/>
    </row>
    <row r="467" spans="1:13">
      <c r="A467" s="343" t="str">
        <f>co_name</f>
        <v>DUKE ENERGY KENTUCKY, INC.</v>
      </c>
      <c r="C467" s="196"/>
      <c r="D467" s="344"/>
      <c r="E467" s="196"/>
      <c r="F467" s="344"/>
      <c r="G467" s="342"/>
      <c r="H467" s="342"/>
      <c r="I467" s="196"/>
      <c r="K467" s="361" t="str">
        <f>$K$1</f>
        <v>FR-16(7)(v)-3</v>
      </c>
      <c r="L467" s="196"/>
    </row>
    <row r="468" spans="1:13">
      <c r="A468" s="343" t="str">
        <f>$A$2</f>
        <v>PRODUCTION COMMODITY ALLOCATED - GAS COST OF SERVICE</v>
      </c>
      <c r="C468" s="196"/>
      <c r="D468" s="344"/>
      <c r="E468" s="196"/>
      <c r="F468" s="344"/>
      <c r="G468" s="342"/>
      <c r="H468" s="342"/>
      <c r="I468" s="196"/>
      <c r="K468" s="361" t="str">
        <f>$K$2</f>
        <v>WITNESS RESPONSIBLE:</v>
      </c>
      <c r="L468" s="196"/>
    </row>
    <row r="469" spans="1:13">
      <c r="A469" s="343" t="str">
        <f>case_name</f>
        <v>CASE NO: 2018-00261</v>
      </c>
      <c r="C469" s="196"/>
      <c r="D469" s="344"/>
      <c r="E469" s="196"/>
      <c r="F469" s="344"/>
      <c r="G469" s="342"/>
      <c r="H469" s="342"/>
      <c r="I469" s="196"/>
      <c r="K469" s="361" t="str">
        <f>Witness</f>
        <v>JAMES E. ZIOLKOWSKI</v>
      </c>
      <c r="L469" s="196"/>
    </row>
    <row r="470" spans="1:13">
      <c r="A470" s="343" t="str">
        <f>data_filing</f>
        <v>DATA: 12 MONTH FORECASTED PERIOD</v>
      </c>
      <c r="C470" s="196"/>
      <c r="D470" s="344"/>
      <c r="E470" s="196"/>
      <c r="F470" s="344"/>
      <c r="G470" s="342"/>
      <c r="H470" s="342"/>
      <c r="I470" s="196"/>
      <c r="K470" s="361" t="str">
        <f>"PAGE "&amp;Pages-7&amp;" OF "&amp;Pages</f>
        <v>PAGE 11 OF 18</v>
      </c>
      <c r="L470" s="196"/>
    </row>
    <row r="471" spans="1:13">
      <c r="A471" s="343" t="str">
        <f>type</f>
        <v xml:space="preserve">TYPE OF FILING: "X" ORIGINAL   UPDATED    REVISED  </v>
      </c>
      <c r="C471" s="196"/>
      <c r="D471" s="344"/>
      <c r="E471" s="196"/>
      <c r="F471" s="344"/>
      <c r="G471" s="342"/>
      <c r="H471" s="342"/>
      <c r="I471" s="196"/>
      <c r="J471" s="344"/>
      <c r="K471" s="196"/>
      <c r="L471" s="196"/>
    </row>
    <row r="472" spans="1:13">
      <c r="B472" s="343"/>
      <c r="C472" s="196"/>
      <c r="D472" s="344"/>
      <c r="E472" s="196"/>
      <c r="F472" s="344"/>
      <c r="G472" s="196"/>
      <c r="H472" s="196"/>
      <c r="I472" s="196"/>
      <c r="J472" s="344"/>
      <c r="K472" s="196"/>
      <c r="L472" s="196"/>
    </row>
    <row r="473" spans="1:13">
      <c r="B473" s="343"/>
      <c r="C473" s="196"/>
      <c r="D473" s="344"/>
      <c r="E473" s="196"/>
      <c r="F473" s="344" t="str">
        <f>$F$7</f>
        <v>TOTAL</v>
      </c>
      <c r="G473" s="196"/>
      <c r="H473" s="196"/>
      <c r="I473" s="196"/>
      <c r="J473" s="344"/>
      <c r="K473" s="196"/>
      <c r="L473" s="196"/>
    </row>
    <row r="474" spans="1:13">
      <c r="A474" s="344" t="s">
        <v>914</v>
      </c>
      <c r="B474" s="196"/>
      <c r="C474" s="196"/>
      <c r="D474" s="344"/>
      <c r="E474" s="196"/>
      <c r="F474" s="344" t="str">
        <f>$F$8</f>
        <v>PRODUCTION</v>
      </c>
      <c r="G474" s="344" t="s">
        <v>418</v>
      </c>
      <c r="H474" s="344" t="s">
        <v>864</v>
      </c>
      <c r="I474" s="344" t="s">
        <v>865</v>
      </c>
      <c r="J474" s="344" t="s">
        <v>549</v>
      </c>
      <c r="K474" s="344" t="s">
        <v>229</v>
      </c>
      <c r="L474" s="344" t="s">
        <v>342</v>
      </c>
    </row>
    <row r="475" spans="1:13">
      <c r="A475" s="346" t="s">
        <v>915</v>
      </c>
      <c r="B475" s="345" t="s">
        <v>62</v>
      </c>
      <c r="C475" s="345"/>
      <c r="D475" s="346" t="s">
        <v>337</v>
      </c>
      <c r="E475" s="345"/>
      <c r="F475" s="344" t="str">
        <f>$F$9</f>
        <v>COMMODITY</v>
      </c>
      <c r="G475" s="346" t="s">
        <v>338</v>
      </c>
      <c r="H475" s="346" t="s">
        <v>405</v>
      </c>
      <c r="I475" s="346" t="s">
        <v>405</v>
      </c>
      <c r="J475" s="346" t="s">
        <v>550</v>
      </c>
      <c r="K475" s="346" t="s">
        <v>341</v>
      </c>
      <c r="L475" s="346" t="s">
        <v>340</v>
      </c>
      <c r="M475" s="365"/>
    </row>
    <row r="476" spans="1:13">
      <c r="C476" s="578" t="s">
        <v>350</v>
      </c>
      <c r="D476" s="344"/>
      <c r="E476" s="196"/>
      <c r="F476" s="762"/>
      <c r="G476" s="633">
        <f>$G$10</f>
        <v>3</v>
      </c>
      <c r="H476" s="633">
        <f>$H$10</f>
        <v>4</v>
      </c>
      <c r="I476" s="633">
        <f>$I$10</f>
        <v>5</v>
      </c>
      <c r="J476" s="633">
        <f>$J$10</f>
        <v>6</v>
      </c>
      <c r="K476" s="510"/>
      <c r="L476" s="510"/>
    </row>
    <row r="477" spans="1:13">
      <c r="A477" s="333">
        <v>1</v>
      </c>
      <c r="B477" s="332" t="s">
        <v>63</v>
      </c>
      <c r="D477" s="344"/>
      <c r="E477" s="196"/>
      <c r="I477" s="332"/>
    </row>
    <row r="478" spans="1:13">
      <c r="A478" s="333">
        <v>2</v>
      </c>
      <c r="B478" s="332" t="s">
        <v>64</v>
      </c>
      <c r="D478" s="344"/>
      <c r="E478" s="196"/>
      <c r="I478" s="332"/>
    </row>
    <row r="479" spans="1:13">
      <c r="A479" s="333">
        <v>3</v>
      </c>
      <c r="C479" s="332" t="str">
        <f>'FR-16(7)(v)-1 Functional'!C479</f>
        <v>REAL ESTATE &amp; PROPERTY TAX</v>
      </c>
      <c r="D479" s="344" t="str">
        <f>'FR-16(7)(v)-1 Functional'!D479</f>
        <v>NP29</v>
      </c>
      <c r="E479" s="196"/>
      <c r="F479" s="479">
        <f>'FR-16(7)(v)-2 PROD Classified'!H479</f>
        <v>24941</v>
      </c>
      <c r="G479" s="349">
        <f>F479-SUM(H479:J479)</f>
        <v>13383</v>
      </c>
      <c r="H479" s="347">
        <f>ROUND($F$479*VLOOKUP($D$479,ALLOCTABLE_Prod_Commodity,$H$10,FALSE),0)</f>
        <v>7353</v>
      </c>
      <c r="I479" s="347">
        <f>ROUND(F479*VLOOKUP(D479,ALLOCTABLE_Prod_Commodity,$I$10,FALSE),0)</f>
        <v>4183</v>
      </c>
      <c r="J479" s="347">
        <f>ROUND(F479*VLOOKUP(D479,ALLOCTABLE_Prod_Commodity,$J$10,FALSE),0)</f>
        <v>22</v>
      </c>
      <c r="K479" s="347">
        <f>SUM($G$479:$J$479)</f>
        <v>24941</v>
      </c>
      <c r="L479" s="347">
        <f>F479-$K$479</f>
        <v>0</v>
      </c>
    </row>
    <row r="480" spans="1:13">
      <c r="A480" s="333">
        <v>4</v>
      </c>
      <c r="C480" s="359" t="str">
        <f>'FR-16(7)(v)-1 Functional'!C480</f>
        <v>ANNUALIZE PROPERTY TAX</v>
      </c>
      <c r="D480" s="344" t="str">
        <f>'FR-16(7)(v)-1 Functional'!D480</f>
        <v>NP29</v>
      </c>
      <c r="E480" s="196" t="s">
        <v>343</v>
      </c>
      <c r="F480" s="479">
        <f>'FR-16(7)(v)-2 PROD Classified'!H480</f>
        <v>0</v>
      </c>
      <c r="G480" s="349">
        <f>F480-SUM(H480:J480)</f>
        <v>0</v>
      </c>
      <c r="H480" s="347">
        <f>ROUND($F$480*VLOOKUP($D$480,ALLOCTABLE_Prod_Commodity,$H$10,FALSE),0)</f>
        <v>0</v>
      </c>
      <c r="I480" s="347">
        <f>ROUND(F480*VLOOKUP(D480,ALLOCTABLE_Prod_Commodity,$I$10,FALSE),0)</f>
        <v>0</v>
      </c>
      <c r="J480" s="347">
        <f>ROUND(F480*VLOOKUP(D480,ALLOCTABLE_Prod_Commodity,$J$10,FALSE),0)</f>
        <v>0</v>
      </c>
      <c r="K480" s="347">
        <f>SUM($G$480:$J$480)</f>
        <v>0</v>
      </c>
      <c r="L480" s="347">
        <f>F480-$K$480</f>
        <v>0</v>
      </c>
    </row>
    <row r="481" spans="1:12">
      <c r="A481" s="333">
        <v>5</v>
      </c>
      <c r="C481" s="332" t="str">
        <f>'FR-16(7)(v)-1 Functional'!C481</f>
        <v xml:space="preserve">  TOTAL REAL ESTATE &amp; PROPERTY TAX</v>
      </c>
      <c r="D481" s="344"/>
      <c r="E481" s="196"/>
      <c r="F481" s="348">
        <f>SUM(F479:F480)</f>
        <v>24941</v>
      </c>
      <c r="G481" s="348">
        <f>SUM($G$479:$G$480)</f>
        <v>13383</v>
      </c>
      <c r="H481" s="348">
        <f>SUM($H$479:$H$480)</f>
        <v>7353</v>
      </c>
      <c r="I481" s="348">
        <f>SUM($I$479:$I$480)</f>
        <v>4183</v>
      </c>
      <c r="J481" s="348">
        <f>SUM($J$479:$J$480)</f>
        <v>22</v>
      </c>
      <c r="K481" s="348">
        <f>SUM($K$479:$K$480)</f>
        <v>24941</v>
      </c>
      <c r="L481" s="348">
        <f>SUM($L$479:$L$480)</f>
        <v>0</v>
      </c>
    </row>
    <row r="482" spans="1:12">
      <c r="A482" s="333">
        <v>6</v>
      </c>
      <c r="D482" s="344"/>
      <c r="E482" s="196"/>
      <c r="F482" s="353"/>
      <c r="I482" s="332"/>
    </row>
    <row r="483" spans="1:12">
      <c r="A483" s="333">
        <v>7</v>
      </c>
      <c r="B483" s="332" t="s">
        <v>65</v>
      </c>
      <c r="D483" s="344"/>
      <c r="E483" s="196"/>
      <c r="F483" s="353"/>
      <c r="I483" s="332"/>
    </row>
    <row r="484" spans="1:12">
      <c r="A484" s="333">
        <v>8</v>
      </c>
      <c r="C484" s="332" t="str">
        <f>'FR-16(7)(v)-1 Functional'!C484</f>
        <v>PAYROLL &amp; HIGHWAY</v>
      </c>
      <c r="D484" s="344" t="str">
        <f>'FR-16(7)(v)-1 Functional'!D484</f>
        <v>AG39</v>
      </c>
      <c r="E484" s="196"/>
      <c r="F484" s="479">
        <f>'FR-16(7)(v)-2 PROD Classified'!H484</f>
        <v>73271</v>
      </c>
      <c r="G484" s="349">
        <f>F484-SUM(H484:J484)</f>
        <v>37069</v>
      </c>
      <c r="H484" s="347">
        <f>ROUND($F$484*VLOOKUP($D$484,ALLOCTABLE_Prod_Commodity,$H$10,FALSE),0)</f>
        <v>21115</v>
      </c>
      <c r="I484" s="347">
        <f>ROUND(F484*VLOOKUP(D484,ALLOCTABLE_Prod_Commodity,$I$10,FALSE),0)</f>
        <v>14949</v>
      </c>
      <c r="J484" s="347">
        <f>ROUND(F484*VLOOKUP(D484,ALLOCTABLE_Prod_Commodity,$J$10,FALSE),0)</f>
        <v>138</v>
      </c>
      <c r="K484" s="347">
        <f>SUM($G$484:$J$484)</f>
        <v>73271</v>
      </c>
      <c r="L484" s="347">
        <f>F484-$K$484</f>
        <v>0</v>
      </c>
    </row>
    <row r="485" spans="1:12">
      <c r="A485" s="333">
        <v>9</v>
      </c>
      <c r="C485" s="332" t="str">
        <f>'FR-16(7)(v)-1 Functional'!C485</f>
        <v>UNEMPLOYMENT COMPENSATION</v>
      </c>
      <c r="D485" s="344" t="str">
        <f>'FR-16(7)(v)-1 Functional'!D485</f>
        <v>AG39</v>
      </c>
      <c r="E485" s="196"/>
      <c r="F485" s="479">
        <f>'FR-16(7)(v)-2 PROD Classified'!H485</f>
        <v>0</v>
      </c>
      <c r="G485" s="349">
        <f>F485-SUM(H485:J485)</f>
        <v>0</v>
      </c>
      <c r="H485" s="347">
        <f>ROUND($F$485*VLOOKUP($D$485,ALLOCTABLE_Prod_Commodity,$H$10,FALSE),0)</f>
        <v>0</v>
      </c>
      <c r="I485" s="347">
        <f>ROUND(F485*VLOOKUP(D485,ALLOCTABLE_Prod_Commodity,$I$10,FALSE),0)</f>
        <v>0</v>
      </c>
      <c r="J485" s="347">
        <f>ROUND(F485*VLOOKUP(D485,ALLOCTABLE_Prod_Commodity,$J$10,FALSE),0)</f>
        <v>0</v>
      </c>
      <c r="K485" s="347">
        <f>SUM($G$485:$J$485)</f>
        <v>0</v>
      </c>
      <c r="L485" s="347">
        <f>F485-$K$485</f>
        <v>0</v>
      </c>
    </row>
    <row r="486" spans="1:12">
      <c r="A486" s="333">
        <v>10</v>
      </c>
      <c r="C486" s="332" t="str">
        <f>'FR-16(7)(v)-1 Functional'!C486</f>
        <v>OHIO EXCISE TAX</v>
      </c>
      <c r="D486" s="354" t="str">
        <f>'FR-16(7)(v)-1 Functional'!D486</f>
        <v>OM39</v>
      </c>
      <c r="E486" s="196"/>
      <c r="F486" s="479">
        <f>'FR-16(7)(v)-2 PROD Classified'!H486</f>
        <v>0</v>
      </c>
      <c r="G486" s="349">
        <f>F486-SUM(H486:J486)</f>
        <v>0</v>
      </c>
      <c r="H486" s="347">
        <f>ROUND($F$486*VLOOKUP($D$486,ALLOCTABLE_Prod_Commodity,$H$10,FALSE),0)</f>
        <v>0</v>
      </c>
      <c r="I486" s="347">
        <f>ROUND(F486*VLOOKUP(D486,ALLOCTABLE_Prod_Commodity,$I$10,FALSE),0)</f>
        <v>0</v>
      </c>
      <c r="J486" s="347">
        <f>ROUND(F486*VLOOKUP(D486,ALLOCTABLE_Prod_Commodity,$J$10,FALSE),0)</f>
        <v>0</v>
      </c>
      <c r="K486" s="347">
        <f>SUM($G$486:$J$486)</f>
        <v>0</v>
      </c>
      <c r="L486" s="347">
        <f>F486-$K$486</f>
        <v>0</v>
      </c>
    </row>
    <row r="487" spans="1:12">
      <c r="A487" s="333">
        <v>11</v>
      </c>
      <c r="C487" s="359" t="str">
        <f>'FR-16(7)(v)-1 Functional'!C487</f>
        <v>STATE TAX RIDER</v>
      </c>
      <c r="D487" s="354" t="str">
        <f>'FR-16(7)(v)-1 Functional'!D487</f>
        <v>OM39</v>
      </c>
      <c r="E487" s="196"/>
      <c r="F487" s="479">
        <f>'FR-16(7)(v)-2 PROD Classified'!H487</f>
        <v>0</v>
      </c>
      <c r="G487" s="349">
        <f>F487-SUM(H487:J487)</f>
        <v>0</v>
      </c>
      <c r="H487" s="347">
        <f>ROUND($F$487*VLOOKUP($D$487,ALLOCTABLE_Prod_Commodity,$H$10,FALSE),0)</f>
        <v>0</v>
      </c>
      <c r="I487" s="347">
        <f>ROUND(F487*VLOOKUP(D487,ALLOCTABLE_Prod_Commodity,$I$10,FALSE),0)</f>
        <v>0</v>
      </c>
      <c r="J487" s="347">
        <f>ROUND(F487*VLOOKUP(D487,ALLOCTABLE_Prod_Commodity,$J$10,FALSE),0)</f>
        <v>0</v>
      </c>
      <c r="K487" s="347">
        <f>SUM($G$487:$J$487)</f>
        <v>0</v>
      </c>
      <c r="L487" s="347">
        <f>F487-$K$487</f>
        <v>0</v>
      </c>
    </row>
    <row r="488" spans="1:12">
      <c r="A488" s="333">
        <v>12</v>
      </c>
      <c r="C488" s="332" t="str">
        <f>'FR-16(7)(v)-1 Functional'!C488</f>
        <v xml:space="preserve">  TOTAL MISCELLANEOUS TAXES</v>
      </c>
      <c r="D488" s="344"/>
      <c r="E488" s="196"/>
      <c r="F488" s="348">
        <f>SUM(F484:F487)</f>
        <v>73271</v>
      </c>
      <c r="G488" s="348">
        <f>SUM($G$484:$G$487)</f>
        <v>37069</v>
      </c>
      <c r="H488" s="348">
        <f>SUM($H$484:$H$487)</f>
        <v>21115</v>
      </c>
      <c r="I488" s="348">
        <f>SUM($I$484:$I$487)</f>
        <v>14949</v>
      </c>
      <c r="J488" s="348">
        <f>SUM($J$484:$J$487)</f>
        <v>138</v>
      </c>
      <c r="K488" s="348">
        <f>SUM($K$484:$K$487)</f>
        <v>73271</v>
      </c>
      <c r="L488" s="348">
        <f>SUM($L$484:$L$487)</f>
        <v>0</v>
      </c>
    </row>
    <row r="489" spans="1:12">
      <c r="A489" s="333">
        <v>13</v>
      </c>
      <c r="D489" s="344"/>
      <c r="E489" s="196"/>
      <c r="F489" s="353"/>
      <c r="I489" s="332"/>
    </row>
    <row r="490" spans="1:12">
      <c r="A490" s="333">
        <v>14</v>
      </c>
      <c r="B490" s="332" t="s">
        <v>66</v>
      </c>
      <c r="D490" s="344"/>
      <c r="E490" s="196"/>
      <c r="F490" s="353"/>
      <c r="I490" s="332"/>
    </row>
    <row r="491" spans="1:12">
      <c r="A491" s="333">
        <v>15</v>
      </c>
      <c r="C491" s="332" t="str">
        <f>'FR-16(7)(v)-1 Functional'!C491</f>
        <v>PSC MAINT. EXP ON INCREASE</v>
      </c>
      <c r="D491" s="344" t="str">
        <f>'FR-16(7)(v)-1 Functional'!D491</f>
        <v>AG39</v>
      </c>
      <c r="E491" s="196"/>
      <c r="F491" s="479">
        <f>'FR-16(7)(v)-2 PROD Classified'!H491</f>
        <v>2179</v>
      </c>
      <c r="G491" s="349">
        <f>F491-SUM(H491:J491)</f>
        <v>1102</v>
      </c>
      <c r="H491" s="347">
        <f>ROUND($F$491*VLOOKUP($D$491,ALLOCTABLE_Prod_Commodity,$H$10,FALSE),0)</f>
        <v>628</v>
      </c>
      <c r="I491" s="347">
        <f>ROUND(F491*VLOOKUP(D491,ALLOCTABLE_Prod_Commodity,$I$10,FALSE),0)</f>
        <v>445</v>
      </c>
      <c r="J491" s="347">
        <f>ROUND(F491*VLOOKUP(D491,ALLOCTABLE_Prod_Commodity,$J$10,FALSE),0)</f>
        <v>4</v>
      </c>
      <c r="K491" s="347">
        <f>SUM($G$491:$J$491)</f>
        <v>2179</v>
      </c>
      <c r="L491" s="347">
        <f>F491-$K$491</f>
        <v>0</v>
      </c>
    </row>
    <row r="492" spans="1:12">
      <c r="A492" s="333">
        <v>16</v>
      </c>
      <c r="C492" s="359" t="str">
        <f>'FR-16(7)(v)-1 Functional'!C492</f>
        <v>RESERVED FOR FUTURE USE</v>
      </c>
      <c r="D492" s="344" t="str">
        <f>'FR-16(7)(v)-1 Functional'!D492</f>
        <v>AG39</v>
      </c>
      <c r="E492" s="196"/>
      <c r="F492" s="479">
        <f>'FR-16(7)(v)-2 PROD Classified'!H492</f>
        <v>0</v>
      </c>
      <c r="G492" s="349">
        <f>F492-SUM(H492:J492)</f>
        <v>0</v>
      </c>
      <c r="H492" s="347">
        <f>ROUND($F$492*VLOOKUP($D$492,ALLOCTABLE_Prod_Commodity,$H$10,FALSE),0)</f>
        <v>0</v>
      </c>
      <c r="I492" s="347">
        <f>ROUND(F492*VLOOKUP(D492,ALLOCTABLE_Prod_Commodity,$I$10,FALSE),0)</f>
        <v>0</v>
      </c>
      <c r="J492" s="347">
        <f>ROUND(F492*VLOOKUP(D492,ALLOCTABLE_Prod_Commodity,$J$10,FALSE),0)</f>
        <v>0</v>
      </c>
      <c r="K492" s="347">
        <f>SUM($G$492:$J$492)</f>
        <v>0</v>
      </c>
      <c r="L492" s="347">
        <f>F492-$K$492</f>
        <v>0</v>
      </c>
    </row>
    <row r="493" spans="1:12">
      <c r="A493" s="333">
        <v>17</v>
      </c>
      <c r="C493" s="332" t="str">
        <f>'FR-16(7)(v)-1 Functional'!C493</f>
        <v xml:space="preserve">  TOTAL MISCELLANEOUS EXPENSES</v>
      </c>
      <c r="D493" s="344"/>
      <c r="E493" s="196"/>
      <c r="F493" s="480">
        <f>SUM(F491:F492)</f>
        <v>2179</v>
      </c>
      <c r="G493" s="348">
        <f>SUM($G$491:$G$492)</f>
        <v>1102</v>
      </c>
      <c r="H493" s="348">
        <f>SUM($H$491:$H$492)</f>
        <v>628</v>
      </c>
      <c r="I493" s="348">
        <f>SUM($I$491:$I$492)</f>
        <v>445</v>
      </c>
      <c r="J493" s="348">
        <f>SUM($J$491:$J$492)</f>
        <v>4</v>
      </c>
      <c r="K493" s="348">
        <f>SUM($K$491:$K$492)</f>
        <v>2179</v>
      </c>
      <c r="L493" s="348">
        <f>SUM($L$491:$L$492)</f>
        <v>0</v>
      </c>
    </row>
    <row r="494" spans="1:12">
      <c r="A494" s="333">
        <v>18</v>
      </c>
      <c r="D494" s="344"/>
      <c r="E494" s="196"/>
      <c r="I494" s="332"/>
    </row>
    <row r="495" spans="1:12">
      <c r="A495" s="333">
        <v>19</v>
      </c>
      <c r="B495" s="332" t="s">
        <v>67</v>
      </c>
      <c r="D495" s="344"/>
      <c r="E495" s="196" t="s">
        <v>343</v>
      </c>
      <c r="F495" s="347">
        <f>F488+F481+F493</f>
        <v>100391</v>
      </c>
      <c r="G495" s="347">
        <f>$G$488+$G$481+$G$493</f>
        <v>51554</v>
      </c>
      <c r="H495" s="347">
        <f>$H$488+$H$481+$H$493</f>
        <v>29096</v>
      </c>
      <c r="I495" s="347">
        <f>$I$488+$I$481+$I$493</f>
        <v>19577</v>
      </c>
      <c r="J495" s="347">
        <f>$J$488+$J$481+$J$493</f>
        <v>164</v>
      </c>
      <c r="K495" s="347">
        <f>$K$488+$K$481+$K$493</f>
        <v>100391</v>
      </c>
      <c r="L495" s="347">
        <f>$L$488+$L$481+$L$493</f>
        <v>0</v>
      </c>
    </row>
    <row r="496" spans="1:12">
      <c r="A496" s="333">
        <v>20</v>
      </c>
      <c r="D496" s="344"/>
      <c r="E496" s="196"/>
      <c r="I496" s="332"/>
    </row>
    <row r="497" spans="1:12">
      <c r="A497" s="333">
        <v>21</v>
      </c>
      <c r="B497" s="332" t="s">
        <v>40</v>
      </c>
      <c r="D497" s="344"/>
      <c r="E497" s="196"/>
      <c r="I497" s="332"/>
    </row>
    <row r="498" spans="1:12">
      <c r="A498" s="333">
        <v>22</v>
      </c>
      <c r="C498" s="332" t="str">
        <f>'FR-16(7)(v)-1 Functional'!C498</f>
        <v>TOTAL O&amp;M EXPENSE</v>
      </c>
      <c r="D498" s="344"/>
      <c r="E498" s="196"/>
      <c r="F498" s="347">
        <f t="shared" ref="F498:L498" si="158">F433</f>
        <v>38032691</v>
      </c>
      <c r="G498" s="347">
        <f>G433</f>
        <v>19213586</v>
      </c>
      <c r="H498" s="347">
        <f t="shared" si="158"/>
        <v>10944332</v>
      </c>
      <c r="I498" s="347">
        <f t="shared" si="158"/>
        <v>7748449</v>
      </c>
      <c r="J498" s="347">
        <f t="shared" si="158"/>
        <v>126324</v>
      </c>
      <c r="K498" s="347">
        <f t="shared" si="158"/>
        <v>38032691</v>
      </c>
      <c r="L498" s="347">
        <f t="shared" si="158"/>
        <v>0</v>
      </c>
    </row>
    <row r="499" spans="1:12">
      <c r="A499" s="333">
        <v>23</v>
      </c>
      <c r="C499" s="332" t="str">
        <f>'FR-16(7)(v)-1 Functional'!C499</f>
        <v>TOTAL DEPRECIATION EXPENSE</v>
      </c>
      <c r="D499" s="344"/>
      <c r="E499" s="196"/>
      <c r="F499" s="347">
        <f t="shared" ref="F499:L499" si="159">F465</f>
        <v>457905</v>
      </c>
      <c r="G499" s="347">
        <f>G465</f>
        <v>248589</v>
      </c>
      <c r="H499" s="347">
        <f t="shared" si="159"/>
        <v>135607</v>
      </c>
      <c r="I499" s="347">
        <f t="shared" si="159"/>
        <v>73357</v>
      </c>
      <c r="J499" s="347">
        <f t="shared" si="159"/>
        <v>352</v>
      </c>
      <c r="K499" s="347">
        <f t="shared" si="159"/>
        <v>457905</v>
      </c>
      <c r="L499" s="347">
        <f t="shared" si="159"/>
        <v>0</v>
      </c>
    </row>
    <row r="500" spans="1:12">
      <c r="A500" s="333">
        <v>24</v>
      </c>
      <c r="C500" s="359" t="str">
        <f>'FR-16(7)(v)-1 Functional'!C500</f>
        <v>TOTAL OTHER TAX &amp; MISC EXPENSE</v>
      </c>
      <c r="D500" s="344"/>
      <c r="E500" s="196"/>
      <c r="F500" s="347">
        <f>F495</f>
        <v>100391</v>
      </c>
      <c r="G500" s="347">
        <f>$G$495</f>
        <v>51554</v>
      </c>
      <c r="H500" s="347">
        <f>$H$495</f>
        <v>29096</v>
      </c>
      <c r="I500" s="347">
        <f>$I$495</f>
        <v>19577</v>
      </c>
      <c r="J500" s="347">
        <f>$J$495</f>
        <v>164</v>
      </c>
      <c r="K500" s="347">
        <f>$K$495</f>
        <v>100391</v>
      </c>
      <c r="L500" s="347">
        <f>$L$495</f>
        <v>0</v>
      </c>
    </row>
    <row r="501" spans="1:12">
      <c r="A501" s="333">
        <v>25</v>
      </c>
      <c r="C501" s="332" t="str">
        <f>'FR-16(7)(v)-1 Functional'!C501</f>
        <v xml:space="preserve">  TOTAL OPER EXP EXCL INCOME &amp; REV TAX</v>
      </c>
      <c r="D501" s="344"/>
      <c r="E501" s="196"/>
      <c r="F501" s="348">
        <f>SUM(F498:F500)</f>
        <v>38590987</v>
      </c>
      <c r="G501" s="348">
        <f>SUM($G$498:$G$500)</f>
        <v>19513729</v>
      </c>
      <c r="H501" s="348">
        <f>SUM($H$498:$H$500)</f>
        <v>11109035</v>
      </c>
      <c r="I501" s="348">
        <f>SUM($I$498:$I$500)</f>
        <v>7841383</v>
      </c>
      <c r="J501" s="348">
        <f>SUM($J$498:$J$500)</f>
        <v>126840</v>
      </c>
      <c r="K501" s="348">
        <f>SUM($K$498:$K$500)</f>
        <v>38590987</v>
      </c>
      <c r="L501" s="348">
        <f>SUM($L$498:$L$500)</f>
        <v>0</v>
      </c>
    </row>
    <row r="502" spans="1:12">
      <c r="B502" s="343"/>
      <c r="C502" s="196"/>
      <c r="D502" s="344"/>
      <c r="E502" s="196"/>
      <c r="G502" s="196"/>
      <c r="H502" s="196"/>
      <c r="I502" s="196"/>
      <c r="J502" s="344"/>
      <c r="K502" s="196"/>
      <c r="L502" s="196"/>
    </row>
    <row r="503" spans="1:12">
      <c r="A503" s="343" t="str">
        <f>co_name</f>
        <v>DUKE ENERGY KENTUCKY, INC.</v>
      </c>
      <c r="C503" s="196"/>
      <c r="D503" s="344"/>
      <c r="E503" s="196"/>
      <c r="F503" s="344"/>
      <c r="G503" s="342"/>
      <c r="H503" s="342"/>
      <c r="I503" s="196"/>
      <c r="K503" s="361" t="str">
        <f>$K$1</f>
        <v>FR-16(7)(v)-3</v>
      </c>
      <c r="L503" s="196"/>
    </row>
    <row r="504" spans="1:12">
      <c r="A504" s="343" t="str">
        <f>$A$2</f>
        <v>PRODUCTION COMMODITY ALLOCATED - GAS COST OF SERVICE</v>
      </c>
      <c r="C504" s="196"/>
      <c r="D504" s="344"/>
      <c r="E504" s="196"/>
      <c r="F504" s="344"/>
      <c r="G504" s="342"/>
      <c r="H504" s="342"/>
      <c r="I504" s="196"/>
      <c r="K504" s="361" t="str">
        <f>$K$2</f>
        <v>WITNESS RESPONSIBLE:</v>
      </c>
      <c r="L504" s="196"/>
    </row>
    <row r="505" spans="1:12">
      <c r="A505" s="343" t="str">
        <f>case_name</f>
        <v>CASE NO: 2018-00261</v>
      </c>
      <c r="C505" s="196"/>
      <c r="D505" s="344"/>
      <c r="E505" s="196"/>
      <c r="F505" s="344"/>
      <c r="G505" s="342"/>
      <c r="H505" s="342"/>
      <c r="I505" s="196"/>
      <c r="K505" s="361" t="str">
        <f>Witness</f>
        <v>JAMES E. ZIOLKOWSKI</v>
      </c>
      <c r="L505" s="196"/>
    </row>
    <row r="506" spans="1:12">
      <c r="A506" s="343" t="str">
        <f>data_filing</f>
        <v>DATA: 12 MONTH FORECASTED PERIOD</v>
      </c>
      <c r="C506" s="196"/>
      <c r="D506" s="344"/>
      <c r="E506" s="196"/>
      <c r="F506" s="344"/>
      <c r="G506" s="342"/>
      <c r="H506" s="342"/>
      <c r="I506" s="196"/>
      <c r="K506" s="361" t="str">
        <f>"PAGE "&amp;Pages-6&amp;" OF "&amp;Pages</f>
        <v>PAGE 12 OF 18</v>
      </c>
      <c r="L506" s="196"/>
    </row>
    <row r="507" spans="1:12">
      <c r="A507" s="343" t="str">
        <f>type</f>
        <v xml:space="preserve">TYPE OF FILING: "X" ORIGINAL   UPDATED    REVISED  </v>
      </c>
      <c r="C507" s="196"/>
      <c r="D507" s="344"/>
      <c r="E507" s="196"/>
      <c r="F507" s="344"/>
      <c r="G507" s="342"/>
      <c r="H507" s="342"/>
      <c r="I507" s="196"/>
      <c r="J507" s="344"/>
      <c r="K507" s="196"/>
      <c r="L507" s="196"/>
    </row>
    <row r="508" spans="1:12">
      <c r="B508" s="343"/>
      <c r="C508" s="196"/>
      <c r="D508" s="344"/>
      <c r="E508" s="196"/>
      <c r="F508" s="344"/>
      <c r="G508" s="196"/>
      <c r="H508" s="196"/>
      <c r="I508" s="196"/>
      <c r="J508" s="344"/>
      <c r="K508" s="196"/>
      <c r="L508" s="196"/>
    </row>
    <row r="509" spans="1:12">
      <c r="B509" s="343"/>
      <c r="C509" s="196"/>
      <c r="D509" s="344"/>
      <c r="E509" s="196"/>
      <c r="F509" s="344" t="str">
        <f>$F$7</f>
        <v>TOTAL</v>
      </c>
      <c r="G509" s="196"/>
      <c r="H509" s="196"/>
      <c r="I509" s="196"/>
      <c r="J509" s="344"/>
      <c r="K509" s="196"/>
      <c r="L509" s="196"/>
    </row>
    <row r="510" spans="1:12">
      <c r="A510" s="344" t="s">
        <v>914</v>
      </c>
      <c r="B510" s="196"/>
      <c r="C510" s="196"/>
      <c r="D510" s="344"/>
      <c r="E510" s="196"/>
      <c r="F510" s="344" t="str">
        <f>$F$8</f>
        <v>PRODUCTION</v>
      </c>
      <c r="G510" s="344" t="s">
        <v>418</v>
      </c>
      <c r="H510" s="344" t="s">
        <v>864</v>
      </c>
      <c r="I510" s="344" t="s">
        <v>865</v>
      </c>
      <c r="J510" s="344" t="s">
        <v>549</v>
      </c>
      <c r="K510" s="344" t="s">
        <v>229</v>
      </c>
      <c r="L510" s="344" t="s">
        <v>342</v>
      </c>
    </row>
    <row r="511" spans="1:12">
      <c r="A511" s="346" t="s">
        <v>915</v>
      </c>
      <c r="B511" s="345" t="str">
        <f>'FR-16(7)(v)-1 Functional'!B511</f>
        <v>FEDERAL INCOME TAX BASED ON RETURN</v>
      </c>
      <c r="C511" s="345"/>
      <c r="D511" s="346" t="s">
        <v>337</v>
      </c>
      <c r="E511" s="345"/>
      <c r="F511" s="344" t="str">
        <f>$F$9</f>
        <v>COMMODITY</v>
      </c>
      <c r="G511" s="346" t="s">
        <v>338</v>
      </c>
      <c r="H511" s="346" t="s">
        <v>405</v>
      </c>
      <c r="I511" s="346" t="s">
        <v>405</v>
      </c>
      <c r="J511" s="346" t="s">
        <v>550</v>
      </c>
      <c r="K511" s="346" t="s">
        <v>341</v>
      </c>
      <c r="L511" s="346" t="s">
        <v>340</v>
      </c>
    </row>
    <row r="512" spans="1:12">
      <c r="C512" s="578" t="s">
        <v>351</v>
      </c>
      <c r="D512" s="344"/>
      <c r="E512" s="196"/>
      <c r="F512" s="761"/>
      <c r="G512" s="633">
        <f>$G$10</f>
        <v>3</v>
      </c>
      <c r="H512" s="633">
        <f>$H$10</f>
        <v>4</v>
      </c>
      <c r="I512" s="633">
        <f>$I$10</f>
        <v>5</v>
      </c>
      <c r="J512" s="633">
        <f>$J$10</f>
        <v>6</v>
      </c>
    </row>
    <row r="513" spans="1:12">
      <c r="A513" s="333">
        <v>1</v>
      </c>
      <c r="B513" s="332" t="s">
        <v>69</v>
      </c>
      <c r="D513" s="344"/>
      <c r="E513" s="196"/>
      <c r="I513" s="332"/>
    </row>
    <row r="514" spans="1:12">
      <c r="A514" s="333">
        <v>2</v>
      </c>
      <c r="B514" s="332" t="s">
        <v>70</v>
      </c>
      <c r="D514" s="344"/>
      <c r="E514" s="196"/>
      <c r="F514" s="332" t="s">
        <v>343</v>
      </c>
      <c r="I514" s="332"/>
    </row>
    <row r="515" spans="1:12">
      <c r="A515" s="333">
        <v>3</v>
      </c>
      <c r="C515" s="359" t="str">
        <f>'FR-16(7)(v)-1 Functional'!C515</f>
        <v>AUTO PROC INTEREST DED</v>
      </c>
      <c r="D515" s="344" t="str">
        <f>'FR-16(7)(v)-1 Functional'!D515</f>
        <v>RB99</v>
      </c>
      <c r="E515" s="196"/>
      <c r="F515" s="479">
        <f>'FR-16(7)(v)-2 PROD Classified'!H515</f>
        <v>144290</v>
      </c>
      <c r="G515" s="349">
        <f>F515-SUM(H515:J515)</f>
        <v>73313</v>
      </c>
      <c r="H515" s="347">
        <f>ROUND($F$515*VLOOKUP($D$515,ALLOCTABLE_Prod_Commodity,$H$10,FALSE),0)</f>
        <v>41212</v>
      </c>
      <c r="I515" s="347">
        <f>ROUND(F515*VLOOKUP(D515,ALLOCTABLE_Prod_Commodity,$I$10,FALSE),0)</f>
        <v>27103</v>
      </c>
      <c r="J515" s="347">
        <f>ROUND(F515*VLOOKUP(D515,ALLOCTABLE_Prod_Commodity,$J$10,FALSE),0)</f>
        <v>2662</v>
      </c>
      <c r="K515" s="347">
        <f>SUM($G$515:$J$515)</f>
        <v>144290</v>
      </c>
      <c r="L515" s="347">
        <f>F515-$K$515</f>
        <v>0</v>
      </c>
    </row>
    <row r="516" spans="1:12">
      <c r="A516" s="333">
        <v>4</v>
      </c>
      <c r="C516" s="332" t="str">
        <f>'FR-16(7)(v)-1 Functional'!C516</f>
        <v xml:space="preserve">  TOTAL INTEREST EXPENSE</v>
      </c>
      <c r="D516" s="344"/>
      <c r="E516" s="196"/>
      <c r="F516" s="348">
        <f>F515</f>
        <v>144290</v>
      </c>
      <c r="G516" s="348">
        <f>$G$515</f>
        <v>73313</v>
      </c>
      <c r="H516" s="348">
        <f>$H$515</f>
        <v>41212</v>
      </c>
      <c r="I516" s="348">
        <f>$I$515</f>
        <v>27103</v>
      </c>
      <c r="J516" s="348">
        <f>$J$515</f>
        <v>2662</v>
      </c>
      <c r="K516" s="348">
        <f>$K$515</f>
        <v>144290</v>
      </c>
      <c r="L516" s="348">
        <f>$L$515</f>
        <v>0</v>
      </c>
    </row>
    <row r="517" spans="1:12">
      <c r="A517" s="333">
        <v>5</v>
      </c>
      <c r="D517" s="344"/>
      <c r="E517" s="196"/>
      <c r="F517" s="353"/>
      <c r="I517" s="332"/>
    </row>
    <row r="518" spans="1:12">
      <c r="A518" s="333">
        <v>6</v>
      </c>
      <c r="B518" s="332" t="s">
        <v>71</v>
      </c>
      <c r="D518" s="344"/>
      <c r="E518" s="196"/>
      <c r="F518" s="353"/>
      <c r="I518" s="332"/>
    </row>
    <row r="519" spans="1:12">
      <c r="A519" s="333">
        <v>7</v>
      </c>
      <c r="C519" s="332" t="str">
        <f>'FR-16(7)(v)-1 Functional'!C519</f>
        <v>DEPREC EXCESS TAX-BOOK</v>
      </c>
      <c r="D519" s="344" t="str">
        <f>'FR-16(7)(v)-1 Functional'!D519</f>
        <v>DE49</v>
      </c>
      <c r="E519" s="196"/>
      <c r="F519" s="479">
        <f>'FR-16(7)(v)-2 PROD Classified'!H519</f>
        <v>202584</v>
      </c>
      <c r="G519" s="349">
        <f>F519-SUM(H519:J519)</f>
        <v>109979</v>
      </c>
      <c r="H519" s="347">
        <f>ROUND($F$519*VLOOKUP($D$519,ALLOCTABLE_Prod_Commodity,$H$10,FALSE),0)</f>
        <v>59995</v>
      </c>
      <c r="I519" s="347">
        <f>ROUND(F519*VLOOKUP(D519,ALLOCTABLE_Prod_Commodity,$I$10,FALSE),0)</f>
        <v>32454</v>
      </c>
      <c r="J519" s="347">
        <f>ROUND(F519*VLOOKUP(D519,ALLOCTABLE_Prod_Commodity,$J$10,FALSE),0)</f>
        <v>156</v>
      </c>
      <c r="K519" s="347">
        <f>SUM($G$519:$J$519)</f>
        <v>202584</v>
      </c>
      <c r="L519" s="347">
        <f>F519-$K$519</f>
        <v>0</v>
      </c>
    </row>
    <row r="520" spans="1:12">
      <c r="A520" s="333">
        <v>8</v>
      </c>
      <c r="C520" s="332" t="str">
        <f>'FR-16(7)(v)-1 Functional'!C520</f>
        <v>PERMANENT DIFFERENCES</v>
      </c>
      <c r="D520" s="344" t="str">
        <f>'FR-16(7)(v)-1 Functional'!D520</f>
        <v>AG39</v>
      </c>
      <c r="E520" s="196"/>
      <c r="F520" s="479">
        <f>'FR-16(7)(v)-2 PROD Classified'!H520</f>
        <v>-10299</v>
      </c>
      <c r="G520" s="349">
        <f>F520-SUM(H520:J520)</f>
        <v>-5211</v>
      </c>
      <c r="H520" s="347">
        <f>ROUND($F$520*VLOOKUP($D$520,ALLOCTABLE_Prod_Commodity,$H$10,FALSE),0)</f>
        <v>-2968</v>
      </c>
      <c r="I520" s="347">
        <f>ROUND(F520*VLOOKUP(D520,ALLOCTABLE_Prod_Commodity,$I$10,FALSE),0)</f>
        <v>-2101</v>
      </c>
      <c r="J520" s="347">
        <f>ROUND(F520*VLOOKUP(D520,ALLOCTABLE_Prod_Commodity,$J$10,FALSE),0)</f>
        <v>-19</v>
      </c>
      <c r="K520" s="347">
        <f>SUM($G$520:$J$520)</f>
        <v>-10299</v>
      </c>
      <c r="L520" s="347">
        <f>F520-$K$520</f>
        <v>0</v>
      </c>
    </row>
    <row r="521" spans="1:12">
      <c r="A521" s="333">
        <v>9</v>
      </c>
      <c r="C521" s="359" t="str">
        <f>'FR-16(7)(v)-1 Functional'!C521</f>
        <v>TEMPORARY DIFFERENCES</v>
      </c>
      <c r="D521" s="344" t="str">
        <f>'FR-16(7)(v)-1 Functional'!D521</f>
        <v>DE49</v>
      </c>
      <c r="E521" s="196"/>
      <c r="F521" s="479">
        <f>'FR-16(7)(v)-2 PROD Classified'!H521</f>
        <v>7348</v>
      </c>
      <c r="G521" s="349">
        <f>F521-SUM(H521:J521)</f>
        <v>3989</v>
      </c>
      <c r="H521" s="347">
        <f>ROUND($F$521*VLOOKUP($D$521,ALLOCTABLE_Prod_Commodity,$H$10,FALSE),0)</f>
        <v>2176</v>
      </c>
      <c r="I521" s="347">
        <f>ROUND(F521*VLOOKUP(D521,ALLOCTABLE_Prod_Commodity,$I$10,FALSE),0)</f>
        <v>1177</v>
      </c>
      <c r="J521" s="347">
        <f>ROUND(F521*VLOOKUP(D521,ALLOCTABLE_Prod_Commodity,$J$10,FALSE),0)</f>
        <v>6</v>
      </c>
      <c r="K521" s="347">
        <f>SUM($G$521:$J$521)</f>
        <v>7348</v>
      </c>
      <c r="L521" s="347">
        <f>F521-$K$521</f>
        <v>0</v>
      </c>
    </row>
    <row r="522" spans="1:12">
      <c r="A522" s="333">
        <v>10</v>
      </c>
      <c r="C522" s="332" t="str">
        <f>'FR-16(7)(v)-1 Functional'!C522</f>
        <v xml:space="preserve">  TOTAL OTHER DEDUCTIONS</v>
      </c>
      <c r="D522" s="344"/>
      <c r="E522" s="196"/>
      <c r="F522" s="348">
        <f>SUM(F519:F521)</f>
        <v>199633</v>
      </c>
      <c r="G522" s="348">
        <f>SUM($G$519:$G$521)</f>
        <v>108757</v>
      </c>
      <c r="H522" s="348">
        <f>SUM($H$519:$H$521)</f>
        <v>59203</v>
      </c>
      <c r="I522" s="348">
        <f>SUM($I$519:$I$521)</f>
        <v>31530</v>
      </c>
      <c r="J522" s="348">
        <f>SUM($J$519:$J$521)</f>
        <v>143</v>
      </c>
      <c r="K522" s="348">
        <f>SUM($K$519:$K$521)</f>
        <v>199633</v>
      </c>
      <c r="L522" s="480">
        <f>SUM($L$519:$L$521)</f>
        <v>0</v>
      </c>
    </row>
    <row r="523" spans="1:12">
      <c r="A523" s="333">
        <v>11</v>
      </c>
      <c r="D523" s="344"/>
      <c r="E523" s="196"/>
      <c r="F523" s="353"/>
      <c r="I523" s="332"/>
    </row>
    <row r="524" spans="1:12">
      <c r="A524" s="333">
        <v>12</v>
      </c>
      <c r="B524" s="332" t="s">
        <v>72</v>
      </c>
      <c r="D524" s="344"/>
      <c r="E524" s="196"/>
      <c r="F524" s="349">
        <f>F522+F516</f>
        <v>343923</v>
      </c>
      <c r="G524" s="347">
        <f>$G$522+$G$516</f>
        <v>182070</v>
      </c>
      <c r="H524" s="347">
        <f>$H$522+$H$516</f>
        <v>100415</v>
      </c>
      <c r="I524" s="347">
        <f>$I$522+$I$516</f>
        <v>58633</v>
      </c>
      <c r="J524" s="347">
        <f>$J$522+$J$516</f>
        <v>2805</v>
      </c>
      <c r="K524" s="347">
        <f>$K$522+$K$516</f>
        <v>343923</v>
      </c>
      <c r="L524" s="347">
        <f>$L$522+$L$516</f>
        <v>0</v>
      </c>
    </row>
    <row r="525" spans="1:12">
      <c r="A525" s="333">
        <v>13</v>
      </c>
      <c r="D525" s="344"/>
      <c r="E525" s="196"/>
      <c r="F525" s="353"/>
      <c r="I525" s="332"/>
    </row>
    <row r="526" spans="1:12">
      <c r="A526" s="333">
        <v>14</v>
      </c>
      <c r="B526" s="340" t="s">
        <v>544</v>
      </c>
      <c r="D526" s="344"/>
      <c r="E526" s="196"/>
      <c r="F526" s="353"/>
      <c r="I526" s="332"/>
    </row>
    <row r="527" spans="1:12">
      <c r="A527" s="333">
        <v>15</v>
      </c>
      <c r="C527" s="332" t="str">
        <f>'FR-16(7)(v)-1 Functional'!C527</f>
        <v>DEFERRED INCOME TAXES - NET</v>
      </c>
      <c r="D527" s="344" t="str">
        <f>'FR-16(7)(v)-1 Functional'!D527</f>
        <v>OM39</v>
      </c>
      <c r="E527" s="196"/>
      <c r="F527" s="479">
        <f>'FR-16(7)(v)-2 PROD Classified'!H527</f>
        <v>803280</v>
      </c>
      <c r="G527" s="349">
        <f>F527-SUM(H527:J527)</f>
        <v>405809</v>
      </c>
      <c r="H527" s="347">
        <f>ROUND($F$527*VLOOKUP($D$527,ALLOCTABLE_Prod_Commodity,$H$10,FALSE),0)</f>
        <v>231152</v>
      </c>
      <c r="I527" s="347">
        <f>ROUND(F527*VLOOKUP(D527,ALLOCTABLE_Prod_Commodity,$I$10,FALSE),0)</f>
        <v>163652</v>
      </c>
      <c r="J527" s="347">
        <f>ROUND(F527*VLOOKUP(D527,ALLOCTABLE_Prod_Commodity,$J$10,FALSE),0)</f>
        <v>2667</v>
      </c>
      <c r="K527" s="347">
        <f>SUM($G$527:$J$527)</f>
        <v>803280</v>
      </c>
      <c r="L527" s="347">
        <f>F527-$K$527</f>
        <v>0</v>
      </c>
    </row>
    <row r="528" spans="1:12">
      <c r="A528" s="333">
        <v>16</v>
      </c>
      <c r="C528" s="332" t="str">
        <f>'FR-16(7)(v)-1 Functional'!C528</f>
        <v>AMORT OF DEFERRED MERGER COST</v>
      </c>
      <c r="D528" s="344" t="str">
        <f>'FR-16(7)(v)-1 Functional'!D528</f>
        <v>AG39</v>
      </c>
      <c r="E528" s="196"/>
      <c r="F528" s="479">
        <f>'FR-16(7)(v)-2 PROD Classified'!H528</f>
        <v>0</v>
      </c>
      <c r="G528" s="349">
        <f>F528-SUM(H528:J528)</f>
        <v>0</v>
      </c>
      <c r="H528" s="347">
        <f>ROUND($F$528*VLOOKUP($D$528,ALLOCTABLE_Prod_Commodity,$H$10,FALSE),0)</f>
        <v>0</v>
      </c>
      <c r="I528" s="347">
        <f>ROUND(F528*VLOOKUP(D528,ALLOCTABLE_Prod_Commodity,$I$10,FALSE),0)</f>
        <v>0</v>
      </c>
      <c r="J528" s="347">
        <f>ROUND(F528*VLOOKUP(D528,ALLOCTABLE_Prod_Commodity,$J$10,FALSE),0)</f>
        <v>0</v>
      </c>
      <c r="K528" s="347">
        <f>SUM($G$528:$J$528)</f>
        <v>0</v>
      </c>
      <c r="L528" s="347">
        <f>F528-$K$528</f>
        <v>0</v>
      </c>
    </row>
    <row r="529" spans="1:12">
      <c r="A529" s="333">
        <v>17</v>
      </c>
      <c r="C529" s="618" t="str">
        <f>'FR-16(7)(v)-1 Functional'!C529</f>
        <v>DIT ADJUSTMENT - S/L DEPRECIATION</v>
      </c>
      <c r="D529" s="344" t="str">
        <f>'FR-16(7)(v)-1 Functional'!D529</f>
        <v>DE49</v>
      </c>
      <c r="E529" s="196"/>
      <c r="F529" s="479">
        <f>'FR-16(7)(v)-2 PROD Classified'!H529</f>
        <v>0</v>
      </c>
      <c r="G529" s="349">
        <f>F529-SUM(H529:J529)</f>
        <v>0</v>
      </c>
      <c r="H529" s="347">
        <f>ROUND($F$529*VLOOKUP($D$529,ALLOCTABLE_Prod_Commodity,$H$10,FALSE),0)</f>
        <v>0</v>
      </c>
      <c r="I529" s="347">
        <f>ROUND(F529*VLOOKUP(D529,ALLOCTABLE_Prod_Commodity,$I$10,FALSE),0)</f>
        <v>0</v>
      </c>
      <c r="J529" s="347">
        <f>ROUND(F529*VLOOKUP(D529,ALLOCTABLE_Prod_Commodity,$J$10,FALSE),0)</f>
        <v>0</v>
      </c>
      <c r="K529" s="347">
        <f>SUM($G$529:$J$529)</f>
        <v>0</v>
      </c>
      <c r="L529" s="347">
        <f>F529-$K$529</f>
        <v>0</v>
      </c>
    </row>
    <row r="530" spans="1:12">
      <c r="A530" s="333">
        <v>18</v>
      </c>
      <c r="C530" s="332" t="str">
        <f>'FR-16(7)(v)-1 Functional'!C530</f>
        <v>DIT ADJUSTMENT - ARAM</v>
      </c>
      <c r="D530" s="344" t="str">
        <f>'FR-16(7)(v)-1 Functional'!D530</f>
        <v>K201</v>
      </c>
      <c r="E530" s="196"/>
      <c r="F530" s="479">
        <f>'FR-16(7)(v)-2 PROD Classified'!H530</f>
        <v>-16534</v>
      </c>
      <c r="G530" s="349">
        <f>F530-SUM(H530:J530)</f>
        <v>-8380</v>
      </c>
      <c r="H530" s="347">
        <f>ROUND($F$530*VLOOKUP($D$530,ALLOCTABLE_Prod_Commodity,$H$10,FALSE),0)</f>
        <v>-4774</v>
      </c>
      <c r="I530" s="347">
        <f>ROUND(F530*VLOOKUP(D530,ALLOCTABLE_Prod_Commodity,$I$10,FALSE),0)</f>
        <v>-3380</v>
      </c>
      <c r="J530" s="347">
        <f>ROUND(F530*VLOOKUP(D530,ALLOCTABLE_Prod_Commodity,$J$10,FALSE),0)</f>
        <v>0</v>
      </c>
      <c r="K530" s="347">
        <f>SUM($G$530:$J$530)</f>
        <v>-16534</v>
      </c>
      <c r="L530" s="347">
        <f>F530-K530</f>
        <v>0</v>
      </c>
    </row>
    <row r="531" spans="1:12">
      <c r="A531" s="333">
        <v>19</v>
      </c>
      <c r="C531" s="359" t="s">
        <v>1495</v>
      </c>
      <c r="D531" s="344" t="str">
        <f>'FR-16(7)(v)-1 Functional'!D531</f>
        <v>AG39</v>
      </c>
      <c r="E531" s="196"/>
      <c r="F531" s="479">
        <f>'FR-16(7)(v)-2 PROD Classified'!H531</f>
        <v>-60558</v>
      </c>
      <c r="G531" s="349">
        <f>F531-SUM(H531:J531)</f>
        <v>-30636</v>
      </c>
      <c r="H531" s="347">
        <f>ROUND($F$531*VLOOKUP($D$531,ALLOCTABLE_Prod_Commodity,$H$10,FALSE),0)</f>
        <v>-17452</v>
      </c>
      <c r="I531" s="347">
        <f>ROUND(F531*VLOOKUP(D531,ALLOCTABLE_Prod_Commodity,$I$10,FALSE),0)</f>
        <v>-12356</v>
      </c>
      <c r="J531" s="347">
        <f>ROUND(F531*VLOOKUP(D531,ALLOCTABLE_Prod_Commodity,$J$10,FALSE),0)</f>
        <v>-114</v>
      </c>
      <c r="K531" s="347">
        <f>SUM($G$531:$J$531)</f>
        <v>-60558</v>
      </c>
      <c r="L531" s="347">
        <f>F531-$K$531</f>
        <v>0</v>
      </c>
    </row>
    <row r="532" spans="1:12">
      <c r="A532" s="333">
        <v>20</v>
      </c>
      <c r="C532" s="332" t="str">
        <f>'FR-16(7)(v)-1 Functional'!C532</f>
        <v xml:space="preserve">  TOTAL FED DEF IT (410 &amp; 411)</v>
      </c>
      <c r="D532" s="344"/>
      <c r="E532" s="196"/>
      <c r="F532" s="348">
        <f>SUM(F527:F531)</f>
        <v>726188</v>
      </c>
      <c r="G532" s="348">
        <f>SUM($G$527:$G$531)</f>
        <v>366793</v>
      </c>
      <c r="H532" s="348">
        <f>SUM($H$527:$H$531)</f>
        <v>208926</v>
      </c>
      <c r="I532" s="348">
        <f>SUM($I$527:$I$531)</f>
        <v>147916</v>
      </c>
      <c r="J532" s="348">
        <f>SUM($J$527:$J$531)</f>
        <v>2553</v>
      </c>
      <c r="K532" s="348">
        <f>SUM($K$527:$K$531)</f>
        <v>726188</v>
      </c>
      <c r="L532" s="480">
        <f>SUM($L$527:$L$531)</f>
        <v>0</v>
      </c>
    </row>
    <row r="533" spans="1:12">
      <c r="A533" s="333">
        <v>21</v>
      </c>
      <c r="D533" s="344"/>
      <c r="E533" s="196"/>
      <c r="F533" s="353"/>
      <c r="I533" s="332"/>
    </row>
    <row r="534" spans="1:12">
      <c r="A534" s="333">
        <v>22</v>
      </c>
      <c r="B534" s="332" t="s">
        <v>419</v>
      </c>
      <c r="D534" s="344"/>
      <c r="E534" s="196"/>
      <c r="F534" s="353"/>
      <c r="I534" s="332"/>
    </row>
    <row r="535" spans="1:12">
      <c r="A535" s="333">
        <v>23</v>
      </c>
      <c r="C535" s="359" t="str">
        <f>'FR-16(7)(v)-1 Functional'!C535</f>
        <v>AMORTIZE ITC</v>
      </c>
      <c r="D535" s="344" t="str">
        <f>'FR-16(7)(v)-1 Functional'!D535</f>
        <v>NP29</v>
      </c>
      <c r="E535" s="196"/>
      <c r="F535" s="479">
        <f>'FR-16(7)(v)-2 PROD Classified'!H535</f>
        <v>486</v>
      </c>
      <c r="G535" s="349">
        <f>F535-SUM(H535:J535)</f>
        <v>261</v>
      </c>
      <c r="H535" s="512">
        <f>ROUND($F$535*VLOOKUP($D$535,ALLOCTABLE_Prod_Commodity,$H$10,FALSE),0)</f>
        <v>143</v>
      </c>
      <c r="I535" s="512">
        <f>ROUND(F535*VLOOKUP(D535,ALLOCTABLE_Prod_Commodity,$I$10,FALSE),0)</f>
        <v>82</v>
      </c>
      <c r="J535" s="512">
        <f>ROUND(F535*VLOOKUP(D535,ALLOCTABLE_Prod_Commodity,$J$10,FALSE),0)</f>
        <v>0</v>
      </c>
      <c r="K535" s="512">
        <f>SUM($G$535:$J$535)</f>
        <v>486</v>
      </c>
      <c r="L535" s="512">
        <f>F535-$K$535</f>
        <v>0</v>
      </c>
    </row>
    <row r="536" spans="1:12">
      <c r="A536" s="333">
        <v>24</v>
      </c>
      <c r="C536" s="332" t="str">
        <f>'FR-16(7)(v)-1 Functional'!C536</f>
        <v xml:space="preserve">  TOTAL AMORTIZED ITC</v>
      </c>
      <c r="D536" s="344"/>
      <c r="E536" s="196"/>
      <c r="F536" s="348">
        <f>SUM(F535:F535)</f>
        <v>486</v>
      </c>
      <c r="G536" s="348">
        <f>SUM($G$535:$G$535)</f>
        <v>261</v>
      </c>
      <c r="H536" s="348">
        <f>SUM($H$535:$H$535)</f>
        <v>143</v>
      </c>
      <c r="I536" s="348">
        <f>SUM($I$535:$I$535)</f>
        <v>82</v>
      </c>
      <c r="J536" s="348">
        <f>SUM($J$535:$J$535)</f>
        <v>0</v>
      </c>
      <c r="K536" s="348">
        <f>SUM($K$535:$K$535)</f>
        <v>486</v>
      </c>
      <c r="L536" s="480">
        <f>SUM($L$535:$L$535)</f>
        <v>0</v>
      </c>
    </row>
    <row r="537" spans="1:12">
      <c r="A537" s="333">
        <v>25</v>
      </c>
      <c r="D537" s="344"/>
      <c r="E537" s="196"/>
      <c r="F537" s="510"/>
      <c r="G537" s="510"/>
      <c r="H537" s="510"/>
      <c r="I537" s="510"/>
      <c r="J537" s="510"/>
      <c r="K537" s="510"/>
      <c r="L537" s="670"/>
    </row>
    <row r="538" spans="1:12" ht="15.75">
      <c r="A538" s="333">
        <v>26</v>
      </c>
      <c r="B538" s="332" t="s">
        <v>73</v>
      </c>
      <c r="D538" s="735"/>
      <c r="E538" s="1"/>
      <c r="F538" s="510"/>
      <c r="G538" s="510"/>
      <c r="H538" s="510"/>
      <c r="I538" s="510"/>
      <c r="J538" s="510"/>
      <c r="K538" s="510"/>
      <c r="L538" s="670"/>
    </row>
    <row r="539" spans="1:12">
      <c r="A539" s="333">
        <v>27</v>
      </c>
      <c r="C539" s="332" t="str">
        <f>'FR-16(7)(v)-1 Functional'!C539</f>
        <v>PROV INVEST TAX CREDIT</v>
      </c>
      <c r="D539" s="344" t="s">
        <v>315</v>
      </c>
      <c r="F539" s="479">
        <v>0</v>
      </c>
      <c r="G539" s="349">
        <f>F539-SUM(H539:J539)</f>
        <v>0</v>
      </c>
      <c r="H539" s="512">
        <f>ROUND($F$539*VLOOKUP($D$539,ALLOCTABLE_Prod_Commodity,$H$10,FALSE),0)</f>
        <v>0</v>
      </c>
      <c r="I539" s="512">
        <f>ROUND(F539*VLOOKUP(D539,ALLOCTABLE_Prod_Commodity,$I$10,FALSE),0)</f>
        <v>0</v>
      </c>
      <c r="J539" s="512">
        <f>ROUND(F539*VLOOKUP(D539,ALLOCTABLE_Prod_Commodity,$J$10,FALSE),0)</f>
        <v>0</v>
      </c>
      <c r="K539" s="512">
        <f>SUM($G$539:$J$539)</f>
        <v>0</v>
      </c>
      <c r="L539" s="512">
        <f>F539-$K$539</f>
        <v>0</v>
      </c>
    </row>
    <row r="540" spans="1:12" ht="15.75">
      <c r="A540" s="333">
        <v>28</v>
      </c>
      <c r="C540" s="339" t="str">
        <f>'FR-16(7)(v)-1 Functional'!C540</f>
        <v xml:space="preserve">  TEST YEAR INV TAX CREDIT</v>
      </c>
      <c r="D540" s="735"/>
      <c r="E540" s="1"/>
      <c r="F540" s="348">
        <f>SUM(F539:F539)</f>
        <v>0</v>
      </c>
      <c r="G540" s="480">
        <f>SUM($G$539:$G$539)</f>
        <v>0</v>
      </c>
      <c r="H540" s="480">
        <f>SUM($H$539:$H$539)</f>
        <v>0</v>
      </c>
      <c r="I540" s="480">
        <f>SUM($I$539:$I$539)</f>
        <v>0</v>
      </c>
      <c r="J540" s="480">
        <f>SUM($J$539:$J$539)</f>
        <v>0</v>
      </c>
      <c r="K540" s="480">
        <f>SUM($K$539:$K$539)</f>
        <v>0</v>
      </c>
      <c r="L540" s="480">
        <f>SUM($L$539:$L$539)</f>
        <v>0</v>
      </c>
    </row>
    <row r="541" spans="1:12" ht="15.75">
      <c r="A541" s="333">
        <v>29</v>
      </c>
      <c r="B541" s="193"/>
      <c r="C541" s="193"/>
      <c r="D541" s="735"/>
      <c r="E541" s="1"/>
      <c r="F541" s="510"/>
      <c r="G541" s="510"/>
      <c r="H541" s="510"/>
      <c r="I541" s="510"/>
      <c r="J541" s="510"/>
      <c r="K541" s="510"/>
      <c r="L541" s="510"/>
    </row>
    <row r="542" spans="1:12" ht="15.75">
      <c r="A542" s="333">
        <v>30</v>
      </c>
      <c r="B542" s="332" t="s">
        <v>40</v>
      </c>
      <c r="C542" s="193"/>
      <c r="D542" s="735"/>
      <c r="E542" s="1"/>
      <c r="F542" s="510"/>
      <c r="G542" s="510"/>
      <c r="H542" s="510"/>
      <c r="I542" s="510"/>
      <c r="J542" s="510"/>
      <c r="K542" s="510"/>
      <c r="L542" s="510"/>
    </row>
    <row r="543" spans="1:12">
      <c r="A543" s="333">
        <v>31</v>
      </c>
      <c r="C543" s="332" t="str">
        <f>'FR-16(7)(v)-1 Functional'!C543</f>
        <v>TOTAL FED DEF IT (410 &amp; 411)</v>
      </c>
      <c r="D543" s="344"/>
      <c r="E543" s="196"/>
      <c r="F543" s="349">
        <f>F532</f>
        <v>726188</v>
      </c>
      <c r="G543" s="347">
        <f>$G$532</f>
        <v>366793</v>
      </c>
      <c r="H543" s="347">
        <f>$H$532</f>
        <v>208926</v>
      </c>
      <c r="I543" s="347">
        <f>$I$532</f>
        <v>147916</v>
      </c>
      <c r="J543" s="347">
        <f>$J$532</f>
        <v>2553</v>
      </c>
      <c r="K543" s="347">
        <f>$K$532</f>
        <v>726188</v>
      </c>
      <c r="L543" s="347">
        <f>$L$532</f>
        <v>0</v>
      </c>
    </row>
    <row r="544" spans="1:12">
      <c r="A544" s="333">
        <v>32</v>
      </c>
      <c r="C544" s="359" t="str">
        <f>'FR-16(7)(v)-1 Functional'!C544</f>
        <v>TOTAL AMORTIZED ITC</v>
      </c>
      <c r="D544" s="344"/>
      <c r="E544" s="196"/>
      <c r="F544" s="349">
        <f>-F536</f>
        <v>-486</v>
      </c>
      <c r="G544" s="347">
        <f>-$G$536</f>
        <v>-261</v>
      </c>
      <c r="H544" s="347">
        <f>-$H$536</f>
        <v>-143</v>
      </c>
      <c r="I544" s="347">
        <f>-$I$536</f>
        <v>-82</v>
      </c>
      <c r="J544" s="347">
        <f>-$J$536</f>
        <v>0</v>
      </c>
      <c r="K544" s="347">
        <f>-$K$536</f>
        <v>-486</v>
      </c>
      <c r="L544" s="347">
        <f>-$L$536</f>
        <v>0</v>
      </c>
    </row>
    <row r="545" spans="1:12">
      <c r="A545" s="333">
        <v>33</v>
      </c>
      <c r="C545" s="332" t="str">
        <f>'FR-16(7)(v)-1 Functional'!C545</f>
        <v xml:space="preserve">  TOTAL FEDERAL TAX ADJUSTMENTS</v>
      </c>
      <c r="D545" s="344"/>
      <c r="E545" s="196"/>
      <c r="F545" s="348">
        <f>SUM(F543:F544)</f>
        <v>725702</v>
      </c>
      <c r="G545" s="348">
        <f>SUM($G$543:$G$544)</f>
        <v>366532</v>
      </c>
      <c r="H545" s="348">
        <f>SUM($H$543:$H$544)</f>
        <v>208783</v>
      </c>
      <c r="I545" s="348">
        <f>SUM($I$543:$I$544)</f>
        <v>147834</v>
      </c>
      <c r="J545" s="348">
        <f>SUM($J$543:$J$544)</f>
        <v>2553</v>
      </c>
      <c r="K545" s="348">
        <f>SUM($K$543:$K$544)</f>
        <v>725702</v>
      </c>
      <c r="L545" s="348">
        <f>SUM($L$543:$L$544)</f>
        <v>0</v>
      </c>
    </row>
    <row r="546" spans="1:12">
      <c r="A546" s="333">
        <v>34</v>
      </c>
      <c r="D546" s="344"/>
      <c r="E546" s="196"/>
      <c r="F546" s="353"/>
      <c r="I546" s="332"/>
    </row>
    <row r="547" spans="1:12">
      <c r="A547" s="333">
        <v>35</v>
      </c>
      <c r="B547" s="332" t="s">
        <v>74</v>
      </c>
      <c r="D547" s="344"/>
      <c r="E547" s="196"/>
      <c r="F547" s="353"/>
      <c r="I547" s="332"/>
    </row>
    <row r="548" spans="1:12">
      <c r="A548" s="333">
        <v>36</v>
      </c>
      <c r="C548" s="332" t="str">
        <f>'FR-16(7)(v)-1 Functional'!C548</f>
        <v>RETURN ON RATE BASE</v>
      </c>
      <c r="D548" s="344"/>
      <c r="E548" s="196"/>
      <c r="F548" s="349">
        <f t="shared" ref="F548:L548" si="160">F334</f>
        <v>480732</v>
      </c>
      <c r="G548" s="347">
        <f>G334</f>
        <v>244258</v>
      </c>
      <c r="H548" s="347">
        <f t="shared" si="160"/>
        <v>137305</v>
      </c>
      <c r="I548" s="347">
        <f t="shared" si="160"/>
        <v>90300</v>
      </c>
      <c r="J548" s="347">
        <f t="shared" si="160"/>
        <v>8869</v>
      </c>
      <c r="K548" s="347">
        <f t="shared" si="160"/>
        <v>480732</v>
      </c>
      <c r="L548" s="347">
        <f t="shared" si="160"/>
        <v>0</v>
      </c>
    </row>
    <row r="549" spans="1:12">
      <c r="A549" s="333">
        <v>37</v>
      </c>
      <c r="C549" s="332" t="str">
        <f>'FR-16(7)(v)-1 Functional'!C549</f>
        <v>NET DEDUCTIONS AND ADDITIONS</v>
      </c>
      <c r="D549" s="344"/>
      <c r="E549" s="196"/>
      <c r="F549" s="349">
        <f>-F524</f>
        <v>-343923</v>
      </c>
      <c r="G549" s="347">
        <f>-$G$524</f>
        <v>-182070</v>
      </c>
      <c r="H549" s="347">
        <f>-$H$524</f>
        <v>-100415</v>
      </c>
      <c r="I549" s="347">
        <f>-$I$524</f>
        <v>-58633</v>
      </c>
      <c r="J549" s="347">
        <f>-$J$524</f>
        <v>-2805</v>
      </c>
      <c r="K549" s="347">
        <f>-$K$524</f>
        <v>-343923</v>
      </c>
      <c r="L549" s="347">
        <f>-$L$524</f>
        <v>0</v>
      </c>
    </row>
    <row r="550" spans="1:12">
      <c r="A550" s="333">
        <v>38</v>
      </c>
      <c r="C550" s="332" t="s">
        <v>1496</v>
      </c>
      <c r="D550" s="344"/>
      <c r="E550" s="196"/>
      <c r="F550" s="349">
        <f>F591</f>
        <v>3319</v>
      </c>
      <c r="G550" s="349">
        <f t="shared" ref="G550:L550" ca="1" si="161">G591</f>
        <v>1586</v>
      </c>
      <c r="H550" s="349">
        <f t="shared" si="161"/>
        <v>978</v>
      </c>
      <c r="I550" s="349">
        <f t="shared" ca="1" si="161"/>
        <v>468</v>
      </c>
      <c r="J550" s="349">
        <f t="shared" si="161"/>
        <v>288</v>
      </c>
      <c r="K550" s="349">
        <f t="shared" ca="1" si="161"/>
        <v>3320</v>
      </c>
      <c r="L550" s="349">
        <f t="shared" ca="1" si="161"/>
        <v>-1</v>
      </c>
    </row>
    <row r="551" spans="1:12">
      <c r="A551" s="333">
        <v>39</v>
      </c>
      <c r="C551" s="359" t="str">
        <f>'FR-16(7)(v)-1 Functional'!C551</f>
        <v>TOTAL FEDERAL TAX ADJUSTMENTS</v>
      </c>
      <c r="D551" s="344"/>
      <c r="E551" s="196"/>
      <c r="F551" s="349">
        <f>F545</f>
        <v>725702</v>
      </c>
      <c r="G551" s="347">
        <f>$G$545</f>
        <v>366532</v>
      </c>
      <c r="H551" s="347">
        <f>$H$545</f>
        <v>208783</v>
      </c>
      <c r="I551" s="347">
        <f>$I$545</f>
        <v>147834</v>
      </c>
      <c r="J551" s="347">
        <f>$J$545</f>
        <v>2553</v>
      </c>
      <c r="K551" s="347">
        <f>$K$545</f>
        <v>725702</v>
      </c>
      <c r="L551" s="347">
        <f>$L$545</f>
        <v>0</v>
      </c>
    </row>
    <row r="552" spans="1:12">
      <c r="A552" s="333">
        <v>40</v>
      </c>
      <c r="C552" s="332" t="str">
        <f>'FR-16(7)(v)-1 Functional'!C552</f>
        <v xml:space="preserve">  BASE FOR FIT COMPUATION</v>
      </c>
      <c r="D552" s="344"/>
      <c r="E552" s="196"/>
      <c r="F552" s="348">
        <f>SUM(F548:F551)</f>
        <v>865830</v>
      </c>
      <c r="G552" s="348">
        <f ca="1">SUM($G$548:$G$551)</f>
        <v>430306</v>
      </c>
      <c r="H552" s="348">
        <f>SUM($H$548:$H$551)</f>
        <v>246651</v>
      </c>
      <c r="I552" s="348">
        <f ca="1">SUM($I$548:$I$551)</f>
        <v>179969</v>
      </c>
      <c r="J552" s="348">
        <f>SUM($J$548:$J$551)</f>
        <v>8905</v>
      </c>
      <c r="K552" s="348">
        <f ca="1">SUM($K$548:$K$551)</f>
        <v>865831</v>
      </c>
      <c r="L552" s="348">
        <f ca="1">SUM($L$548:$L$551)</f>
        <v>-1</v>
      </c>
    </row>
    <row r="553" spans="1:12">
      <c r="A553" s="333">
        <v>41</v>
      </c>
      <c r="D553" s="344"/>
      <c r="E553" s="196"/>
      <c r="F553" s="353"/>
      <c r="I553" s="332"/>
    </row>
    <row r="554" spans="1:12">
      <c r="A554" s="333">
        <v>42</v>
      </c>
      <c r="C554" s="332" t="str">
        <f>'FR-16(7)(v)-1 Functional'!C554</f>
        <v>FIT FACTOR K190/(1-K190)</v>
      </c>
      <c r="D554" s="344"/>
      <c r="E554" s="196"/>
      <c r="F554" s="356">
        <f>ROUND(F692/(1-F692),9)</f>
        <v>0.26582278500000001</v>
      </c>
      <c r="G554" s="350">
        <f>ROUND(G692/(1-G692),9)</f>
        <v>0.26582278500000001</v>
      </c>
      <c r="H554" s="350">
        <f>ROUND(H692/(1-H692),9)</f>
        <v>0.26582278500000001</v>
      </c>
      <c r="I554" s="350">
        <f>ROUND(I692/(1-I692),9)</f>
        <v>0.26582278500000001</v>
      </c>
      <c r="J554" s="350">
        <f>ROUND(J692/(1-J692),9)</f>
        <v>0.26582278500000001</v>
      </c>
      <c r="K554" s="350"/>
      <c r="L554" s="350">
        <f>ROUND(K692/(1-K692),9)</f>
        <v>0.26582278500000001</v>
      </c>
    </row>
    <row r="555" spans="1:12">
      <c r="A555" s="333">
        <v>43</v>
      </c>
      <c r="C555" s="332" t="str">
        <f>'FR-16(7)(v)-1 Functional'!C555</f>
        <v>PRELIM FED INCOME TAX</v>
      </c>
      <c r="D555" s="344"/>
      <c r="E555" s="196"/>
      <c r="F555" s="349">
        <f>ROUND(F554*F552,0)</f>
        <v>230157</v>
      </c>
      <c r="G555" s="349">
        <f ca="1">F555-SUM(H555:J555)</f>
        <v>114385</v>
      </c>
      <c r="H555" s="347">
        <f>ROUND($H$552*$H$554,0)</f>
        <v>65565</v>
      </c>
      <c r="I555" s="347">
        <f ca="1">ROUND($I$552*$I$554,0)</f>
        <v>47840</v>
      </c>
      <c r="J555" s="347">
        <f>ROUND($J$552*$J$554,0)</f>
        <v>2367</v>
      </c>
      <c r="K555" s="347">
        <f ca="1">SUM($G$555:$J$555)</f>
        <v>230157</v>
      </c>
      <c r="L555" s="347">
        <f ca="1">F555-K555</f>
        <v>0</v>
      </c>
    </row>
    <row r="556" spans="1:12">
      <c r="A556" s="333">
        <v>44</v>
      </c>
      <c r="C556" s="359" t="str">
        <f>'FR-16(7)(v)-1 Functional'!C556</f>
        <v>TOTAL FEDERAL TAX ADJUSTMENTS</v>
      </c>
      <c r="D556" s="344"/>
      <c r="E556" s="196"/>
      <c r="F556" s="349">
        <f>F545</f>
        <v>725702</v>
      </c>
      <c r="G556" s="347">
        <f>$G$545</f>
        <v>366532</v>
      </c>
      <c r="H556" s="347">
        <f>$H$545</f>
        <v>208783</v>
      </c>
      <c r="I556" s="347">
        <f>$I$545</f>
        <v>147834</v>
      </c>
      <c r="J556" s="347">
        <f>$J$545</f>
        <v>2553</v>
      </c>
      <c r="K556" s="347">
        <f>$K$545</f>
        <v>725702</v>
      </c>
      <c r="L556" s="347">
        <f>F556-K556</f>
        <v>0</v>
      </c>
    </row>
    <row r="557" spans="1:12">
      <c r="A557" s="333">
        <v>45</v>
      </c>
      <c r="C557" s="353" t="str">
        <f>'FR-16(7)(v)-1 Functional'!C557</f>
        <v xml:space="preserve">  NET FED INCOME TAX ALLOWABLE</v>
      </c>
      <c r="D557" s="344"/>
      <c r="E557" s="196"/>
      <c r="F557" s="348">
        <f>SUM(F555:F556)</f>
        <v>955859</v>
      </c>
      <c r="G557" s="348">
        <f ca="1">SUM($G$555:$G$556)</f>
        <v>480917</v>
      </c>
      <c r="H557" s="348">
        <f>SUM($H$555:$H$556)</f>
        <v>274348</v>
      </c>
      <c r="I557" s="348">
        <f ca="1">SUM($I$555:$I$556)</f>
        <v>195674</v>
      </c>
      <c r="J557" s="348">
        <f>SUM($J$555:$J$556)</f>
        <v>4920</v>
      </c>
      <c r="K557" s="348">
        <f ca="1">SUM($K$555:$K$556)</f>
        <v>955859</v>
      </c>
      <c r="L557" s="348">
        <f ca="1">SUM($L$555:$L$556)</f>
        <v>0</v>
      </c>
    </row>
    <row r="558" spans="1:12">
      <c r="A558" s="333">
        <v>46</v>
      </c>
      <c r="D558" s="344"/>
      <c r="E558" s="196"/>
      <c r="F558" s="353"/>
      <c r="I558" s="332"/>
    </row>
    <row r="559" spans="1:12">
      <c r="A559" s="333">
        <v>47</v>
      </c>
      <c r="B559" s="332" t="s">
        <v>68</v>
      </c>
      <c r="D559" s="344"/>
      <c r="E559" s="196"/>
      <c r="F559" s="353"/>
      <c r="I559" s="332"/>
    </row>
    <row r="560" spans="1:12">
      <c r="A560" s="333">
        <v>48</v>
      </c>
      <c r="B560" s="332" t="s">
        <v>75</v>
      </c>
      <c r="D560" s="344"/>
      <c r="E560" s="196"/>
      <c r="F560" s="353"/>
      <c r="I560" s="332"/>
    </row>
    <row r="561" spans="1:12">
      <c r="A561" s="333">
        <v>49</v>
      </c>
      <c r="C561" s="332" t="str">
        <f>'FR-16(7)(v)-1 Functional'!C561</f>
        <v>PRELIM FEDERAL INCOME TAX</v>
      </c>
      <c r="D561" s="344"/>
      <c r="E561" s="196"/>
      <c r="F561" s="349">
        <f>F555</f>
        <v>230157</v>
      </c>
      <c r="G561" s="347">
        <f ca="1">$G$555</f>
        <v>114385</v>
      </c>
      <c r="H561" s="347">
        <f>$H$555</f>
        <v>65565</v>
      </c>
      <c r="I561" s="347">
        <f ca="1">$I$555</f>
        <v>47840</v>
      </c>
      <c r="J561" s="347">
        <f>$J$555</f>
        <v>2367</v>
      </c>
      <c r="K561" s="347">
        <f ca="1">$K$555</f>
        <v>230157</v>
      </c>
      <c r="L561" s="347">
        <f ca="1">$L$555</f>
        <v>0</v>
      </c>
    </row>
    <row r="562" spans="1:12">
      <c r="A562" s="333">
        <v>50</v>
      </c>
      <c r="C562" s="359" t="str">
        <f>'FR-16(7)(v)-1 Functional'!C562</f>
        <v>TEST YEAR INV TAX CREDIT</v>
      </c>
      <c r="D562" s="344"/>
      <c r="E562" s="196"/>
      <c r="F562" s="347">
        <f>-F540</f>
        <v>0</v>
      </c>
      <c r="G562" s="626">
        <f>-$G$540</f>
        <v>0</v>
      </c>
      <c r="H562" s="626">
        <f>-$H$540</f>
        <v>0</v>
      </c>
      <c r="I562" s="347">
        <f>-$I$540</f>
        <v>0</v>
      </c>
      <c r="J562" s="347">
        <f>-$J$540</f>
        <v>0</v>
      </c>
      <c r="K562" s="347">
        <f>-$K$540</f>
        <v>0</v>
      </c>
      <c r="L562" s="347">
        <f>-$L$540</f>
        <v>0</v>
      </c>
    </row>
    <row r="563" spans="1:12">
      <c r="A563" s="333">
        <v>51</v>
      </c>
      <c r="C563" s="332" t="str">
        <f>'FR-16(7)(v)-1 Functional'!C563</f>
        <v xml:space="preserve">  NET FED INCOME TAX PAYABLE</v>
      </c>
      <c r="D563" s="344"/>
      <c r="E563" s="196"/>
      <c r="F563" s="348">
        <f>SUM(F560:F562)</f>
        <v>230157</v>
      </c>
      <c r="G563" s="348">
        <f ca="1">SUM($G$560:$G$562)</f>
        <v>114385</v>
      </c>
      <c r="H563" s="348">
        <f>SUM($H$560:$H$562)</f>
        <v>65565</v>
      </c>
      <c r="I563" s="348">
        <f ca="1">SUM($I$560:$I$562)</f>
        <v>47840</v>
      </c>
      <c r="J563" s="348">
        <f>SUM($J$560:$J$562)</f>
        <v>2367</v>
      </c>
      <c r="K563" s="348">
        <f ca="1">SUM($K$560:$K$562)</f>
        <v>230157</v>
      </c>
      <c r="L563" s="348">
        <f ca="1">SUM($L$560:$L$562)</f>
        <v>0</v>
      </c>
    </row>
    <row r="564" spans="1:12">
      <c r="A564" s="333">
        <v>52</v>
      </c>
      <c r="D564" s="344"/>
      <c r="E564" s="196"/>
      <c r="I564" s="332"/>
    </row>
    <row r="565" spans="1:12">
      <c r="A565" s="333">
        <v>53</v>
      </c>
      <c r="B565" s="332" t="s">
        <v>76</v>
      </c>
      <c r="D565" s="344"/>
      <c r="E565" s="196"/>
      <c r="F565" s="332">
        <f>ROUND((F693*(1-F692))+((1-F693)*(1-F692)*F694)+F692,5)</f>
        <v>0.24925</v>
      </c>
      <c r="G565" s="332">
        <f>ROUND((G693*(1-G692))+((1-G693)*(1-G692)*G694)+G692,5)</f>
        <v>0.24925</v>
      </c>
      <c r="H565" s="332">
        <f>ROUND((H693*(1-H692))+((1-H693)*(1-H692)*H694)+H692,5)</f>
        <v>0.24925</v>
      </c>
      <c r="I565" s="332">
        <f>ROUND((I693*(1-I692))+((1-I693)*(1-I692)*I694)+I692,7)</f>
        <v>0.24925120000000001</v>
      </c>
      <c r="J565" s="332">
        <f>ROUND((J693*(1-J692))+((1-J693)*(1-J692)*J694)+J692,5)</f>
        <v>0.24925</v>
      </c>
      <c r="L565" s="332">
        <f>ROUND((K693*(1-K692))+((1-K693)*(1-K692)*K694)+K692,5)</f>
        <v>0.24925</v>
      </c>
    </row>
    <row r="566" spans="1:12">
      <c r="B566" s="343"/>
      <c r="C566" s="196"/>
      <c r="D566" s="344"/>
      <c r="E566" s="196"/>
      <c r="G566" s="196"/>
      <c r="H566" s="196"/>
      <c r="I566" s="196"/>
      <c r="J566" s="344"/>
      <c r="K566" s="196"/>
      <c r="L566" s="196"/>
    </row>
    <row r="567" spans="1:12">
      <c r="A567" s="343" t="str">
        <f>co_name</f>
        <v>DUKE ENERGY KENTUCKY, INC.</v>
      </c>
      <c r="C567" s="196"/>
      <c r="D567" s="344"/>
      <c r="E567" s="196"/>
      <c r="F567" s="344"/>
      <c r="G567" s="342"/>
      <c r="H567" s="342"/>
      <c r="I567" s="196"/>
      <c r="K567" s="361" t="str">
        <f>$K$1</f>
        <v>FR-16(7)(v)-3</v>
      </c>
      <c r="L567" s="196"/>
    </row>
    <row r="568" spans="1:12">
      <c r="A568" s="343" t="str">
        <f>$A$2</f>
        <v>PRODUCTION COMMODITY ALLOCATED - GAS COST OF SERVICE</v>
      </c>
      <c r="C568" s="196"/>
      <c r="D568" s="344"/>
      <c r="E568" s="196"/>
      <c r="F568" s="344"/>
      <c r="G568" s="342"/>
      <c r="H568" s="342"/>
      <c r="I568" s="196"/>
      <c r="K568" s="361" t="str">
        <f>$K$2</f>
        <v>WITNESS RESPONSIBLE:</v>
      </c>
      <c r="L568" s="196"/>
    </row>
    <row r="569" spans="1:12">
      <c r="A569" s="343" t="str">
        <f>case_name</f>
        <v>CASE NO: 2018-00261</v>
      </c>
      <c r="C569" s="196"/>
      <c r="D569" s="344"/>
      <c r="E569" s="196"/>
      <c r="F569" s="344"/>
      <c r="G569" s="342"/>
      <c r="H569" s="342"/>
      <c r="I569" s="196"/>
      <c r="K569" s="361" t="str">
        <f>Witness</f>
        <v>JAMES E. ZIOLKOWSKI</v>
      </c>
      <c r="L569" s="196"/>
    </row>
    <row r="570" spans="1:12">
      <c r="A570" s="343" t="str">
        <f>data_filing</f>
        <v>DATA: 12 MONTH FORECASTED PERIOD</v>
      </c>
      <c r="C570" s="196"/>
      <c r="D570" s="344"/>
      <c r="E570" s="196"/>
      <c r="F570" s="344"/>
      <c r="G570" s="342"/>
      <c r="H570" s="342"/>
      <c r="I570" s="196"/>
      <c r="K570" s="361" t="str">
        <f>"PAGE "&amp;Pages-5&amp;" OF "&amp;Pages</f>
        <v>PAGE 13 OF 18</v>
      </c>
      <c r="L570" s="196"/>
    </row>
    <row r="571" spans="1:12">
      <c r="A571" s="343" t="str">
        <f>type</f>
        <v xml:space="preserve">TYPE OF FILING: "X" ORIGINAL   UPDATED    REVISED  </v>
      </c>
      <c r="C571" s="196"/>
      <c r="D571" s="344"/>
      <c r="E571" s="196"/>
      <c r="F571" s="344"/>
      <c r="G571" s="342"/>
      <c r="H571" s="342"/>
      <c r="I571" s="196"/>
      <c r="J571" s="344"/>
      <c r="K571" s="196"/>
      <c r="L571" s="196"/>
    </row>
    <row r="573" spans="1:12">
      <c r="F573" s="344" t="str">
        <f>$F$7</f>
        <v>TOTAL</v>
      </c>
      <c r="G573" s="196"/>
      <c r="H573" s="196"/>
      <c r="I573" s="196"/>
      <c r="J573" s="344"/>
      <c r="K573" s="196"/>
      <c r="L573" s="196"/>
    </row>
    <row r="574" spans="1:12">
      <c r="A574" s="344" t="s">
        <v>914</v>
      </c>
      <c r="B574" s="1392"/>
      <c r="C574" s="1091"/>
      <c r="D574" s="1091"/>
      <c r="E574" s="342"/>
      <c r="F574" s="344" t="str">
        <f>$F$8</f>
        <v>PRODUCTION</v>
      </c>
      <c r="G574" s="344" t="s">
        <v>418</v>
      </c>
      <c r="H574" s="344" t="s">
        <v>864</v>
      </c>
      <c r="I574" s="344" t="s">
        <v>865</v>
      </c>
      <c r="J574" s="344" t="s">
        <v>549</v>
      </c>
      <c r="K574" s="344" t="s">
        <v>229</v>
      </c>
      <c r="L574" s="344" t="s">
        <v>342</v>
      </c>
    </row>
    <row r="575" spans="1:12">
      <c r="A575" s="346" t="s">
        <v>915</v>
      </c>
      <c r="B575" s="1394" t="s">
        <v>1453</v>
      </c>
      <c r="C575" s="1395"/>
      <c r="D575" s="1396" t="s">
        <v>1454</v>
      </c>
      <c r="E575" s="1397"/>
      <c r="F575" s="344" t="str">
        <f>$F$9</f>
        <v>COMMODITY</v>
      </c>
      <c r="G575" s="346" t="s">
        <v>338</v>
      </c>
      <c r="H575" s="346" t="s">
        <v>405</v>
      </c>
      <c r="I575" s="346" t="s">
        <v>405</v>
      </c>
      <c r="J575" s="346" t="s">
        <v>550</v>
      </c>
      <c r="K575" s="346" t="s">
        <v>341</v>
      </c>
      <c r="L575" s="346" t="s">
        <v>340</v>
      </c>
    </row>
    <row r="576" spans="1:12" ht="15">
      <c r="A576" s="1398"/>
      <c r="B576" s="1399"/>
      <c r="C576" s="1400" t="s">
        <v>1455</v>
      </c>
      <c r="D576" s="1401"/>
      <c r="E576" s="342"/>
      <c r="F576" s="761"/>
      <c r="G576" s="633">
        <f>$G$10</f>
        <v>3</v>
      </c>
      <c r="H576" s="633">
        <f>$H$10</f>
        <v>4</v>
      </c>
      <c r="I576" s="633">
        <f>$I$10</f>
        <v>5</v>
      </c>
      <c r="J576" s="633">
        <f>$J$10</f>
        <v>6</v>
      </c>
    </row>
    <row r="577" spans="1:12">
      <c r="A577" s="968">
        <v>1</v>
      </c>
      <c r="B577" s="1405" t="s">
        <v>1456</v>
      </c>
      <c r="C577" s="1392"/>
      <c r="D577" s="1392"/>
      <c r="E577" s="342"/>
    </row>
    <row r="578" spans="1:12">
      <c r="A578" s="968">
        <v>2</v>
      </c>
      <c r="B578" s="1409" t="s">
        <v>1457</v>
      </c>
      <c r="C578" s="1392"/>
      <c r="D578" s="1410" t="s">
        <v>315</v>
      </c>
      <c r="E578" s="342"/>
      <c r="F578" s="479">
        <f>'FR-16(7)(v)-2 PROD Classified'!H578</f>
        <v>41813</v>
      </c>
      <c r="G578" s="349">
        <f ca="1">F578-SUM(H578:J578)</f>
        <v>19966</v>
      </c>
      <c r="H578" s="347">
        <f>ROUND(F578*VLOOKUP($D578,ALLOCTABLE_Prod_Commodity,$H$10,FALSE),0)</f>
        <v>12327</v>
      </c>
      <c r="I578" s="347">
        <f ca="1">ROUND(G578*VLOOKUP($D578,ALLOCTABLE_Prod_Commodity,$H$10,FALSE),0)</f>
        <v>5886</v>
      </c>
      <c r="J578" s="347">
        <f>ROUND(H578*VLOOKUP($D578,ALLOCTABLE_Prod_Commodity,$H$10,FALSE),0)</f>
        <v>3634</v>
      </c>
      <c r="K578" s="347">
        <f ca="1">SUM($G578:$J578)</f>
        <v>41813</v>
      </c>
      <c r="L578" s="347">
        <f ca="1">F578-$K578</f>
        <v>0</v>
      </c>
    </row>
    <row r="579" spans="1:12">
      <c r="A579" s="968">
        <v>3</v>
      </c>
      <c r="B579" s="1409" t="s">
        <v>1171</v>
      </c>
      <c r="C579" s="1411"/>
      <c r="D579" s="1410" t="s">
        <v>315</v>
      </c>
      <c r="E579" s="342"/>
      <c r="F579" s="1491"/>
      <c r="G579" s="1491"/>
      <c r="H579" s="1491"/>
      <c r="I579" s="1492"/>
      <c r="J579" s="1491"/>
      <c r="K579" s="1491"/>
      <c r="L579" s="1491"/>
    </row>
    <row r="580" spans="1:12">
      <c r="A580" s="968">
        <v>4</v>
      </c>
      <c r="B580" s="1413" t="s">
        <v>1458</v>
      </c>
      <c r="C580" s="1392"/>
      <c r="D580" s="1414"/>
      <c r="E580" s="342"/>
      <c r="F580" s="335">
        <f>SUM(F578:F579)</f>
        <v>41813</v>
      </c>
      <c r="G580" s="335">
        <f t="shared" ref="G580:L580" ca="1" si="162">SUM(G578:G579)</f>
        <v>19966</v>
      </c>
      <c r="H580" s="335">
        <f t="shared" si="162"/>
        <v>12327</v>
      </c>
      <c r="I580" s="335">
        <f t="shared" ca="1" si="162"/>
        <v>5886</v>
      </c>
      <c r="J580" s="335">
        <f t="shared" si="162"/>
        <v>3634</v>
      </c>
      <c r="K580" s="335">
        <f t="shared" ca="1" si="162"/>
        <v>41813</v>
      </c>
      <c r="L580" s="335">
        <f t="shared" ca="1" si="162"/>
        <v>0</v>
      </c>
    </row>
    <row r="581" spans="1:12" ht="15">
      <c r="A581" s="968">
        <v>5</v>
      </c>
      <c r="B581" s="1398"/>
      <c r="C581" s="1401"/>
      <c r="D581" s="1415"/>
      <c r="E581" s="342"/>
    </row>
    <row r="582" spans="1:12">
      <c r="A582" s="968">
        <v>6</v>
      </c>
      <c r="B582" s="1416" t="s">
        <v>1459</v>
      </c>
      <c r="C582" s="1392"/>
      <c r="D582" s="1414"/>
      <c r="E582" s="342"/>
    </row>
    <row r="583" spans="1:12">
      <c r="A583" s="968">
        <v>7</v>
      </c>
      <c r="B583" s="1417" t="s">
        <v>1460</v>
      </c>
      <c r="C583" s="1392"/>
      <c r="D583" s="1414"/>
      <c r="E583" s="342"/>
    </row>
    <row r="584" spans="1:12">
      <c r="A584" s="968">
        <v>8</v>
      </c>
      <c r="B584" s="1418" t="s">
        <v>1461</v>
      </c>
      <c r="C584" s="1411"/>
      <c r="D584" s="1410" t="s">
        <v>315</v>
      </c>
      <c r="E584" s="342"/>
      <c r="F584" s="1493">
        <f>'FR-16(7)(v)-2 PROD Classified'!H584</f>
        <v>3319</v>
      </c>
      <c r="G584" s="1494">
        <f ca="1">F584-SUM(H584:J584)</f>
        <v>1585</v>
      </c>
      <c r="H584" s="1494">
        <f>ROUND(F584*VLOOKUP($D584,ALLOCTABLE_Prod_Commodity,$H$10,FALSE),0)</f>
        <v>978</v>
      </c>
      <c r="I584" s="1494">
        <f ca="1">ROUND(G584*VLOOKUP($D584,ALLOCTABLE_Prod_Commodity,$H$10,FALSE),0)</f>
        <v>467</v>
      </c>
      <c r="J584" s="1494">
        <f>ROUND(H584*VLOOKUP($D584,ALLOCTABLE_Prod_Commodity,$H$10,FALSE),0)</f>
        <v>288</v>
      </c>
      <c r="K584" s="1494">
        <f ca="1">SUM($G584:$J584)</f>
        <v>3318</v>
      </c>
      <c r="L584" s="1494">
        <f ca="1">F584-$K584</f>
        <v>1</v>
      </c>
    </row>
    <row r="585" spans="1:12">
      <c r="A585" s="968">
        <v>9</v>
      </c>
      <c r="B585" s="1413" t="s">
        <v>1463</v>
      </c>
      <c r="C585" s="1392"/>
      <c r="D585" s="1414"/>
      <c r="E585" s="342"/>
      <c r="F585" s="335">
        <f>SUM(F584)</f>
        <v>3319</v>
      </c>
      <c r="G585" s="335">
        <f t="shared" ref="G585:L585" ca="1" si="163">SUM(G584)</f>
        <v>1585</v>
      </c>
      <c r="H585" s="335">
        <f t="shared" si="163"/>
        <v>978</v>
      </c>
      <c r="I585" s="335">
        <f t="shared" ca="1" si="163"/>
        <v>467</v>
      </c>
      <c r="J585" s="335">
        <f t="shared" si="163"/>
        <v>288</v>
      </c>
      <c r="K585" s="335">
        <f t="shared" ca="1" si="163"/>
        <v>3318</v>
      </c>
      <c r="L585" s="335">
        <f t="shared" ca="1" si="163"/>
        <v>1</v>
      </c>
    </row>
    <row r="586" spans="1:12">
      <c r="A586" s="968">
        <v>10</v>
      </c>
      <c r="B586" s="1090"/>
      <c r="C586" s="1392"/>
      <c r="D586" s="1414"/>
      <c r="E586" s="342"/>
    </row>
    <row r="587" spans="1:12">
      <c r="A587" s="968">
        <v>11</v>
      </c>
      <c r="B587" s="1419" t="s">
        <v>1464</v>
      </c>
      <c r="C587" s="1420"/>
      <c r="D587" s="1421"/>
      <c r="E587" s="342"/>
    </row>
    <row r="588" spans="1:12">
      <c r="A588" s="968">
        <v>12</v>
      </c>
      <c r="B588" s="1409" t="s">
        <v>1465</v>
      </c>
      <c r="C588" s="1411"/>
      <c r="D588" s="1410" t="s">
        <v>315</v>
      </c>
      <c r="E588" s="342"/>
      <c r="F588" s="1493">
        <f>'FR-16(7)(v)-2 PROD Classified'!H588</f>
        <v>0</v>
      </c>
      <c r="G588" s="1494">
        <f ca="1">F588-SUM(H588:J588)</f>
        <v>0</v>
      </c>
      <c r="H588" s="1494">
        <f>ROUND(F588*VLOOKUP($D588,ALLOCTABLE_Prod_Commodity,$H$10,FALSE),0)</f>
        <v>0</v>
      </c>
      <c r="I588" s="1494">
        <f ca="1">ROUND(G588*VLOOKUP($D588,ALLOCTABLE_Prod_Commodity,$H$10,FALSE),0)</f>
        <v>0</v>
      </c>
      <c r="J588" s="1494">
        <f>ROUND(H588*VLOOKUP($D588,ALLOCTABLE_Prod_Commodity,$H$10,FALSE),0)</f>
        <v>0</v>
      </c>
      <c r="K588" s="1494">
        <f ca="1">SUM($G588:$J588)</f>
        <v>0</v>
      </c>
      <c r="L588" s="1494">
        <f ca="1">F588-$K588</f>
        <v>0</v>
      </c>
    </row>
    <row r="589" spans="1:12">
      <c r="A589" s="968">
        <v>13</v>
      </c>
      <c r="B589" s="1413" t="s">
        <v>1466</v>
      </c>
      <c r="C589" s="1392"/>
      <c r="D589" s="1414"/>
      <c r="E589" s="342"/>
      <c r="F589" s="335">
        <f>SUM(F588)</f>
        <v>0</v>
      </c>
      <c r="G589" s="335">
        <f t="shared" ref="G589" ca="1" si="164">SUM(G588)</f>
        <v>0</v>
      </c>
      <c r="H589" s="335">
        <f t="shared" ref="H589" si="165">SUM(H588)</f>
        <v>0</v>
      </c>
      <c r="I589" s="335">
        <f t="shared" ref="I589" ca="1" si="166">SUM(I588)</f>
        <v>0</v>
      </c>
      <c r="J589" s="335">
        <f t="shared" ref="J589" si="167">SUM(J588)</f>
        <v>0</v>
      </c>
      <c r="K589" s="335">
        <f t="shared" ref="K589" ca="1" si="168">SUM(K588)</f>
        <v>0</v>
      </c>
      <c r="L589" s="335">
        <f t="shared" ref="L589" ca="1" si="169">SUM(L588)</f>
        <v>0</v>
      </c>
    </row>
    <row r="590" spans="1:12">
      <c r="A590" s="968">
        <v>14</v>
      </c>
      <c r="B590" s="1392"/>
      <c r="C590" s="1392"/>
      <c r="D590" s="1414"/>
      <c r="E590" s="342"/>
    </row>
    <row r="591" spans="1:12">
      <c r="A591" s="968">
        <v>15</v>
      </c>
      <c r="B591" s="1392" t="s">
        <v>1467</v>
      </c>
      <c r="C591" s="1392"/>
      <c r="D591" s="1414"/>
      <c r="E591" s="342"/>
      <c r="F591" s="1291">
        <f>F589+F585</f>
        <v>3319</v>
      </c>
      <c r="G591" s="1291">
        <f t="shared" ref="G591:L591" ca="1" si="170">G589+G585</f>
        <v>1585</v>
      </c>
      <c r="H591" s="1291">
        <f t="shared" si="170"/>
        <v>978</v>
      </c>
      <c r="I591" s="1291">
        <f t="shared" ca="1" si="170"/>
        <v>467</v>
      </c>
      <c r="J591" s="1291">
        <f t="shared" si="170"/>
        <v>288</v>
      </c>
      <c r="K591" s="1291">
        <f t="shared" ca="1" si="170"/>
        <v>3318</v>
      </c>
      <c r="L591" s="1291">
        <f t="shared" ca="1" si="170"/>
        <v>1</v>
      </c>
    </row>
    <row r="592" spans="1:12">
      <c r="A592" s="968">
        <v>16</v>
      </c>
      <c r="B592" s="1392"/>
      <c r="C592" s="1392"/>
      <c r="D592" s="1414"/>
      <c r="E592" s="342"/>
    </row>
    <row r="593" spans="1:12">
      <c r="A593" s="968">
        <v>17</v>
      </c>
      <c r="B593" s="1422" t="s">
        <v>68</v>
      </c>
      <c r="C593" s="1423"/>
      <c r="D593" s="968"/>
      <c r="E593" s="342"/>
    </row>
    <row r="594" spans="1:12">
      <c r="A594" s="968">
        <v>18</v>
      </c>
      <c r="B594" s="1417" t="s">
        <v>1468</v>
      </c>
      <c r="C594" s="1392"/>
      <c r="D594" s="1414"/>
      <c r="E594" s="342"/>
    </row>
    <row r="595" spans="1:12">
      <c r="A595" s="968">
        <v>19</v>
      </c>
      <c r="B595" s="1392" t="s">
        <v>43</v>
      </c>
      <c r="C595" s="1392"/>
      <c r="D595" s="1414"/>
      <c r="E595" s="342"/>
      <c r="F595" s="479">
        <f>F334</f>
        <v>480732</v>
      </c>
      <c r="G595" s="479">
        <f t="shared" ref="G595:L595" si="171">G334</f>
        <v>244258</v>
      </c>
      <c r="H595" s="479">
        <f t="shared" si="171"/>
        <v>137305</v>
      </c>
      <c r="I595" s="479">
        <f t="shared" si="171"/>
        <v>90300</v>
      </c>
      <c r="J595" s="479">
        <f t="shared" si="171"/>
        <v>8869</v>
      </c>
      <c r="K595" s="479">
        <f t="shared" si="171"/>
        <v>480732</v>
      </c>
      <c r="L595" s="479">
        <f t="shared" si="171"/>
        <v>0</v>
      </c>
    </row>
    <row r="596" spans="1:12">
      <c r="A596" s="968">
        <v>20</v>
      </c>
      <c r="B596" s="1392" t="s">
        <v>199</v>
      </c>
      <c r="C596" s="1392"/>
      <c r="D596" s="1414"/>
      <c r="E596" s="342"/>
      <c r="F596" s="479">
        <f>F557</f>
        <v>955859</v>
      </c>
      <c r="G596" s="479">
        <f t="shared" ref="G596:L596" ca="1" si="172">G557</f>
        <v>480917</v>
      </c>
      <c r="H596" s="479">
        <f t="shared" si="172"/>
        <v>274348</v>
      </c>
      <c r="I596" s="479">
        <f t="shared" ca="1" si="172"/>
        <v>195674</v>
      </c>
      <c r="J596" s="479">
        <f t="shared" si="172"/>
        <v>4920</v>
      </c>
      <c r="K596" s="479">
        <f t="shared" ca="1" si="172"/>
        <v>955859</v>
      </c>
      <c r="L596" s="479">
        <f t="shared" ca="1" si="172"/>
        <v>0</v>
      </c>
    </row>
    <row r="597" spans="1:12">
      <c r="A597" s="968">
        <v>21</v>
      </c>
      <c r="B597" s="1392" t="s">
        <v>1469</v>
      </c>
      <c r="C597" s="1392"/>
      <c r="D597" s="1414"/>
      <c r="E597" s="342"/>
      <c r="F597" s="479">
        <f>-F524</f>
        <v>-343923</v>
      </c>
      <c r="G597" s="479">
        <f t="shared" ref="G597:L597" si="173">-G524</f>
        <v>-182070</v>
      </c>
      <c r="H597" s="479">
        <f t="shared" si="173"/>
        <v>-100415</v>
      </c>
      <c r="I597" s="479">
        <f t="shared" si="173"/>
        <v>-58633</v>
      </c>
      <c r="J597" s="479">
        <f t="shared" si="173"/>
        <v>-2805</v>
      </c>
      <c r="K597" s="479">
        <f t="shared" si="173"/>
        <v>-343923</v>
      </c>
      <c r="L597" s="479">
        <f t="shared" si="173"/>
        <v>0</v>
      </c>
    </row>
    <row r="598" spans="1:12">
      <c r="A598" s="968">
        <v>22</v>
      </c>
      <c r="B598" s="1392" t="s">
        <v>1470</v>
      </c>
      <c r="C598" s="1392"/>
      <c r="D598" s="1414"/>
      <c r="E598" s="342"/>
      <c r="F598" s="479">
        <f>-F580</f>
        <v>-41813</v>
      </c>
      <c r="G598" s="479">
        <f t="shared" ref="G598:L598" ca="1" si="174">-G580</f>
        <v>-19966</v>
      </c>
      <c r="H598" s="479">
        <f t="shared" si="174"/>
        <v>-12327</v>
      </c>
      <c r="I598" s="479">
        <f t="shared" ca="1" si="174"/>
        <v>-5886</v>
      </c>
      <c r="J598" s="479">
        <f t="shared" si="174"/>
        <v>-3634</v>
      </c>
      <c r="K598" s="479">
        <f t="shared" ca="1" si="174"/>
        <v>-41813</v>
      </c>
      <c r="L598" s="479">
        <f t="shared" ca="1" si="174"/>
        <v>0</v>
      </c>
    </row>
    <row r="599" spans="1:12">
      <c r="A599" s="968">
        <v>23</v>
      </c>
      <c r="B599" s="1411" t="s">
        <v>1471</v>
      </c>
      <c r="C599" s="1411"/>
      <c r="D599" s="1414"/>
      <c r="E599" s="342"/>
      <c r="F599" s="1495">
        <f>F591</f>
        <v>3319</v>
      </c>
      <c r="G599" s="1495">
        <f t="shared" ref="G599:L599" ca="1" si="175">G591</f>
        <v>1585</v>
      </c>
      <c r="H599" s="1495">
        <f t="shared" si="175"/>
        <v>978</v>
      </c>
      <c r="I599" s="1495">
        <f t="shared" ca="1" si="175"/>
        <v>467</v>
      </c>
      <c r="J599" s="1495">
        <f t="shared" si="175"/>
        <v>288</v>
      </c>
      <c r="K599" s="1495">
        <f t="shared" ca="1" si="175"/>
        <v>3318</v>
      </c>
      <c r="L599" s="1495">
        <f t="shared" ca="1" si="175"/>
        <v>1</v>
      </c>
    </row>
    <row r="600" spans="1:12">
      <c r="A600" s="968">
        <v>24</v>
      </c>
      <c r="B600" s="1090" t="s">
        <v>1472</v>
      </c>
      <c r="C600" s="1392"/>
      <c r="D600" s="1414"/>
      <c r="E600" s="342"/>
      <c r="F600" s="1291">
        <f t="shared" ref="F600:L600" si="176">SUM(F595:F599)</f>
        <v>1054174</v>
      </c>
      <c r="G600" s="1291">
        <f t="shared" ca="1" si="176"/>
        <v>524724</v>
      </c>
      <c r="H600" s="1291">
        <f t="shared" si="176"/>
        <v>299889</v>
      </c>
      <c r="I600" s="1291">
        <f t="shared" ca="1" si="176"/>
        <v>221922</v>
      </c>
      <c r="J600" s="1291">
        <f t="shared" si="176"/>
        <v>7638</v>
      </c>
      <c r="K600" s="1291">
        <f t="shared" ca="1" si="176"/>
        <v>1054173</v>
      </c>
      <c r="L600" s="1291">
        <f t="shared" ca="1" si="176"/>
        <v>1</v>
      </c>
    </row>
    <row r="601" spans="1:12">
      <c r="A601" s="968">
        <v>25</v>
      </c>
      <c r="B601" s="1392"/>
      <c r="C601" s="1392"/>
      <c r="D601" s="1414"/>
      <c r="E601" s="342"/>
    </row>
    <row r="602" spans="1:12">
      <c r="A602" s="968">
        <v>26</v>
      </c>
      <c r="B602" s="1392" t="s">
        <v>1473</v>
      </c>
      <c r="C602" s="1392"/>
      <c r="D602" s="1414"/>
      <c r="E602" s="342"/>
      <c r="F602" s="1429">
        <f t="shared" ref="F602:L602" si="177">ROUND(SIT/(1-SIT),8)</f>
        <v>5.2282660000000002E-2</v>
      </c>
      <c r="G602" s="1429">
        <f t="shared" si="177"/>
        <v>5.2282660000000002E-2</v>
      </c>
      <c r="H602" s="1429">
        <f t="shared" si="177"/>
        <v>5.2282660000000002E-2</v>
      </c>
      <c r="I602" s="1429">
        <f t="shared" si="177"/>
        <v>5.2282660000000002E-2</v>
      </c>
      <c r="J602" s="1429">
        <f t="shared" si="177"/>
        <v>5.2282660000000002E-2</v>
      </c>
      <c r="K602" s="1429">
        <f t="shared" si="177"/>
        <v>5.2282660000000002E-2</v>
      </c>
      <c r="L602" s="1429">
        <f t="shared" si="177"/>
        <v>5.2282660000000002E-2</v>
      </c>
    </row>
    <row r="603" spans="1:12">
      <c r="A603" s="968">
        <v>27</v>
      </c>
      <c r="B603" s="1392" t="s">
        <v>1474</v>
      </c>
      <c r="C603" s="1392"/>
      <c r="D603" s="1433" t="s">
        <v>1475</v>
      </c>
      <c r="E603" s="342"/>
      <c r="F603" s="1434">
        <f t="shared" ref="F603:L603" si="178">ROUND(F600*F602,0)</f>
        <v>55115</v>
      </c>
      <c r="G603" s="1434">
        <f t="shared" ca="1" si="178"/>
        <v>27434</v>
      </c>
      <c r="H603" s="1434">
        <f t="shared" si="178"/>
        <v>15679</v>
      </c>
      <c r="I603" s="1434">
        <f t="shared" ca="1" si="178"/>
        <v>11603</v>
      </c>
      <c r="J603" s="1434">
        <f t="shared" si="178"/>
        <v>399</v>
      </c>
      <c r="K603" s="1434">
        <f t="shared" ca="1" si="178"/>
        <v>55115</v>
      </c>
      <c r="L603" s="1434">
        <f t="shared" ca="1" si="178"/>
        <v>0</v>
      </c>
    </row>
    <row r="604" spans="1:12">
      <c r="A604" s="968">
        <v>28</v>
      </c>
      <c r="B604" s="1411" t="s">
        <v>1476</v>
      </c>
      <c r="C604" s="1411"/>
      <c r="D604" s="1414"/>
      <c r="E604" s="1435"/>
      <c r="F604" s="1434">
        <f t="shared" ref="F604:L604" si="179">F591</f>
        <v>3319</v>
      </c>
      <c r="G604" s="1434">
        <f t="shared" ca="1" si="179"/>
        <v>1585</v>
      </c>
      <c r="H604" s="1434">
        <f t="shared" si="179"/>
        <v>978</v>
      </c>
      <c r="I604" s="1434">
        <f t="shared" ca="1" si="179"/>
        <v>467</v>
      </c>
      <c r="J604" s="1434">
        <f t="shared" si="179"/>
        <v>288</v>
      </c>
      <c r="K604" s="1434">
        <f t="shared" ca="1" si="179"/>
        <v>3318</v>
      </c>
      <c r="L604" s="1434">
        <f t="shared" ca="1" si="179"/>
        <v>1</v>
      </c>
    </row>
    <row r="605" spans="1:12">
      <c r="A605" s="968">
        <v>29</v>
      </c>
      <c r="B605" s="1090" t="s">
        <v>1477</v>
      </c>
      <c r="C605" s="1392"/>
      <c r="D605" s="1414"/>
      <c r="E605" s="342"/>
      <c r="F605" s="1439">
        <f t="shared" ref="F605:L605" si="180">F604+F603</f>
        <v>58434</v>
      </c>
      <c r="G605" s="1439">
        <f t="shared" ca="1" si="180"/>
        <v>29019</v>
      </c>
      <c r="H605" s="1439">
        <f t="shared" si="180"/>
        <v>16657</v>
      </c>
      <c r="I605" s="1439">
        <f t="shared" ca="1" si="180"/>
        <v>12070</v>
      </c>
      <c r="J605" s="1439">
        <f t="shared" si="180"/>
        <v>687</v>
      </c>
      <c r="K605" s="1439">
        <f t="shared" ca="1" si="180"/>
        <v>58433</v>
      </c>
      <c r="L605" s="1439">
        <f t="shared" ca="1" si="180"/>
        <v>1</v>
      </c>
    </row>
    <row r="606" spans="1:12">
      <c r="A606" s="968">
        <v>30</v>
      </c>
      <c r="B606" s="1392"/>
      <c r="C606" s="1392"/>
      <c r="D606" s="1414"/>
      <c r="E606" s="342"/>
    </row>
    <row r="607" spans="1:12">
      <c r="A607" s="968">
        <v>31</v>
      </c>
      <c r="B607" s="1392" t="s">
        <v>1478</v>
      </c>
      <c r="C607" s="1392"/>
      <c r="D607" s="1414"/>
      <c r="E607" s="342"/>
    </row>
    <row r="608" spans="1:12">
      <c r="A608" s="968">
        <v>32</v>
      </c>
      <c r="B608" s="1392" t="s">
        <v>1474</v>
      </c>
      <c r="C608" s="1392"/>
      <c r="D608" s="1414"/>
      <c r="E608" s="342"/>
      <c r="F608" s="1434">
        <f t="shared" ref="F608:L608" si="181">F603</f>
        <v>55115</v>
      </c>
      <c r="G608" s="1434">
        <f t="shared" ca="1" si="181"/>
        <v>27434</v>
      </c>
      <c r="H608" s="1434">
        <f t="shared" si="181"/>
        <v>15679</v>
      </c>
      <c r="I608" s="1434">
        <f t="shared" ca="1" si="181"/>
        <v>11603</v>
      </c>
      <c r="J608" s="1434">
        <f t="shared" si="181"/>
        <v>399</v>
      </c>
      <c r="K608" s="1434">
        <f t="shared" ca="1" si="181"/>
        <v>55115</v>
      </c>
      <c r="L608" s="1434">
        <f t="shared" ca="1" si="181"/>
        <v>0</v>
      </c>
    </row>
    <row r="609" spans="1:12">
      <c r="A609" s="968">
        <v>33</v>
      </c>
      <c r="B609" s="1411" t="s">
        <v>1464</v>
      </c>
      <c r="C609" s="1411"/>
      <c r="D609" s="1414"/>
      <c r="E609" s="342"/>
      <c r="F609" s="1434">
        <f t="shared" ref="F609:L609" si="182">F589</f>
        <v>0</v>
      </c>
      <c r="G609" s="1434">
        <f t="shared" ca="1" si="182"/>
        <v>0</v>
      </c>
      <c r="H609" s="1434">
        <f t="shared" si="182"/>
        <v>0</v>
      </c>
      <c r="I609" s="1434">
        <f t="shared" ca="1" si="182"/>
        <v>0</v>
      </c>
      <c r="J609" s="1434">
        <f t="shared" si="182"/>
        <v>0</v>
      </c>
      <c r="K609" s="1434">
        <f t="shared" ca="1" si="182"/>
        <v>0</v>
      </c>
      <c r="L609" s="1434">
        <f t="shared" ca="1" si="182"/>
        <v>0</v>
      </c>
    </row>
    <row r="610" spans="1:12">
      <c r="A610" s="968">
        <v>34</v>
      </c>
      <c r="B610" s="1090" t="s">
        <v>1479</v>
      </c>
      <c r="C610" s="1392"/>
      <c r="D610" s="1414"/>
      <c r="E610" s="342"/>
      <c r="F610" s="1439">
        <f t="shared" ref="F610:L610" si="183">F608+F609</f>
        <v>55115</v>
      </c>
      <c r="G610" s="1439">
        <f t="shared" ca="1" si="183"/>
        <v>27434</v>
      </c>
      <c r="H610" s="1439">
        <f t="shared" si="183"/>
        <v>15679</v>
      </c>
      <c r="I610" s="1439">
        <f t="shared" ca="1" si="183"/>
        <v>11603</v>
      </c>
      <c r="J610" s="1439">
        <f t="shared" si="183"/>
        <v>399</v>
      </c>
      <c r="K610" s="1439">
        <f t="shared" ca="1" si="183"/>
        <v>55115</v>
      </c>
      <c r="L610" s="1439">
        <f t="shared" ca="1" si="183"/>
        <v>0</v>
      </c>
    </row>
    <row r="611" spans="1:12">
      <c r="A611" s="968">
        <v>35</v>
      </c>
      <c r="B611" s="1392"/>
      <c r="C611" s="1392"/>
      <c r="D611" s="1392"/>
      <c r="E611" s="342"/>
    </row>
    <row r="612" spans="1:12">
      <c r="A612" s="968">
        <v>36</v>
      </c>
      <c r="B612" s="1392" t="s">
        <v>76</v>
      </c>
      <c r="C612" s="1392"/>
      <c r="D612" s="1392"/>
      <c r="E612" s="342"/>
      <c r="F612" s="1443">
        <f t="shared" ref="F612:L612" si="184">(SIT*(1-FIT))+((1-SIT)*(1-FIT)*RevTax)+FIT</f>
        <v>0.24925115</v>
      </c>
      <c r="G612" s="1443">
        <f t="shared" si="184"/>
        <v>0.24925115</v>
      </c>
      <c r="H612" s="1443">
        <f t="shared" si="184"/>
        <v>0.24925115</v>
      </c>
      <c r="I612" s="1443">
        <f t="shared" si="184"/>
        <v>0.24925115</v>
      </c>
      <c r="J612" s="1443">
        <f t="shared" si="184"/>
        <v>0.24925115</v>
      </c>
      <c r="K612" s="1443">
        <f t="shared" si="184"/>
        <v>0.24925115</v>
      </c>
      <c r="L612" s="1443">
        <f t="shared" si="184"/>
        <v>0.24925115</v>
      </c>
    </row>
    <row r="614" spans="1:12">
      <c r="A614" s="343" t="str">
        <f>co_name</f>
        <v>DUKE ENERGY KENTUCKY, INC.</v>
      </c>
      <c r="C614" s="196"/>
      <c r="D614" s="344"/>
      <c r="E614" s="196"/>
      <c r="F614" s="344"/>
      <c r="G614" s="342"/>
      <c r="H614" s="342"/>
      <c r="I614" s="196"/>
      <c r="K614" s="361" t="str">
        <f>$K$1</f>
        <v>FR-16(7)(v)-3</v>
      </c>
      <c r="L614" s="196"/>
    </row>
    <row r="615" spans="1:12">
      <c r="A615" s="343" t="str">
        <f>$A$2</f>
        <v>PRODUCTION COMMODITY ALLOCATED - GAS COST OF SERVICE</v>
      </c>
      <c r="C615" s="196"/>
      <c r="D615" s="344"/>
      <c r="E615" s="196"/>
      <c r="F615" s="344"/>
      <c r="G615" s="342"/>
      <c r="H615" s="342"/>
      <c r="I615" s="196"/>
      <c r="K615" s="361" t="str">
        <f>$K$2</f>
        <v>WITNESS RESPONSIBLE:</v>
      </c>
      <c r="L615" s="196"/>
    </row>
    <row r="616" spans="1:12">
      <c r="A616" s="343" t="str">
        <f>case_name</f>
        <v>CASE NO: 2018-00261</v>
      </c>
      <c r="C616" s="196"/>
      <c r="D616" s="344"/>
      <c r="E616" s="196"/>
      <c r="F616" s="344"/>
      <c r="G616" s="342"/>
      <c r="H616" s="342"/>
      <c r="I616" s="196"/>
      <c r="K616" s="361" t="str">
        <f>Witness</f>
        <v>JAMES E. ZIOLKOWSKI</v>
      </c>
      <c r="L616" s="196"/>
    </row>
    <row r="617" spans="1:12">
      <c r="A617" s="343" t="str">
        <f>data_filing</f>
        <v>DATA: 12 MONTH FORECASTED PERIOD</v>
      </c>
      <c r="C617" s="196"/>
      <c r="D617" s="344"/>
      <c r="E617" s="196"/>
      <c r="F617" s="344"/>
      <c r="G617" s="342"/>
      <c r="H617" s="342"/>
      <c r="I617" s="196"/>
      <c r="K617" s="361" t="str">
        <f>"PAGE "&amp;Pages-4&amp;" OF "&amp;Pages</f>
        <v>PAGE 14 OF 18</v>
      </c>
      <c r="L617" s="196"/>
    </row>
    <row r="618" spans="1:12">
      <c r="A618" s="343" t="str">
        <f>type</f>
        <v xml:space="preserve">TYPE OF FILING: "X" ORIGINAL   UPDATED    REVISED  </v>
      </c>
      <c r="C618" s="196"/>
      <c r="D618" s="344"/>
      <c r="E618" s="196"/>
      <c r="F618" s="344"/>
      <c r="G618" s="342"/>
      <c r="H618" s="342"/>
      <c r="I618" s="196"/>
      <c r="J618" s="344"/>
      <c r="K618" s="196"/>
      <c r="L618" s="196"/>
    </row>
    <row r="619" spans="1:12">
      <c r="B619" s="343"/>
      <c r="C619" s="196"/>
      <c r="D619" s="344"/>
      <c r="E619" s="196"/>
      <c r="F619" s="344"/>
      <c r="G619" s="196"/>
      <c r="H619" s="196"/>
      <c r="I619" s="196"/>
      <c r="J619" s="344"/>
      <c r="K619" s="196"/>
      <c r="L619" s="196"/>
    </row>
    <row r="620" spans="1:12">
      <c r="B620" s="343"/>
      <c r="C620" s="196"/>
      <c r="D620" s="344"/>
      <c r="E620" s="196"/>
      <c r="F620" s="344" t="str">
        <f>$F$7</f>
        <v>TOTAL</v>
      </c>
      <c r="G620" s="196"/>
      <c r="H620" s="196"/>
      <c r="I620" s="196"/>
      <c r="J620" s="344"/>
      <c r="K620" s="196"/>
      <c r="L620" s="196"/>
    </row>
    <row r="621" spans="1:12">
      <c r="A621" s="344" t="s">
        <v>914</v>
      </c>
      <c r="B621" s="196"/>
      <c r="C621" s="196"/>
      <c r="D621" s="344"/>
      <c r="E621" s="196"/>
      <c r="F621" s="344" t="str">
        <f>$F$8</f>
        <v>PRODUCTION</v>
      </c>
      <c r="G621" s="344" t="s">
        <v>418</v>
      </c>
      <c r="H621" s="344" t="s">
        <v>864</v>
      </c>
      <c r="I621" s="344" t="s">
        <v>865</v>
      </c>
      <c r="J621" s="344" t="s">
        <v>549</v>
      </c>
      <c r="K621" s="344" t="s">
        <v>229</v>
      </c>
      <c r="L621" s="344" t="s">
        <v>342</v>
      </c>
    </row>
    <row r="622" spans="1:12">
      <c r="A622" s="346" t="s">
        <v>915</v>
      </c>
      <c r="B622" s="345" t="s">
        <v>77</v>
      </c>
      <c r="C622" s="345"/>
      <c r="D622" s="346" t="s">
        <v>337</v>
      </c>
      <c r="E622" s="345"/>
      <c r="F622" s="344" t="str">
        <f>$F$9</f>
        <v>COMMODITY</v>
      </c>
      <c r="G622" s="346" t="s">
        <v>338</v>
      </c>
      <c r="H622" s="346" t="s">
        <v>405</v>
      </c>
      <c r="I622" s="346" t="s">
        <v>405</v>
      </c>
      <c r="J622" s="346" t="s">
        <v>550</v>
      </c>
      <c r="K622" s="346" t="s">
        <v>341</v>
      </c>
      <c r="L622" s="346" t="s">
        <v>340</v>
      </c>
    </row>
    <row r="623" spans="1:12">
      <c r="C623" s="578" t="s">
        <v>352</v>
      </c>
      <c r="D623" s="344"/>
      <c r="E623" s="196"/>
      <c r="F623" s="761"/>
      <c r="G623" s="633">
        <f>$G$10</f>
        <v>3</v>
      </c>
      <c r="H623" s="633">
        <f>$H$10</f>
        <v>4</v>
      </c>
      <c r="I623" s="633">
        <f>$I$10</f>
        <v>5</v>
      </c>
      <c r="J623" s="633">
        <f>$J$10</f>
        <v>6</v>
      </c>
    </row>
    <row r="624" spans="1:12">
      <c r="A624" s="333">
        <v>1</v>
      </c>
      <c r="B624" s="332" t="s">
        <v>78</v>
      </c>
      <c r="D624" s="344"/>
      <c r="E624" s="196"/>
      <c r="I624" s="332"/>
    </row>
    <row r="625" spans="1:12">
      <c r="A625" s="333">
        <v>2</v>
      </c>
      <c r="C625" s="332" t="str">
        <f>'FR-16(7)(v)-1 Functional'!C625</f>
        <v>MISC SERVICE REVENUE</v>
      </c>
      <c r="D625" s="344" t="str">
        <f>'FR-16(7)(v)-1 Functional'!D625</f>
        <v>K401</v>
      </c>
      <c r="E625" s="196"/>
      <c r="F625" s="479">
        <f>'FR-16(7)(v)-2 PROD Classified'!H625</f>
        <v>0</v>
      </c>
      <c r="G625" s="349">
        <f>F625-SUM(H625:J625)</f>
        <v>0</v>
      </c>
      <c r="H625" s="347">
        <f>ROUND($F$625*VLOOKUP($D$625,ALLOCTABLE_Prod_Commodity,$H$10,FALSE),0)</f>
        <v>0</v>
      </c>
      <c r="I625" s="347">
        <f>ROUND(F625*VLOOKUP(D625,ALLOCTABLE_Prod_Commodity,$I$10,FALSE),0)</f>
        <v>0</v>
      </c>
      <c r="J625" s="347">
        <f>ROUND(F625*VLOOKUP(D625,ALLOCTABLE_Prod_Commodity,$J$10,FALSE),0)</f>
        <v>0</v>
      </c>
      <c r="K625" s="347">
        <f>SUM($G$625:$J$625)</f>
        <v>0</v>
      </c>
      <c r="L625" s="347">
        <f>F625-$K$625</f>
        <v>0</v>
      </c>
    </row>
    <row r="626" spans="1:12">
      <c r="A626" s="333">
        <v>3</v>
      </c>
      <c r="C626" s="332" t="str">
        <f>'FR-16(7)(v)-1 Functional'!C626</f>
        <v>INTERDEPARTMENTAL</v>
      </c>
      <c r="D626" s="344" t="str">
        <f>'FR-16(7)(v)-1 Functional'!D626</f>
        <v>AG39</v>
      </c>
      <c r="E626" s="196"/>
      <c r="F626" s="479">
        <f>'FR-16(7)(v)-2 PROD Classified'!H626</f>
        <v>2870</v>
      </c>
      <c r="G626" s="349">
        <f>F626-SUM(H626:J626)</f>
        <v>1452</v>
      </c>
      <c r="H626" s="347">
        <f>ROUND($F$626*VLOOKUP($D$626,ALLOCTABLE_Prod_Commodity,$H$10,FALSE),0)</f>
        <v>827</v>
      </c>
      <c r="I626" s="347">
        <f>ROUND(F626*VLOOKUP(D626,ALLOCTABLE_Prod_Commodity,$I$10,FALSE),0)</f>
        <v>586</v>
      </c>
      <c r="J626" s="347">
        <f>ROUND(F626*VLOOKUP(D626,ALLOCTABLE_Prod_Commodity,$J$10,FALSE),0)</f>
        <v>5</v>
      </c>
      <c r="K626" s="347">
        <f>SUM($G$626:$J$626)</f>
        <v>2870</v>
      </c>
      <c r="L626" s="347">
        <f>F626-$K$626</f>
        <v>0</v>
      </c>
    </row>
    <row r="627" spans="1:12">
      <c r="A627" s="333">
        <v>4</v>
      </c>
      <c r="C627" s="332" t="str">
        <f>'FR-16(7)(v)-1 Functional'!C627</f>
        <v>OTH MISC REVENUE</v>
      </c>
      <c r="D627" s="344" t="str">
        <f>'FR-16(7)(v)-1 Functional'!D627</f>
        <v>K401</v>
      </c>
      <c r="E627" s="196"/>
      <c r="F627" s="479">
        <f>'FR-16(7)(v)-2 PROD Classified'!H627</f>
        <v>0</v>
      </c>
      <c r="G627" s="349">
        <f>F627-SUM(H627:J627)</f>
        <v>0</v>
      </c>
      <c r="H627" s="347">
        <f>ROUND($F$627*VLOOKUP($D$627,ALLOCTABLE_Prod_Commodity,$H$10,FALSE),0)</f>
        <v>0</v>
      </c>
      <c r="I627" s="347">
        <f>ROUND(F627*VLOOKUP(D627,ALLOCTABLE_Prod_Commodity,$I$10,FALSE),0)</f>
        <v>0</v>
      </c>
      <c r="J627" s="347">
        <f>ROUND(F627*VLOOKUP(D627,ALLOCTABLE_Prod_Commodity,$J$10,FALSE),0)</f>
        <v>0</v>
      </c>
      <c r="K627" s="347">
        <f>SUM($G$627:$J$627)</f>
        <v>0</v>
      </c>
      <c r="L627" s="347">
        <f>F627-$K$627</f>
        <v>0</v>
      </c>
    </row>
    <row r="628" spans="1:12">
      <c r="A628" s="333">
        <v>5</v>
      </c>
      <c r="C628" s="332" t="str">
        <f>'FR-16(7)(v)-1 Functional'!C628</f>
        <v>RENTS</v>
      </c>
      <c r="D628" s="344" t="str">
        <f>'FR-16(7)(v)-1 Functional'!D628</f>
        <v>D249</v>
      </c>
      <c r="E628" s="196"/>
      <c r="F628" s="479">
        <f>'FR-16(7)(v)-2 PROD Classified'!H628</f>
        <v>0</v>
      </c>
      <c r="G628" s="349">
        <f>F628-SUM(H628:J628)</f>
        <v>0</v>
      </c>
      <c r="H628" s="347">
        <f>ROUND($F$628*VLOOKUP($D$628,ALLOCTABLE_Prod_Commodity,$H$10,FALSE),0)</f>
        <v>0</v>
      </c>
      <c r="I628" s="347">
        <f>ROUND(F628*VLOOKUP(D628,ALLOCTABLE_Prod_Commodity,$I$10,FALSE),0)</f>
        <v>0</v>
      </c>
      <c r="J628" s="347">
        <f>ROUND(F628*VLOOKUP(D628,ALLOCTABLE_Prod_Commodity,$J$10,FALSE),0)</f>
        <v>0</v>
      </c>
      <c r="K628" s="347">
        <f>SUM($G$628:$J$628)</f>
        <v>0</v>
      </c>
      <c r="L628" s="347">
        <f>F628-$K$628</f>
        <v>0</v>
      </c>
    </row>
    <row r="629" spans="1:12">
      <c r="A629" s="333">
        <v>6</v>
      </c>
      <c r="C629" s="359" t="str">
        <f>'FR-16(7)(v)-1 Functional'!C629</f>
        <v>IT TRANSPORT SPECIAL CONTRACTS</v>
      </c>
      <c r="D629" s="344" t="str">
        <f>'FR-16(7)(v)-1 Functional'!D629</f>
        <v>AG39</v>
      </c>
      <c r="E629" s="196"/>
      <c r="F629" s="479">
        <f>'FR-16(7)(v)-2 PROD Classified'!H629</f>
        <v>0</v>
      </c>
      <c r="G629" s="349">
        <f>F629-SUM(H629:J629)</f>
        <v>0</v>
      </c>
      <c r="H629" s="347">
        <f>ROUND($F$629*VLOOKUP($D$629,ALLOCTABLE_Prod_Commodity,$H$10,FALSE),0)</f>
        <v>0</v>
      </c>
      <c r="I629" s="347">
        <f>ROUND(F629*VLOOKUP(D629,ALLOCTABLE_Prod_Commodity,$I$10,FALSE),0)</f>
        <v>0</v>
      </c>
      <c r="J629" s="347">
        <f>ROUND(F629*VLOOKUP(D629,ALLOCTABLE_Prod_Commodity,$J$10,FALSE),0)</f>
        <v>0</v>
      </c>
      <c r="K629" s="347">
        <f>SUM($G$629:$J$629)</f>
        <v>0</v>
      </c>
      <c r="L629" s="347">
        <f>F629-$K$629</f>
        <v>0</v>
      </c>
    </row>
    <row r="630" spans="1:12">
      <c r="A630" s="333">
        <v>7</v>
      </c>
      <c r="C630" s="332" t="str">
        <f>'FR-16(7)(v)-1 Functional'!C630</f>
        <v xml:space="preserve">  TOTAL OTHER OPERATING REVS</v>
      </c>
      <c r="D630" s="344"/>
      <c r="E630" s="196"/>
      <c r="F630" s="348">
        <f>SUM(F625:F629)</f>
        <v>2870</v>
      </c>
      <c r="G630" s="348">
        <f>SUM($G$625:$G$629)</f>
        <v>1452</v>
      </c>
      <c r="H630" s="348">
        <f>SUM($H$625:$H$629)</f>
        <v>827</v>
      </c>
      <c r="I630" s="348">
        <f>SUM($I$625:$I$629)</f>
        <v>586</v>
      </c>
      <c r="J630" s="348">
        <f>SUM($J$625:$J$629)</f>
        <v>5</v>
      </c>
      <c r="K630" s="348">
        <f>SUM($K$625:$K$629)</f>
        <v>2870</v>
      </c>
      <c r="L630" s="348">
        <f>SUM($L$625:$L$629)</f>
        <v>0</v>
      </c>
    </row>
    <row r="631" spans="1:12">
      <c r="A631" s="333">
        <v>8</v>
      </c>
      <c r="D631" s="344"/>
      <c r="E631" s="196"/>
      <c r="I631" s="332"/>
    </row>
    <row r="632" spans="1:12">
      <c r="A632" s="333">
        <v>9</v>
      </c>
      <c r="B632" s="332" t="s">
        <v>77</v>
      </c>
      <c r="D632" s="344"/>
      <c r="E632" s="196"/>
      <c r="I632" s="332"/>
    </row>
    <row r="633" spans="1:12">
      <c r="A633" s="333">
        <v>10</v>
      </c>
      <c r="C633" s="332" t="str">
        <f>'FR-16(7)(v)-1 Functional'!C633</f>
        <v>TOTAL OP EXP EXC INC &amp; REV TAX</v>
      </c>
      <c r="D633" s="344"/>
      <c r="E633" s="196"/>
      <c r="F633" s="347">
        <f>F501</f>
        <v>38590987</v>
      </c>
      <c r="G633" s="347">
        <f>$G$501</f>
        <v>19513729</v>
      </c>
      <c r="H633" s="347">
        <f>$H$501</f>
        <v>11109035</v>
      </c>
      <c r="I633" s="347">
        <f>$I$501</f>
        <v>7841383</v>
      </c>
      <c r="J633" s="347">
        <f>$J$501</f>
        <v>126840</v>
      </c>
      <c r="K633" s="347">
        <f>$K$501</f>
        <v>38590987</v>
      </c>
      <c r="L633" s="347">
        <f>$L$501</f>
        <v>0</v>
      </c>
    </row>
    <row r="634" spans="1:12">
      <c r="A634" s="333">
        <v>11</v>
      </c>
      <c r="C634" s="332" t="str">
        <f>'FR-16(7)(v)-1 Functional'!C634</f>
        <v>RETURN ON RATE BASE</v>
      </c>
      <c r="D634" s="344"/>
      <c r="E634" s="196"/>
      <c r="F634" s="347">
        <f t="shared" ref="F634:L634" si="185">F334</f>
        <v>480732</v>
      </c>
      <c r="G634" s="347">
        <f t="shared" si="185"/>
        <v>244258</v>
      </c>
      <c r="H634" s="347">
        <f t="shared" si="185"/>
        <v>137305</v>
      </c>
      <c r="I634" s="347">
        <f t="shared" si="185"/>
        <v>90300</v>
      </c>
      <c r="J634" s="347">
        <f t="shared" si="185"/>
        <v>8869</v>
      </c>
      <c r="K634" s="347">
        <f t="shared" si="185"/>
        <v>480732</v>
      </c>
      <c r="L634" s="347">
        <f t="shared" si="185"/>
        <v>0</v>
      </c>
    </row>
    <row r="635" spans="1:12">
      <c r="A635" s="333">
        <v>12</v>
      </c>
      <c r="C635" s="332" t="str">
        <f>'FR-16(7)(v)-1 Functional'!C635</f>
        <v>NET FED INCOME TAX ALLOWABLE</v>
      </c>
      <c r="D635" s="344"/>
      <c r="E635" s="196"/>
      <c r="F635" s="347">
        <f>F557</f>
        <v>955859</v>
      </c>
      <c r="G635" s="347">
        <f ca="1">$G$557</f>
        <v>480917</v>
      </c>
      <c r="H635" s="347">
        <f>$H$557</f>
        <v>274348</v>
      </c>
      <c r="I635" s="347">
        <f ca="1">$I$557</f>
        <v>195674</v>
      </c>
      <c r="J635" s="347">
        <f>$J$557</f>
        <v>4920</v>
      </c>
      <c r="K635" s="347">
        <f ca="1">$K$557</f>
        <v>955859</v>
      </c>
      <c r="L635" s="347">
        <f ca="1">$L$557</f>
        <v>0</v>
      </c>
    </row>
    <row r="636" spans="1:12">
      <c r="A636" s="333">
        <v>13</v>
      </c>
      <c r="C636" s="359" t="str">
        <f>'FR-16(7)(v)-1 Functional'!C636</f>
        <v>TOTAL OTHER OPERATING REVENUES</v>
      </c>
      <c r="D636" s="344"/>
      <c r="E636" s="196"/>
      <c r="F636" s="347">
        <f>-F630</f>
        <v>-2870</v>
      </c>
      <c r="G636" s="347">
        <f>-$G$630</f>
        <v>-1452</v>
      </c>
      <c r="H636" s="347">
        <f>-$H$630</f>
        <v>-827</v>
      </c>
      <c r="I636" s="347">
        <f>-$I$630</f>
        <v>-586</v>
      </c>
      <c r="J636" s="347">
        <f>-$J$630</f>
        <v>-5</v>
      </c>
      <c r="K636" s="347">
        <f>-$K$630</f>
        <v>-2870</v>
      </c>
      <c r="L636" s="347">
        <f>-$L$630</f>
        <v>0</v>
      </c>
    </row>
    <row r="637" spans="1:12">
      <c r="A637" s="333">
        <v>14</v>
      </c>
      <c r="C637" s="332" t="str">
        <f>'FR-16(7)(v)-1 Functional'!C637</f>
        <v xml:space="preserve">  SUBTOTAL B</v>
      </c>
      <c r="D637" s="344"/>
      <c r="E637" s="196"/>
      <c r="F637" s="348">
        <f>SUM(F632:F636)</f>
        <v>40024708</v>
      </c>
      <c r="G637" s="348">
        <f ca="1">SUM($G$632:$G$636)</f>
        <v>20237452</v>
      </c>
      <c r="H637" s="348">
        <f>SUM($H$632:$H$636)</f>
        <v>11519861</v>
      </c>
      <c r="I637" s="348">
        <f ca="1">SUM($I$632:$I$636)</f>
        <v>8126771</v>
      </c>
      <c r="J637" s="348">
        <f>SUM($J$632:$J$636)</f>
        <v>140624</v>
      </c>
      <c r="K637" s="348">
        <f ca="1">SUM($K$632:$K$636)</f>
        <v>40024708</v>
      </c>
      <c r="L637" s="348">
        <f ca="1">$K$637-F637</f>
        <v>0</v>
      </c>
    </row>
    <row r="638" spans="1:12">
      <c r="A638" s="333">
        <v>15</v>
      </c>
      <c r="D638" s="344"/>
      <c r="E638" s="196"/>
      <c r="I638" s="332"/>
    </row>
    <row r="639" spans="1:12">
      <c r="A639" s="333">
        <v>16</v>
      </c>
      <c r="C639" s="332" t="str">
        <f>'FR-16(7)(v)-1 Functional'!C639</f>
        <v>TOTAL OTHER OPERATING REVENUES</v>
      </c>
      <c r="D639" s="344"/>
      <c r="E639" s="196"/>
      <c r="F639" s="347">
        <f>-F636</f>
        <v>2870</v>
      </c>
      <c r="G639" s="347">
        <f>-$G$636</f>
        <v>1452</v>
      </c>
      <c r="H639" s="347">
        <f>-$H$636</f>
        <v>827</v>
      </c>
      <c r="I639" s="347">
        <f>-$I$636</f>
        <v>586</v>
      </c>
      <c r="J639" s="347">
        <f>-$J$636</f>
        <v>5</v>
      </c>
      <c r="K639" s="347">
        <f>-$K$636</f>
        <v>2870</v>
      </c>
      <c r="L639" s="347">
        <f>-$L$636</f>
        <v>0</v>
      </c>
    </row>
    <row r="640" spans="1:12">
      <c r="A640" s="333">
        <v>17</v>
      </c>
      <c r="C640" s="359" t="str">
        <f>'FR-16(7)(v)-1 Functional'!C640</f>
        <v>LESS: REVS EXCL FROM REV TAX CALC</v>
      </c>
      <c r="D640" s="344"/>
      <c r="E640" s="196"/>
      <c r="F640" s="349">
        <f t="shared" ref="F640:L640" si="186">F855</f>
        <v>0</v>
      </c>
      <c r="G640" s="347">
        <f>G855</f>
        <v>0</v>
      </c>
      <c r="H640" s="347">
        <f t="shared" si="186"/>
        <v>0</v>
      </c>
      <c r="I640" s="347">
        <f t="shared" si="186"/>
        <v>0</v>
      </c>
      <c r="J640" s="347">
        <f t="shared" si="186"/>
        <v>0</v>
      </c>
      <c r="K640" s="347">
        <f t="shared" si="186"/>
        <v>0</v>
      </c>
      <c r="L640" s="347">
        <f t="shared" si="186"/>
        <v>0</v>
      </c>
    </row>
    <row r="641" spans="1:12">
      <c r="A641" s="333">
        <v>18</v>
      </c>
      <c r="C641" s="332" t="str">
        <f>'FR-16(7)(v)-1 Functional'!C641</f>
        <v>OTHER OPERATING REVS TO BE TAXED</v>
      </c>
      <c r="D641" s="344"/>
      <c r="E641" s="196"/>
      <c r="F641" s="348">
        <f>F639-F640</f>
        <v>2870</v>
      </c>
      <c r="G641" s="348">
        <f>G639-G640</f>
        <v>1452</v>
      </c>
      <c r="H641" s="348">
        <f>H639-H640</f>
        <v>827</v>
      </c>
      <c r="I641" s="348">
        <f>$I$639-I640</f>
        <v>586</v>
      </c>
      <c r="J641" s="348">
        <f>$J$639-J640</f>
        <v>5</v>
      </c>
      <c r="K641" s="348">
        <f>$K$639-K640</f>
        <v>2870</v>
      </c>
      <c r="L641" s="348">
        <f>$L$639-L640</f>
        <v>0</v>
      </c>
    </row>
    <row r="642" spans="1:12">
      <c r="A642" s="333">
        <v>19</v>
      </c>
      <c r="D642" s="344"/>
      <c r="E642" s="196"/>
      <c r="I642" s="332"/>
    </row>
    <row r="643" spans="1:12">
      <c r="A643" s="333">
        <v>20</v>
      </c>
      <c r="C643" s="332" t="str">
        <f>'FR-16(7)(v)-1 Functional'!C643</f>
        <v>REVENUE TAX FACTOR</v>
      </c>
      <c r="D643" s="344"/>
      <c r="E643" s="196"/>
      <c r="F643" s="350">
        <f t="shared" ref="F643:L643" si="187">ROUND(F694/(1-F694),8)</f>
        <v>0</v>
      </c>
      <c r="G643" s="350">
        <f t="shared" si="187"/>
        <v>0</v>
      </c>
      <c r="H643" s="350">
        <f t="shared" si="187"/>
        <v>0</v>
      </c>
      <c r="I643" s="350">
        <f t="shared" si="187"/>
        <v>0</v>
      </c>
      <c r="J643" s="350">
        <f t="shared" si="187"/>
        <v>0</v>
      </c>
      <c r="K643" s="350">
        <f t="shared" si="187"/>
        <v>0</v>
      </c>
      <c r="L643" s="350">
        <f t="shared" si="187"/>
        <v>0</v>
      </c>
    </row>
    <row r="644" spans="1:12">
      <c r="A644" s="333">
        <v>21</v>
      </c>
      <c r="C644" s="332" t="str">
        <f>'FR-16(7)(v)-1 Functional'!C644</f>
        <v>REVENUE TAX ON OTHER OPER. REVS</v>
      </c>
      <c r="D644" s="344"/>
      <c r="E644" s="196"/>
      <c r="F644" s="347">
        <f>ROUND(F643*F641,0)</f>
        <v>0</v>
      </c>
      <c r="G644" s="347">
        <f>ROUND(G643*G641,0)</f>
        <v>0</v>
      </c>
      <c r="H644" s="347">
        <f>ROUND(H643*H641,0)</f>
        <v>0</v>
      </c>
      <c r="I644" s="347">
        <f>ROUND(I643*I641,0)</f>
        <v>0</v>
      </c>
      <c r="J644" s="347">
        <f>ROUND(J643*J641,0)</f>
        <v>0</v>
      </c>
      <c r="K644" s="347">
        <f>SUM(G644:J644)</f>
        <v>0</v>
      </c>
      <c r="L644" s="347">
        <f>ROUND(L643*L641,0)</f>
        <v>0</v>
      </c>
    </row>
    <row r="645" spans="1:12">
      <c r="A645" s="333">
        <v>22</v>
      </c>
      <c r="C645" s="332" t="str">
        <f>'FR-16(7)(v)-1 Functional'!C645</f>
        <v>REVENUE TAX ON COST OF SERVICE</v>
      </c>
      <c r="D645" s="344"/>
      <c r="E645" s="196"/>
      <c r="F645" s="512">
        <f>ROUND(F643*F637,0)</f>
        <v>0</v>
      </c>
      <c r="G645" s="512">
        <f ca="1">ROUND(G643*$G$637,0)</f>
        <v>0</v>
      </c>
      <c r="H645" s="512">
        <f>ROUND(H643*$H$637,0)</f>
        <v>0</v>
      </c>
      <c r="I645" s="512">
        <f ca="1">ROUND(I643*$I$637,0)</f>
        <v>0</v>
      </c>
      <c r="J645" s="512">
        <f>ROUND(J643*$J$637,0)</f>
        <v>0</v>
      </c>
      <c r="K645" s="347">
        <f ca="1">SUM(G645:J645)</f>
        <v>0</v>
      </c>
      <c r="L645" s="512">
        <f ca="1">ROUND(L643*$L$637,0)</f>
        <v>0</v>
      </c>
    </row>
    <row r="646" spans="1:12">
      <c r="A646" s="333">
        <v>23</v>
      </c>
      <c r="C646" s="359" t="str">
        <f>'FR-16(7)(v)-1 Functional'!C646</f>
        <v>TOTAL REVENUE TAX</v>
      </c>
      <c r="D646" s="344"/>
      <c r="E646" s="196"/>
      <c r="F646" s="510">
        <f>F645+F644</f>
        <v>0</v>
      </c>
      <c r="G646" s="510">
        <f ca="1">G645+G644</f>
        <v>0</v>
      </c>
      <c r="H646" s="510">
        <f>H645+H644</f>
        <v>0</v>
      </c>
      <c r="I646" s="510">
        <f ca="1">I645+I644</f>
        <v>0</v>
      </c>
      <c r="J646" s="510">
        <f>J645+J644</f>
        <v>0</v>
      </c>
      <c r="K646" s="347">
        <f ca="1">SUM(G646:J646)</f>
        <v>0</v>
      </c>
      <c r="L646" s="510">
        <f ca="1">L645+L644</f>
        <v>0</v>
      </c>
    </row>
    <row r="647" spans="1:12">
      <c r="A647" s="333">
        <v>24</v>
      </c>
      <c r="C647" s="332" t="str">
        <f>'FR-16(7)(v)-1 Functional'!C647</f>
        <v xml:space="preserve">  TOTAL GAS COST OF SERVICE</v>
      </c>
      <c r="D647" s="344"/>
      <c r="E647" s="196"/>
      <c r="F647" s="348">
        <f>F646+F637</f>
        <v>40024708</v>
      </c>
      <c r="G647" s="348">
        <f ca="1">G646+$G$637</f>
        <v>20237452</v>
      </c>
      <c r="H647" s="348">
        <f>H646+$H$637</f>
        <v>11519861</v>
      </c>
      <c r="I647" s="348">
        <f ca="1">I646+$I$637</f>
        <v>8126771</v>
      </c>
      <c r="J647" s="348">
        <f>J646+$J$637</f>
        <v>140624</v>
      </c>
      <c r="K647" s="348">
        <f ca="1">K646+$K$637</f>
        <v>40024708</v>
      </c>
      <c r="L647" s="348">
        <f ca="1">L646+$L$637</f>
        <v>0</v>
      </c>
    </row>
    <row r="648" spans="1:12">
      <c r="A648" s="333">
        <v>25</v>
      </c>
      <c r="D648" s="344"/>
      <c r="E648" s="196"/>
      <c r="I648" s="332"/>
    </row>
    <row r="649" spans="1:12">
      <c r="A649" s="333">
        <v>26</v>
      </c>
      <c r="B649" s="332" t="s">
        <v>850</v>
      </c>
      <c r="D649" s="344"/>
      <c r="E649" s="196"/>
      <c r="F649" s="349">
        <f t="shared" ref="F649:L649" si="188">F745</f>
        <v>36322784</v>
      </c>
      <c r="G649" s="347">
        <f>G745</f>
        <v>24976596</v>
      </c>
      <c r="H649" s="347">
        <f t="shared" si="188"/>
        <v>8842940</v>
      </c>
      <c r="I649" s="347">
        <f t="shared" si="188"/>
        <v>1922220</v>
      </c>
      <c r="J649" s="347">
        <f t="shared" si="188"/>
        <v>581028</v>
      </c>
      <c r="K649" s="347">
        <f t="shared" si="188"/>
        <v>36322784</v>
      </c>
      <c r="L649" s="347">
        <f t="shared" si="188"/>
        <v>0</v>
      </c>
    </row>
    <row r="650" spans="1:12">
      <c r="A650" s="333">
        <v>27</v>
      </c>
      <c r="B650" s="332" t="s">
        <v>79</v>
      </c>
      <c r="D650" s="344"/>
      <c r="E650" s="196"/>
      <c r="F650" s="347">
        <f t="shared" ref="F650:L650" si="189">-F647</f>
        <v>-40024708</v>
      </c>
      <c r="G650" s="347">
        <f ca="1">-G647</f>
        <v>-20237452</v>
      </c>
      <c r="H650" s="347">
        <f t="shared" si="189"/>
        <v>-11519861</v>
      </c>
      <c r="I650" s="347">
        <f t="shared" ca="1" si="189"/>
        <v>-8126771</v>
      </c>
      <c r="J650" s="347">
        <f t="shared" si="189"/>
        <v>-140624</v>
      </c>
      <c r="K650" s="347">
        <f t="shared" ca="1" si="189"/>
        <v>-40024708</v>
      </c>
      <c r="L650" s="347">
        <f t="shared" ca="1" si="189"/>
        <v>0</v>
      </c>
    </row>
    <row r="651" spans="1:12">
      <c r="A651" s="333">
        <v>28</v>
      </c>
      <c r="B651" s="332" t="s">
        <v>80</v>
      </c>
      <c r="D651" s="344"/>
      <c r="E651" s="196"/>
      <c r="F651" s="347">
        <f>F650+F649</f>
        <v>-3701924</v>
      </c>
      <c r="G651" s="347">
        <f ca="1">G650+G649</f>
        <v>4739144</v>
      </c>
      <c r="H651" s="347">
        <f>H650+H649</f>
        <v>-2676921</v>
      </c>
      <c r="I651" s="347">
        <f ca="1">I650+I649</f>
        <v>-6204551</v>
      </c>
      <c r="J651" s="347">
        <f>J650+J649</f>
        <v>440404</v>
      </c>
      <c r="K651" s="347">
        <f ca="1">SUM(G651:J651)</f>
        <v>-3701924</v>
      </c>
      <c r="L651" s="347">
        <f ca="1">L650+L649</f>
        <v>0</v>
      </c>
    </row>
    <row r="652" spans="1:12">
      <c r="A652" s="333">
        <v>29</v>
      </c>
      <c r="B652" s="332" t="s">
        <v>76</v>
      </c>
      <c r="D652" s="344"/>
      <c r="E652" s="196"/>
      <c r="F652" s="350">
        <f>F565</f>
        <v>0.24925</v>
      </c>
      <c r="G652" s="350">
        <f>$G$565</f>
        <v>0.24925</v>
      </c>
      <c r="H652" s="350">
        <f>$H$565</f>
        <v>0.24925</v>
      </c>
      <c r="I652" s="350">
        <f>$I$565</f>
        <v>0.24925120000000001</v>
      </c>
      <c r="J652" s="350">
        <f>$J$565</f>
        <v>0.24925</v>
      </c>
      <c r="K652" s="350">
        <f>$L$565</f>
        <v>0.24925</v>
      </c>
      <c r="L652" s="350">
        <f>$L$565</f>
        <v>0.24925</v>
      </c>
    </row>
    <row r="653" spans="1:12">
      <c r="A653" s="333">
        <v>30</v>
      </c>
      <c r="B653" s="332" t="s">
        <v>81</v>
      </c>
      <c r="D653" s="344"/>
      <c r="E653" s="196"/>
      <c r="F653" s="347">
        <f>ROUND(F652*F651,0)</f>
        <v>-922705</v>
      </c>
      <c r="G653" s="347">
        <f ca="1">ROUND(G652*G651,0)</f>
        <v>1181232</v>
      </c>
      <c r="H653" s="347">
        <f>ROUND(H652*H651,0)</f>
        <v>-667223</v>
      </c>
      <c r="I653" s="347">
        <f ca="1">ROUND(I652*I651,0)</f>
        <v>-1546492</v>
      </c>
      <c r="J653" s="347">
        <f>ROUND(J652*J651,0)</f>
        <v>109771</v>
      </c>
      <c r="K653" s="347">
        <f ca="1">SUM(G653:J653)</f>
        <v>-922712</v>
      </c>
      <c r="L653" s="347">
        <f ca="1">ROUND(L652*L651,0)</f>
        <v>0</v>
      </c>
    </row>
    <row r="654" spans="1:12">
      <c r="A654" s="333">
        <v>31</v>
      </c>
      <c r="B654" s="332" t="s">
        <v>82</v>
      </c>
      <c r="D654" s="344"/>
      <c r="E654" s="196"/>
      <c r="F654" s="347">
        <f>F651-F653</f>
        <v>-2779219</v>
      </c>
      <c r="G654" s="347">
        <f ca="1">G651-G653</f>
        <v>3557912</v>
      </c>
      <c r="H654" s="347">
        <f>H651-H653</f>
        <v>-2009698</v>
      </c>
      <c r="I654" s="347">
        <f ca="1">I651-I653</f>
        <v>-4658059</v>
      </c>
      <c r="J654" s="347">
        <f>J651-J653</f>
        <v>330633</v>
      </c>
      <c r="K654" s="347">
        <f ca="1">SUM(G654:J654)</f>
        <v>-2779212</v>
      </c>
      <c r="L654" s="347">
        <f ca="1">L651-L653</f>
        <v>0</v>
      </c>
    </row>
    <row r="655" spans="1:12">
      <c r="A655" s="532"/>
      <c r="B655" s="584"/>
      <c r="C655" s="584"/>
      <c r="D655" s="736"/>
      <c r="E655" s="584"/>
      <c r="F655" s="532"/>
      <c r="G655" s="532"/>
      <c r="H655" s="532"/>
      <c r="I655" s="532"/>
      <c r="J655" s="532"/>
      <c r="K655" s="532"/>
      <c r="L655" s="532"/>
    </row>
    <row r="656" spans="1:12">
      <c r="A656" s="343" t="str">
        <f>co_name</f>
        <v>DUKE ENERGY KENTUCKY, INC.</v>
      </c>
      <c r="C656" s="196"/>
      <c r="D656" s="344"/>
      <c r="E656" s="196"/>
      <c r="F656" s="344"/>
      <c r="G656" s="342"/>
      <c r="H656" s="342"/>
      <c r="I656" s="196"/>
      <c r="K656" s="361" t="str">
        <f>$K$1</f>
        <v>FR-16(7)(v)-3</v>
      </c>
      <c r="L656" s="196"/>
    </row>
    <row r="657" spans="1:12">
      <c r="A657" s="343" t="str">
        <f>$A$2</f>
        <v>PRODUCTION COMMODITY ALLOCATED - GAS COST OF SERVICE</v>
      </c>
      <c r="C657" s="196"/>
      <c r="D657" s="344"/>
      <c r="E657" s="196"/>
      <c r="F657" s="344"/>
      <c r="G657" s="342"/>
      <c r="H657" s="342"/>
      <c r="I657" s="196"/>
      <c r="K657" s="361" t="str">
        <f>$K$2</f>
        <v>WITNESS RESPONSIBLE:</v>
      </c>
      <c r="L657" s="196"/>
    </row>
    <row r="658" spans="1:12">
      <c r="A658" s="343" t="str">
        <f>case_name</f>
        <v>CASE NO: 2018-00261</v>
      </c>
      <c r="C658" s="196"/>
      <c r="D658" s="344"/>
      <c r="E658" s="196"/>
      <c r="F658" s="344"/>
      <c r="G658" s="342"/>
      <c r="H658" s="342"/>
      <c r="I658" s="196"/>
      <c r="K658" s="361" t="str">
        <f>Witness</f>
        <v>JAMES E. ZIOLKOWSKI</v>
      </c>
      <c r="L658" s="196"/>
    </row>
    <row r="659" spans="1:12">
      <c r="A659" s="343" t="str">
        <f>data_filing</f>
        <v>DATA: 12 MONTH FORECASTED PERIOD</v>
      </c>
      <c r="C659" s="196"/>
      <c r="D659" s="344"/>
      <c r="E659" s="196"/>
      <c r="F659" s="344"/>
      <c r="G659" s="342"/>
      <c r="H659" s="342"/>
      <c r="I659" s="196"/>
      <c r="K659" s="361" t="str">
        <f>"PAGE "&amp;Pages-3&amp;" OF "&amp;Pages</f>
        <v>PAGE 15 OF 18</v>
      </c>
      <c r="L659" s="196"/>
    </row>
    <row r="660" spans="1:12">
      <c r="A660" s="343" t="str">
        <f>type</f>
        <v xml:space="preserve">TYPE OF FILING: "X" ORIGINAL   UPDATED    REVISED  </v>
      </c>
      <c r="C660" s="196"/>
      <c r="D660" s="344"/>
      <c r="E660" s="196"/>
      <c r="F660" s="344"/>
      <c r="G660" s="342"/>
      <c r="H660" s="342"/>
      <c r="I660" s="196"/>
      <c r="J660" s="344"/>
      <c r="K660" s="196"/>
      <c r="L660" s="196"/>
    </row>
    <row r="661" spans="1:12">
      <c r="B661" s="343"/>
      <c r="C661" s="196"/>
      <c r="D661" s="344"/>
      <c r="E661" s="196"/>
      <c r="F661" s="344"/>
      <c r="G661" s="196"/>
      <c r="H661" s="196"/>
      <c r="I661" s="196"/>
      <c r="J661" s="344"/>
      <c r="K661" s="196"/>
      <c r="L661" s="196"/>
    </row>
    <row r="662" spans="1:12">
      <c r="B662" s="343"/>
      <c r="C662" s="196"/>
      <c r="D662" s="344"/>
      <c r="E662" s="196"/>
      <c r="F662" s="344" t="str">
        <f>$F$7</f>
        <v>TOTAL</v>
      </c>
      <c r="G662" s="196"/>
      <c r="H662" s="196"/>
      <c r="I662" s="196"/>
      <c r="J662" s="344"/>
      <c r="K662" s="196"/>
      <c r="L662" s="196"/>
    </row>
    <row r="663" spans="1:12">
      <c r="A663" s="344" t="s">
        <v>914</v>
      </c>
      <c r="B663" s="196"/>
      <c r="C663" s="196"/>
      <c r="D663" s="344"/>
      <c r="E663" s="196"/>
      <c r="F663" s="344" t="str">
        <f>$F$8</f>
        <v>PRODUCTION</v>
      </c>
      <c r="G663" s="344" t="s">
        <v>418</v>
      </c>
      <c r="H663" s="344" t="s">
        <v>864</v>
      </c>
      <c r="I663" s="344" t="s">
        <v>865</v>
      </c>
      <c r="J663" s="344" t="s">
        <v>549</v>
      </c>
      <c r="K663" s="344" t="s">
        <v>229</v>
      </c>
      <c r="L663" s="344" t="s">
        <v>342</v>
      </c>
    </row>
    <row r="664" spans="1:12">
      <c r="A664" s="346" t="s">
        <v>915</v>
      </c>
      <c r="B664" s="345" t="s">
        <v>83</v>
      </c>
      <c r="C664" s="345"/>
      <c r="D664" s="346" t="s">
        <v>337</v>
      </c>
      <c r="E664" s="345"/>
      <c r="F664" s="344" t="str">
        <f>$F$9</f>
        <v>COMMODITY</v>
      </c>
      <c r="G664" s="346" t="s">
        <v>338</v>
      </c>
      <c r="H664" s="346" t="s">
        <v>405</v>
      </c>
      <c r="I664" s="346" t="s">
        <v>405</v>
      </c>
      <c r="J664" s="346" t="s">
        <v>550</v>
      </c>
      <c r="K664" s="346" t="s">
        <v>341</v>
      </c>
      <c r="L664" s="346" t="s">
        <v>340</v>
      </c>
    </row>
    <row r="665" spans="1:12">
      <c r="C665" s="578" t="s">
        <v>353</v>
      </c>
      <c r="D665" s="344"/>
      <c r="E665" s="196"/>
      <c r="F665" s="761"/>
      <c r="G665" s="633">
        <f>$G$10</f>
        <v>3</v>
      </c>
      <c r="H665" s="633">
        <f>$H$10</f>
        <v>4</v>
      </c>
      <c r="I665" s="633">
        <f>$I$10</f>
        <v>5</v>
      </c>
      <c r="J665" s="633">
        <f>$J$10</f>
        <v>6</v>
      </c>
    </row>
    <row r="666" spans="1:12">
      <c r="A666" s="333">
        <v>1</v>
      </c>
      <c r="B666" s="332" t="s">
        <v>84</v>
      </c>
      <c r="D666" s="344"/>
      <c r="E666" s="196"/>
      <c r="I666" s="332"/>
    </row>
    <row r="667" spans="1:12">
      <c r="A667" s="333">
        <v>2</v>
      </c>
      <c r="B667" s="332" t="s">
        <v>85</v>
      </c>
      <c r="D667" s="344"/>
      <c r="E667" s="196"/>
      <c r="G667" s="519" t="s">
        <v>339</v>
      </c>
      <c r="I667" s="332"/>
    </row>
    <row r="668" spans="1:12">
      <c r="A668" s="333">
        <v>3</v>
      </c>
      <c r="C668" s="332" t="str">
        <f>'FR-16(7)(v)-1 Functional'!C668</f>
        <v>LONG TERM DEBT</v>
      </c>
      <c r="D668" s="344"/>
      <c r="E668" s="196"/>
      <c r="F668" s="479">
        <f>'FR-16(7)(v)-2 PROD Classified'!$F$668</f>
        <v>518128763</v>
      </c>
      <c r="G668" s="350">
        <f>IF($F$673=0,0,ROUND(F668/$F$673,5))</f>
        <v>0.42338999999999999</v>
      </c>
      <c r="I668" s="332"/>
    </row>
    <row r="669" spans="1:12">
      <c r="A669" s="333">
        <v>4</v>
      </c>
      <c r="C669" s="332" t="str">
        <f>'FR-16(7)(v)-1 Functional'!C669</f>
        <v>PREFERRED STOCK</v>
      </c>
      <c r="D669" s="344"/>
      <c r="E669" s="196"/>
      <c r="F669" s="479">
        <f>'FR-16(7)(v)-2 PROD Classified'!$F$669</f>
        <v>0</v>
      </c>
      <c r="G669" s="350">
        <f>IF($F$673=0,0,ROUND(F669/$F$673,5))</f>
        <v>0</v>
      </c>
      <c r="I669" s="332"/>
    </row>
    <row r="670" spans="1:12">
      <c r="A670" s="333">
        <v>5</v>
      </c>
      <c r="C670" s="332" t="str">
        <f>'FR-16(7)(v)-1 Functional'!C670</f>
        <v>COMMON STOCK</v>
      </c>
      <c r="D670" s="344"/>
      <c r="E670" s="196"/>
      <c r="F670" s="479">
        <f>'FR-16(7)(v)-2 PROD Classified'!$F$670</f>
        <v>621113054</v>
      </c>
      <c r="G670" s="350">
        <f>1-G668-G669-G671-G672</f>
        <v>0.50755000000000006</v>
      </c>
      <c r="I670" s="332"/>
    </row>
    <row r="671" spans="1:12">
      <c r="A671" s="333">
        <v>6</v>
      </c>
      <c r="C671" s="332" t="str">
        <f>'FR-16(7)(v)-1 Functional'!C671</f>
        <v>SHORT TERM DEBT</v>
      </c>
      <c r="D671" s="344"/>
      <c r="E671" s="196"/>
      <c r="F671" s="479">
        <f>'FR-16(7)(v)-2 PROD Classified'!$F$671</f>
        <v>84508435</v>
      </c>
      <c r="G671" s="350">
        <f>IF($F$673=0,0,ROUND(F671/$F$673,5))</f>
        <v>6.9059999999999996E-2</v>
      </c>
      <c r="I671" s="332"/>
    </row>
    <row r="672" spans="1:12">
      <c r="A672" s="333">
        <v>7</v>
      </c>
      <c r="C672" s="332" t="str">
        <f>'FR-16(7)(v)-1 Functional'!C672</f>
        <v>UNAMORTIZED DISCOUNT</v>
      </c>
      <c r="D672" s="344"/>
      <c r="E672" s="196"/>
      <c r="F672" s="479">
        <f>'FR-16(7)(v)-2 PROD Classified'!$F$672</f>
        <v>0</v>
      </c>
      <c r="G672" s="350">
        <f>IF($F$673=0,0,ROUND(F672/$F$673,5))</f>
        <v>0</v>
      </c>
      <c r="I672" s="332"/>
    </row>
    <row r="673" spans="1:9">
      <c r="A673" s="333">
        <v>8</v>
      </c>
      <c r="C673" s="332" t="str">
        <f>'FR-16(7)(v)-1 Functional'!C673</f>
        <v xml:space="preserve">  TOTAL</v>
      </c>
      <c r="D673" s="344"/>
      <c r="E673" s="196"/>
      <c r="F673" s="480">
        <f>SUM(F667:F672)</f>
        <v>1223750252</v>
      </c>
      <c r="G673" s="521">
        <f>SUM(G668:G672)</f>
        <v>1</v>
      </c>
      <c r="I673" s="332"/>
    </row>
    <row r="674" spans="1:9">
      <c r="A674" s="333">
        <v>9</v>
      </c>
      <c r="D674" s="344"/>
      <c r="E674" s="196"/>
      <c r="I674" s="332"/>
    </row>
    <row r="675" spans="1:9">
      <c r="A675" s="333">
        <v>10</v>
      </c>
      <c r="B675" s="332" t="s">
        <v>86</v>
      </c>
      <c r="D675" s="344"/>
      <c r="E675" s="196"/>
      <c r="I675" s="332"/>
    </row>
    <row r="676" spans="1:9">
      <c r="A676" s="333">
        <v>11</v>
      </c>
      <c r="C676" s="332" t="str">
        <f>'FR-16(7)(v)-1 Functional'!C676</f>
        <v>LONG TERM DEBT</v>
      </c>
      <c r="D676" s="344"/>
      <c r="E676" s="196"/>
      <c r="F676" s="586">
        <f>'FR-16(7)(v)-2 PROD Classified'!$F$676</f>
        <v>4.3979999999999998E-2</v>
      </c>
      <c r="I676" s="332"/>
    </row>
    <row r="677" spans="1:9">
      <c r="A677" s="333">
        <v>12</v>
      </c>
      <c r="C677" s="332" t="str">
        <f>'FR-16(7)(v)-1 Functional'!C677</f>
        <v>PREFERRED STOCK</v>
      </c>
      <c r="D677" s="344"/>
      <c r="E677" s="196"/>
      <c r="F677" s="586">
        <f>'FR-16(7)(v)-2 PROD Classified'!$F$677</f>
        <v>0</v>
      </c>
      <c r="I677" s="332"/>
    </row>
    <row r="678" spans="1:9">
      <c r="A678" s="333">
        <v>13</v>
      </c>
      <c r="C678" s="332" t="str">
        <f>'FR-16(7)(v)-1 Functional'!C678</f>
        <v>COMMON STOCK</v>
      </c>
      <c r="D678" s="344"/>
      <c r="E678" s="196"/>
      <c r="F678" s="586">
        <f>'FR-16(7)(v)-2 PROD Classified'!$F$678</f>
        <v>9.9000000000000005E-2</v>
      </c>
      <c r="I678" s="332"/>
    </row>
    <row r="679" spans="1:9">
      <c r="A679" s="333">
        <v>14</v>
      </c>
      <c r="C679" s="332" t="str">
        <f>'FR-16(7)(v)-1 Functional'!C679</f>
        <v>SHORT TERM DEBT</v>
      </c>
      <c r="D679" s="344"/>
      <c r="E679" s="196"/>
      <c r="F679" s="586">
        <f>'FR-16(7)(v)-2 PROD Classified'!$F$679</f>
        <v>4.2500000000000003E-2</v>
      </c>
      <c r="I679" s="332"/>
    </row>
    <row r="680" spans="1:9">
      <c r="A680" s="333">
        <v>15</v>
      </c>
      <c r="C680" s="332" t="str">
        <f>'FR-16(7)(v)-1 Functional'!C680</f>
        <v>UNAMORTIZED DISCOUNT</v>
      </c>
      <c r="D680" s="344"/>
      <c r="E680" s="196"/>
      <c r="F680" s="586">
        <f>'FR-16(7)(v)-2 PROD Classified'!$F$680</f>
        <v>0</v>
      </c>
      <c r="I680" s="332"/>
    </row>
    <row r="681" spans="1:9">
      <c r="A681" s="333">
        <v>16</v>
      </c>
      <c r="D681" s="344"/>
      <c r="E681" s="196"/>
      <c r="I681" s="332"/>
    </row>
    <row r="682" spans="1:9">
      <c r="A682" s="333">
        <v>17</v>
      </c>
      <c r="B682" s="332" t="s">
        <v>87</v>
      </c>
      <c r="D682" s="344"/>
      <c r="E682" s="196"/>
      <c r="I682" s="332"/>
    </row>
    <row r="683" spans="1:9">
      <c r="A683" s="333">
        <v>18</v>
      </c>
      <c r="C683" s="332" t="str">
        <f>'FR-16(7)(v)-1 Functional'!C683</f>
        <v>LONG TERM DEBT</v>
      </c>
      <c r="D683" s="344"/>
      <c r="E683" s="196"/>
      <c r="F683" s="350">
        <f>ROUND(G668*F676,5)</f>
        <v>1.8620000000000001E-2</v>
      </c>
      <c r="I683" s="332"/>
    </row>
    <row r="684" spans="1:9">
      <c r="A684" s="333">
        <v>19</v>
      </c>
      <c r="C684" s="332" t="str">
        <f>'FR-16(7)(v)-1 Functional'!C684</f>
        <v>PREFERRED STOCK</v>
      </c>
      <c r="D684" s="344"/>
      <c r="E684" s="196"/>
      <c r="F684" s="350">
        <f>ROUND(G669*F677,5)</f>
        <v>0</v>
      </c>
      <c r="I684" s="332"/>
    </row>
    <row r="685" spans="1:9">
      <c r="A685" s="333">
        <v>20</v>
      </c>
      <c r="C685" s="332" t="str">
        <f>'FR-16(7)(v)-1 Functional'!C685</f>
        <v>COMMON STOCK</v>
      </c>
      <c r="D685" s="344"/>
      <c r="E685" s="196"/>
      <c r="F685" s="350">
        <f>ROUND(G670*F678,5)</f>
        <v>5.0250000000000003E-2</v>
      </c>
      <c r="I685" s="332"/>
    </row>
    <row r="686" spans="1:9">
      <c r="A686" s="333">
        <v>21</v>
      </c>
      <c r="C686" s="332" t="str">
        <f>'FR-16(7)(v)-1 Functional'!C686</f>
        <v>SHORT TERM DEBT</v>
      </c>
      <c r="D686" s="344"/>
      <c r="E686" s="196"/>
      <c r="F686" s="350">
        <f>ROUND(G671*F679,5)</f>
        <v>2.9399999999999999E-3</v>
      </c>
      <c r="I686" s="332"/>
    </row>
    <row r="687" spans="1:9">
      <c r="A687" s="333">
        <v>22</v>
      </c>
      <c r="C687" s="332" t="str">
        <f>'FR-16(7)(v)-1 Functional'!C687</f>
        <v>UNAMORTIZED DISCOUNT</v>
      </c>
      <c r="D687" s="344"/>
      <c r="E687" s="196"/>
      <c r="F687" s="350">
        <f>ROUND(G672*F680,5)</f>
        <v>0</v>
      </c>
      <c r="H687" s="353"/>
      <c r="I687" s="332"/>
    </row>
    <row r="688" spans="1:9">
      <c r="A688" s="333">
        <v>23</v>
      </c>
      <c r="C688" s="332" t="str">
        <f>'FR-16(7)(v)-1 Functional'!C688</f>
        <v xml:space="preserve">  TOT RATE OF RETURN ALLOWABLE</v>
      </c>
      <c r="D688" s="344"/>
      <c r="E688" s="196"/>
      <c r="F688" s="1487">
        <f>SUM(F683:F687)</f>
        <v>7.1809999999999999E-2</v>
      </c>
      <c r="H688" s="353"/>
      <c r="I688" s="332"/>
    </row>
    <row r="689" spans="1:17">
      <c r="A689" s="333">
        <v>24</v>
      </c>
      <c r="D689" s="344"/>
      <c r="E689" s="196"/>
      <c r="H689" s="353"/>
      <c r="I689" s="332"/>
    </row>
    <row r="690" spans="1:17">
      <c r="A690" s="333">
        <v>25</v>
      </c>
      <c r="B690" s="332" t="s">
        <v>88</v>
      </c>
      <c r="D690" s="344"/>
      <c r="E690" s="196"/>
      <c r="H690" s="353"/>
      <c r="I690" s="332"/>
    </row>
    <row r="691" spans="1:17">
      <c r="A691" s="333">
        <v>26</v>
      </c>
      <c r="C691" s="332" t="str">
        <f>'FR-16(7)(v)-1 Functional'!C691</f>
        <v>SHORT TERM DEBT COST</v>
      </c>
      <c r="D691" s="344"/>
      <c r="E691" s="196"/>
      <c r="F691" s="766">
        <v>0</v>
      </c>
      <c r="G691" s="525">
        <f t="shared" ref="G691:L691" si="190">$F$691</f>
        <v>0</v>
      </c>
      <c r="H691" s="525">
        <f t="shared" si="190"/>
        <v>0</v>
      </c>
      <c r="I691" s="525">
        <f t="shared" si="190"/>
        <v>0</v>
      </c>
      <c r="J691" s="525">
        <f t="shared" si="190"/>
        <v>0</v>
      </c>
      <c r="K691" s="525">
        <f t="shared" si="190"/>
        <v>0</v>
      </c>
      <c r="L691" s="525">
        <f t="shared" si="190"/>
        <v>0</v>
      </c>
    </row>
    <row r="692" spans="1:17">
      <c r="A692" s="333">
        <v>27</v>
      </c>
      <c r="C692" s="332" t="str">
        <f>'FR-16(7)(v)-1 Functional'!C692</f>
        <v>FEDERAL INCOME TAX RATE</v>
      </c>
      <c r="D692" s="344"/>
      <c r="E692" s="196"/>
      <c r="F692" s="522">
        <v>0.21</v>
      </c>
      <c r="G692" s="525">
        <f t="shared" ref="G692:L692" si="191">FIT</f>
        <v>0.21</v>
      </c>
      <c r="H692" s="525">
        <f t="shared" si="191"/>
        <v>0.21</v>
      </c>
      <c r="I692" s="525">
        <f t="shared" si="191"/>
        <v>0.21</v>
      </c>
      <c r="J692" s="525">
        <f t="shared" si="191"/>
        <v>0.21</v>
      </c>
      <c r="K692" s="525">
        <f t="shared" si="191"/>
        <v>0.21</v>
      </c>
      <c r="L692" s="525">
        <f t="shared" si="191"/>
        <v>0.21</v>
      </c>
    </row>
    <row r="693" spans="1:17">
      <c r="A693" s="333">
        <v>28</v>
      </c>
      <c r="C693" s="332" t="str">
        <f>'FR-16(7)(v)-1 Functional'!C693</f>
        <v>STATE INCOME TAX RATE</v>
      </c>
      <c r="D693" s="344"/>
      <c r="E693" s="196"/>
      <c r="F693" s="525">
        <f t="shared" ref="F693:L693" si="192">SIT</f>
        <v>4.9685000000000007E-2</v>
      </c>
      <c r="G693" s="525">
        <f t="shared" si="192"/>
        <v>4.9685000000000007E-2</v>
      </c>
      <c r="H693" s="525">
        <f t="shared" si="192"/>
        <v>4.9685000000000007E-2</v>
      </c>
      <c r="I693" s="525">
        <f t="shared" si="192"/>
        <v>4.9685000000000007E-2</v>
      </c>
      <c r="J693" s="525">
        <f t="shared" si="192"/>
        <v>4.9685000000000007E-2</v>
      </c>
      <c r="K693" s="525">
        <f t="shared" si="192"/>
        <v>4.9685000000000007E-2</v>
      </c>
      <c r="L693" s="525">
        <f t="shared" si="192"/>
        <v>4.9685000000000007E-2</v>
      </c>
    </row>
    <row r="694" spans="1:17">
      <c r="A694" s="333">
        <v>29</v>
      </c>
      <c r="C694" s="332" t="str">
        <f>'FR-16(7)(v)-1 Functional'!C694</f>
        <v>REVENUE TAX RATE</v>
      </c>
      <c r="D694" s="344"/>
      <c r="E694" s="196"/>
      <c r="F694" s="522">
        <v>0</v>
      </c>
      <c r="G694" s="525">
        <f t="shared" ref="G694:L694" si="193">RevTax</f>
        <v>0</v>
      </c>
      <c r="H694" s="525">
        <f t="shared" si="193"/>
        <v>0</v>
      </c>
      <c r="I694" s="525">
        <f t="shared" si="193"/>
        <v>0</v>
      </c>
      <c r="J694" s="525">
        <f t="shared" si="193"/>
        <v>0</v>
      </c>
      <c r="K694" s="525">
        <f t="shared" si="193"/>
        <v>0</v>
      </c>
      <c r="L694" s="525">
        <f t="shared" si="193"/>
        <v>0</v>
      </c>
    </row>
    <row r="695" spans="1:17">
      <c r="A695" s="196"/>
      <c r="B695" s="196"/>
      <c r="C695" s="196"/>
      <c r="D695" s="344"/>
      <c r="E695" s="344"/>
      <c r="H695" s="353"/>
      <c r="J695" s="588"/>
      <c r="K695" s="353"/>
      <c r="M695" s="196"/>
      <c r="N695" s="196"/>
      <c r="O695" s="196"/>
      <c r="P695" s="196"/>
      <c r="Q695" s="196"/>
    </row>
    <row r="696" spans="1:17">
      <c r="A696" s="343" t="str">
        <f>co_name</f>
        <v>DUKE ENERGY KENTUCKY, INC.</v>
      </c>
      <c r="C696" s="196"/>
      <c r="D696" s="344"/>
      <c r="E696" s="196"/>
      <c r="F696" s="344"/>
      <c r="G696" s="342"/>
      <c r="H696" s="342"/>
      <c r="I696" s="196"/>
      <c r="K696" s="361" t="str">
        <f>$K$1</f>
        <v>FR-16(7)(v)-3</v>
      </c>
      <c r="M696" s="196"/>
      <c r="N696" s="196"/>
      <c r="O696" s="196"/>
      <c r="P696" s="196"/>
      <c r="Q696" s="196"/>
    </row>
    <row r="697" spans="1:17">
      <c r="A697" s="343" t="str">
        <f>$A$2</f>
        <v>PRODUCTION COMMODITY ALLOCATED - GAS COST OF SERVICE</v>
      </c>
      <c r="C697" s="196"/>
      <c r="D697" s="344"/>
      <c r="E697" s="196"/>
      <c r="F697" s="344"/>
      <c r="G697" s="342"/>
      <c r="H697" s="342"/>
      <c r="I697" s="196"/>
      <c r="K697" s="361" t="str">
        <f>$K$2</f>
        <v>WITNESS RESPONSIBLE:</v>
      </c>
      <c r="M697" s="196"/>
      <c r="N697" s="196"/>
      <c r="O697" s="196"/>
      <c r="P697" s="196"/>
      <c r="Q697" s="196"/>
    </row>
    <row r="698" spans="1:17">
      <c r="A698" s="343" t="str">
        <f>case_name</f>
        <v>CASE NO: 2018-00261</v>
      </c>
      <c r="C698" s="196"/>
      <c r="D698" s="344"/>
      <c r="E698" s="196"/>
      <c r="F698" s="344"/>
      <c r="G698" s="342"/>
      <c r="H698" s="342"/>
      <c r="I698" s="196"/>
      <c r="K698" s="361" t="str">
        <f>Witness</f>
        <v>JAMES E. ZIOLKOWSKI</v>
      </c>
      <c r="M698" s="196"/>
      <c r="N698" s="196"/>
      <c r="O698" s="196"/>
      <c r="P698" s="196"/>
      <c r="Q698" s="196"/>
    </row>
    <row r="699" spans="1:17">
      <c r="A699" s="343" t="str">
        <f>data_filing</f>
        <v>DATA: 12 MONTH FORECASTED PERIOD</v>
      </c>
      <c r="C699" s="196"/>
      <c r="D699" s="344"/>
      <c r="E699" s="196"/>
      <c r="F699" s="344"/>
      <c r="G699" s="342"/>
      <c r="H699" s="342"/>
      <c r="I699" s="196"/>
      <c r="K699" s="361" t="str">
        <f>"PAGE "&amp;Pages-2&amp;" OF "&amp;Pages</f>
        <v>PAGE 16 OF 18</v>
      </c>
      <c r="M699" s="196"/>
      <c r="N699" s="196"/>
      <c r="O699" s="196"/>
      <c r="P699" s="196"/>
      <c r="Q699" s="196"/>
    </row>
    <row r="700" spans="1:17">
      <c r="A700" s="343" t="str">
        <f>type</f>
        <v xml:space="preserve">TYPE OF FILING: "X" ORIGINAL   UPDATED    REVISED  </v>
      </c>
      <c r="C700" s="196"/>
      <c r="D700" s="344"/>
      <c r="E700" s="196"/>
      <c r="F700" s="344"/>
      <c r="G700" s="342"/>
      <c r="H700" s="342"/>
      <c r="I700" s="196"/>
      <c r="J700" s="344"/>
      <c r="K700" s="196"/>
      <c r="M700" s="196"/>
      <c r="N700" s="196"/>
      <c r="O700" s="196"/>
      <c r="P700" s="196"/>
      <c r="Q700" s="196"/>
    </row>
    <row r="701" spans="1:17">
      <c r="A701" s="196"/>
      <c r="B701" s="196"/>
      <c r="C701" s="196"/>
      <c r="D701" s="344"/>
      <c r="E701" s="344"/>
      <c r="F701" s="344"/>
      <c r="H701" s="353"/>
      <c r="J701" s="588"/>
      <c r="K701" s="353"/>
      <c r="M701" s="196"/>
      <c r="N701" s="196"/>
      <c r="O701" s="196"/>
      <c r="P701" s="196"/>
      <c r="Q701" s="196"/>
    </row>
    <row r="702" spans="1:17" ht="13.5" thickBot="1">
      <c r="A702" s="196"/>
      <c r="B702" s="196"/>
      <c r="C702" s="196"/>
      <c r="D702" s="344"/>
      <c r="E702" s="344"/>
      <c r="F702" s="344" t="str">
        <f>$F$7</f>
        <v>TOTAL</v>
      </c>
      <c r="H702" s="353"/>
      <c r="J702" s="588"/>
      <c r="K702" s="353"/>
      <c r="M702" s="196"/>
      <c r="N702" s="196"/>
      <c r="O702" s="196"/>
      <c r="P702" s="196"/>
      <c r="Q702" s="196"/>
    </row>
    <row r="703" spans="1:17">
      <c r="A703" s="344" t="s">
        <v>914</v>
      </c>
      <c r="B703" s="196"/>
      <c r="C703" s="196"/>
      <c r="D703" s="344"/>
      <c r="E703" s="344"/>
      <c r="F703" s="344" t="str">
        <f>$F$8</f>
        <v>PRODUCTION</v>
      </c>
      <c r="G703" s="589" t="str">
        <f>$G$8</f>
        <v>RS</v>
      </c>
      <c r="H703" s="588" t="s">
        <v>864</v>
      </c>
      <c r="I703" s="588" t="s">
        <v>865</v>
      </c>
      <c r="J703" s="588" t="str">
        <f>$J$8</f>
        <v>INTERUPT</v>
      </c>
      <c r="K703" s="588" t="s">
        <v>229</v>
      </c>
      <c r="L703" s="589" t="s">
        <v>342</v>
      </c>
      <c r="M703" s="196"/>
      <c r="N703" s="196"/>
      <c r="P703" s="661" t="s">
        <v>1009</v>
      </c>
      <c r="Q703" s="196"/>
    </row>
    <row r="704" spans="1:17">
      <c r="A704" s="346" t="s">
        <v>915</v>
      </c>
      <c r="B704" s="590" t="s">
        <v>89</v>
      </c>
      <c r="C704" s="345"/>
      <c r="D704" s="591" t="s">
        <v>1011</v>
      </c>
      <c r="E704" s="591" t="s">
        <v>337</v>
      </c>
      <c r="F704" s="344" t="str">
        <f>$F$9</f>
        <v>COMMODITY</v>
      </c>
      <c r="G704" s="592" t="str">
        <f>$G$9</f>
        <v>RESIDENTIAL</v>
      </c>
      <c r="H704" s="593" t="str">
        <f>$H$9</f>
        <v>GEN SERV</v>
      </c>
      <c r="I704" s="593" t="str">
        <f>H9</f>
        <v>GEN SERV</v>
      </c>
      <c r="J704" s="593" t="str">
        <f>$J$9</f>
        <v>TRANS</v>
      </c>
      <c r="K704" s="593" t="s">
        <v>341</v>
      </c>
      <c r="L704" s="592" t="s">
        <v>340</v>
      </c>
      <c r="M704" s="196"/>
      <c r="N704" s="196"/>
      <c r="P704" s="662" t="s">
        <v>1008</v>
      </c>
      <c r="Q704" s="196"/>
    </row>
    <row r="705" spans="1:17">
      <c r="A705" s="196"/>
      <c r="B705" s="594"/>
      <c r="C705" s="845" t="s">
        <v>561</v>
      </c>
      <c r="D705" s="718"/>
      <c r="E705" s="821">
        <v>1</v>
      </c>
      <c r="F705" s="822">
        <v>2</v>
      </c>
      <c r="G705" s="633">
        <v>3</v>
      </c>
      <c r="H705" s="633">
        <v>4</v>
      </c>
      <c r="I705" s="633">
        <v>5</v>
      </c>
      <c r="J705" s="633">
        <v>6</v>
      </c>
      <c r="K705" s="595"/>
      <c r="L705" s="596"/>
      <c r="M705" s="368"/>
      <c r="N705" s="196"/>
      <c r="P705" s="663"/>
      <c r="Q705" s="368"/>
    </row>
    <row r="706" spans="1:17">
      <c r="A706" s="344">
        <v>1</v>
      </c>
      <c r="B706" s="597" t="s">
        <v>90</v>
      </c>
      <c r="C706" s="490"/>
      <c r="D706" s="712"/>
      <c r="E706" s="712"/>
      <c r="F706" s="510"/>
      <c r="G706" s="510"/>
      <c r="H706" s="490"/>
      <c r="I706" s="510"/>
      <c r="J706" s="510"/>
      <c r="K706" s="510"/>
      <c r="L706" s="510"/>
      <c r="N706" s="196"/>
      <c r="P706" s="664"/>
    </row>
    <row r="707" spans="1:17">
      <c r="A707" s="344">
        <v>2</v>
      </c>
      <c r="C707" s="598" t="s">
        <v>221</v>
      </c>
      <c r="D707" s="723" t="s">
        <v>1012</v>
      </c>
      <c r="E707" s="713"/>
      <c r="F707" s="479">
        <f>'Alloc Factors Summary'!$D$16</f>
        <v>10485450</v>
      </c>
      <c r="G707" s="479">
        <f>'Alloc Factors Summary'!$D12</f>
        <v>5314682</v>
      </c>
      <c r="H707" s="479">
        <f>'Alloc Factors Summary'!$D13</f>
        <v>3027396</v>
      </c>
      <c r="I707" s="479">
        <f>'Alloc Factors Summary'!D14</f>
        <v>2143372</v>
      </c>
      <c r="J707" s="479">
        <f>'Alloc Factors Summary'!D15</f>
        <v>0</v>
      </c>
      <c r="K707" s="349">
        <f t="shared" ref="K707:K742" si="194">SUM(G707:J707)</f>
        <v>10485450</v>
      </c>
      <c r="L707" s="349">
        <f t="shared" ref="L707:L742" si="195">F707-K707</f>
        <v>0</v>
      </c>
      <c r="M707" s="196"/>
      <c r="N707" s="196"/>
      <c r="P707" s="663"/>
      <c r="Q707" s="196"/>
    </row>
    <row r="708" spans="1:17">
      <c r="A708" s="344">
        <v>3</v>
      </c>
      <c r="B708" s="196"/>
      <c r="C708" s="497" t="s">
        <v>355</v>
      </c>
      <c r="D708" s="589"/>
      <c r="E708" s="714" t="str">
        <f>'FR-16(7)(v)-1 Functional'!$E$708</f>
        <v>K201</v>
      </c>
      <c r="F708" s="356">
        <f>IF($F707=0,0,ROUND(F707/$F707,5))</f>
        <v>1</v>
      </c>
      <c r="G708" s="356">
        <f>IF($L707=0,F708-SUM(H708:J708),ROUND(G707/$F707,5))</f>
        <v>0.50687000000000004</v>
      </c>
      <c r="H708" s="356">
        <f>IF($F707=0,0,ROUND(H707/$F707,5))</f>
        <v>0.28871999999999998</v>
      </c>
      <c r="I708" s="356">
        <f>IF(F707=0,0,ROUND(I707/F707,5))</f>
        <v>0.20441000000000001</v>
      </c>
      <c r="J708" s="356">
        <f>IF(G707=0,0,ROUND(J707/F707,5))</f>
        <v>0</v>
      </c>
      <c r="K708" s="356">
        <f t="shared" si="194"/>
        <v>1</v>
      </c>
      <c r="L708" s="356">
        <f t="shared" si="195"/>
        <v>0</v>
      </c>
      <c r="M708" s="196"/>
      <c r="N708" s="196"/>
      <c r="P708" s="665">
        <f>K708</f>
        <v>1</v>
      </c>
      <c r="Q708" s="196"/>
    </row>
    <row r="709" spans="1:17">
      <c r="A709" s="344">
        <v>4</v>
      </c>
      <c r="C709" s="598" t="s">
        <v>862</v>
      </c>
      <c r="D709" s="723" t="s">
        <v>1012</v>
      </c>
      <c r="E709" s="729"/>
      <c r="F709" s="604">
        <v>100</v>
      </c>
      <c r="G709" s="586">
        <f>ROUND('Alloc Factors Summary'!$D$21*100,3)</f>
        <v>56.466999999999999</v>
      </c>
      <c r="H709" s="586">
        <f>ROUND('Alloc Factors Summary'!$D$22*100,3)</f>
        <v>29.523</v>
      </c>
      <c r="I709" s="586">
        <f>ROUND('Alloc Factors Summary'!D23*100,3)</f>
        <v>10.913</v>
      </c>
      <c r="J709" s="586">
        <f>ROUND('Alloc Factors Summary'!D24*100,3)</f>
        <v>3.097</v>
      </c>
      <c r="K709" s="356">
        <f t="shared" si="194"/>
        <v>99.999999999999986</v>
      </c>
      <c r="L709" s="356">
        <f t="shared" si="195"/>
        <v>0</v>
      </c>
      <c r="N709" s="196"/>
      <c r="P709" s="664"/>
    </row>
    <row r="710" spans="1:17">
      <c r="A710" s="344">
        <v>5</v>
      </c>
      <c r="B710" s="196"/>
      <c r="C710" s="497" t="s">
        <v>355</v>
      </c>
      <c r="D710" s="589"/>
      <c r="E710" s="714" t="str">
        <f>'FR-16(7)(v)-1 Functional'!$E$710</f>
        <v>K203</v>
      </c>
      <c r="F710" s="356">
        <f>IF($F709=0,0,ROUND(F709/$F709,5))</f>
        <v>1</v>
      </c>
      <c r="G710" s="356">
        <f>IF($L709=0,F710-SUM(H710:J710),ROUND(G709/$F709,5))</f>
        <v>0.56467000000000001</v>
      </c>
      <c r="H710" s="356">
        <f>IF($F709=0,0,ROUND(H709/$F709,5))</f>
        <v>0.29522999999999999</v>
      </c>
      <c r="I710" s="356">
        <f>IF(F709=0,0,ROUND(I709/F709,5))</f>
        <v>0.10913</v>
      </c>
      <c r="J710" s="356">
        <f>IF(G709=0,0,ROUND(J709/F709,5))</f>
        <v>3.0970000000000001E-2</v>
      </c>
      <c r="K710" s="356">
        <f t="shared" si="194"/>
        <v>1</v>
      </c>
      <c r="L710" s="356">
        <f t="shared" si="195"/>
        <v>0</v>
      </c>
      <c r="M710" s="196"/>
      <c r="N710" s="196"/>
      <c r="P710" s="665">
        <f>K710</f>
        <v>1</v>
      </c>
      <c r="Q710" s="196"/>
    </row>
    <row r="711" spans="1:17">
      <c r="A711" s="344">
        <v>6</v>
      </c>
      <c r="C711" s="598" t="s">
        <v>863</v>
      </c>
      <c r="D711" s="723" t="s">
        <v>1012</v>
      </c>
      <c r="E711" s="729"/>
      <c r="F711" s="604">
        <v>100</v>
      </c>
      <c r="G711" s="586">
        <f>ROUND('Alloc Factors Summary'!$E21*100,3)</f>
        <v>58.337000000000003</v>
      </c>
      <c r="H711" s="586">
        <f>ROUND('Alloc Factors Summary'!$E22*100,3)</f>
        <v>30.48</v>
      </c>
      <c r="I711" s="586">
        <f>ROUND('Alloc Factors Summary'!E23*100,3)</f>
        <v>11.183</v>
      </c>
      <c r="J711" s="586">
        <f>ROUND('Alloc Factors Summary'!E24*100,3)</f>
        <v>0</v>
      </c>
      <c r="K711" s="356">
        <f t="shared" si="194"/>
        <v>100</v>
      </c>
      <c r="L711" s="356">
        <f t="shared" si="195"/>
        <v>0</v>
      </c>
      <c r="N711" s="196"/>
      <c r="P711" s="664"/>
    </row>
    <row r="712" spans="1:17">
      <c r="A712" s="344">
        <v>7</v>
      </c>
      <c r="B712" s="196"/>
      <c r="C712" s="497" t="s">
        <v>355</v>
      </c>
      <c r="D712" s="589"/>
      <c r="E712" s="714" t="str">
        <f>'FR-16(7)(v)-1 Functional'!$E$712</f>
        <v>K205</v>
      </c>
      <c r="F712" s="356">
        <f>IF($F711=0,0,ROUND(F711/$F711,5))</f>
        <v>1</v>
      </c>
      <c r="G712" s="356">
        <f>IF($L711=0,F712-SUM(H712:J712),ROUND(G711/$F711,5))</f>
        <v>0.58336999999999994</v>
      </c>
      <c r="H712" s="356">
        <f>IF($F711=0,0,ROUND(H711/$F711,5))</f>
        <v>0.30480000000000002</v>
      </c>
      <c r="I712" s="356">
        <f>IF(F711=0,0,ROUND(I711/F711,5))</f>
        <v>0.11183</v>
      </c>
      <c r="J712" s="356">
        <f>IF(G711=0,0,ROUND(J711/F711,5))</f>
        <v>0</v>
      </c>
      <c r="K712" s="356">
        <f t="shared" si="194"/>
        <v>0.99999999999999989</v>
      </c>
      <c r="L712" s="356">
        <f t="shared" si="195"/>
        <v>0</v>
      </c>
      <c r="M712" s="196"/>
      <c r="N712" s="196"/>
      <c r="P712" s="665">
        <f>K712</f>
        <v>0.99999999999999989</v>
      </c>
      <c r="Q712" s="196"/>
    </row>
    <row r="713" spans="1:17">
      <c r="A713" s="344">
        <v>8</v>
      </c>
      <c r="B713" s="196"/>
      <c r="C713" s="598" t="s">
        <v>406</v>
      </c>
      <c r="D713" s="723" t="s">
        <v>1012</v>
      </c>
      <c r="E713" s="729"/>
      <c r="F713" s="479">
        <f>'Alloc Factors Summary'!$D$34</f>
        <v>12030761</v>
      </c>
      <c r="G713" s="479">
        <f>'Alloc Factors Summary'!$D30</f>
        <v>5314682</v>
      </c>
      <c r="H713" s="479">
        <f>'Alloc Factors Summary'!$D31</f>
        <v>3027396</v>
      </c>
      <c r="I713" s="479">
        <f>'Alloc Factors Summary'!D32</f>
        <v>2143372</v>
      </c>
      <c r="J713" s="479">
        <f>'Alloc Factors Summary'!D33</f>
        <v>1545311</v>
      </c>
      <c r="K713" s="349">
        <f t="shared" si="194"/>
        <v>12030761</v>
      </c>
      <c r="L713" s="349">
        <f t="shared" si="195"/>
        <v>0</v>
      </c>
      <c r="M713" s="196"/>
      <c r="N713" s="196"/>
      <c r="P713" s="663"/>
      <c r="Q713" s="196"/>
    </row>
    <row r="714" spans="1:17">
      <c r="A714" s="344">
        <v>9</v>
      </c>
      <c r="B714" s="196"/>
      <c r="C714" s="497" t="s">
        <v>355</v>
      </c>
      <c r="D714" s="589"/>
      <c r="E714" s="714" t="str">
        <f>'FR-16(7)(v)-1 Functional'!$E$714</f>
        <v>K300</v>
      </c>
      <c r="F714" s="356">
        <f>IF($F713=0,0,ROUND(F713/$F713,5))</f>
        <v>1</v>
      </c>
      <c r="G714" s="356">
        <f>IF($L713=0,F714-SUM(H714:J714),ROUND(G713/$F713,5))</f>
        <v>0.44175000000000009</v>
      </c>
      <c r="H714" s="356">
        <f>IF($F713=0,0,ROUND(H713/$F713,5))</f>
        <v>0.25163999999999997</v>
      </c>
      <c r="I714" s="356">
        <f>IF(F713=0,0,ROUND(I713/F713,5))</f>
        <v>0.17816000000000001</v>
      </c>
      <c r="J714" s="356">
        <f>IF(G713=0,0,ROUND(J713/F713,5))</f>
        <v>0.12845000000000001</v>
      </c>
      <c r="K714" s="356">
        <f t="shared" si="194"/>
        <v>1</v>
      </c>
      <c r="L714" s="356">
        <f t="shared" si="195"/>
        <v>0</v>
      </c>
      <c r="M714" s="196"/>
      <c r="N714" s="196"/>
      <c r="P714" s="665">
        <f>K714</f>
        <v>1</v>
      </c>
      <c r="Q714" s="196"/>
    </row>
    <row r="715" spans="1:17">
      <c r="A715" s="344">
        <v>10</v>
      </c>
      <c r="C715" s="598" t="s">
        <v>375</v>
      </c>
      <c r="D715" s="723" t="s">
        <v>1012</v>
      </c>
      <c r="E715" s="729"/>
      <c r="F715" s="479">
        <f>'Alloc Factors Summary'!$D$43</f>
        <v>10485450</v>
      </c>
      <c r="G715" s="479">
        <f>'Alloc Factors Summary'!D39</f>
        <v>5314682</v>
      </c>
      <c r="H715" s="479">
        <f>'Alloc Factors Summary'!D40</f>
        <v>3027396</v>
      </c>
      <c r="I715" s="479">
        <f>'Alloc Factors Summary'!D41</f>
        <v>2143372</v>
      </c>
      <c r="J715" s="479">
        <f>'Alloc Factors Summary'!D42</f>
        <v>0</v>
      </c>
      <c r="K715" s="349">
        <f t="shared" si="194"/>
        <v>10485450</v>
      </c>
      <c r="L715" s="349">
        <f t="shared" si="195"/>
        <v>0</v>
      </c>
      <c r="N715" s="196"/>
      <c r="P715" s="664"/>
    </row>
    <row r="716" spans="1:17">
      <c r="A716" s="344">
        <v>11</v>
      </c>
      <c r="B716" s="196"/>
      <c r="C716" s="497" t="s">
        <v>355</v>
      </c>
      <c r="D716" s="589"/>
      <c r="E716" s="714" t="str">
        <f>'FR-16(7)(v)-1 Functional'!$E$716</f>
        <v>K301</v>
      </c>
      <c r="F716" s="356">
        <f>IF($F715=0,0,ROUND(F715/$F715,5))</f>
        <v>1</v>
      </c>
      <c r="G716" s="356">
        <f>IF($L715=0,F716-SUM(H716:J716),ROUND(G715/$F715,5))</f>
        <v>0.50687000000000004</v>
      </c>
      <c r="H716" s="356">
        <f>IF($F715=0,0,ROUND(H715/$F715,5))</f>
        <v>0.28871999999999998</v>
      </c>
      <c r="I716" s="356">
        <f>IF(F715=0,0,ROUND(I715/F715,5))</f>
        <v>0.20441000000000001</v>
      </c>
      <c r="J716" s="356">
        <f>IF(G715=0,0,ROUND(J715/F715,5))</f>
        <v>0</v>
      </c>
      <c r="K716" s="356">
        <f t="shared" si="194"/>
        <v>1</v>
      </c>
      <c r="L716" s="356">
        <f t="shared" si="195"/>
        <v>0</v>
      </c>
      <c r="M716" s="196"/>
      <c r="N716" s="196"/>
      <c r="P716" s="665">
        <f>K716</f>
        <v>1</v>
      </c>
      <c r="Q716" s="196"/>
    </row>
    <row r="717" spans="1:17">
      <c r="A717" s="344">
        <v>12</v>
      </c>
      <c r="C717" s="598" t="s">
        <v>222</v>
      </c>
      <c r="D717" s="723" t="s">
        <v>1012</v>
      </c>
      <c r="E717" s="729"/>
      <c r="F717" s="479">
        <f>'Alloc Factors Summary'!$D$64</f>
        <v>98442</v>
      </c>
      <c r="G717" s="479">
        <f>'Alloc Factors Summary'!D60</f>
        <v>91382</v>
      </c>
      <c r="H717" s="479">
        <f>'Alloc Factors Summary'!D61</f>
        <v>6943</v>
      </c>
      <c r="I717" s="479">
        <f>'Alloc Factors Summary'!D62</f>
        <v>95</v>
      </c>
      <c r="J717" s="479">
        <f>'Alloc Factors Summary'!D63</f>
        <v>22</v>
      </c>
      <c r="K717" s="349">
        <f t="shared" si="194"/>
        <v>98442</v>
      </c>
      <c r="L717" s="349">
        <f t="shared" si="195"/>
        <v>0</v>
      </c>
      <c r="N717" s="196"/>
      <c r="P717" s="664"/>
    </row>
    <row r="718" spans="1:17">
      <c r="A718" s="344">
        <v>13</v>
      </c>
      <c r="B718" s="196"/>
      <c r="C718" s="497" t="s">
        <v>355</v>
      </c>
      <c r="D718" s="589"/>
      <c r="E718" s="714" t="str">
        <f>'FR-16(7)(v)-1 Functional'!$E$718</f>
        <v>K401</v>
      </c>
      <c r="F718" s="356">
        <f>IF($F717=0,0,ROUND(F717/$F717,5))</f>
        <v>1</v>
      </c>
      <c r="G718" s="356">
        <f>IF($L717=0,F718-SUM(H718:J718),ROUND(G717/$F717,5))</f>
        <v>0.92827999999999999</v>
      </c>
      <c r="H718" s="356">
        <f>IF($F717=0,0,ROUND(H717/$F717,5))</f>
        <v>7.0529999999999995E-2</v>
      </c>
      <c r="I718" s="356">
        <f>IF(F717=0,0,ROUND(I717/F717,5))</f>
        <v>9.7000000000000005E-4</v>
      </c>
      <c r="J718" s="356">
        <f>IF(G717=0,0,ROUND(J717/F717,5))</f>
        <v>2.2000000000000001E-4</v>
      </c>
      <c r="K718" s="356">
        <f t="shared" si="194"/>
        <v>1</v>
      </c>
      <c r="L718" s="356">
        <f t="shared" si="195"/>
        <v>0</v>
      </c>
      <c r="M718" s="196"/>
      <c r="N718" s="196"/>
      <c r="P718" s="665">
        <f>K718</f>
        <v>1</v>
      </c>
      <c r="Q718" s="196"/>
    </row>
    <row r="719" spans="1:17">
      <c r="A719" s="344">
        <v>14</v>
      </c>
      <c r="C719" s="598" t="s">
        <v>223</v>
      </c>
      <c r="D719" s="723" t="s">
        <v>1012</v>
      </c>
      <c r="E719" s="729"/>
      <c r="F719" s="479">
        <f>'Alloc Factors Summary'!$F$76</f>
        <v>104676</v>
      </c>
      <c r="G719" s="479">
        <f>'Alloc Factors Summary'!F72</f>
        <v>91382</v>
      </c>
      <c r="H719" s="479">
        <f>'Alloc Factors Summary'!F73</f>
        <v>12541</v>
      </c>
      <c r="I719" s="479">
        <f>'Alloc Factors Summary'!F74</f>
        <v>256</v>
      </c>
      <c r="J719" s="479">
        <f>'Alloc Factors Summary'!F75</f>
        <v>497</v>
      </c>
      <c r="K719" s="349">
        <f t="shared" si="194"/>
        <v>104676</v>
      </c>
      <c r="L719" s="349">
        <f t="shared" si="195"/>
        <v>0</v>
      </c>
      <c r="M719" s="599"/>
      <c r="N719" s="196"/>
      <c r="P719" s="664"/>
    </row>
    <row r="720" spans="1:17">
      <c r="A720" s="344">
        <v>15</v>
      </c>
      <c r="B720" s="196"/>
      <c r="C720" s="497" t="s">
        <v>355</v>
      </c>
      <c r="D720" s="589"/>
      <c r="E720" s="714" t="str">
        <f>'FR-16(7)(v)-1 Functional'!$E$720</f>
        <v>K403</v>
      </c>
      <c r="F720" s="356">
        <f>IF($F719=0,0,ROUND(F719/$F719,5))</f>
        <v>1</v>
      </c>
      <c r="G720" s="356">
        <f>IF($L719=0,F720-SUM(H720:J720),ROUND(G719/$F719,5))</f>
        <v>0.87299000000000004</v>
      </c>
      <c r="H720" s="356">
        <f>IF($F719=0,0,ROUND(H719/$F719,5))</f>
        <v>0.11981</v>
      </c>
      <c r="I720" s="356">
        <f>IF(F719=0,0,ROUND(I719/F719,5))</f>
        <v>2.4499999999999999E-3</v>
      </c>
      <c r="J720" s="356">
        <f>IF(G719=0,0,ROUND(J719/F719,5))</f>
        <v>4.7499999999999999E-3</v>
      </c>
      <c r="K720" s="356">
        <f t="shared" si="194"/>
        <v>1</v>
      </c>
      <c r="L720" s="356">
        <f t="shared" si="195"/>
        <v>0</v>
      </c>
      <c r="M720" s="196"/>
      <c r="N720" s="196"/>
      <c r="P720" s="665">
        <f>K720</f>
        <v>1</v>
      </c>
      <c r="Q720" s="196"/>
    </row>
    <row r="721" spans="1:17">
      <c r="A721" s="344">
        <v>16</v>
      </c>
      <c r="C721" s="598" t="s">
        <v>385</v>
      </c>
      <c r="D721" s="723" t="s">
        <v>1012</v>
      </c>
      <c r="E721" s="729"/>
      <c r="F721" s="479">
        <f>'Alloc Factors Summary'!$G$88</f>
        <v>3624077</v>
      </c>
      <c r="G721" s="479">
        <f>'Alloc Factors Summary'!G84</f>
        <v>3364167.778123159</v>
      </c>
      <c r="H721" s="479">
        <f>'Alloc Factors Summary'!G85</f>
        <v>255601.94440381139</v>
      </c>
      <c r="I721" s="479">
        <f>'Alloc Factors Summary'!G86</f>
        <v>3497.3620507506957</v>
      </c>
      <c r="J721" s="479">
        <f>'Alloc Factors Summary'!G87</f>
        <v>809.9154222791085</v>
      </c>
      <c r="K721" s="349">
        <f t="shared" si="194"/>
        <v>3624077</v>
      </c>
      <c r="L721" s="349">
        <f t="shared" si="195"/>
        <v>0</v>
      </c>
      <c r="M721" s="599"/>
      <c r="N721" s="196"/>
      <c r="P721" s="664"/>
    </row>
    <row r="722" spans="1:17">
      <c r="A722" s="344">
        <v>17</v>
      </c>
      <c r="B722" s="196"/>
      <c r="C722" s="497" t="s">
        <v>355</v>
      </c>
      <c r="D722" s="589"/>
      <c r="E722" s="714" t="str">
        <f>'FR-16(7)(v)-1 Functional'!$E$722</f>
        <v>K405</v>
      </c>
      <c r="F722" s="356">
        <f>IF($F721=0,0,ROUND(F721/$F721,5))</f>
        <v>1</v>
      </c>
      <c r="G722" s="356">
        <f>IF($L721=0,F722-SUM(H722:J722),ROUND(G721/$F721,5))</f>
        <v>0.92827999999999999</v>
      </c>
      <c r="H722" s="356">
        <f>IF($F721=0,0,ROUND(H721/$F721,5))</f>
        <v>7.0529999999999995E-2</v>
      </c>
      <c r="I722" s="356">
        <f>IF(F721=0,0,ROUND(I721/F721,5))</f>
        <v>9.7000000000000005E-4</v>
      </c>
      <c r="J722" s="356">
        <f>IF(G721=0,0,ROUND(J721/F721,5))</f>
        <v>2.2000000000000001E-4</v>
      </c>
      <c r="K722" s="356">
        <f t="shared" si="194"/>
        <v>1</v>
      </c>
      <c r="L722" s="356">
        <f t="shared" si="195"/>
        <v>0</v>
      </c>
      <c r="M722" s="196"/>
      <c r="N722" s="196"/>
      <c r="P722" s="665">
        <f>K722</f>
        <v>1</v>
      </c>
      <c r="Q722" s="196"/>
    </row>
    <row r="723" spans="1:17">
      <c r="A723" s="344">
        <v>18</v>
      </c>
      <c r="C723" s="598" t="s">
        <v>373</v>
      </c>
      <c r="D723" s="723" t="s">
        <v>1012</v>
      </c>
      <c r="E723" s="729"/>
      <c r="F723" s="479">
        <f>'Alloc Factors Summary'!$D$98</f>
        <v>3920</v>
      </c>
      <c r="G723" s="479">
        <f>'Alloc Factors Summary'!D94</f>
        <v>3638.8679628613804</v>
      </c>
      <c r="H723" s="479">
        <f>'Alloc Factors Summary'!D95</f>
        <v>276.47305012088339</v>
      </c>
      <c r="I723" s="479">
        <f>'Alloc Factors Summary'!D96</f>
        <v>3.7829381767944579</v>
      </c>
      <c r="J723" s="479">
        <f>'Alloc Factors Summary'!D97</f>
        <v>0.8760488409418743</v>
      </c>
      <c r="K723" s="349">
        <f t="shared" si="194"/>
        <v>3920</v>
      </c>
      <c r="L723" s="349">
        <f t="shared" si="195"/>
        <v>0</v>
      </c>
      <c r="M723" s="599"/>
      <c r="N723" s="196"/>
      <c r="P723" s="664"/>
    </row>
    <row r="724" spans="1:17">
      <c r="A724" s="344">
        <v>19</v>
      </c>
      <c r="B724" s="196"/>
      <c r="C724" s="497" t="s">
        <v>355</v>
      </c>
      <c r="D724" s="589"/>
      <c r="E724" s="714" t="str">
        <f>'FR-16(7)(v)-1 Functional'!$E$724</f>
        <v>K406</v>
      </c>
      <c r="F724" s="356">
        <f>IF($F723=0,0,ROUND(F723/$F723,5))</f>
        <v>1</v>
      </c>
      <c r="G724" s="356">
        <f>IF($L723=0,F724-SUM(H724:J724),ROUND(G723/$F723,5))</f>
        <v>0.92827999999999999</v>
      </c>
      <c r="H724" s="356">
        <f>IF($F723=0,0,ROUND(H723/$F723,5))</f>
        <v>7.0529999999999995E-2</v>
      </c>
      <c r="I724" s="356">
        <f>IF(F723=0,0,ROUND(I723/F723,5))</f>
        <v>9.7000000000000005E-4</v>
      </c>
      <c r="J724" s="356">
        <f>IF(G723=0,0,ROUND(J723/F723,5))</f>
        <v>2.2000000000000001E-4</v>
      </c>
      <c r="K724" s="356">
        <f t="shared" si="194"/>
        <v>1</v>
      </c>
      <c r="L724" s="356">
        <f t="shared" si="195"/>
        <v>0</v>
      </c>
      <c r="M724" s="196"/>
      <c r="N724" s="196"/>
      <c r="P724" s="665">
        <f>K724</f>
        <v>1</v>
      </c>
      <c r="Q724" s="196"/>
    </row>
    <row r="725" spans="1:17">
      <c r="A725" s="344">
        <v>20</v>
      </c>
      <c r="C725" s="598" t="s">
        <v>1035</v>
      </c>
      <c r="D725" s="723" t="s">
        <v>1012</v>
      </c>
      <c r="E725" s="729"/>
      <c r="F725" s="479">
        <f>'Alloc Factors Summary'!$G$108</f>
        <v>140653.00000000003</v>
      </c>
      <c r="G725" s="479">
        <f>'Alloc Factors Summary'!G104</f>
        <v>130565.73866845452</v>
      </c>
      <c r="H725" s="479">
        <f>'Alloc Factors Summary'!G105</f>
        <v>9920.0928363909716</v>
      </c>
      <c r="I725" s="479">
        <f>'Alloc Factors Summary'!G106</f>
        <v>135.73510290323236</v>
      </c>
      <c r="J725" s="479">
        <f>'Alloc Factors Summary'!G107</f>
        <v>31.43339225127486</v>
      </c>
      <c r="K725" s="349">
        <f t="shared" si="194"/>
        <v>140653.00000000003</v>
      </c>
      <c r="L725" s="349">
        <f t="shared" si="195"/>
        <v>0</v>
      </c>
      <c r="M725" s="599"/>
      <c r="N725" s="196"/>
      <c r="P725" s="664"/>
    </row>
    <row r="726" spans="1:17">
      <c r="A726" s="344">
        <v>21</v>
      </c>
      <c r="B726" s="196"/>
      <c r="C726" s="497" t="s">
        <v>355</v>
      </c>
      <c r="D726" s="589"/>
      <c r="E726" s="714" t="str">
        <f>'FR-16(7)(v)-1 Functional'!$E$726</f>
        <v>K407</v>
      </c>
      <c r="F726" s="356">
        <f>IF($F725=0,0,ROUND(F725/$F725,5))</f>
        <v>1</v>
      </c>
      <c r="G726" s="356">
        <f>IF($L725=0,F726-SUM(H726:J726),ROUND(G725/$F725,5))</f>
        <v>0.92827999999999999</v>
      </c>
      <c r="H726" s="356">
        <f>IF($F725=0,0,ROUND(H725/$F725,5))</f>
        <v>7.0529999999999995E-2</v>
      </c>
      <c r="I726" s="356">
        <f>IF(F725=0,0,ROUND(I725/F725,5))</f>
        <v>9.7000000000000005E-4</v>
      </c>
      <c r="J726" s="356">
        <f>IF(G725=0,0,ROUND(J725/F725,5))</f>
        <v>2.2000000000000001E-4</v>
      </c>
      <c r="K726" s="356">
        <f t="shared" si="194"/>
        <v>1</v>
      </c>
      <c r="L726" s="356">
        <f t="shared" si="195"/>
        <v>0</v>
      </c>
      <c r="M726" s="196"/>
      <c r="N726" s="196"/>
      <c r="P726" s="665">
        <f>K726</f>
        <v>1</v>
      </c>
      <c r="Q726" s="196"/>
    </row>
    <row r="727" spans="1:17">
      <c r="A727" s="344">
        <v>22</v>
      </c>
      <c r="C727" s="598" t="s">
        <v>1036</v>
      </c>
      <c r="D727" s="723" t="s">
        <v>1012</v>
      </c>
      <c r="E727" s="729"/>
      <c r="F727" s="479">
        <f>'Alloc Factors Summary'!$F$118</f>
        <v>7322</v>
      </c>
      <c r="G727" s="479">
        <f>'Alloc Factors Summary'!F114</f>
        <v>6797</v>
      </c>
      <c r="H727" s="479">
        <f>'Alloc Factors Summary'!F115</f>
        <v>516</v>
      </c>
      <c r="I727" s="479">
        <f>'Alloc Factors Summary'!F116</f>
        <v>7</v>
      </c>
      <c r="J727" s="479">
        <f>'Alloc Factors Summary'!F117</f>
        <v>2</v>
      </c>
      <c r="K727" s="349">
        <f t="shared" si="194"/>
        <v>7322</v>
      </c>
      <c r="L727" s="349">
        <f t="shared" si="195"/>
        <v>0</v>
      </c>
      <c r="M727" s="599"/>
      <c r="N727" s="196"/>
      <c r="P727" s="664"/>
    </row>
    <row r="728" spans="1:17">
      <c r="A728" s="344">
        <v>23</v>
      </c>
      <c r="B728" s="196"/>
      <c r="C728" s="497" t="s">
        <v>355</v>
      </c>
      <c r="D728" s="589"/>
      <c r="E728" s="714" t="str">
        <f>'FR-16(7)(v)-1 Functional'!$E$728</f>
        <v>K408</v>
      </c>
      <c r="F728" s="356">
        <f>IF($F727=0,0,ROUND(F727/$F727,5))</f>
        <v>1</v>
      </c>
      <c r="G728" s="356">
        <f>IF($L727=0,F728-SUM(H728:J728),ROUND(G727/$F727,5))</f>
        <v>0.92830000000000001</v>
      </c>
      <c r="H728" s="356">
        <f>IF($F727=0,0,ROUND(H727/$F727,5))</f>
        <v>7.0470000000000005E-2</v>
      </c>
      <c r="I728" s="356">
        <f>IF(F727=0,0,ROUND(I727/F727,5))</f>
        <v>9.6000000000000002E-4</v>
      </c>
      <c r="J728" s="356">
        <f>IF(G727=0,0,ROUND(J727/F727,5))</f>
        <v>2.7E-4</v>
      </c>
      <c r="K728" s="356">
        <f t="shared" si="194"/>
        <v>1</v>
      </c>
      <c r="L728" s="356">
        <f t="shared" si="195"/>
        <v>0</v>
      </c>
      <c r="M728" s="196"/>
      <c r="N728" s="196"/>
      <c r="P728" s="665">
        <f>K728</f>
        <v>1</v>
      </c>
      <c r="Q728" s="196"/>
    </row>
    <row r="729" spans="1:17">
      <c r="A729" s="344">
        <v>24</v>
      </c>
      <c r="C729" s="598" t="s">
        <v>224</v>
      </c>
      <c r="D729" s="723" t="s">
        <v>1012</v>
      </c>
      <c r="E729" s="729"/>
      <c r="F729" s="479">
        <f>'Alloc Factors Summary'!$D$141</f>
        <v>22926071</v>
      </c>
      <c r="G729" s="479">
        <f>'Alloc Factors Summary'!D137</f>
        <v>18152038</v>
      </c>
      <c r="H729" s="479">
        <f>'Alloc Factors Summary'!D138</f>
        <v>4499288</v>
      </c>
      <c r="I729" s="479">
        <f>'Alloc Factors Summary'!D139</f>
        <v>184982</v>
      </c>
      <c r="J729" s="479">
        <f>'Alloc Factors Summary'!D140</f>
        <v>89763</v>
      </c>
      <c r="K729" s="607">
        <f t="shared" si="194"/>
        <v>22926071</v>
      </c>
      <c r="L729" s="349">
        <f t="shared" si="195"/>
        <v>0</v>
      </c>
      <c r="N729" s="196"/>
      <c r="P729" s="664"/>
    </row>
    <row r="730" spans="1:17">
      <c r="A730" s="344">
        <v>25</v>
      </c>
      <c r="B730" s="196"/>
      <c r="C730" s="497" t="s">
        <v>355</v>
      </c>
      <c r="D730" s="589"/>
      <c r="E730" s="714" t="str">
        <f>'FR-16(7)(v)-1 Functional'!$E$730</f>
        <v>K413</v>
      </c>
      <c r="F730" s="356">
        <f>IF($F729=0,0,ROUND(F729/$F729,5))</f>
        <v>1</v>
      </c>
      <c r="G730" s="356">
        <f>IF($L729=0,F730-SUM(H730:J730),ROUND(G729/$F729,5))</f>
        <v>0.79176000000000002</v>
      </c>
      <c r="H730" s="356">
        <f>IF($F729=0,0,ROUND(H729/$F729,5))</f>
        <v>0.19625000000000001</v>
      </c>
      <c r="I730" s="356">
        <f>IF(F729=0,0,ROUND(I729/F729,5))</f>
        <v>8.0700000000000008E-3</v>
      </c>
      <c r="J730" s="356">
        <f>IF(G729=0,0,ROUND(J729/F729,5))</f>
        <v>3.9199999999999999E-3</v>
      </c>
      <c r="K730" s="356">
        <f t="shared" si="194"/>
        <v>1</v>
      </c>
      <c r="L730" s="356">
        <f t="shared" si="195"/>
        <v>0</v>
      </c>
      <c r="M730" s="196"/>
      <c r="N730" s="196"/>
      <c r="P730" s="665">
        <f>K730</f>
        <v>1</v>
      </c>
      <c r="Q730" s="196"/>
    </row>
    <row r="731" spans="1:17">
      <c r="A731" s="344">
        <v>26</v>
      </c>
      <c r="C731" s="669" t="s">
        <v>1014</v>
      </c>
      <c r="D731" s="723" t="s">
        <v>1012</v>
      </c>
      <c r="E731" s="729"/>
      <c r="F731" s="609">
        <f>ROUND('Alloc Factors Summary'!H171*100,0)</f>
        <v>100</v>
      </c>
      <c r="G731" s="609">
        <f>'Alloc Factors Summary'!H167*100</f>
        <v>62.194000000000003</v>
      </c>
      <c r="H731" s="609">
        <f>'Alloc Factors Summary'!H168*100</f>
        <v>25.984999999999996</v>
      </c>
      <c r="I731" s="609">
        <f>'Alloc Factors Summary'!H169*100</f>
        <v>9.2089999999999996</v>
      </c>
      <c r="J731" s="609">
        <f>'Alloc Factors Summary'!H170*100</f>
        <v>2.6119999999999997</v>
      </c>
      <c r="K731" s="610">
        <f t="shared" si="194"/>
        <v>100</v>
      </c>
      <c r="L731" s="610">
        <f t="shared" si="195"/>
        <v>0</v>
      </c>
      <c r="N731" s="196"/>
      <c r="P731" s="664"/>
    </row>
    <row r="732" spans="1:17">
      <c r="A732" s="344">
        <v>27</v>
      </c>
      <c r="B732" s="196"/>
      <c r="C732" s="497" t="s">
        <v>355</v>
      </c>
      <c r="D732" s="589"/>
      <c r="E732" s="714" t="str">
        <f>'FR-16(7)(v)-1 Functional'!$E$732</f>
        <v>K415</v>
      </c>
      <c r="F732" s="356">
        <f>IF($F731=0,0,ROUND(F731/$F731,5))</f>
        <v>1</v>
      </c>
      <c r="G732" s="356">
        <f>IF($L731=0,F732-SUM(H732:J732),ROUND(G731/$F731,5))</f>
        <v>0.62193999999999994</v>
      </c>
      <c r="H732" s="356">
        <f>IF($F731=0,0,ROUND(H731/$F731,5))</f>
        <v>0.25985000000000003</v>
      </c>
      <c r="I732" s="356">
        <f>IF(F731=0,0,ROUND(I731/F731,5))</f>
        <v>9.2090000000000005E-2</v>
      </c>
      <c r="J732" s="356">
        <f>IF(G731=0,0,ROUND(J731/F731,5))</f>
        <v>2.6120000000000001E-2</v>
      </c>
      <c r="K732" s="356">
        <f t="shared" si="194"/>
        <v>1</v>
      </c>
      <c r="L732" s="356">
        <f t="shared" si="195"/>
        <v>0</v>
      </c>
      <c r="M732" s="196"/>
      <c r="N732" s="196"/>
      <c r="P732" s="665">
        <f>K732</f>
        <v>1</v>
      </c>
      <c r="Q732" s="196"/>
    </row>
    <row r="733" spans="1:17">
      <c r="A733" s="344">
        <v>28</v>
      </c>
      <c r="C733" s="598" t="s">
        <v>376</v>
      </c>
      <c r="D733" s="723" t="s">
        <v>1012</v>
      </c>
      <c r="E733" s="729"/>
      <c r="F733" s="479">
        <f>'Alloc Factors Summary'!$D$151</f>
        <v>138304</v>
      </c>
      <c r="G733" s="479">
        <f>'Alloc Factors Summary'!D147</f>
        <v>91382</v>
      </c>
      <c r="H733" s="479">
        <f>'Alloc Factors Summary'!D148</f>
        <v>45530</v>
      </c>
      <c r="I733" s="479">
        <f>'Alloc Factors Summary'!D149</f>
        <v>1130</v>
      </c>
      <c r="J733" s="479">
        <f>'Alloc Factors Summary'!D150</f>
        <v>262</v>
      </c>
      <c r="K733" s="349">
        <f t="shared" si="194"/>
        <v>138304</v>
      </c>
      <c r="L733" s="349">
        <f t="shared" si="195"/>
        <v>0</v>
      </c>
      <c r="N733" s="196"/>
      <c r="P733" s="664"/>
    </row>
    <row r="734" spans="1:17">
      <c r="A734" s="344">
        <v>29</v>
      </c>
      <c r="B734" s="196"/>
      <c r="C734" s="497" t="s">
        <v>355</v>
      </c>
      <c r="D734" s="589"/>
      <c r="E734" s="714" t="str">
        <f>'FR-16(7)(v)-1 Functional'!$E$734</f>
        <v>K417</v>
      </c>
      <c r="F734" s="356">
        <f>IF($F733=0,0,ROUND(F733/$F733,5))</f>
        <v>1</v>
      </c>
      <c r="G734" s="356">
        <f>IF($L733=0,F734-SUM(H734:J734),ROUND(G733/$F733,5))</f>
        <v>0.66073999999999999</v>
      </c>
      <c r="H734" s="356">
        <f>IF($F733=0,0,ROUND(H733/$F733,5))</f>
        <v>0.32919999999999999</v>
      </c>
      <c r="I734" s="356">
        <f>IF(F733=0,0,ROUND(I733/F733,5))</f>
        <v>8.1700000000000002E-3</v>
      </c>
      <c r="J734" s="356">
        <f>IF(G733=0,0,ROUND(J733/F733,5))</f>
        <v>1.89E-3</v>
      </c>
      <c r="K734" s="356">
        <f t="shared" si="194"/>
        <v>1</v>
      </c>
      <c r="L734" s="356">
        <f t="shared" si="195"/>
        <v>0</v>
      </c>
      <c r="M734" s="196"/>
      <c r="N734" s="196"/>
      <c r="P734" s="665">
        <f>K734</f>
        <v>1</v>
      </c>
      <c r="Q734" s="196"/>
    </row>
    <row r="735" spans="1:17">
      <c r="A735" s="344">
        <v>30</v>
      </c>
      <c r="B735" s="491"/>
      <c r="C735" s="598" t="s">
        <v>226</v>
      </c>
      <c r="D735" s="723" t="s">
        <v>1012</v>
      </c>
      <c r="E735" s="745"/>
      <c r="F735" s="349">
        <f>'Alloc Factors Summary'!$D$62+'Alloc Factors Summary'!$D$63</f>
        <v>117</v>
      </c>
      <c r="G735" s="614">
        <v>0</v>
      </c>
      <c r="H735" s="614">
        <v>0</v>
      </c>
      <c r="I735" s="349">
        <f>'Alloc Factors Summary'!D62</f>
        <v>95</v>
      </c>
      <c r="J735" s="349">
        <f>'Alloc Factors Summary'!D63</f>
        <v>22</v>
      </c>
      <c r="K735" s="349">
        <f t="shared" si="194"/>
        <v>117</v>
      </c>
      <c r="L735" s="349">
        <f t="shared" si="195"/>
        <v>0</v>
      </c>
      <c r="M735" s="606"/>
      <c r="N735" s="196"/>
      <c r="P735" s="666"/>
      <c r="Q735" s="606"/>
    </row>
    <row r="736" spans="1:17">
      <c r="A736" s="344">
        <v>31</v>
      </c>
      <c r="B736" s="196"/>
      <c r="C736" s="497" t="str">
        <f>C734</f>
        <v>RATIO TO TOTAL GAS</v>
      </c>
      <c r="D736" s="589"/>
      <c r="E736" s="714" t="str">
        <f>'FR-16(7)(v)-1 Functional'!$E$736</f>
        <v>K431</v>
      </c>
      <c r="F736" s="356">
        <f>IF($F735=0,0,ROUND(F735/$F735,5))</f>
        <v>1</v>
      </c>
      <c r="G736" s="356">
        <f>IF($L735=0,F736-SUM(H736:J736),ROUND(G735/$F735,5))</f>
        <v>0</v>
      </c>
      <c r="H736" s="356">
        <f>IF($F735=0,0,ROUND(H735/$F735,5))</f>
        <v>0</v>
      </c>
      <c r="I736" s="356">
        <f>IF(F735=0,0,ROUND(I735/F735,5))</f>
        <v>0.81196999999999997</v>
      </c>
      <c r="J736" s="356">
        <f>IF(F735=0,0,ROUND(J735/F735,5))</f>
        <v>0.18803</v>
      </c>
      <c r="K736" s="356">
        <f t="shared" si="194"/>
        <v>1</v>
      </c>
      <c r="L736" s="350">
        <f t="shared" si="195"/>
        <v>0</v>
      </c>
      <c r="M736" s="196"/>
      <c r="N736" s="196"/>
      <c r="P736" s="665">
        <f>K736</f>
        <v>1</v>
      </c>
      <c r="Q736" s="196"/>
    </row>
    <row r="737" spans="1:17">
      <c r="A737" s="344">
        <v>32</v>
      </c>
      <c r="C737" s="669" t="s">
        <v>407</v>
      </c>
      <c r="D737" s="723" t="s">
        <v>1012</v>
      </c>
      <c r="E737" s="729"/>
      <c r="F737" s="479">
        <f>'Alloc Factors Summary'!$D$159</f>
        <v>3688683</v>
      </c>
      <c r="G737" s="492">
        <v>0</v>
      </c>
      <c r="H737" s="492">
        <v>0</v>
      </c>
      <c r="I737" s="479">
        <f>'Alloc Factors Summary'!D157</f>
        <v>2143372</v>
      </c>
      <c r="J737" s="479">
        <f>'Alloc Factors Summary'!D158</f>
        <v>1545311</v>
      </c>
      <c r="K737" s="349">
        <f t="shared" si="194"/>
        <v>3688683</v>
      </c>
      <c r="L737" s="349">
        <f t="shared" si="195"/>
        <v>0</v>
      </c>
      <c r="N737" s="196"/>
      <c r="P737" s="664"/>
    </row>
    <row r="738" spans="1:17">
      <c r="A738" s="344">
        <v>33</v>
      </c>
      <c r="B738" s="196"/>
      <c r="C738" s="497" t="s">
        <v>355</v>
      </c>
      <c r="D738" s="589"/>
      <c r="E738" s="714" t="str">
        <f>'FR-16(7)(v)-1 Functional'!$E$738</f>
        <v>K595</v>
      </c>
      <c r="F738" s="356">
        <f>IF($F737=0,0,ROUND(F737/$F737,5))</f>
        <v>1</v>
      </c>
      <c r="G738" s="356">
        <f>IF($L737=0,F738-SUM(H738:J738),ROUND(G737/$F737,5))</f>
        <v>0</v>
      </c>
      <c r="H738" s="356">
        <f>IF($F737=0,0,ROUND(H737/$F737,5))</f>
        <v>0</v>
      </c>
      <c r="I738" s="356">
        <f>IF(F737=0,0,ROUND(I737/F737,5))</f>
        <v>0.58106999999999998</v>
      </c>
      <c r="J738" s="356">
        <f>IF(F737=0,0,ROUND(J737/F737,5))</f>
        <v>0.41893000000000002</v>
      </c>
      <c r="K738" s="356">
        <f t="shared" si="194"/>
        <v>1</v>
      </c>
      <c r="L738" s="350">
        <f t="shared" si="195"/>
        <v>0</v>
      </c>
      <c r="M738" s="196"/>
      <c r="N738" s="196"/>
      <c r="P738" s="665">
        <f>K738</f>
        <v>1</v>
      </c>
      <c r="Q738" s="196"/>
    </row>
    <row r="739" spans="1:17">
      <c r="A739" s="344">
        <v>34</v>
      </c>
      <c r="B739" s="599"/>
      <c r="C739" s="598" t="s">
        <v>225</v>
      </c>
      <c r="D739" s="723" t="s">
        <v>1012</v>
      </c>
      <c r="E739" s="729"/>
      <c r="F739" s="476">
        <v>1</v>
      </c>
      <c r="G739" s="476">
        <v>0</v>
      </c>
      <c r="H739" s="476">
        <v>1</v>
      </c>
      <c r="I739" s="476">
        <v>0</v>
      </c>
      <c r="J739" s="476">
        <v>0</v>
      </c>
      <c r="K739" s="349">
        <f t="shared" si="194"/>
        <v>1</v>
      </c>
      <c r="L739" s="349">
        <f t="shared" si="195"/>
        <v>0</v>
      </c>
      <c r="M739" s="599"/>
      <c r="N739" s="196"/>
      <c r="P739" s="668"/>
      <c r="Q739" s="599"/>
    </row>
    <row r="740" spans="1:17">
      <c r="A740" s="344">
        <v>35</v>
      </c>
      <c r="B740" s="196"/>
      <c r="C740" s="497" t="s">
        <v>355</v>
      </c>
      <c r="D740" s="589"/>
      <c r="E740" s="714" t="str">
        <f>'FR-16(7)(v)-1 Functional'!$E$740</f>
        <v>K597</v>
      </c>
      <c r="F740" s="356">
        <f>IF($F739=0,0,ROUND(F739/$F739,5))</f>
        <v>1</v>
      </c>
      <c r="G740" s="356">
        <f>IF($L739=0,F740-SUM(H740:J740),ROUND(G739/$F739,5))</f>
        <v>0</v>
      </c>
      <c r="H740" s="356">
        <f>IF($F739=0,0,ROUND(H739/$F739,5))</f>
        <v>1</v>
      </c>
      <c r="I740" s="356">
        <f>IF(F739=0,0,ROUND(I739/F739,5))</f>
        <v>0</v>
      </c>
      <c r="J740" s="356">
        <f>IF(G739=0,0,ROUND(J739/F739,5))</f>
        <v>0</v>
      </c>
      <c r="K740" s="356">
        <f t="shared" si="194"/>
        <v>1</v>
      </c>
      <c r="L740" s="356">
        <f t="shared" si="195"/>
        <v>0</v>
      </c>
      <c r="M740" s="196"/>
      <c r="N740" s="196"/>
      <c r="P740" s="665">
        <f>K740</f>
        <v>1</v>
      </c>
      <c r="Q740" s="196"/>
    </row>
    <row r="741" spans="1:17">
      <c r="A741" s="344">
        <v>36</v>
      </c>
      <c r="C741" s="598" t="s">
        <v>433</v>
      </c>
      <c r="D741" s="627"/>
      <c r="E741" s="746"/>
      <c r="F741" s="494">
        <v>1</v>
      </c>
      <c r="G741" s="477">
        <v>1</v>
      </c>
      <c r="H741" s="476">
        <v>0</v>
      </c>
      <c r="I741" s="476">
        <v>0</v>
      </c>
      <c r="J741" s="476">
        <v>0</v>
      </c>
      <c r="K741" s="349">
        <f t="shared" si="194"/>
        <v>1</v>
      </c>
      <c r="L741" s="347">
        <f t="shared" si="195"/>
        <v>0</v>
      </c>
      <c r="N741" s="196"/>
      <c r="P741" s="664"/>
    </row>
    <row r="742" spans="1:17">
      <c r="A742" s="344">
        <v>37</v>
      </c>
      <c r="C742" s="497" t="s">
        <v>355</v>
      </c>
      <c r="D742" s="589"/>
      <c r="E742" s="714" t="str">
        <f>'FR-16(7)(v)-1 Functional'!$E$742</f>
        <v>K903</v>
      </c>
      <c r="F742" s="356">
        <f>IF($F741=0,0,ROUND(F741/$F741,5))</f>
        <v>1</v>
      </c>
      <c r="G742" s="356">
        <f>IF($L741=0,F742-SUM(H742:J742),ROUND(G741/$F741,5))</f>
        <v>1</v>
      </c>
      <c r="H742" s="356">
        <f>IF($F741=0,0,ROUND(H741/$F741,5))</f>
        <v>0</v>
      </c>
      <c r="I742" s="356">
        <f>IF(F741=0,0,ROUND(I741/F741,5))</f>
        <v>0</v>
      </c>
      <c r="J742" s="356">
        <f>IF(G741=0,0,ROUND(J741/F741,5))</f>
        <v>0</v>
      </c>
      <c r="K742" s="356">
        <f t="shared" si="194"/>
        <v>1</v>
      </c>
      <c r="L742" s="350">
        <f t="shared" si="195"/>
        <v>0</v>
      </c>
      <c r="N742" s="196"/>
      <c r="P742" s="665">
        <f>K742</f>
        <v>1</v>
      </c>
    </row>
    <row r="743" spans="1:17">
      <c r="A743" s="344">
        <v>38</v>
      </c>
      <c r="B743" s="365"/>
      <c r="C743" s="365"/>
      <c r="D743" s="724"/>
      <c r="E743" s="333"/>
      <c r="H743" s="353"/>
      <c r="J743" s="353"/>
      <c r="K743" s="353"/>
      <c r="N743" s="196"/>
    </row>
    <row r="744" spans="1:17">
      <c r="A744" s="344">
        <v>39</v>
      </c>
      <c r="C744" s="598" t="s">
        <v>108</v>
      </c>
      <c r="D744" s="828" t="s">
        <v>300</v>
      </c>
      <c r="E744" s="714" t="str">
        <f>'FR-16(7)(v)-1 Functional'!$E$744</f>
        <v>R600</v>
      </c>
      <c r="F744" s="479">
        <f>'FR-16(7)(v)-2 PROD Classified'!H744</f>
        <v>36322784</v>
      </c>
      <c r="G744" s="347">
        <f>F744-SUM(H744:J744)</f>
        <v>24976596</v>
      </c>
      <c r="H744" s="347">
        <f>ROUND($F$744*VLOOKUP($D$744,ALLOCTABLE_Prod_Commodity,$H$10,FALSE),0)</f>
        <v>8842940</v>
      </c>
      <c r="I744" s="347">
        <f>ROUND(F744*VLOOKUP(D744,ALLOCTABLE_Prod_Commodity,$I$10,FALSE),0)</f>
        <v>1922220</v>
      </c>
      <c r="J744" s="347">
        <f>ROUND(F744*VLOOKUP(D744,ALLOCTABLE_Prod_Commodity,$J$10,FALSE),0)</f>
        <v>581028</v>
      </c>
      <c r="K744" s="349">
        <f>SUM(G744:J744)</f>
        <v>36322784</v>
      </c>
      <c r="L744" s="349">
        <f>F744-K744</f>
        <v>0</v>
      </c>
      <c r="N744" s="196"/>
      <c r="P744" s="664"/>
    </row>
    <row r="745" spans="1:17">
      <c r="A745" s="344">
        <v>40</v>
      </c>
      <c r="C745" s="598" t="s">
        <v>850</v>
      </c>
      <c r="D745" s="828" t="s">
        <v>1201</v>
      </c>
      <c r="E745" s="714" t="str">
        <f>'FR-16(7)(v)-1 Functional'!$E$745</f>
        <v>R602</v>
      </c>
      <c r="F745" s="479">
        <f>'FR-16(7)(v)-2 PROD Classified'!H745</f>
        <v>36322784</v>
      </c>
      <c r="G745" s="347">
        <f>F745-SUM(H745:J745)</f>
        <v>24976596</v>
      </c>
      <c r="H745" s="347">
        <f>ROUND($F$745*VLOOKUP($D$745,ALLOCTABLE_Prod_Commodity,$H$10,FALSE),0)</f>
        <v>8842940</v>
      </c>
      <c r="I745" s="347">
        <f>ROUND(F745*VLOOKUP(D745,ALLOCTABLE_Prod_Commodity,$I$10,FALSE),0)</f>
        <v>1922220</v>
      </c>
      <c r="J745" s="347">
        <f>ROUND(F745*VLOOKUP(D745,ALLOCTABLE_Prod_Commodity,$J$10,FALSE),0)</f>
        <v>581028</v>
      </c>
      <c r="K745" s="349">
        <f>SUM(G745:J745)</f>
        <v>36322784</v>
      </c>
      <c r="L745" s="349">
        <f>F745-K745</f>
        <v>0</v>
      </c>
      <c r="N745" s="196"/>
      <c r="P745" s="664"/>
    </row>
    <row r="746" spans="1:17">
      <c r="E746" s="333"/>
      <c r="H746" s="353"/>
      <c r="J746" s="353"/>
      <c r="K746" s="353"/>
      <c r="N746" s="196"/>
      <c r="P746" s="664"/>
    </row>
    <row r="747" spans="1:17">
      <c r="A747" s="343" t="str">
        <f>co_name</f>
        <v>DUKE ENERGY KENTUCKY, INC.</v>
      </c>
      <c r="C747" s="196"/>
      <c r="D747" s="344"/>
      <c r="E747" s="196"/>
      <c r="F747" s="344"/>
      <c r="G747" s="342"/>
      <c r="H747" s="342"/>
      <c r="I747" s="196"/>
      <c r="K747" s="361" t="str">
        <f>$K$1</f>
        <v>FR-16(7)(v)-3</v>
      </c>
      <c r="N747" s="196"/>
      <c r="P747" s="664"/>
    </row>
    <row r="748" spans="1:17">
      <c r="A748" s="343" t="str">
        <f>$A$2</f>
        <v>PRODUCTION COMMODITY ALLOCATED - GAS COST OF SERVICE</v>
      </c>
      <c r="C748" s="196"/>
      <c r="D748" s="344"/>
      <c r="E748" s="196"/>
      <c r="F748" s="344"/>
      <c r="G748" s="342"/>
      <c r="H748" s="342"/>
      <c r="I748" s="196"/>
      <c r="K748" s="361" t="str">
        <f>$K$2</f>
        <v>WITNESS RESPONSIBLE:</v>
      </c>
      <c r="N748" s="196"/>
      <c r="P748" s="664"/>
    </row>
    <row r="749" spans="1:17">
      <c r="A749" s="343" t="str">
        <f>case_name</f>
        <v>CASE NO: 2018-00261</v>
      </c>
      <c r="C749" s="196"/>
      <c r="D749" s="344"/>
      <c r="E749" s="196"/>
      <c r="F749" s="344"/>
      <c r="G749" s="342"/>
      <c r="H749" s="342"/>
      <c r="I749" s="196"/>
      <c r="K749" s="361" t="str">
        <f>Witness</f>
        <v>JAMES E. ZIOLKOWSKI</v>
      </c>
      <c r="N749" s="196"/>
      <c r="P749" s="664"/>
    </row>
    <row r="750" spans="1:17">
      <c r="A750" s="343" t="str">
        <f>data_filing</f>
        <v>DATA: 12 MONTH FORECASTED PERIOD</v>
      </c>
      <c r="C750" s="196"/>
      <c r="D750" s="344"/>
      <c r="E750" s="196"/>
      <c r="F750" s="344"/>
      <c r="G750" s="342"/>
      <c r="H750" s="342"/>
      <c r="I750" s="196"/>
      <c r="K750" s="361" t="str">
        <f>"PAGE "&amp;Pages-1&amp;" OF "&amp;Pages</f>
        <v>PAGE 17 OF 18</v>
      </c>
      <c r="N750" s="196"/>
      <c r="P750" s="664"/>
    </row>
    <row r="751" spans="1:17">
      <c r="A751" s="343" t="str">
        <f>type</f>
        <v xml:space="preserve">TYPE OF FILING: "X" ORIGINAL   UPDATED    REVISED  </v>
      </c>
      <c r="C751" s="196"/>
      <c r="D751" s="344"/>
      <c r="E751" s="196"/>
      <c r="F751" s="344"/>
      <c r="G751" s="342"/>
      <c r="H751" s="342"/>
      <c r="I751" s="196"/>
      <c r="J751" s="344"/>
      <c r="K751" s="196"/>
      <c r="N751" s="196"/>
      <c r="P751" s="664"/>
    </row>
    <row r="752" spans="1:17">
      <c r="B752" s="196"/>
      <c r="E752" s="333"/>
      <c r="F752" s="344"/>
      <c r="H752" s="353"/>
      <c r="J752" s="588"/>
      <c r="K752" s="353"/>
      <c r="N752" s="196"/>
      <c r="P752" s="664"/>
    </row>
    <row r="753" spans="1:17">
      <c r="B753" s="196"/>
      <c r="E753" s="333"/>
      <c r="F753" s="344" t="s">
        <v>229</v>
      </c>
      <c r="H753" s="353"/>
      <c r="J753" s="588"/>
      <c r="K753" s="353"/>
      <c r="N753" s="196"/>
      <c r="P753" s="664"/>
    </row>
    <row r="754" spans="1:17">
      <c r="A754" s="344" t="s">
        <v>914</v>
      </c>
      <c r="B754" s="196"/>
      <c r="C754" s="196"/>
      <c r="D754" s="344"/>
      <c r="E754" s="344"/>
      <c r="F754" s="344" t="str">
        <f>$F$8</f>
        <v>PRODUCTION</v>
      </c>
      <c r="G754" s="589" t="str">
        <f>$G$8</f>
        <v>RS</v>
      </c>
      <c r="H754" s="588" t="str">
        <f>$H$8</f>
        <v>GS</v>
      </c>
      <c r="I754" s="588" t="str">
        <f>$I$8</f>
        <v>FT-L</v>
      </c>
      <c r="J754" s="588" t="str">
        <f>$J$8</f>
        <v>INTERUPT</v>
      </c>
      <c r="K754" s="588" t="s">
        <v>229</v>
      </c>
      <c r="L754" s="589" t="s">
        <v>342</v>
      </c>
      <c r="M754" s="196"/>
      <c r="N754" s="196"/>
      <c r="P754" s="663"/>
      <c r="Q754" s="196"/>
    </row>
    <row r="755" spans="1:17">
      <c r="A755" s="346" t="s">
        <v>915</v>
      </c>
      <c r="B755" s="590" t="s">
        <v>89</v>
      </c>
      <c r="C755" s="345"/>
      <c r="D755" s="591" t="s">
        <v>1011</v>
      </c>
      <c r="E755" s="591" t="s">
        <v>337</v>
      </c>
      <c r="F755" s="344" t="str">
        <f>$F$9</f>
        <v>COMMODITY</v>
      </c>
      <c r="G755" s="592" t="str">
        <f>$G$9</f>
        <v>RESIDENTIAL</v>
      </c>
      <c r="H755" s="593" t="str">
        <f>$H$9</f>
        <v>GEN SERV</v>
      </c>
      <c r="I755" s="593" t="str">
        <f>$I$9</f>
        <v>FIRM TRANS</v>
      </c>
      <c r="J755" s="593" t="str">
        <f>$J$9</f>
        <v>TRANS</v>
      </c>
      <c r="K755" s="593" t="s">
        <v>341</v>
      </c>
      <c r="L755" s="592" t="s">
        <v>340</v>
      </c>
      <c r="M755" s="196"/>
      <c r="N755" s="196"/>
      <c r="P755" s="663"/>
      <c r="Q755" s="196"/>
    </row>
    <row r="756" spans="1:17">
      <c r="C756" s="846" t="s">
        <v>562</v>
      </c>
      <c r="E756" s="633">
        <v>1</v>
      </c>
      <c r="F756" s="820">
        <v>2</v>
      </c>
      <c r="G756" s="633">
        <v>3</v>
      </c>
      <c r="H756" s="633">
        <v>4</v>
      </c>
      <c r="I756" s="633">
        <v>5</v>
      </c>
      <c r="J756" s="633">
        <v>6</v>
      </c>
      <c r="K756" s="353"/>
      <c r="M756" s="196"/>
      <c r="N756" s="196"/>
      <c r="P756" s="664"/>
    </row>
    <row r="757" spans="1:17">
      <c r="A757" s="344">
        <v>1</v>
      </c>
      <c r="B757" s="605"/>
      <c r="C757" s="660" t="s">
        <v>1022</v>
      </c>
      <c r="D757" s="725" t="s">
        <v>1013</v>
      </c>
      <c r="E757" s="716"/>
      <c r="F757" s="349">
        <f t="shared" ref="F757:K757" si="196">F771</f>
        <v>0</v>
      </c>
      <c r="G757" s="349">
        <f t="shared" si="196"/>
        <v>0</v>
      </c>
      <c r="H757" s="349">
        <f t="shared" si="196"/>
        <v>0</v>
      </c>
      <c r="I757" s="349">
        <f t="shared" si="196"/>
        <v>0</v>
      </c>
      <c r="J757" s="349">
        <f t="shared" si="196"/>
        <v>0</v>
      </c>
      <c r="K757" s="349">
        <f t="shared" si="196"/>
        <v>0</v>
      </c>
      <c r="L757" s="349">
        <f t="shared" ref="L757:L764" si="197">F757-K757</f>
        <v>0</v>
      </c>
      <c r="M757" s="196"/>
      <c r="N757" s="196"/>
      <c r="P757" s="667"/>
      <c r="Q757" s="605"/>
    </row>
    <row r="758" spans="1:17">
      <c r="A758" s="344">
        <v>2</v>
      </c>
      <c r="B758" s="196"/>
      <c r="C758" s="497" t="s">
        <v>355</v>
      </c>
      <c r="D758" s="589"/>
      <c r="E758" s="714" t="str">
        <f>'FR-16(7)(v)-1 Functional'!$E$758</f>
        <v>K667</v>
      </c>
      <c r="F758" s="356">
        <f>IF($F757=0,0,ROUND(F757/$F757,5))</f>
        <v>0</v>
      </c>
      <c r="G758" s="356">
        <f>IF($L757=0,F758-SUM(H758:J758),ROUND(G757/$F757,5))</f>
        <v>0</v>
      </c>
      <c r="H758" s="356">
        <f>IF($F757=0,0,ROUND(H757/$F757,5))</f>
        <v>0</v>
      </c>
      <c r="I758" s="356">
        <f>IF($F757=0,0,ROUND(I757/$F757,5))</f>
        <v>0</v>
      </c>
      <c r="J758" s="356">
        <f>IF($F757=0,0,ROUND(J757/$F757,5))</f>
        <v>0</v>
      </c>
      <c r="K758" s="356">
        <f>SUM(G758:J758)</f>
        <v>0</v>
      </c>
      <c r="L758" s="356">
        <f t="shared" si="197"/>
        <v>0</v>
      </c>
      <c r="M758" s="196"/>
      <c r="N758" s="196"/>
      <c r="P758" s="665">
        <f>K758</f>
        <v>0</v>
      </c>
      <c r="Q758" s="196"/>
    </row>
    <row r="759" spans="1:17">
      <c r="A759" s="344">
        <v>3</v>
      </c>
      <c r="B759" s="605"/>
      <c r="C759" s="660" t="s">
        <v>1031</v>
      </c>
      <c r="D759" s="725" t="s">
        <v>1013</v>
      </c>
      <c r="E759" s="729"/>
      <c r="F759" s="349">
        <f t="shared" ref="F759:K759" si="198">F778</f>
        <v>0</v>
      </c>
      <c r="G759" s="349">
        <f t="shared" si="198"/>
        <v>0</v>
      </c>
      <c r="H759" s="349">
        <f t="shared" si="198"/>
        <v>0</v>
      </c>
      <c r="I759" s="349">
        <f t="shared" si="198"/>
        <v>0</v>
      </c>
      <c r="J759" s="349">
        <f t="shared" si="198"/>
        <v>0</v>
      </c>
      <c r="K759" s="349">
        <f t="shared" si="198"/>
        <v>0</v>
      </c>
      <c r="L759" s="349">
        <f t="shared" si="197"/>
        <v>0</v>
      </c>
      <c r="M759" s="196"/>
      <c r="N759" s="196"/>
      <c r="P759" s="667"/>
      <c r="Q759" s="605"/>
    </row>
    <row r="760" spans="1:17">
      <c r="A760" s="344">
        <v>4</v>
      </c>
      <c r="B760" s="196"/>
      <c r="C760" s="497" t="s">
        <v>355</v>
      </c>
      <c r="D760" s="589"/>
      <c r="E760" s="714" t="str">
        <f>'FR-16(7)(v)-1 Functional'!$E$760</f>
        <v>K697</v>
      </c>
      <c r="F760" s="356">
        <f>IF($F759=0,0,ROUND(F759/$F759,5))</f>
        <v>0</v>
      </c>
      <c r="G760" s="356">
        <f>IF($L759=0,F760-SUM(H760:J760),ROUND(G759/$F759,5))</f>
        <v>0</v>
      </c>
      <c r="H760" s="356">
        <f>IF($F759=0,0,ROUND(H759/$F759,5))</f>
        <v>0</v>
      </c>
      <c r="I760" s="356">
        <f>IF($F759=0,0,ROUND(I759/$F759,5))</f>
        <v>0</v>
      </c>
      <c r="J760" s="356">
        <f>IF($F759=0,0,ROUND(J759/$F759,5))</f>
        <v>0</v>
      </c>
      <c r="K760" s="356">
        <f>SUM(G760:J760)</f>
        <v>0</v>
      </c>
      <c r="L760" s="356">
        <f t="shared" si="197"/>
        <v>0</v>
      </c>
      <c r="M760" s="196"/>
      <c r="N760" s="196"/>
      <c r="P760" s="665">
        <f>K760</f>
        <v>0</v>
      </c>
      <c r="Q760" s="196"/>
    </row>
    <row r="761" spans="1:17">
      <c r="A761" s="344">
        <v>5</v>
      </c>
      <c r="B761" s="606"/>
      <c r="C761" s="660" t="s">
        <v>108</v>
      </c>
      <c r="D761" s="725" t="s">
        <v>1013</v>
      </c>
      <c r="E761" s="729"/>
      <c r="F761" s="782">
        <v>95287873</v>
      </c>
      <c r="G761" s="782">
        <v>65522695</v>
      </c>
      <c r="H761" s="782">
        <v>23198247</v>
      </c>
      <c r="I761" s="782">
        <v>5042683</v>
      </c>
      <c r="J761" s="782">
        <v>1524248</v>
      </c>
      <c r="K761" s="349">
        <f>SUM(G761:J761)</f>
        <v>95287873</v>
      </c>
      <c r="L761" s="349">
        <f t="shared" si="197"/>
        <v>0</v>
      </c>
      <c r="M761" s="196"/>
      <c r="N761" s="196"/>
      <c r="P761" s="666"/>
      <c r="Q761" s="606"/>
    </row>
    <row r="762" spans="1:17">
      <c r="A762" s="344">
        <v>6</v>
      </c>
      <c r="B762" s="196"/>
      <c r="C762" s="497" t="s">
        <v>355</v>
      </c>
      <c r="D762" s="589"/>
      <c r="E762" s="714" t="str">
        <f>'FR-16(7)(v)-1 Functional'!$E$762</f>
        <v>K901</v>
      </c>
      <c r="F762" s="356">
        <f>IF($F761=0,0,ROUND(F761/$F761,9))</f>
        <v>1</v>
      </c>
      <c r="G762" s="356">
        <f>IF($L761=0,F762-SUM(H762:J762),ROUND(G761/$F761,5))</f>
        <v>0.68762889699999996</v>
      </c>
      <c r="H762" s="356">
        <f>IF($F761=0,0,ROUND(H761/$F761,9))</f>
        <v>0.24345434799999999</v>
      </c>
      <c r="I762" s="356">
        <f>IF($F761=0,0,ROUND(I761/$F761,9))</f>
        <v>5.2920512000000003E-2</v>
      </c>
      <c r="J762" s="356">
        <f>IF($F761=0,0,ROUND(J761/$F761,9))</f>
        <v>1.5996243E-2</v>
      </c>
      <c r="K762" s="356">
        <f>SUM(G762:J762)</f>
        <v>1</v>
      </c>
      <c r="L762" s="356">
        <f t="shared" si="197"/>
        <v>0</v>
      </c>
      <c r="M762" s="196"/>
      <c r="N762" s="196"/>
      <c r="P762" s="665">
        <f>K762</f>
        <v>1</v>
      </c>
      <c r="Q762" s="196"/>
    </row>
    <row r="763" spans="1:17">
      <c r="A763" s="344">
        <v>7</v>
      </c>
      <c r="C763" s="660" t="s">
        <v>850</v>
      </c>
      <c r="D763" s="725" t="s">
        <v>1013</v>
      </c>
      <c r="E763" s="729"/>
      <c r="F763" s="782">
        <v>95287873</v>
      </c>
      <c r="G763" s="782">
        <v>65522695</v>
      </c>
      <c r="H763" s="782">
        <v>23198247</v>
      </c>
      <c r="I763" s="782">
        <v>5042683</v>
      </c>
      <c r="J763" s="782">
        <v>1524248</v>
      </c>
      <c r="K763" s="349">
        <f>SUM(G763:J763)</f>
        <v>95287873</v>
      </c>
      <c r="L763" s="349">
        <f t="shared" ref="L763" si="199">F763-K763</f>
        <v>0</v>
      </c>
      <c r="M763" s="196"/>
      <c r="N763" s="196"/>
    </row>
    <row r="764" spans="1:17">
      <c r="A764" s="344">
        <v>8</v>
      </c>
      <c r="C764" s="497" t="s">
        <v>355</v>
      </c>
      <c r="D764" s="589"/>
      <c r="E764" s="714" t="s">
        <v>1201</v>
      </c>
      <c r="F764" s="356">
        <f>IF($F763=0,0,ROUND(F763/$F763,9))</f>
        <v>1</v>
      </c>
      <c r="G764" s="356">
        <f>IF($L763=0,F764-SUM(H764:J764),ROUND(G763/$F763,5))</f>
        <v>0.68762889699999996</v>
      </c>
      <c r="H764" s="356">
        <f>IF($F763=0,0,ROUND(H763/$F763,9))</f>
        <v>0.24345434799999999</v>
      </c>
      <c r="I764" s="356">
        <f>IF($F763=0,0,ROUND(I763/$F763,9))</f>
        <v>5.2920512000000003E-2</v>
      </c>
      <c r="J764" s="356">
        <f>IF($F763=0,0,ROUND(J763/$F763,9))</f>
        <v>1.5996243E-2</v>
      </c>
      <c r="K764" s="356">
        <f>SUM(G764:J764)</f>
        <v>1</v>
      </c>
      <c r="L764" s="356">
        <f t="shared" si="197"/>
        <v>0</v>
      </c>
      <c r="M764" s="196"/>
      <c r="N764" s="196"/>
    </row>
    <row r="765" spans="1:17">
      <c r="A765" s="344">
        <v>9</v>
      </c>
      <c r="E765" s="746"/>
      <c r="F765" s="353"/>
      <c r="G765" s="353"/>
      <c r="H765" s="353"/>
      <c r="J765" s="353"/>
      <c r="K765" s="353"/>
      <c r="L765" s="353"/>
      <c r="N765" s="196"/>
    </row>
    <row r="766" spans="1:17">
      <c r="A766" s="344">
        <v>10</v>
      </c>
      <c r="B766" s="708" t="s">
        <v>92</v>
      </c>
      <c r="C766" s="709"/>
      <c r="D766" s="726"/>
      <c r="E766" s="729"/>
      <c r="F766" s="625"/>
      <c r="G766" s="625"/>
      <c r="H766" s="625"/>
      <c r="I766" s="625"/>
      <c r="J766" s="625"/>
      <c r="K766" s="625"/>
      <c r="L766" s="625"/>
      <c r="M766" s="599"/>
      <c r="N766" s="196"/>
      <c r="P766" s="668"/>
      <c r="Q766" s="599"/>
    </row>
    <row r="767" spans="1:17">
      <c r="A767" s="344">
        <v>11</v>
      </c>
      <c r="B767" s="659"/>
      <c r="C767" s="660" t="s">
        <v>1025</v>
      </c>
      <c r="D767" s="725"/>
      <c r="E767" s="729"/>
      <c r="F767" s="349">
        <f>'FR-16(7)(v)-1 Functional'!$G$71</f>
        <v>0</v>
      </c>
      <c r="G767" s="349">
        <f t="shared" ref="G767:K768" si="200">G71</f>
        <v>0</v>
      </c>
      <c r="H767" s="349">
        <f t="shared" si="200"/>
        <v>0</v>
      </c>
      <c r="I767" s="349">
        <f t="shared" si="200"/>
        <v>0</v>
      </c>
      <c r="J767" s="349">
        <f t="shared" si="200"/>
        <v>0</v>
      </c>
      <c r="K767" s="349">
        <f t="shared" si="200"/>
        <v>0</v>
      </c>
      <c r="L767" s="349">
        <f>F767-K767</f>
        <v>0</v>
      </c>
      <c r="M767" s="599"/>
      <c r="N767" s="196"/>
      <c r="P767" s="668"/>
      <c r="Q767" s="599"/>
    </row>
    <row r="768" spans="1:17">
      <c r="A768" s="344">
        <v>12</v>
      </c>
      <c r="B768" s="659"/>
      <c r="C768" s="660" t="s">
        <v>1026</v>
      </c>
      <c r="D768" s="725"/>
      <c r="E768" s="713"/>
      <c r="F768" s="349">
        <f>'FR-16(7)(v)-1 Functional'!$G$72</f>
        <v>0</v>
      </c>
      <c r="G768" s="349">
        <f t="shared" si="200"/>
        <v>0</v>
      </c>
      <c r="H768" s="349">
        <f t="shared" si="200"/>
        <v>0</v>
      </c>
      <c r="I768" s="349">
        <f t="shared" si="200"/>
        <v>0</v>
      </c>
      <c r="J768" s="349">
        <f t="shared" si="200"/>
        <v>0</v>
      </c>
      <c r="K768" s="349">
        <f t="shared" si="200"/>
        <v>0</v>
      </c>
      <c r="L768" s="349">
        <f>F768-K768</f>
        <v>0</v>
      </c>
      <c r="M768" s="599"/>
      <c r="N768" s="196"/>
      <c r="P768" s="668"/>
      <c r="Q768" s="599"/>
    </row>
    <row r="769" spans="1:17">
      <c r="A769" s="344">
        <v>13</v>
      </c>
      <c r="B769" s="659"/>
      <c r="C769" s="660" t="s">
        <v>1023</v>
      </c>
      <c r="D769" s="725"/>
      <c r="E769" s="713"/>
      <c r="F769" s="349">
        <f>-'FR-16(7)(v)-1 Functional'!$G$125</f>
        <v>0</v>
      </c>
      <c r="G769" s="349">
        <f t="shared" ref="G769:K770" si="201">-G125</f>
        <v>0</v>
      </c>
      <c r="H769" s="349">
        <f t="shared" si="201"/>
        <v>0</v>
      </c>
      <c r="I769" s="349">
        <f t="shared" si="201"/>
        <v>0</v>
      </c>
      <c r="J769" s="349">
        <f t="shared" si="201"/>
        <v>0</v>
      </c>
      <c r="K769" s="349">
        <f t="shared" si="201"/>
        <v>0</v>
      </c>
      <c r="L769" s="349">
        <f>F769-K769</f>
        <v>0</v>
      </c>
      <c r="M769" s="599"/>
      <c r="N769" s="196"/>
      <c r="P769" s="668"/>
      <c r="Q769" s="599"/>
    </row>
    <row r="770" spans="1:17">
      <c r="A770" s="344">
        <v>14</v>
      </c>
      <c r="B770" s="659"/>
      <c r="C770" s="660" t="s">
        <v>1024</v>
      </c>
      <c r="D770" s="725"/>
      <c r="E770" s="717"/>
      <c r="F770" s="626">
        <f>-'FR-16(7)(v)-1 Functional'!$G$126</f>
        <v>0</v>
      </c>
      <c r="G770" s="626">
        <f t="shared" si="201"/>
        <v>0</v>
      </c>
      <c r="H770" s="626">
        <f t="shared" si="201"/>
        <v>0</v>
      </c>
      <c r="I770" s="626">
        <f t="shared" si="201"/>
        <v>0</v>
      </c>
      <c r="J770" s="626">
        <f t="shared" si="201"/>
        <v>0</v>
      </c>
      <c r="K770" s="626">
        <f t="shared" si="201"/>
        <v>0</v>
      </c>
      <c r="L770" s="349">
        <f>F770-K770</f>
        <v>0</v>
      </c>
      <c r="M770" s="599"/>
      <c r="N770" s="196"/>
      <c r="P770" s="668"/>
      <c r="Q770" s="599"/>
    </row>
    <row r="771" spans="1:17">
      <c r="A771" s="344">
        <v>15</v>
      </c>
      <c r="B771" s="659"/>
      <c r="C771" s="710" t="s">
        <v>1033</v>
      </c>
      <c r="D771" s="725"/>
      <c r="E771" s="713"/>
      <c r="F771" s="349">
        <f t="shared" ref="F771:L771" si="202">SUM(F767:F770)</f>
        <v>0</v>
      </c>
      <c r="G771" s="349">
        <f t="shared" si="202"/>
        <v>0</v>
      </c>
      <c r="H771" s="349">
        <f t="shared" si="202"/>
        <v>0</v>
      </c>
      <c r="I771" s="349">
        <f t="shared" si="202"/>
        <v>0</v>
      </c>
      <c r="J771" s="349">
        <f t="shared" si="202"/>
        <v>0</v>
      </c>
      <c r="K771" s="349">
        <f t="shared" si="202"/>
        <v>0</v>
      </c>
      <c r="L771" s="765">
        <f t="shared" si="202"/>
        <v>0</v>
      </c>
      <c r="M771" s="599"/>
      <c r="N771" s="196"/>
      <c r="P771" s="668"/>
      <c r="Q771" s="599"/>
    </row>
    <row r="772" spans="1:17">
      <c r="A772" s="344">
        <v>16</v>
      </c>
      <c r="B772" s="659"/>
      <c r="C772" s="659"/>
      <c r="D772" s="713"/>
      <c r="E772" s="713"/>
      <c r="F772" s="353"/>
      <c r="G772" s="353"/>
      <c r="H772" s="353"/>
      <c r="J772" s="353"/>
      <c r="K772" s="353"/>
      <c r="L772" s="353"/>
      <c r="M772" s="599"/>
      <c r="N772" s="196"/>
      <c r="P772" s="668"/>
      <c r="Q772" s="599"/>
    </row>
    <row r="773" spans="1:17">
      <c r="A773" s="344">
        <v>17</v>
      </c>
      <c r="B773" s="711" t="s">
        <v>93</v>
      </c>
      <c r="C773" s="616"/>
      <c r="D773" s="713"/>
      <c r="E773" s="713"/>
      <c r="F773" s="353"/>
      <c r="G773" s="353"/>
      <c r="H773" s="353"/>
      <c r="J773" s="353"/>
      <c r="K773" s="353"/>
      <c r="L773" s="353"/>
      <c r="M773" s="599"/>
      <c r="N773" s="196"/>
      <c r="P773" s="668"/>
      <c r="Q773" s="599"/>
    </row>
    <row r="774" spans="1:17">
      <c r="A774" s="344">
        <v>18</v>
      </c>
      <c r="B774" s="659"/>
      <c r="C774" s="660" t="s">
        <v>1027</v>
      </c>
      <c r="D774" s="713"/>
      <c r="E774" s="713"/>
      <c r="F774" s="349">
        <f>'FR-16(7)(v)-1 Functional'!$G$73</f>
        <v>0</v>
      </c>
      <c r="G774" s="349">
        <f>G73</f>
        <v>0</v>
      </c>
      <c r="H774" s="349">
        <f>H73</f>
        <v>0</v>
      </c>
      <c r="I774" s="349">
        <f>I73</f>
        <v>0</v>
      </c>
      <c r="J774" s="349">
        <f>J73</f>
        <v>0</v>
      </c>
      <c r="K774" s="349">
        <f>K73</f>
        <v>0</v>
      </c>
      <c r="L774" s="349">
        <f>F774-K774</f>
        <v>0</v>
      </c>
      <c r="M774" s="599"/>
      <c r="N774" s="196"/>
      <c r="P774" s="668"/>
      <c r="Q774" s="599"/>
    </row>
    <row r="775" spans="1:17">
      <c r="A775" s="344">
        <v>19</v>
      </c>
      <c r="B775" s="659"/>
      <c r="C775" s="660" t="s">
        <v>1028</v>
      </c>
      <c r="D775" s="713"/>
      <c r="E775" s="713"/>
      <c r="F775" s="349">
        <f>'FR-16(7)(v)-1 Functional'!$G$75</f>
        <v>0</v>
      </c>
      <c r="G775" s="349">
        <f>G75</f>
        <v>0</v>
      </c>
      <c r="H775" s="349">
        <f>H75</f>
        <v>0</v>
      </c>
      <c r="I775" s="349">
        <f>I75</f>
        <v>0</v>
      </c>
      <c r="J775" s="349">
        <f>J75</f>
        <v>0</v>
      </c>
      <c r="K775" s="349">
        <f>K75</f>
        <v>0</v>
      </c>
      <c r="L775" s="349">
        <f>F775-K775</f>
        <v>0</v>
      </c>
      <c r="M775" s="599"/>
      <c r="N775" s="196"/>
      <c r="P775" s="668"/>
      <c r="Q775" s="599"/>
    </row>
    <row r="776" spans="1:17">
      <c r="A776" s="344">
        <v>20</v>
      </c>
      <c r="B776" s="659"/>
      <c r="C776" s="660" t="s">
        <v>1029</v>
      </c>
      <c r="D776" s="713"/>
      <c r="E776" s="713"/>
      <c r="F776" s="349">
        <f>-'FR-16(7)(v)-1 Functional'!$G$127</f>
        <v>0</v>
      </c>
      <c r="G776" s="349">
        <f>-G127</f>
        <v>0</v>
      </c>
      <c r="H776" s="349">
        <f>-H127</f>
        <v>0</v>
      </c>
      <c r="I776" s="349">
        <f>-I127</f>
        <v>0</v>
      </c>
      <c r="J776" s="349">
        <f>-J127</f>
        <v>0</v>
      </c>
      <c r="K776" s="349">
        <f>-K127</f>
        <v>0</v>
      </c>
      <c r="L776" s="349">
        <f>F776-K776</f>
        <v>0</v>
      </c>
      <c r="M776" s="599"/>
      <c r="N776" s="196"/>
      <c r="P776" s="668"/>
      <c r="Q776" s="599"/>
    </row>
    <row r="777" spans="1:17">
      <c r="A777" s="344">
        <v>21</v>
      </c>
      <c r="B777" s="659"/>
      <c r="C777" s="660" t="s">
        <v>1030</v>
      </c>
      <c r="D777" s="713"/>
      <c r="E777" s="713"/>
      <c r="F777" s="626">
        <f>-'FR-16(7)(v)-1 Functional'!$G$129</f>
        <v>0</v>
      </c>
      <c r="G777" s="626">
        <f>-G129</f>
        <v>0</v>
      </c>
      <c r="H777" s="626">
        <f>-H129</f>
        <v>0</v>
      </c>
      <c r="I777" s="626">
        <f>-I129</f>
        <v>0</v>
      </c>
      <c r="J777" s="626">
        <f>-J129</f>
        <v>0</v>
      </c>
      <c r="K777" s="626">
        <f>-K129</f>
        <v>0</v>
      </c>
      <c r="L777" s="349">
        <f>F777-K777</f>
        <v>0</v>
      </c>
      <c r="M777" s="599"/>
      <c r="N777" s="196"/>
      <c r="P777" s="668"/>
      <c r="Q777" s="599"/>
    </row>
    <row r="778" spans="1:17">
      <c r="A778" s="344">
        <v>22</v>
      </c>
      <c r="B778" s="659"/>
      <c r="C778" s="710" t="s">
        <v>1034</v>
      </c>
      <c r="D778" s="713"/>
      <c r="E778" s="713"/>
      <c r="F778" s="347">
        <f t="shared" ref="F778:L778" si="203">SUM(F774:F777)</f>
        <v>0</v>
      </c>
      <c r="G778" s="347">
        <f t="shared" si="203"/>
        <v>0</v>
      </c>
      <c r="H778" s="349">
        <f t="shared" si="203"/>
        <v>0</v>
      </c>
      <c r="I778" s="349">
        <f t="shared" si="203"/>
        <v>0</v>
      </c>
      <c r="J778" s="349">
        <f t="shared" si="203"/>
        <v>0</v>
      </c>
      <c r="K778" s="349">
        <f t="shared" si="203"/>
        <v>0</v>
      </c>
      <c r="L778" s="764">
        <f t="shared" si="203"/>
        <v>0</v>
      </c>
      <c r="M778" s="599"/>
      <c r="N778" s="196"/>
      <c r="P778" s="668"/>
      <c r="Q778" s="599"/>
    </row>
    <row r="779" spans="1:17">
      <c r="A779" s="344">
        <v>23</v>
      </c>
      <c r="E779" s="333"/>
      <c r="H779" s="353"/>
      <c r="J779" s="353"/>
      <c r="K779" s="353"/>
      <c r="N779" s="196"/>
    </row>
    <row r="780" spans="1:17">
      <c r="A780" s="344">
        <v>24</v>
      </c>
      <c r="B780" s="631" t="s">
        <v>94</v>
      </c>
      <c r="C780" s="196"/>
      <c r="D780" s="718"/>
      <c r="E780" s="718"/>
      <c r="F780" s="632"/>
      <c r="G780" s="632"/>
      <c r="H780" s="633"/>
      <c r="I780" s="633"/>
      <c r="J780" s="633"/>
      <c r="K780" s="633"/>
      <c r="L780" s="632"/>
      <c r="M780" s="196"/>
      <c r="N780" s="196"/>
      <c r="P780" s="663"/>
      <c r="Q780" s="196"/>
    </row>
    <row r="781" spans="1:17">
      <c r="A781" s="344">
        <v>25</v>
      </c>
      <c r="B781" s="597" t="s">
        <v>95</v>
      </c>
      <c r="C781" s="634"/>
      <c r="D781" s="719"/>
      <c r="E781" s="719"/>
      <c r="F781" s="510"/>
      <c r="G781" s="510"/>
      <c r="H781" s="490"/>
      <c r="I781" s="490"/>
      <c r="J781" s="510"/>
      <c r="K781" s="510"/>
      <c r="L781" s="510"/>
      <c r="M781" s="196"/>
      <c r="N781" s="196"/>
      <c r="P781" s="663"/>
      <c r="Q781" s="196"/>
    </row>
    <row r="782" spans="1:17">
      <c r="A782" s="344">
        <v>26</v>
      </c>
      <c r="B782" s="196"/>
      <c r="C782" s="587" t="s">
        <v>230</v>
      </c>
      <c r="D782" s="725" t="s">
        <v>1013</v>
      </c>
      <c r="E782" s="714" t="str">
        <f>'FR-16(7)(v)-1 Functional'!$E$782</f>
        <v>P129</v>
      </c>
      <c r="F782" s="648">
        <v>1</v>
      </c>
      <c r="G782" s="356">
        <f t="shared" ref="G782:G789" si="204">F782-SUM(H782:J782)</f>
        <v>0.58336999999999994</v>
      </c>
      <c r="H782" s="356">
        <f>ROUND(IF($F$59=0,0,$H$59/$F$59),5)</f>
        <v>0.30480000000000002</v>
      </c>
      <c r="I782" s="356">
        <f>ROUND(IF($F$59=0,0,$I$59/$F$59),5)</f>
        <v>0.11183</v>
      </c>
      <c r="J782" s="356">
        <f>ROUND(IF($F$59=0,0,$J$59/$F$59),5)</f>
        <v>0</v>
      </c>
      <c r="K782" s="356">
        <f t="shared" ref="K782:K789" si="205">SUM(G782:J782)</f>
        <v>0.99999999999999989</v>
      </c>
      <c r="L782" s="350">
        <f t="shared" ref="L782:L789" si="206">F782-K782</f>
        <v>0</v>
      </c>
      <c r="M782" s="196"/>
      <c r="N782" s="196"/>
      <c r="P782" s="665">
        <f t="shared" ref="P782:P789" si="207">K782</f>
        <v>0.99999999999999989</v>
      </c>
      <c r="Q782" s="196"/>
    </row>
    <row r="783" spans="1:17">
      <c r="A783" s="344">
        <v>27</v>
      </c>
      <c r="B783" s="196"/>
      <c r="C783" s="587" t="s">
        <v>231</v>
      </c>
      <c r="D783" s="725" t="s">
        <v>1013</v>
      </c>
      <c r="E783" s="714" t="str">
        <f>'FR-16(7)(v)-1 Functional'!$E$783</f>
        <v>D149</v>
      </c>
      <c r="F783" s="1083">
        <v>0</v>
      </c>
      <c r="G783" s="1082">
        <f t="shared" si="204"/>
        <v>0</v>
      </c>
      <c r="H783" s="1082">
        <f>ROUND(IF($F$78=0,0,H78/$F$78),5)</f>
        <v>0</v>
      </c>
      <c r="I783" s="1082">
        <f>ROUND(IF($F$78=0,0,I78/$F$78),5)</f>
        <v>0</v>
      </c>
      <c r="J783" s="1082">
        <f>ROUND(IF($F$78=0,0,J78/$F$78),5)</f>
        <v>0</v>
      </c>
      <c r="K783" s="1082">
        <f t="shared" si="205"/>
        <v>0</v>
      </c>
      <c r="L783" s="1082">
        <f t="shared" si="206"/>
        <v>0</v>
      </c>
      <c r="M783" s="196"/>
      <c r="N783" s="196"/>
      <c r="P783" s="665">
        <f t="shared" si="207"/>
        <v>0</v>
      </c>
      <c r="Q783" s="196"/>
    </row>
    <row r="784" spans="1:17">
      <c r="A784" s="344">
        <v>28</v>
      </c>
      <c r="B784" s="196"/>
      <c r="C784" s="587" t="s">
        <v>232</v>
      </c>
      <c r="D784" s="725" t="s">
        <v>1013</v>
      </c>
      <c r="E784" s="714" t="str">
        <f>'FR-16(7)(v)-1 Functional'!$E$784</f>
        <v>PD29</v>
      </c>
      <c r="F784" s="648">
        <v>1</v>
      </c>
      <c r="G784" s="356">
        <f t="shared" si="204"/>
        <v>0.58336999999999994</v>
      </c>
      <c r="H784" s="356">
        <f>ROUND(IF($F$81=0,0,H81/$F$81),5)</f>
        <v>0.30480000000000002</v>
      </c>
      <c r="I784" s="356">
        <f>ROUND(IF($F$81=0,0,I81/$F$81),5)</f>
        <v>0.11183</v>
      </c>
      <c r="J784" s="356">
        <f>ROUND(IF($F$81=0,0,J81/$F$81),5)</f>
        <v>0</v>
      </c>
      <c r="K784" s="356">
        <f t="shared" si="205"/>
        <v>0.99999999999999989</v>
      </c>
      <c r="L784" s="350">
        <f t="shared" si="206"/>
        <v>0</v>
      </c>
      <c r="M784" s="196"/>
      <c r="N784" s="196"/>
      <c r="P784" s="665">
        <f t="shared" si="207"/>
        <v>0.99999999999999989</v>
      </c>
      <c r="Q784" s="196"/>
    </row>
    <row r="785" spans="1:17">
      <c r="A785" s="344">
        <v>29</v>
      </c>
      <c r="B785" s="196"/>
      <c r="C785" s="587" t="s">
        <v>233</v>
      </c>
      <c r="D785" s="725" t="s">
        <v>1013</v>
      </c>
      <c r="E785" s="714" t="str">
        <f>'FR-16(7)(v)-1 Functional'!$E$785</f>
        <v>G129</v>
      </c>
      <c r="F785" s="648">
        <v>1</v>
      </c>
      <c r="G785" s="356">
        <f t="shared" si="204"/>
        <v>0.50612999999999997</v>
      </c>
      <c r="H785" s="356">
        <f>ROUND(IF($F$90=0,0,H90/$F$90),5)</f>
        <v>0.28828999999999999</v>
      </c>
      <c r="I785" s="356">
        <f>ROUND(IF($F$90=0,0,I90/$F$90),5)</f>
        <v>0.20411000000000001</v>
      </c>
      <c r="J785" s="356">
        <f>ROUND(IF($F$90=0,0,J90/$F$90),5)</f>
        <v>1.47E-3</v>
      </c>
      <c r="K785" s="356">
        <f t="shared" si="205"/>
        <v>0.99999999999999989</v>
      </c>
      <c r="L785" s="350">
        <f t="shared" si="206"/>
        <v>0</v>
      </c>
      <c r="M785" s="196"/>
      <c r="N785" s="196"/>
      <c r="P785" s="665">
        <f t="shared" si="207"/>
        <v>0.99999999999999989</v>
      </c>
      <c r="Q785" s="196"/>
    </row>
    <row r="786" spans="1:17">
      <c r="A786" s="344">
        <v>30</v>
      </c>
      <c r="B786" s="196"/>
      <c r="C786" s="587" t="s">
        <v>234</v>
      </c>
      <c r="D786" s="725" t="s">
        <v>1013</v>
      </c>
      <c r="E786" s="714" t="str">
        <f>'FR-16(7)(v)-1 Functional'!$E$786</f>
        <v>C129</v>
      </c>
      <c r="F786" s="648">
        <v>1</v>
      </c>
      <c r="G786" s="356">
        <f t="shared" si="204"/>
        <v>0.50612999999999997</v>
      </c>
      <c r="H786" s="356">
        <f>ROUND(IF($F$99=0,0,H99/$F$99),5)</f>
        <v>0.28828999999999999</v>
      </c>
      <c r="I786" s="356">
        <f>ROUND(IF($F$99=0,0,I99/$F$99),5)</f>
        <v>0.20411000000000001</v>
      </c>
      <c r="J786" s="356">
        <f>ROUND(IF($F$99=0,0,J99/$F$99),5)</f>
        <v>1.47E-3</v>
      </c>
      <c r="K786" s="356">
        <f t="shared" si="205"/>
        <v>0.99999999999999989</v>
      </c>
      <c r="L786" s="350">
        <f t="shared" si="206"/>
        <v>0</v>
      </c>
      <c r="M786" s="196"/>
      <c r="N786" s="196"/>
      <c r="P786" s="665">
        <f t="shared" si="207"/>
        <v>0.99999999999999989</v>
      </c>
      <c r="Q786" s="196"/>
    </row>
    <row r="787" spans="1:17">
      <c r="A787" s="344">
        <v>31</v>
      </c>
      <c r="B787" s="196"/>
      <c r="C787" s="587" t="s">
        <v>235</v>
      </c>
      <c r="D787" s="725" t="s">
        <v>1013</v>
      </c>
      <c r="E787" s="714" t="str">
        <f>'FR-16(7)(v)-1 Functional'!$E$787</f>
        <v>GP19</v>
      </c>
      <c r="F787" s="648">
        <v>1</v>
      </c>
      <c r="G787" s="356">
        <f t="shared" si="204"/>
        <v>0.53861000000000003</v>
      </c>
      <c r="H787" s="356">
        <f>ROUND(IF($F$101=0,0,H101/$F$101),5)</f>
        <v>0.29522999999999999</v>
      </c>
      <c r="I787" s="356">
        <f>ROUND(IF($F$101=0,0,I101/$F$101),5)</f>
        <v>0.16531000000000001</v>
      </c>
      <c r="J787" s="356">
        <f>ROUND(IF($F$101=0,0,J101/$F$101),5)</f>
        <v>8.4999999999999995E-4</v>
      </c>
      <c r="K787" s="356">
        <f t="shared" si="205"/>
        <v>1</v>
      </c>
      <c r="L787" s="350">
        <f t="shared" si="206"/>
        <v>0</v>
      </c>
      <c r="M787" s="196"/>
      <c r="N787" s="196"/>
      <c r="P787" s="665">
        <f t="shared" si="207"/>
        <v>1</v>
      </c>
      <c r="Q787" s="196"/>
    </row>
    <row r="788" spans="1:17">
      <c r="A788" s="344">
        <v>32</v>
      </c>
      <c r="B788" s="196"/>
      <c r="C788" s="587" t="s">
        <v>236</v>
      </c>
      <c r="D788" s="725" t="s">
        <v>1013</v>
      </c>
      <c r="E788" s="714" t="str">
        <f>'FR-16(7)(v)-1 Functional'!$E$788</f>
        <v>D199</v>
      </c>
      <c r="F788" s="1083">
        <v>0</v>
      </c>
      <c r="G788" s="1082">
        <f t="shared" si="204"/>
        <v>0</v>
      </c>
      <c r="H788" s="1082">
        <f>ROUND(IF($F$131=0,0,H131/$F$131),5)</f>
        <v>0</v>
      </c>
      <c r="I788" s="1082">
        <f>ROUND(IF($F$131=0,0,I131/$F$131),5)</f>
        <v>0</v>
      </c>
      <c r="J788" s="1082">
        <f>ROUND(IF($F$131=0,0,J131/$F$131),5)</f>
        <v>0</v>
      </c>
      <c r="K788" s="1082">
        <f t="shared" si="205"/>
        <v>0</v>
      </c>
      <c r="L788" s="1082">
        <f t="shared" si="206"/>
        <v>0</v>
      </c>
      <c r="M788" s="196"/>
      <c r="N788" s="196"/>
      <c r="P788" s="665">
        <f t="shared" si="207"/>
        <v>0</v>
      </c>
      <c r="Q788" s="196"/>
    </row>
    <row r="789" spans="1:17">
      <c r="A789" s="344">
        <v>33</v>
      </c>
      <c r="B789" s="196"/>
      <c r="C789" s="587" t="s">
        <v>237</v>
      </c>
      <c r="D789" s="725" t="s">
        <v>1013</v>
      </c>
      <c r="E789" s="714" t="str">
        <f>'FR-16(7)(v)-1 Functional'!$E$789</f>
        <v>DR19</v>
      </c>
      <c r="F789" s="648">
        <v>1</v>
      </c>
      <c r="G789" s="356">
        <f t="shared" si="204"/>
        <v>0.54018999999999995</v>
      </c>
      <c r="H789" s="356">
        <f>ROUND(IF($F$151=0,0,H151/$F$151),5)</f>
        <v>0.29557</v>
      </c>
      <c r="I789" s="356">
        <f>ROUND(IF($F$151=0,0,I151/$F$151),5)</f>
        <v>0.16342000000000001</v>
      </c>
      <c r="J789" s="356">
        <f>ROUND(IF($F$151=0,0,J151/$F$151),5)</f>
        <v>8.1999999999999998E-4</v>
      </c>
      <c r="K789" s="356">
        <f t="shared" si="205"/>
        <v>1</v>
      </c>
      <c r="L789" s="350">
        <f t="shared" si="206"/>
        <v>0</v>
      </c>
      <c r="M789" s="196"/>
      <c r="N789" s="196"/>
      <c r="P789" s="665">
        <f t="shared" si="207"/>
        <v>1</v>
      </c>
      <c r="Q789" s="196"/>
    </row>
    <row r="790" spans="1:17">
      <c r="A790" s="344">
        <v>34</v>
      </c>
      <c r="B790" s="196"/>
      <c r="C790" s="196"/>
      <c r="D790" s="344"/>
      <c r="E790" s="729"/>
      <c r="F790" s="648"/>
      <c r="G790" s="356"/>
      <c r="H790" s="356"/>
      <c r="I790" s="356"/>
      <c r="J790" s="356"/>
      <c r="K790" s="356"/>
      <c r="M790" s="196"/>
      <c r="N790" s="196"/>
      <c r="P790" s="663"/>
      <c r="Q790" s="196"/>
    </row>
    <row r="791" spans="1:17">
      <c r="A791" s="344">
        <v>35</v>
      </c>
      <c r="B791" s="587" t="s">
        <v>96</v>
      </c>
      <c r="C791" s="196"/>
      <c r="D791" s="344"/>
      <c r="E791" s="729"/>
      <c r="F791" s="648"/>
      <c r="G791" s="356"/>
      <c r="H791" s="356"/>
      <c r="I791" s="356"/>
      <c r="J791" s="356"/>
      <c r="K791" s="356"/>
      <c r="M791" s="196"/>
      <c r="N791" s="196"/>
      <c r="P791" s="663"/>
      <c r="Q791" s="196"/>
    </row>
    <row r="792" spans="1:17">
      <c r="A792" s="344">
        <v>36</v>
      </c>
      <c r="B792" s="196"/>
      <c r="C792" s="587" t="s">
        <v>238</v>
      </c>
      <c r="D792" s="725" t="s">
        <v>1013</v>
      </c>
      <c r="E792" s="714" t="str">
        <f>'FR-16(7)(v)-1 Functional'!$E$792</f>
        <v>P229</v>
      </c>
      <c r="F792" s="648">
        <v>1</v>
      </c>
      <c r="G792" s="356">
        <f>F792-SUM(H792:J792)</f>
        <v>0.58336999999999994</v>
      </c>
      <c r="H792" s="356">
        <f>ROUND(IF($F$166=0,0,H166/$F$166),5)</f>
        <v>0.30480000000000002</v>
      </c>
      <c r="I792" s="356">
        <f>ROUND(IF($F$166=0,0,I166/$F$166),5)</f>
        <v>0.11183</v>
      </c>
      <c r="J792" s="356">
        <f>ROUND(IF($F$166=0,0,J166/$F$166),5)</f>
        <v>0</v>
      </c>
      <c r="K792" s="356">
        <f>SUM(G792:J792)</f>
        <v>0.99999999999999989</v>
      </c>
      <c r="L792" s="350">
        <f>F792-K792</f>
        <v>0</v>
      </c>
      <c r="M792" s="196"/>
      <c r="N792" s="196"/>
      <c r="P792" s="665">
        <f>K792</f>
        <v>0.99999999999999989</v>
      </c>
      <c r="Q792" s="196"/>
    </row>
    <row r="793" spans="1:17">
      <c r="A793" s="344">
        <v>37</v>
      </c>
      <c r="B793" s="196"/>
      <c r="C793" s="587" t="s">
        <v>239</v>
      </c>
      <c r="D793" s="725" t="s">
        <v>1013</v>
      </c>
      <c r="E793" s="714" t="str">
        <f>'FR-16(7)(v)-1 Functional'!$E$793</f>
        <v>D249</v>
      </c>
      <c r="F793" s="1083">
        <v>0</v>
      </c>
      <c r="G793" s="1082">
        <f>F793-SUM(H793:J793)</f>
        <v>0</v>
      </c>
      <c r="H793" s="1082">
        <f>ROUND(IF($F$176=0,0,H176/$F$176),5)</f>
        <v>0</v>
      </c>
      <c r="I793" s="1082">
        <f>ROUND(IF($F$176=0,0,I176/$F$176),5)</f>
        <v>0</v>
      </c>
      <c r="J793" s="1082">
        <f>ROUND(IF($F$176=0,0,J176/$F$176),5)</f>
        <v>0</v>
      </c>
      <c r="K793" s="1082">
        <f>SUM(G793:J793)</f>
        <v>0</v>
      </c>
      <c r="L793" s="1082">
        <f>F793-K793</f>
        <v>0</v>
      </c>
      <c r="M793" s="196"/>
      <c r="N793" s="196"/>
      <c r="P793" s="665">
        <f>K793</f>
        <v>0</v>
      </c>
      <c r="Q793" s="196"/>
    </row>
    <row r="794" spans="1:17">
      <c r="A794" s="344">
        <v>38</v>
      </c>
      <c r="B794" s="196"/>
      <c r="C794" s="587" t="s">
        <v>240</v>
      </c>
      <c r="D794" s="725" t="s">
        <v>1013</v>
      </c>
      <c r="E794" s="714" t="str">
        <f>'FR-16(7)(v)-1 Functional'!$E$794</f>
        <v>G229</v>
      </c>
      <c r="F794" s="648">
        <v>1</v>
      </c>
      <c r="G794" s="356">
        <f>F794-SUM(H794:J794)</f>
        <v>0.50612999999999997</v>
      </c>
      <c r="H794" s="356">
        <f>ROUND(IF($F$184=0,0,H184/$F$184),5)</f>
        <v>0.28828999999999999</v>
      </c>
      <c r="I794" s="356">
        <f>ROUND(IF($F$184=0,0,I184/$F$184),5)</f>
        <v>0.20411000000000001</v>
      </c>
      <c r="J794" s="356">
        <f>ROUND(IF($F$184=0,0,J184/$F$184),5)</f>
        <v>1.47E-3</v>
      </c>
      <c r="K794" s="356">
        <f>SUM(G794:J794)</f>
        <v>0.99999999999999989</v>
      </c>
      <c r="L794" s="350">
        <f>F794-K794</f>
        <v>0</v>
      </c>
      <c r="M794" s="196"/>
      <c r="N794" s="196"/>
      <c r="P794" s="665">
        <f>K794</f>
        <v>0.99999999999999989</v>
      </c>
      <c r="Q794" s="196"/>
    </row>
    <row r="795" spans="1:17">
      <c r="A795" s="344">
        <v>39</v>
      </c>
      <c r="B795" s="196"/>
      <c r="C795" s="587" t="s">
        <v>241</v>
      </c>
      <c r="D795" s="725" t="s">
        <v>1013</v>
      </c>
      <c r="E795" s="714" t="str">
        <f>'FR-16(7)(v)-1 Functional'!$E$795</f>
        <v>C229</v>
      </c>
      <c r="F795" s="648">
        <v>1</v>
      </c>
      <c r="G795" s="356">
        <f>F795-SUM(H795:J795)</f>
        <v>0.50612999999999997</v>
      </c>
      <c r="H795" s="356">
        <f>ROUND(IF($F$189=0,0,H189/$F$189),5)</f>
        <v>0.28828999999999999</v>
      </c>
      <c r="I795" s="356">
        <f>ROUND(IF($F$189=0,0,I189/$F$189),5)</f>
        <v>0.20411000000000001</v>
      </c>
      <c r="J795" s="356">
        <f>ROUND(IF($F$189=0,0,J189/$F$189),5)</f>
        <v>1.47E-3</v>
      </c>
      <c r="K795" s="356">
        <f>SUM(G795:J795)</f>
        <v>0.99999999999999989</v>
      </c>
      <c r="L795" s="350">
        <f>F795-K795</f>
        <v>0</v>
      </c>
      <c r="M795" s="196"/>
      <c r="N795" s="196"/>
      <c r="P795" s="665">
        <f>K795</f>
        <v>0.99999999999999989</v>
      </c>
      <c r="Q795" s="196"/>
    </row>
    <row r="796" spans="1:17">
      <c r="A796" s="344">
        <v>40</v>
      </c>
      <c r="B796" s="196"/>
      <c r="C796" s="587" t="s">
        <v>242</v>
      </c>
      <c r="D796" s="725" t="s">
        <v>1013</v>
      </c>
      <c r="E796" s="714" t="str">
        <f>'FR-16(7)(v)-1 Functional'!$E$796</f>
        <v>NP29</v>
      </c>
      <c r="F796" s="648">
        <v>1</v>
      </c>
      <c r="G796" s="356">
        <f>F796-SUM(H796:J796)</f>
        <v>0.53659999999999997</v>
      </c>
      <c r="H796" s="356">
        <f>ROUND(IF($F$191=0,0,H191/$F$191),5)</f>
        <v>0.29481000000000002</v>
      </c>
      <c r="I796" s="356">
        <f>ROUND(IF($F$191=0,0,I191/$F$191),5)</f>
        <v>0.16769999999999999</v>
      </c>
      <c r="J796" s="356">
        <f>ROUND(IF($F$191=0,0,J191/$F$191),5)</f>
        <v>8.8999999999999995E-4</v>
      </c>
      <c r="K796" s="356">
        <f>SUM(G796:J796)</f>
        <v>0.99999999999999989</v>
      </c>
      <c r="L796" s="350">
        <f>F796-K796</f>
        <v>0</v>
      </c>
      <c r="M796" s="196"/>
      <c r="N796" s="196"/>
      <c r="P796" s="663"/>
      <c r="Q796" s="196"/>
    </row>
    <row r="797" spans="1:17">
      <c r="A797" s="344">
        <v>41</v>
      </c>
      <c r="B797" s="196"/>
      <c r="C797" s="587"/>
      <c r="D797" s="714"/>
      <c r="E797" s="734"/>
      <c r="F797" s="350"/>
      <c r="G797" s="356"/>
      <c r="H797" s="356"/>
      <c r="I797" s="356"/>
      <c r="J797" s="356"/>
      <c r="K797" s="356"/>
      <c r="L797" s="350"/>
      <c r="M797" s="196"/>
      <c r="N797" s="196"/>
      <c r="P797" s="663"/>
      <c r="Q797" s="196"/>
    </row>
    <row r="798" spans="1:17">
      <c r="A798" s="344">
        <v>42</v>
      </c>
      <c r="B798" s="587" t="s">
        <v>32</v>
      </c>
      <c r="C798" s="196"/>
      <c r="D798" s="344"/>
      <c r="E798" s="729"/>
      <c r="F798" s="350"/>
      <c r="G798" s="356"/>
      <c r="H798" s="356"/>
      <c r="I798" s="356"/>
      <c r="J798" s="356"/>
      <c r="K798" s="356"/>
      <c r="M798" s="196"/>
      <c r="N798" s="196"/>
      <c r="P798" s="663"/>
      <c r="Q798" s="196"/>
    </row>
    <row r="799" spans="1:17">
      <c r="A799" s="344">
        <v>43</v>
      </c>
      <c r="B799" s="196"/>
      <c r="C799" s="587" t="s">
        <v>243</v>
      </c>
      <c r="D799" s="725" t="s">
        <v>1013</v>
      </c>
      <c r="E799" s="714" t="str">
        <f>'FR-16(7)(v)-1 Functional'!$E$799</f>
        <v>W669</v>
      </c>
      <c r="F799" s="648">
        <v>1</v>
      </c>
      <c r="G799" s="356">
        <f>F799-SUM(H799:J799)</f>
        <v>0.50706000000000007</v>
      </c>
      <c r="H799" s="356">
        <f>ROUND(IF($F$304=0,0,H304/$F$304),5)</f>
        <v>0.28876000000000002</v>
      </c>
      <c r="I799" s="356">
        <f>ROUND(IF($F$304=0,0,I304/$F$304),5)</f>
        <v>0.20416999999999999</v>
      </c>
      <c r="J799" s="356">
        <f>ROUND(IF($F$304=0,0,J304/$F$304),5)</f>
        <v>1.0000000000000001E-5</v>
      </c>
      <c r="K799" s="356">
        <f>SUM(G799:J799)</f>
        <v>1</v>
      </c>
      <c r="L799" s="350">
        <f>F799-K799</f>
        <v>0</v>
      </c>
      <c r="M799" s="196"/>
      <c r="N799" s="196"/>
      <c r="P799" s="665">
        <f>K799</f>
        <v>1</v>
      </c>
      <c r="Q799" s="196"/>
    </row>
    <row r="800" spans="1:17">
      <c r="A800" s="344">
        <v>44</v>
      </c>
      <c r="B800" s="196"/>
      <c r="C800" s="587" t="s">
        <v>244</v>
      </c>
      <c r="D800" s="725" t="s">
        <v>1013</v>
      </c>
      <c r="E800" s="714" t="str">
        <f>'FR-16(7)(v)-1 Functional'!$E$800</f>
        <v>W689</v>
      </c>
      <c r="F800" s="1083">
        <v>0</v>
      </c>
      <c r="G800" s="1082">
        <f>F800-SUM(H800:J800)</f>
        <v>-0.49484</v>
      </c>
      <c r="H800" s="1082">
        <f>ROUND(IF($F$310=0,0,H310/$F$310),5)</f>
        <v>0.28777999999999998</v>
      </c>
      <c r="I800" s="1082">
        <f>ROUND(IF($F$310=0,0,I310/$F$310),5)</f>
        <v>0.20372999999999999</v>
      </c>
      <c r="J800" s="1082">
        <f>ROUND(IF($F$310=0,0,J310/$F$310),5)</f>
        <v>3.3300000000000001E-3</v>
      </c>
      <c r="K800" s="1082">
        <f>SUM(G800:J800)</f>
        <v>-2.7321894746634712E-17</v>
      </c>
      <c r="L800" s="1082">
        <f>F800-K800</f>
        <v>2.7321894746634712E-17</v>
      </c>
      <c r="M800" s="196"/>
      <c r="N800" s="196"/>
      <c r="P800" s="665">
        <f>K800</f>
        <v>-2.7321894746634712E-17</v>
      </c>
      <c r="Q800" s="196"/>
    </row>
    <row r="801" spans="1:17">
      <c r="A801" s="344">
        <v>45</v>
      </c>
      <c r="B801" s="196"/>
      <c r="C801" s="587" t="s">
        <v>245</v>
      </c>
      <c r="D801" s="725" t="s">
        <v>1013</v>
      </c>
      <c r="E801" s="714" t="str">
        <f>'FR-16(7)(v)-1 Functional'!$E$801</f>
        <v>W729</v>
      </c>
      <c r="F801" s="1083">
        <v>0</v>
      </c>
      <c r="G801" s="1082">
        <f>F801-SUM(H801:J801)</f>
        <v>-0.53083000000000002</v>
      </c>
      <c r="H801" s="1082">
        <f>ROUND(IF($F$313=0,0,H313/$F$313),5)</f>
        <v>0.26724999999999999</v>
      </c>
      <c r="I801" s="1082">
        <f>ROUND(IF($F$313=0,0,I313/$F$313),5)</f>
        <v>0.18920999999999999</v>
      </c>
      <c r="J801" s="1082">
        <f>ROUND(IF($F$313=0,0,J313/$F$313),5)</f>
        <v>7.4370000000000006E-2</v>
      </c>
      <c r="K801" s="1082">
        <f>SUM(G801:J801)</f>
        <v>0</v>
      </c>
      <c r="L801" s="1082">
        <f>F801-K801</f>
        <v>0</v>
      </c>
      <c r="M801" s="196"/>
      <c r="N801" s="196"/>
      <c r="P801" s="665">
        <f>K801</f>
        <v>0</v>
      </c>
      <c r="Q801" s="196"/>
    </row>
    <row r="802" spans="1:17">
      <c r="A802" s="344">
        <v>46</v>
      </c>
      <c r="B802" s="196"/>
      <c r="C802" s="587" t="s">
        <v>246</v>
      </c>
      <c r="D802" s="725" t="s">
        <v>1013</v>
      </c>
      <c r="E802" s="714" t="str">
        <f>'FR-16(7)(v)-1 Functional'!$E$802</f>
        <v>W749</v>
      </c>
      <c r="F802" s="1083">
        <v>0</v>
      </c>
      <c r="G802" s="1082">
        <f>F802-SUM(H802:J802)</f>
        <v>-0.49312999999999996</v>
      </c>
      <c r="H802" s="1082">
        <f>ROUND(IF($F$319=0,0,H319/$F$319),5)</f>
        <v>0.28871999999999998</v>
      </c>
      <c r="I802" s="1082">
        <f>ROUND(IF($F$319=0,0,I319/$F$319),5)</f>
        <v>0.20441000000000001</v>
      </c>
      <c r="J802" s="1082">
        <f>ROUND(IF($F$319=0,0,J319/$F$319),5)</f>
        <v>0</v>
      </c>
      <c r="K802" s="1082">
        <f>SUM(G802:J802)</f>
        <v>2.7755575615628914E-17</v>
      </c>
      <c r="L802" s="1082">
        <f>F802-K802</f>
        <v>-2.7755575615628914E-17</v>
      </c>
      <c r="M802" s="196"/>
      <c r="N802" s="196"/>
      <c r="P802" s="665">
        <f>K802</f>
        <v>2.7755575615628914E-17</v>
      </c>
      <c r="Q802" s="196"/>
    </row>
    <row r="803" spans="1:17">
      <c r="A803" s="344">
        <v>47</v>
      </c>
      <c r="B803" s="196"/>
      <c r="C803" s="587" t="s">
        <v>247</v>
      </c>
      <c r="D803" s="725" t="s">
        <v>1013</v>
      </c>
      <c r="E803" s="714" t="str">
        <f>'FR-16(7)(v)-1 Functional'!$E$803</f>
        <v>WC79</v>
      </c>
      <c r="F803" s="648">
        <v>1</v>
      </c>
      <c r="G803" s="356">
        <f>F803-SUM(H803:J803)</f>
        <v>0.50512999999999997</v>
      </c>
      <c r="H803" s="356">
        <f>ROUND(IF($F$321=0,0,H321/$F$321),5)</f>
        <v>0.28771000000000002</v>
      </c>
      <c r="I803" s="356">
        <f>ROUND(IF($F$321=0,0,I321/$F$321),5)</f>
        <v>0.20362</v>
      </c>
      <c r="J803" s="356">
        <f>ROUND(IF($F$321=0,0,J321/$F$321),5)</f>
        <v>3.5400000000000002E-3</v>
      </c>
      <c r="K803" s="356">
        <f>SUM(G803:J803)</f>
        <v>1</v>
      </c>
      <c r="L803" s="350">
        <f>F803-K803</f>
        <v>0</v>
      </c>
      <c r="M803" s="196"/>
      <c r="N803" s="196"/>
      <c r="P803" s="665">
        <f>K803</f>
        <v>1</v>
      </c>
      <c r="Q803" s="196"/>
    </row>
    <row r="804" spans="1:17">
      <c r="A804" s="344"/>
      <c r="B804" s="196"/>
      <c r="C804" s="196"/>
      <c r="D804" s="344"/>
      <c r="E804" s="729"/>
      <c r="F804" s="648"/>
      <c r="G804" s="350"/>
      <c r="H804" s="356"/>
      <c r="I804" s="356"/>
      <c r="J804" s="356"/>
      <c r="K804" s="356"/>
      <c r="M804" s="196"/>
      <c r="N804" s="196"/>
      <c r="P804" s="663"/>
      <c r="Q804" s="196"/>
    </row>
    <row r="805" spans="1:17">
      <c r="A805" s="343" t="str">
        <f>co_name</f>
        <v>DUKE ENERGY KENTUCKY, INC.</v>
      </c>
      <c r="C805" s="196"/>
      <c r="D805" s="344"/>
      <c r="E805" s="196"/>
      <c r="F805" s="344"/>
      <c r="G805" s="342"/>
      <c r="H805" s="342"/>
      <c r="I805" s="196"/>
      <c r="K805" s="361" t="str">
        <f>$K$1</f>
        <v>FR-16(7)(v)-3</v>
      </c>
      <c r="N805" s="196"/>
      <c r="P805" s="664"/>
    </row>
    <row r="806" spans="1:17">
      <c r="A806" s="343" t="str">
        <f>$A$2</f>
        <v>PRODUCTION COMMODITY ALLOCATED - GAS COST OF SERVICE</v>
      </c>
      <c r="C806" s="196"/>
      <c r="D806" s="344"/>
      <c r="E806" s="196"/>
      <c r="F806" s="344"/>
      <c r="G806" s="342"/>
      <c r="H806" s="342"/>
      <c r="I806" s="196"/>
      <c r="K806" s="361" t="str">
        <f>$K$2</f>
        <v>WITNESS RESPONSIBLE:</v>
      </c>
      <c r="N806" s="196"/>
      <c r="P806" s="664"/>
    </row>
    <row r="807" spans="1:17">
      <c r="A807" s="343" t="str">
        <f>case_name</f>
        <v>CASE NO: 2018-00261</v>
      </c>
      <c r="C807" s="196"/>
      <c r="D807" s="344"/>
      <c r="E807" s="196"/>
      <c r="F807" s="344"/>
      <c r="G807" s="342"/>
      <c r="H807" s="342"/>
      <c r="I807" s="196"/>
      <c r="K807" s="361" t="str">
        <f>Witness</f>
        <v>JAMES E. ZIOLKOWSKI</v>
      </c>
      <c r="N807" s="196"/>
      <c r="P807" s="664"/>
    </row>
    <row r="808" spans="1:17">
      <c r="A808" s="343" t="str">
        <f>data_filing</f>
        <v>DATA: 12 MONTH FORECASTED PERIOD</v>
      </c>
      <c r="C808" s="196"/>
      <c r="D808" s="344"/>
      <c r="E808" s="196"/>
      <c r="F808" s="344"/>
      <c r="G808" s="342"/>
      <c r="H808" s="342"/>
      <c r="I808" s="196"/>
      <c r="K808" s="361" t="str">
        <f>"PAGE "&amp;Pages&amp;" OF "&amp;Pages</f>
        <v>PAGE 18 OF 18</v>
      </c>
      <c r="N808" s="196"/>
      <c r="P808" s="664"/>
    </row>
    <row r="809" spans="1:17">
      <c r="A809" s="343" t="str">
        <f>type</f>
        <v xml:space="preserve">TYPE OF FILING: "X" ORIGINAL   UPDATED    REVISED  </v>
      </c>
      <c r="C809" s="196"/>
      <c r="D809" s="344"/>
      <c r="E809" s="196"/>
      <c r="F809" s="344"/>
      <c r="G809" s="342"/>
      <c r="H809" s="342"/>
      <c r="I809" s="196"/>
      <c r="J809" s="344"/>
      <c r="K809" s="196"/>
      <c r="N809" s="196"/>
      <c r="P809" s="664"/>
    </row>
    <row r="810" spans="1:17">
      <c r="B810" s="196"/>
      <c r="E810" s="333"/>
      <c r="F810" s="344"/>
      <c r="H810" s="353"/>
      <c r="J810" s="588"/>
      <c r="K810" s="353"/>
      <c r="N810" s="196"/>
      <c r="P810" s="664"/>
    </row>
    <row r="811" spans="1:17">
      <c r="B811" s="196"/>
      <c r="E811" s="333"/>
      <c r="F811" s="344" t="s">
        <v>229</v>
      </c>
      <c r="H811" s="353"/>
      <c r="J811" s="588"/>
      <c r="K811" s="353"/>
      <c r="N811" s="196"/>
      <c r="P811" s="664"/>
    </row>
    <row r="812" spans="1:17">
      <c r="A812" s="344" t="s">
        <v>914</v>
      </c>
      <c r="B812" s="196"/>
      <c r="C812" s="196"/>
      <c r="D812" s="344"/>
      <c r="E812" s="344"/>
      <c r="F812" s="344" t="str">
        <f>$F$8</f>
        <v>PRODUCTION</v>
      </c>
      <c r="G812" s="589" t="str">
        <f>$G$8</f>
        <v>RS</v>
      </c>
      <c r="H812" s="588" t="str">
        <f>$H$8</f>
        <v>GS</v>
      </c>
      <c r="I812" s="588" t="str">
        <f>$I$8</f>
        <v>FT-L</v>
      </c>
      <c r="J812" s="588" t="str">
        <f>$J$8</f>
        <v>INTERUPT</v>
      </c>
      <c r="K812" s="588" t="s">
        <v>229</v>
      </c>
      <c r="L812" s="589" t="s">
        <v>342</v>
      </c>
      <c r="M812" s="196"/>
      <c r="N812" s="196"/>
      <c r="P812" s="663"/>
      <c r="Q812" s="196"/>
    </row>
    <row r="813" spans="1:17">
      <c r="A813" s="346" t="s">
        <v>915</v>
      </c>
      <c r="B813" s="590" t="s">
        <v>89</v>
      </c>
      <c r="C813" s="345"/>
      <c r="D813" s="591" t="s">
        <v>1011</v>
      </c>
      <c r="E813" s="591" t="s">
        <v>337</v>
      </c>
      <c r="F813" s="344" t="str">
        <f>$F$9</f>
        <v>COMMODITY</v>
      </c>
      <c r="G813" s="592" t="str">
        <f>$G$9</f>
        <v>RESIDENTIAL</v>
      </c>
      <c r="H813" s="593" t="str">
        <f>$H$9</f>
        <v>GEN SERV</v>
      </c>
      <c r="I813" s="593" t="str">
        <f>$I$9</f>
        <v>FIRM TRANS</v>
      </c>
      <c r="J813" s="593" t="str">
        <f>$J$9</f>
        <v>TRANS</v>
      </c>
      <c r="K813" s="593" t="s">
        <v>341</v>
      </c>
      <c r="L813" s="592" t="s">
        <v>340</v>
      </c>
      <c r="M813" s="196"/>
      <c r="N813" s="196"/>
      <c r="P813" s="663"/>
      <c r="Q813" s="196"/>
    </row>
    <row r="814" spans="1:17">
      <c r="C814" s="846" t="s">
        <v>1055</v>
      </c>
      <c r="E814" s="633">
        <v>1</v>
      </c>
      <c r="F814" s="820">
        <v>2</v>
      </c>
      <c r="G814" s="633">
        <v>3</v>
      </c>
      <c r="H814" s="633">
        <v>4</v>
      </c>
      <c r="I814" s="633">
        <v>5</v>
      </c>
      <c r="J814" s="633">
        <v>6</v>
      </c>
      <c r="K814" s="353"/>
      <c r="N814" s="196"/>
      <c r="P814" s="664"/>
    </row>
    <row r="815" spans="1:17">
      <c r="A815" s="344">
        <v>1</v>
      </c>
      <c r="B815" s="587" t="s">
        <v>25</v>
      </c>
      <c r="C815" s="196"/>
      <c r="D815" s="344"/>
      <c r="E815" s="729"/>
      <c r="F815" s="648"/>
      <c r="G815" s="350"/>
      <c r="H815" s="356"/>
      <c r="I815" s="356"/>
      <c r="J815" s="356"/>
      <c r="K815" s="356"/>
      <c r="M815" s="196"/>
      <c r="N815" s="196"/>
      <c r="P815" s="663"/>
      <c r="Q815" s="196"/>
    </row>
    <row r="816" spans="1:17">
      <c r="A816" s="344">
        <v>2</v>
      </c>
      <c r="B816" s="196"/>
      <c r="C816" s="587" t="s">
        <v>248</v>
      </c>
      <c r="D816" s="725" t="s">
        <v>1013</v>
      </c>
      <c r="E816" s="714" t="str">
        <f>'FR-16(7)(v)-1 Functional'!$E$816</f>
        <v>RB29</v>
      </c>
      <c r="F816" s="648">
        <v>1</v>
      </c>
      <c r="G816" s="356">
        <f>F816-SUM(H816:J816)</f>
        <v>0.51412000000000002</v>
      </c>
      <c r="H816" s="356">
        <f>ROUND(IF($F$296=0,0,H296/$F$296),5)</f>
        <v>0.28136</v>
      </c>
      <c r="I816" s="356">
        <f>ROUND(IF($F$296=0,0,I296/$F$296),5)</f>
        <v>0.15576000000000001</v>
      </c>
      <c r="J816" s="356">
        <f>ROUND(IF($F$296=0,0,J296/$F$296),5)</f>
        <v>4.8759999999999998E-2</v>
      </c>
      <c r="K816" s="356">
        <f>SUM(G816:J816)</f>
        <v>1</v>
      </c>
      <c r="L816" s="350">
        <f>F816-K816</f>
        <v>0</v>
      </c>
      <c r="M816" s="196"/>
      <c r="N816" s="196"/>
      <c r="P816" s="665">
        <f>K816</f>
        <v>1</v>
      </c>
      <c r="Q816" s="196"/>
    </row>
    <row r="817" spans="1:17">
      <c r="A817" s="344">
        <v>3</v>
      </c>
      <c r="B817" s="196"/>
      <c r="C817" s="587" t="s">
        <v>249</v>
      </c>
      <c r="D817" s="725" t="s">
        <v>1013</v>
      </c>
      <c r="E817" s="714" t="str">
        <f>'FR-16(7)(v)-1 Functional'!$E$817</f>
        <v>RB99</v>
      </c>
      <c r="F817" s="648">
        <v>1</v>
      </c>
      <c r="G817" s="356">
        <f>F817-SUM(H817:J817)</f>
        <v>0.50808999999999993</v>
      </c>
      <c r="H817" s="356">
        <f>ROUND(IF($F$331=0,0,H331/$F$331),5)</f>
        <v>0.28561999999999999</v>
      </c>
      <c r="I817" s="356">
        <f>ROUND(IF($F$331=0,0,I331/$F$331),5)</f>
        <v>0.18784000000000001</v>
      </c>
      <c r="J817" s="356">
        <f>ROUND(IF($F$331=0,0,J331/$F$331),5)</f>
        <v>1.8450000000000001E-2</v>
      </c>
      <c r="K817" s="356">
        <f>SUM(G817:J817)</f>
        <v>0.99999999999999989</v>
      </c>
      <c r="L817" s="350">
        <f>F817-K817</f>
        <v>0</v>
      </c>
      <c r="M817" s="196"/>
      <c r="N817" s="196"/>
      <c r="P817" s="665">
        <f>K817</f>
        <v>0.99999999999999989</v>
      </c>
      <c r="Q817" s="196"/>
    </row>
    <row r="818" spans="1:17">
      <c r="A818" s="344">
        <v>4</v>
      </c>
      <c r="B818" s="196"/>
      <c r="C818" s="587" t="s">
        <v>383</v>
      </c>
      <c r="D818" s="725" t="s">
        <v>1013</v>
      </c>
      <c r="E818" s="714" t="str">
        <f>'FR-16(7)(v)-1 Functional'!$E$818</f>
        <v>CW29</v>
      </c>
      <c r="F818" s="648">
        <v>1</v>
      </c>
      <c r="G818" s="649">
        <v>0</v>
      </c>
      <c r="H818" s="649">
        <v>0</v>
      </c>
      <c r="I818" s="649">
        <v>0</v>
      </c>
      <c r="J818" s="649">
        <v>0</v>
      </c>
      <c r="K818" s="649">
        <v>0</v>
      </c>
      <c r="L818" s="350">
        <f>F818-K818</f>
        <v>1</v>
      </c>
      <c r="M818" s="196"/>
      <c r="N818" s="196"/>
      <c r="P818" s="665">
        <f>K818</f>
        <v>0</v>
      </c>
      <c r="Q818" s="196"/>
    </row>
    <row r="819" spans="1:17">
      <c r="A819" s="344">
        <v>5</v>
      </c>
      <c r="B819" s="635"/>
      <c r="C819" s="368"/>
      <c r="D819" s="585"/>
      <c r="E819" s="749"/>
      <c r="F819" s="650"/>
      <c r="G819" s="637"/>
      <c r="H819" s="637"/>
      <c r="I819" s="637"/>
      <c r="J819" s="637"/>
      <c r="K819" s="637"/>
      <c r="L819" s="636"/>
      <c r="M819" s="368"/>
      <c r="N819" s="196"/>
      <c r="P819" s="663"/>
      <c r="Q819" s="368"/>
    </row>
    <row r="820" spans="1:17">
      <c r="A820" s="344">
        <v>6</v>
      </c>
      <c r="B820" s="597" t="s">
        <v>1021</v>
      </c>
      <c r="C820" s="634"/>
      <c r="D820" s="719"/>
      <c r="E820" s="745"/>
      <c r="F820" s="651"/>
      <c r="G820" s="641"/>
      <c r="H820" s="641"/>
      <c r="I820" s="641"/>
      <c r="J820" s="641"/>
      <c r="K820" s="641"/>
      <c r="L820" s="641"/>
      <c r="M820" s="196"/>
      <c r="N820" s="196"/>
      <c r="P820" s="663"/>
      <c r="Q820" s="196"/>
    </row>
    <row r="821" spans="1:17">
      <c r="A821" s="344">
        <v>7</v>
      </c>
      <c r="B821" s="196"/>
      <c r="C821" s="587" t="s">
        <v>1016</v>
      </c>
      <c r="D821" s="725" t="s">
        <v>1013</v>
      </c>
      <c r="E821" s="714" t="str">
        <f>'FR-16(7)(v)-1 Functional'!$E$821</f>
        <v>P349</v>
      </c>
      <c r="F821" s="648">
        <v>1</v>
      </c>
      <c r="G821" s="356">
        <f t="shared" ref="G821:G826" si="208">F821-SUM(H821:J821)</f>
        <v>0.5051699999999999</v>
      </c>
      <c r="H821" s="356">
        <f>ROUND(IF($F$350=0,0,H350/$F$350),5)</f>
        <v>0.28775000000000001</v>
      </c>
      <c r="I821" s="356">
        <f>ROUND(IF($F$350=0,0,I350/$F$350),5)</f>
        <v>0.20372999999999999</v>
      </c>
      <c r="J821" s="356">
        <f>ROUND(IF($F$350=0,0,J350/$F$350),5)</f>
        <v>3.3500000000000001E-3</v>
      </c>
      <c r="K821" s="356">
        <f t="shared" ref="K821:K828" si="209">SUM(G821:J821)</f>
        <v>0.99999999999999978</v>
      </c>
      <c r="L821" s="350">
        <f t="shared" ref="L821:L828" si="210">F821-K821</f>
        <v>0</v>
      </c>
      <c r="M821" s="196"/>
      <c r="N821" s="196"/>
      <c r="P821" s="665">
        <f>K821</f>
        <v>0.99999999999999978</v>
      </c>
      <c r="Q821" s="196"/>
    </row>
    <row r="822" spans="1:17">
      <c r="A822" s="344">
        <v>8</v>
      </c>
      <c r="B822" s="196"/>
      <c r="C822" s="587" t="s">
        <v>264</v>
      </c>
      <c r="D822" s="725" t="s">
        <v>1013</v>
      </c>
      <c r="E822" s="714" t="str">
        <f>'FR-16(7)(v)-1 Functional'!$E$822</f>
        <v>P459</v>
      </c>
      <c r="F822" s="648">
        <v>1</v>
      </c>
      <c r="G822" s="356">
        <f t="shared" si="208"/>
        <v>0.5051699999999999</v>
      </c>
      <c r="H822" s="356">
        <f>ROUND(IF($F$360=0,0,H360/$F$360),5)</f>
        <v>0.28775000000000001</v>
      </c>
      <c r="I822" s="356">
        <f>ROUND(IF($F$360=0,0,I360/$F$360),5)</f>
        <v>0.20372999999999999</v>
      </c>
      <c r="J822" s="356">
        <f>ROUND(IF($F$360=0,0,J360/$F$360),5)</f>
        <v>3.3500000000000001E-3</v>
      </c>
      <c r="K822" s="356">
        <f t="shared" si="209"/>
        <v>0.99999999999999978</v>
      </c>
      <c r="L822" s="350">
        <f t="shared" si="210"/>
        <v>0</v>
      </c>
      <c r="M822" s="196"/>
      <c r="N822" s="196"/>
      <c r="P822" s="665">
        <f>K822</f>
        <v>0.99999999999999978</v>
      </c>
      <c r="Q822" s="196"/>
    </row>
    <row r="823" spans="1:17">
      <c r="A823" s="344">
        <v>9</v>
      </c>
      <c r="B823" s="196"/>
      <c r="C823" s="587" t="s">
        <v>250</v>
      </c>
      <c r="D823" s="725" t="s">
        <v>1013</v>
      </c>
      <c r="E823" s="714" t="str">
        <f>'FR-16(7)(v)-1 Functional'!$E$823</f>
        <v>D349</v>
      </c>
      <c r="F823" s="1083">
        <v>0</v>
      </c>
      <c r="G823" s="1082">
        <f t="shared" si="208"/>
        <v>0</v>
      </c>
      <c r="H823" s="1082">
        <f>ROUND(IF($F$378=0,0,H378/$F$378),5)</f>
        <v>0</v>
      </c>
      <c r="I823" s="1082">
        <f>ROUND(IF($F$378=0,0,I378/$F$378),5)</f>
        <v>0</v>
      </c>
      <c r="J823" s="1082">
        <f>ROUND(IF($F$378=0,0,J378/$F$378),5)</f>
        <v>0</v>
      </c>
      <c r="K823" s="1082">
        <f t="shared" si="209"/>
        <v>0</v>
      </c>
      <c r="L823" s="1082">
        <f t="shared" si="210"/>
        <v>0</v>
      </c>
      <c r="M823" s="196"/>
      <c r="N823" s="196"/>
      <c r="P823" s="665">
        <f>K823</f>
        <v>0</v>
      </c>
      <c r="Q823" s="196"/>
    </row>
    <row r="824" spans="1:17">
      <c r="A824" s="344">
        <v>10</v>
      </c>
      <c r="B824" s="196"/>
      <c r="C824" s="587" t="s">
        <v>251</v>
      </c>
      <c r="D824" s="725" t="s">
        <v>1013</v>
      </c>
      <c r="E824" s="714" t="str">
        <f>'FR-16(7)(v)-1 Functional'!$E$824</f>
        <v>CA19</v>
      </c>
      <c r="F824" s="1083">
        <v>0</v>
      </c>
      <c r="G824" s="1082">
        <f t="shared" si="208"/>
        <v>0</v>
      </c>
      <c r="H824" s="1082">
        <f>ROUND(IF($F$389=0,0,H389/$F$389),5)</f>
        <v>0</v>
      </c>
      <c r="I824" s="1082">
        <f>ROUND(IF($F$389=0,0,I389/$F$389),5)</f>
        <v>0</v>
      </c>
      <c r="J824" s="1082">
        <f>ROUND(IF($F$389=0,0,J389/$F$389),5)</f>
        <v>0</v>
      </c>
      <c r="K824" s="1082">
        <f t="shared" si="209"/>
        <v>0</v>
      </c>
      <c r="L824" s="1082">
        <f t="shared" si="210"/>
        <v>0</v>
      </c>
      <c r="M824" s="196"/>
      <c r="N824" s="196"/>
      <c r="P824" s="665">
        <f>K824</f>
        <v>0</v>
      </c>
      <c r="Q824" s="196"/>
    </row>
    <row r="825" spans="1:17">
      <c r="A825" s="344">
        <v>11</v>
      </c>
      <c r="B825" s="196"/>
      <c r="C825" s="587" t="s">
        <v>1019</v>
      </c>
      <c r="D825" s="725" t="s">
        <v>1013</v>
      </c>
      <c r="E825" s="714" t="str">
        <f>'FR-16(7)(v)-1 Functional'!$E$825</f>
        <v>CS19</v>
      </c>
      <c r="F825" s="1083">
        <v>0</v>
      </c>
      <c r="G825" s="1082">
        <f t="shared" si="208"/>
        <v>0</v>
      </c>
      <c r="H825" s="1082">
        <f>ROUND(IF($F$403=0,0,H403/$F$403),5)</f>
        <v>0</v>
      </c>
      <c r="I825" s="1082">
        <f>ROUND(IF($F$403=0,0,I403/$F$403),5)</f>
        <v>0</v>
      </c>
      <c r="J825" s="1082">
        <f>ROUND(IF($F$403=0,0,J403/$F$403),5)</f>
        <v>0</v>
      </c>
      <c r="K825" s="1082">
        <f t="shared" si="209"/>
        <v>0</v>
      </c>
      <c r="L825" s="1082">
        <f t="shared" si="210"/>
        <v>0</v>
      </c>
      <c r="M825" s="196"/>
      <c r="N825" s="196"/>
      <c r="P825" s="665"/>
      <c r="Q825" s="196"/>
    </row>
    <row r="826" spans="1:17">
      <c r="A826" s="344">
        <v>12</v>
      </c>
      <c r="B826" s="196"/>
      <c r="C826" s="587" t="s">
        <v>252</v>
      </c>
      <c r="D826" s="725" t="s">
        <v>1013</v>
      </c>
      <c r="E826" s="714" t="str">
        <f>'FR-16(7)(v)-1 Functional'!$E$826</f>
        <v>SE19</v>
      </c>
      <c r="F826" s="1083">
        <v>0</v>
      </c>
      <c r="G826" s="1082">
        <f t="shared" si="208"/>
        <v>0</v>
      </c>
      <c r="H826" s="1082">
        <f>ROUND(IF($F$407=0,0,H407/$F$407),5)</f>
        <v>0</v>
      </c>
      <c r="I826" s="1082">
        <f>ROUND(IF($F$407=0,0,I407/$F$407),5)</f>
        <v>0</v>
      </c>
      <c r="J826" s="1082">
        <f>ROUND(IF($F$407=0,0,J407/$F$407),5)</f>
        <v>0</v>
      </c>
      <c r="K826" s="1082">
        <f t="shared" si="209"/>
        <v>0</v>
      </c>
      <c r="L826" s="1082">
        <f t="shared" si="210"/>
        <v>0</v>
      </c>
      <c r="M826" s="196"/>
      <c r="N826" s="196"/>
      <c r="P826" s="665">
        <f>K826</f>
        <v>0</v>
      </c>
      <c r="Q826" s="196"/>
    </row>
    <row r="827" spans="1:17">
      <c r="A827" s="344">
        <v>13</v>
      </c>
      <c r="B827" s="196"/>
      <c r="C827" s="587" t="s">
        <v>253</v>
      </c>
      <c r="D827" s="725" t="s">
        <v>1013</v>
      </c>
      <c r="E827" s="714" t="str">
        <f>'FR-16(7)(v)-1 Functional'!$E$827</f>
        <v>AG39</v>
      </c>
      <c r="F827" s="648">
        <v>1</v>
      </c>
      <c r="G827" s="356">
        <f>F827-SUM(H827:J827)</f>
        <v>0.50591000000000008</v>
      </c>
      <c r="H827" s="356">
        <f>ROUND(IF($F$416=0,0,H416/$F$416),5)</f>
        <v>0.28817999999999999</v>
      </c>
      <c r="I827" s="356">
        <f>ROUND(IF($F$416=0,0,I416/$F$416),5)</f>
        <v>0.20402999999999999</v>
      </c>
      <c r="J827" s="356">
        <f>ROUND(IF($F$416=0,0,J416/$F$416),5)</f>
        <v>1.8799999999999999E-3</v>
      </c>
      <c r="K827" s="356">
        <f t="shared" si="209"/>
        <v>1.0000000000000002</v>
      </c>
      <c r="L827" s="350">
        <f t="shared" si="210"/>
        <v>0</v>
      </c>
      <c r="M827" s="196"/>
      <c r="N827" s="196"/>
      <c r="P827" s="665">
        <f>K827</f>
        <v>1.0000000000000002</v>
      </c>
      <c r="Q827" s="196"/>
    </row>
    <row r="828" spans="1:17">
      <c r="A828" s="344">
        <v>14</v>
      </c>
      <c r="B828" s="196"/>
      <c r="C828" s="587" t="s">
        <v>254</v>
      </c>
      <c r="D828" s="725" t="s">
        <v>1013</v>
      </c>
      <c r="E828" s="714" t="str">
        <f>'FR-16(7)(v)-1 Functional'!$E$828</f>
        <v>OM39</v>
      </c>
      <c r="F828" s="648">
        <v>1</v>
      </c>
      <c r="G828" s="356">
        <f>F828-SUM(H828:J828)</f>
        <v>0.50519000000000003</v>
      </c>
      <c r="H828" s="356">
        <f>ROUND(IF($F$433=0,0,H433/$F$433),5)</f>
        <v>0.28776000000000002</v>
      </c>
      <c r="I828" s="356">
        <f>ROUND(IF($F$433=0,0,I433/$F$433),5)</f>
        <v>0.20372999999999999</v>
      </c>
      <c r="J828" s="356">
        <f>ROUND(IF($F$433=0,0,J433/$F$433),5)</f>
        <v>3.32E-3</v>
      </c>
      <c r="K828" s="356">
        <f t="shared" si="209"/>
        <v>1</v>
      </c>
      <c r="L828" s="350">
        <f t="shared" si="210"/>
        <v>0</v>
      </c>
      <c r="M828" s="196"/>
      <c r="N828" s="196"/>
      <c r="P828" s="665">
        <f>K828</f>
        <v>1</v>
      </c>
      <c r="Q828" s="196"/>
    </row>
    <row r="829" spans="1:17">
      <c r="A829" s="344">
        <v>15</v>
      </c>
      <c r="B829" s="196"/>
      <c r="C829" s="196"/>
      <c r="D829" s="344"/>
      <c r="E829" s="729"/>
      <c r="F829" s="648"/>
      <c r="G829" s="356"/>
      <c r="H829" s="356"/>
      <c r="I829" s="356"/>
      <c r="J829" s="356"/>
      <c r="K829" s="356"/>
      <c r="L829" s="350"/>
      <c r="M829" s="196"/>
      <c r="N829" s="196"/>
      <c r="P829" s="663"/>
      <c r="Q829" s="196"/>
    </row>
    <row r="830" spans="1:17">
      <c r="A830" s="344">
        <v>16</v>
      </c>
      <c r="B830" s="587" t="s">
        <v>97</v>
      </c>
      <c r="C830" s="196"/>
      <c r="D830" s="344"/>
      <c r="E830" s="729"/>
      <c r="F830" s="648"/>
      <c r="G830" s="356"/>
      <c r="H830" s="356"/>
      <c r="I830" s="356"/>
      <c r="J830" s="356"/>
      <c r="K830" s="356"/>
      <c r="L830" s="350"/>
      <c r="M830" s="196"/>
      <c r="N830" s="196"/>
      <c r="P830" s="663"/>
      <c r="Q830" s="196"/>
    </row>
    <row r="831" spans="1:17">
      <c r="A831" s="344">
        <v>17</v>
      </c>
      <c r="B831" s="196"/>
      <c r="C831" s="587" t="s">
        <v>255</v>
      </c>
      <c r="D831" s="725" t="s">
        <v>1013</v>
      </c>
      <c r="E831" s="714" t="str">
        <f>'FR-16(7)(v)-1 Functional'!$E$831</f>
        <v>P489</v>
      </c>
      <c r="F831" s="648">
        <v>1</v>
      </c>
      <c r="G831" s="356">
        <f>F831-SUM(H831:J831)</f>
        <v>0.58336999999999994</v>
      </c>
      <c r="H831" s="356">
        <f>ROUND(IF($F$447=0,0,H447/$F$447),5)</f>
        <v>0.30480000000000002</v>
      </c>
      <c r="I831" s="356">
        <f>ROUND(IF($F$447=0,0,I447/$F$447),5)</f>
        <v>0.11183</v>
      </c>
      <c r="J831" s="356">
        <f>ROUND(IF($F$447=0,0,J447/$F$447),5)</f>
        <v>0</v>
      </c>
      <c r="K831" s="356">
        <f>SUM(G831:J831)</f>
        <v>0.99999999999999989</v>
      </c>
      <c r="L831" s="350">
        <f>F831-K831</f>
        <v>0</v>
      </c>
      <c r="M831" s="196"/>
      <c r="N831" s="196"/>
      <c r="P831" s="665">
        <f>K831</f>
        <v>0.99999999999999989</v>
      </c>
      <c r="Q831" s="196"/>
    </row>
    <row r="832" spans="1:17">
      <c r="A832" s="344">
        <v>18</v>
      </c>
      <c r="B832" s="196"/>
      <c r="C832" s="587" t="s">
        <v>256</v>
      </c>
      <c r="D832" s="725" t="s">
        <v>1013</v>
      </c>
      <c r="E832" s="714" t="str">
        <f>'FR-16(7)(v)-1 Functional'!$E$832</f>
        <v>D489</v>
      </c>
      <c r="F832" s="1083">
        <v>0</v>
      </c>
      <c r="G832" s="1082">
        <f>F832-SUM(H832:J832)</f>
        <v>0</v>
      </c>
      <c r="H832" s="1082">
        <f>ROUND(IF($F$454=0,0,H454/$F$454),5)</f>
        <v>0</v>
      </c>
      <c r="I832" s="1082">
        <f>ROUND(IF($F$454=0,0,I454/$F$454),5)</f>
        <v>0</v>
      </c>
      <c r="J832" s="1082">
        <f>ROUND(IF($F$454=0,0,J454/$F$454),5)</f>
        <v>0</v>
      </c>
      <c r="K832" s="1082">
        <f>SUM(G832:J832)</f>
        <v>0</v>
      </c>
      <c r="L832" s="1082">
        <f>F832-K832</f>
        <v>0</v>
      </c>
      <c r="M832" s="196"/>
      <c r="N832" s="196"/>
      <c r="P832" s="665">
        <f>K832</f>
        <v>0</v>
      </c>
      <c r="Q832" s="196"/>
    </row>
    <row r="833" spans="1:17">
      <c r="A833" s="344">
        <v>19</v>
      </c>
      <c r="B833" s="196"/>
      <c r="C833" s="587" t="s">
        <v>257</v>
      </c>
      <c r="D833" s="725" t="s">
        <v>1013</v>
      </c>
      <c r="E833" s="714" t="str">
        <f>'FR-16(7)(v)-1 Functional'!$E$833</f>
        <v>G489</v>
      </c>
      <c r="F833" s="648">
        <v>1</v>
      </c>
      <c r="G833" s="356">
        <f>F833-SUM(H833:J833)</f>
        <v>0.50612999999999997</v>
      </c>
      <c r="H833" s="356">
        <f>ROUND(IF($F$458=0,0,H458/$F$458),5)</f>
        <v>0.28828999999999999</v>
      </c>
      <c r="I833" s="356">
        <f>ROUND(IF($F$458=0,0,I458/$F$458),5)</f>
        <v>0.20411000000000001</v>
      </c>
      <c r="J833" s="356">
        <f>ROUND(IF($F$458=0,0,J458/$F$458),5)</f>
        <v>1.47E-3</v>
      </c>
      <c r="K833" s="356">
        <f>SUM(G833:J833)</f>
        <v>0.99999999999999989</v>
      </c>
      <c r="L833" s="350">
        <f>F833-K833</f>
        <v>0</v>
      </c>
      <c r="M833" s="196"/>
      <c r="N833" s="196"/>
      <c r="P833" s="665">
        <f>K833</f>
        <v>0.99999999999999989</v>
      </c>
      <c r="Q833" s="196"/>
    </row>
    <row r="834" spans="1:17">
      <c r="A834" s="344">
        <v>20</v>
      </c>
      <c r="B834" s="196"/>
      <c r="C834" s="587" t="s">
        <v>258</v>
      </c>
      <c r="D834" s="725" t="s">
        <v>1013</v>
      </c>
      <c r="E834" s="714" t="str">
        <f>'FR-16(7)(v)-1 Functional'!$E$834</f>
        <v>C489</v>
      </c>
      <c r="F834" s="648">
        <v>1</v>
      </c>
      <c r="G834" s="356">
        <f>F834-SUM(H834:J834)</f>
        <v>0.50614999999999999</v>
      </c>
      <c r="H834" s="356">
        <f>ROUND(IF($F$462=0,0,H462/$F$462),5)</f>
        <v>0.28831000000000001</v>
      </c>
      <c r="I834" s="356">
        <f>ROUND(IF($F$462=0,0,I462/$F$462),5)</f>
        <v>0.2041</v>
      </c>
      <c r="J834" s="356">
        <f>ROUND(IF($F$462=0,0,J462/$F$462),5)</f>
        <v>1.4400000000000001E-3</v>
      </c>
      <c r="K834" s="356">
        <f>SUM(G834:J834)</f>
        <v>0.99999999999999989</v>
      </c>
      <c r="L834" s="350">
        <f>F834-K834</f>
        <v>0</v>
      </c>
      <c r="M834" s="196"/>
      <c r="N834" s="196"/>
      <c r="P834" s="665">
        <f>K834</f>
        <v>0.99999999999999989</v>
      </c>
      <c r="Q834" s="196"/>
    </row>
    <row r="835" spans="1:17">
      <c r="A835" s="344">
        <v>21</v>
      </c>
      <c r="B835" s="196"/>
      <c r="C835" s="587" t="s">
        <v>259</v>
      </c>
      <c r="D835" s="725" t="s">
        <v>1013</v>
      </c>
      <c r="E835" s="714" t="str">
        <f>'FR-16(7)(v)-1 Functional'!$E$835</f>
        <v>DE49</v>
      </c>
      <c r="F835" s="648">
        <v>1</v>
      </c>
      <c r="G835" s="356">
        <f>F835-SUM(H835:J835)</f>
        <v>0.54288000000000003</v>
      </c>
      <c r="H835" s="356">
        <f>ROUND(IF($F$465=0,0,H465/$F$465),5)</f>
        <v>0.29615000000000002</v>
      </c>
      <c r="I835" s="356">
        <f>ROUND(IF($F$465=0,0,I465/$F$465),5)</f>
        <v>0.16020000000000001</v>
      </c>
      <c r="J835" s="356">
        <f>ROUND(IF($F$465=0,0,J465/$F$465),5)</f>
        <v>7.6999999999999996E-4</v>
      </c>
      <c r="K835" s="356">
        <f>SUM(G835:J835)</f>
        <v>1</v>
      </c>
      <c r="L835" s="350">
        <f>F835-K835</f>
        <v>0</v>
      </c>
      <c r="M835" s="196"/>
      <c r="N835" s="196"/>
      <c r="P835" s="665">
        <f>K835</f>
        <v>1</v>
      </c>
      <c r="Q835" s="196"/>
    </row>
    <row r="836" spans="1:17">
      <c r="A836" s="344">
        <v>22</v>
      </c>
      <c r="B836" s="196"/>
      <c r="C836" s="196"/>
      <c r="D836" s="344"/>
      <c r="E836" s="729"/>
      <c r="F836" s="652"/>
      <c r="G836" s="353"/>
      <c r="H836" s="353"/>
      <c r="J836" s="353"/>
      <c r="K836" s="353"/>
      <c r="M836" s="196"/>
      <c r="N836" s="196"/>
      <c r="P836" s="663"/>
      <c r="Q836" s="196"/>
    </row>
    <row r="837" spans="1:17">
      <c r="A837" s="344">
        <v>23</v>
      </c>
      <c r="B837" s="587" t="s">
        <v>62</v>
      </c>
      <c r="C837" s="196"/>
      <c r="D837" s="344"/>
      <c r="E837" s="729"/>
      <c r="F837" s="493"/>
      <c r="G837" s="353"/>
      <c r="H837" s="353"/>
      <c r="J837" s="353"/>
      <c r="K837" s="349"/>
      <c r="L837" s="347"/>
      <c r="M837" s="196"/>
      <c r="N837" s="196"/>
      <c r="P837" s="663"/>
      <c r="Q837" s="196"/>
    </row>
    <row r="838" spans="1:17">
      <c r="A838" s="344">
        <v>24</v>
      </c>
      <c r="B838" s="196"/>
      <c r="C838" s="587" t="s">
        <v>260</v>
      </c>
      <c r="D838" s="725" t="s">
        <v>1013</v>
      </c>
      <c r="E838" s="714" t="str">
        <f>'FR-16(7)(v)-1 Functional'!$E$838</f>
        <v>L529</v>
      </c>
      <c r="F838" s="648">
        <v>1</v>
      </c>
      <c r="G838" s="356">
        <f>F838-SUM(H838:J838)</f>
        <v>0.53657999999999995</v>
      </c>
      <c r="H838" s="356">
        <f>ROUND(IF($F$481=0,0,$H$481/$F$481),5)</f>
        <v>0.29482000000000003</v>
      </c>
      <c r="I838" s="356">
        <f>ROUND(IF($F$481=0,0,$I$481/$F$481),5)</f>
        <v>0.16772000000000001</v>
      </c>
      <c r="J838" s="356">
        <f>ROUND(IF($F$481=0,0,$J$481/$F$481),5)</f>
        <v>8.8000000000000003E-4</v>
      </c>
      <c r="K838" s="356">
        <f>SUM(G838:J838)</f>
        <v>0.99999999999999989</v>
      </c>
      <c r="L838" s="350">
        <f>F838-K838</f>
        <v>0</v>
      </c>
      <c r="M838" s="196"/>
      <c r="N838" s="196"/>
      <c r="P838" s="665">
        <f>K838</f>
        <v>0.99999999999999989</v>
      </c>
      <c r="Q838" s="196"/>
    </row>
    <row r="839" spans="1:17">
      <c r="A839" s="344">
        <v>25</v>
      </c>
      <c r="B839" s="196"/>
      <c r="C839" s="587" t="s">
        <v>261</v>
      </c>
      <c r="D839" s="725" t="s">
        <v>1013</v>
      </c>
      <c r="E839" s="714" t="str">
        <f>'FR-16(7)(v)-1 Functional'!$E$839</f>
        <v>L589</v>
      </c>
      <c r="F839" s="648">
        <v>1</v>
      </c>
      <c r="G839" s="356">
        <f>F839-SUM(H839:J839)</f>
        <v>0.50592000000000004</v>
      </c>
      <c r="H839" s="356">
        <f>ROUND(IF($F$488=0,0,$H$488/$F$488),5)</f>
        <v>0.28817999999999999</v>
      </c>
      <c r="I839" s="356">
        <f>ROUND(IF($F$488=0,0,$I$488/$F$488),5)</f>
        <v>0.20402000000000001</v>
      </c>
      <c r="J839" s="356">
        <f>ROUND(IF($F$488=0,0,$J$488/$F$488),5)</f>
        <v>1.8799999999999999E-3</v>
      </c>
      <c r="K839" s="356">
        <f>SUM(G839:J839)</f>
        <v>1</v>
      </c>
      <c r="L839" s="350">
        <f>F839-K839</f>
        <v>0</v>
      </c>
      <c r="M839" s="196"/>
      <c r="N839" s="196"/>
      <c r="P839" s="665">
        <f>K839</f>
        <v>1</v>
      </c>
      <c r="Q839" s="196"/>
    </row>
    <row r="840" spans="1:17">
      <c r="A840" s="344">
        <v>26</v>
      </c>
      <c r="B840" s="196"/>
      <c r="C840" s="587" t="s">
        <v>262</v>
      </c>
      <c r="D840" s="725" t="s">
        <v>1013</v>
      </c>
      <c r="E840" s="714" t="str">
        <f>'FR-16(7)(v)-1 Functional'!$E$840</f>
        <v>L599</v>
      </c>
      <c r="F840" s="648">
        <v>1</v>
      </c>
      <c r="G840" s="356">
        <f>F840-SUM(H840:J840)</f>
        <v>0.51353000000000004</v>
      </c>
      <c r="H840" s="356">
        <f>ROUND(IF($F$500=0,0,$H$500/$F$500),5)</f>
        <v>0.28982999999999998</v>
      </c>
      <c r="I840" s="356">
        <f>ROUND(IF($F$500=0,0,$I$500/$F$500),5)</f>
        <v>0.19500999999999999</v>
      </c>
      <c r="J840" s="356">
        <f>ROUND(IF($F$500=0,0,$J$500/$F$500),5)</f>
        <v>1.6299999999999999E-3</v>
      </c>
      <c r="K840" s="356">
        <f>SUM(G840:J840)</f>
        <v>1</v>
      </c>
      <c r="L840" s="350">
        <f>F840-K840</f>
        <v>0</v>
      </c>
      <c r="M840" s="196"/>
      <c r="N840" s="196"/>
      <c r="P840" s="665">
        <f>K840</f>
        <v>1</v>
      </c>
      <c r="Q840" s="196"/>
    </row>
    <row r="841" spans="1:17">
      <c r="A841" s="344">
        <v>27</v>
      </c>
      <c r="B841" s="196"/>
      <c r="C841" s="587" t="s">
        <v>263</v>
      </c>
      <c r="D841" s="725" t="s">
        <v>1013</v>
      </c>
      <c r="E841" s="714" t="str">
        <f>'FR-16(7)(v)-1 Functional'!$E$841</f>
        <v>OP69</v>
      </c>
      <c r="F841" s="648">
        <v>1</v>
      </c>
      <c r="G841" s="356">
        <f>F841-SUM(H841:J841)</f>
        <v>0.50564999999999993</v>
      </c>
      <c r="H841" s="356">
        <f>ROUND(IF($F$501=0,0,$H$501/$F$501),5)</f>
        <v>0.28787000000000001</v>
      </c>
      <c r="I841" s="356">
        <f>ROUND(IF($F$501=0,0,$I$501/$F$501),5)</f>
        <v>0.20319000000000001</v>
      </c>
      <c r="J841" s="356">
        <f>ROUND(IF($F$501=0,0,$J$501/$F$501),5)</f>
        <v>3.29E-3</v>
      </c>
      <c r="K841" s="356">
        <f>SUM(G841:J841)</f>
        <v>1</v>
      </c>
      <c r="L841" s="350">
        <f>F841-K841</f>
        <v>0</v>
      </c>
      <c r="M841" s="196"/>
      <c r="N841" s="196"/>
      <c r="P841" s="665">
        <f>K841</f>
        <v>1</v>
      </c>
      <c r="Q841" s="196"/>
    </row>
    <row r="842" spans="1:17">
      <c r="A842" s="344">
        <v>28</v>
      </c>
      <c r="B842" s="196"/>
      <c r="C842" s="196"/>
      <c r="D842" s="344"/>
      <c r="E842" s="729"/>
      <c r="F842" s="648"/>
      <c r="G842" s="356"/>
      <c r="H842" s="356"/>
      <c r="I842" s="356"/>
      <c r="J842" s="356"/>
      <c r="K842" s="356"/>
      <c r="L842" s="350"/>
      <c r="M842" s="196"/>
      <c r="N842" s="196"/>
      <c r="P842" s="663"/>
      <c r="Q842" s="196"/>
    </row>
    <row r="843" spans="1:17">
      <c r="A843" s="344">
        <v>29</v>
      </c>
      <c r="B843" s="587" t="s">
        <v>1176</v>
      </c>
      <c r="C843" s="196"/>
      <c r="D843" s="344"/>
      <c r="E843" s="729"/>
      <c r="F843" s="648"/>
      <c r="G843" s="356"/>
      <c r="H843" s="356"/>
      <c r="I843" s="356"/>
      <c r="J843" s="356"/>
      <c r="K843" s="356"/>
      <c r="L843" s="350"/>
      <c r="M843" s="196"/>
      <c r="N843" s="196"/>
      <c r="P843" s="663"/>
      <c r="Q843" s="196"/>
    </row>
    <row r="844" spans="1:17">
      <c r="A844" s="344">
        <v>30</v>
      </c>
      <c r="B844" s="196"/>
      <c r="C844" s="587" t="s">
        <v>1041</v>
      </c>
      <c r="D844" s="725" t="s">
        <v>1013</v>
      </c>
      <c r="E844" s="714" t="str">
        <f>'FR-16(7)(v)-1 Functional'!$E$844</f>
        <v>CS09</v>
      </c>
      <c r="F844" s="648">
        <v>1</v>
      </c>
      <c r="G844" s="356">
        <f ca="1">F844-SUM(H844:J844)</f>
        <v>0.50563000000000002</v>
      </c>
      <c r="H844" s="356">
        <f>ROUND(IF($F$647=0,0,H647/$F$647),5)</f>
        <v>0.28782000000000002</v>
      </c>
      <c r="I844" s="356">
        <f ca="1">ROUND(IF($F$647=0,0,I647/$F$647),5)</f>
        <v>0.20304</v>
      </c>
      <c r="J844" s="356">
        <f>ROUND(IF($F$647=0,0,J647/$F$647),5)</f>
        <v>3.5100000000000001E-3</v>
      </c>
      <c r="K844" s="356">
        <f ca="1">SUM(G844:J844)</f>
        <v>1</v>
      </c>
      <c r="L844" s="350">
        <f ca="1">F844-K844</f>
        <v>0</v>
      </c>
      <c r="M844" s="196"/>
      <c r="N844" s="196"/>
      <c r="P844" s="665">
        <f ca="1">K844</f>
        <v>1</v>
      </c>
      <c r="Q844" s="196"/>
    </row>
    <row r="845" spans="1:17">
      <c r="H845" s="353"/>
      <c r="J845" s="353"/>
      <c r="K845" s="353"/>
      <c r="N845" s="196"/>
    </row>
    <row r="846" spans="1:17">
      <c r="A846" s="196"/>
      <c r="B846" s="196"/>
      <c r="C846" s="196"/>
      <c r="D846" s="344"/>
      <c r="F846" s="642"/>
      <c r="G846" s="642"/>
      <c r="H846" s="643"/>
      <c r="I846" s="643"/>
      <c r="J846" s="643"/>
      <c r="K846" s="643"/>
      <c r="L846" s="642"/>
      <c r="M846" s="196"/>
      <c r="N846" s="196"/>
      <c r="O846" s="196"/>
      <c r="P846" s="196"/>
      <c r="Q846" s="196"/>
    </row>
    <row r="847" spans="1:17">
      <c r="H847" s="353"/>
      <c r="J847" s="353"/>
      <c r="K847" s="353"/>
    </row>
    <row r="848" spans="1:17">
      <c r="A848" s="344">
        <v>1</v>
      </c>
      <c r="B848" s="617" t="s">
        <v>91</v>
      </c>
      <c r="C848" s="618"/>
      <c r="D848" s="727"/>
      <c r="E848" s="720"/>
      <c r="F848" s="350"/>
      <c r="G848" s="347"/>
      <c r="H848" s="349"/>
      <c r="I848" s="349"/>
      <c r="J848" s="349"/>
      <c r="K848" s="356"/>
      <c r="L848" s="350"/>
    </row>
    <row r="849" spans="1:12">
      <c r="A849" s="344">
        <v>2</v>
      </c>
      <c r="B849" s="619"/>
      <c r="C849" s="620" t="s">
        <v>227</v>
      </c>
      <c r="D849" s="728"/>
      <c r="E849" s="714" t="str">
        <f>'FR-16(7)(v)-1 Functional'!$E$849</f>
        <v>K597</v>
      </c>
      <c r="F849" s="477">
        <f>ROUND(0.06889*0,0)</f>
        <v>0</v>
      </c>
      <c r="G849" s="615">
        <f t="shared" ref="G849:G854" si="211">F849-SUM(H849:J849)</f>
        <v>0</v>
      </c>
      <c r="H849" s="615">
        <f>ROUND($F$849*VLOOKUP($E$849,ALLOCTABLE_Prod_Commodity,$H$10,FALSE),0)</f>
        <v>0</v>
      </c>
      <c r="I849" s="615">
        <f t="shared" ref="I849:I854" si="212">ROUND(F849*VLOOKUP(E849,ALLOCTABLE_Prod_Commodity,$I$10,FALSE),0)</f>
        <v>0</v>
      </c>
      <c r="J849" s="615">
        <f>ROUND($F$849*VLOOKUP($E$849,ALLOCTABLE_Prod_Commodity,$J$10,FALSE),0)</f>
        <v>0</v>
      </c>
      <c r="K849" s="349">
        <f t="shared" ref="K849:K854" si="213">SUM(G849:J849)</f>
        <v>0</v>
      </c>
      <c r="L849" s="347">
        <f t="shared" ref="L849:L854" si="214">F849-K849</f>
        <v>0</v>
      </c>
    </row>
    <row r="850" spans="1:12">
      <c r="A850" s="344">
        <v>3</v>
      </c>
      <c r="B850" s="618"/>
      <c r="C850" s="293" t="s">
        <v>228</v>
      </c>
      <c r="D850" s="722"/>
      <c r="E850" s="714" t="str">
        <f>'FR-16(7)(v)-1 Functional'!$E$850</f>
        <v>AG39</v>
      </c>
      <c r="F850" s="494">
        <v>0</v>
      </c>
      <c r="G850" s="615">
        <f t="shared" si="211"/>
        <v>0</v>
      </c>
      <c r="H850" s="615">
        <f>ROUND($F$850*VLOOKUP($E$850,ALLOCTABLE_Prod_Commodity,$H$10,FALSE),0)</f>
        <v>0</v>
      </c>
      <c r="I850" s="615">
        <f t="shared" si="212"/>
        <v>0</v>
      </c>
      <c r="J850" s="615">
        <f>ROUND($F$850*VLOOKUP($E$850,ALLOCTABLE_Prod_Commodity,$J$10,FALSE),0)</f>
        <v>0</v>
      </c>
      <c r="K850" s="349">
        <f t="shared" si="213"/>
        <v>0</v>
      </c>
      <c r="L850" s="347">
        <f t="shared" si="214"/>
        <v>0</v>
      </c>
    </row>
    <row r="851" spans="1:12">
      <c r="A851" s="344">
        <v>4</v>
      </c>
      <c r="B851" s="618"/>
      <c r="C851" s="293" t="s">
        <v>428</v>
      </c>
      <c r="D851" s="722"/>
      <c r="E851" s="714" t="str">
        <f>'FR-16(7)(v)-1 Functional'!$E$851</f>
        <v>AG39</v>
      </c>
      <c r="F851" s="494">
        <v>0</v>
      </c>
      <c r="G851" s="615">
        <f t="shared" si="211"/>
        <v>0</v>
      </c>
      <c r="H851" s="615">
        <f>ROUND($F$851*VLOOKUP($E$851,ALLOCTABLE_Prod_Commodity,$H$10,FALSE),0)</f>
        <v>0</v>
      </c>
      <c r="I851" s="615">
        <f t="shared" si="212"/>
        <v>0</v>
      </c>
      <c r="J851" s="615">
        <f>ROUND($F$851*VLOOKUP($E$851,ALLOCTABLE_Prod_Commodity,$J$10,FALSE),0)</f>
        <v>0</v>
      </c>
      <c r="K851" s="349">
        <f t="shared" si="213"/>
        <v>0</v>
      </c>
      <c r="L851" s="347">
        <f t="shared" si="214"/>
        <v>0</v>
      </c>
    </row>
    <row r="852" spans="1:12">
      <c r="A852" s="344">
        <v>5</v>
      </c>
      <c r="B852" s="618"/>
      <c r="C852" s="293" t="s">
        <v>423</v>
      </c>
      <c r="D852" s="722" t="s">
        <v>343</v>
      </c>
      <c r="E852" s="714" t="str">
        <f>'FR-16(7)(v)-1 Functional'!$E$852</f>
        <v>K301</v>
      </c>
      <c r="F852" s="494">
        <v>0</v>
      </c>
      <c r="G852" s="615">
        <f t="shared" si="211"/>
        <v>0</v>
      </c>
      <c r="H852" s="615">
        <f>ROUND($F$852*VLOOKUP($E$852,ALLOCTABLE_Prod_Commodity,$H$10,FALSE),0)</f>
        <v>0</v>
      </c>
      <c r="I852" s="615">
        <f t="shared" si="212"/>
        <v>0</v>
      </c>
      <c r="J852" s="615">
        <f>ROUND($F$852*VLOOKUP($E$852,ALLOCTABLE_Prod_Commodity,$J$10,FALSE),0)</f>
        <v>0</v>
      </c>
      <c r="K852" s="349">
        <f t="shared" si="213"/>
        <v>0</v>
      </c>
      <c r="L852" s="347">
        <f t="shared" si="214"/>
        <v>0</v>
      </c>
    </row>
    <row r="853" spans="1:12">
      <c r="A853" s="344">
        <v>6</v>
      </c>
      <c r="B853" s="618"/>
      <c r="C853" s="293" t="s">
        <v>409</v>
      </c>
      <c r="D853" s="722"/>
      <c r="E853" s="714" t="str">
        <f>'FR-16(7)(v)-1 Functional'!$E$853</f>
        <v>K415</v>
      </c>
      <c r="F853" s="494">
        <v>0</v>
      </c>
      <c r="G853" s="615">
        <f t="shared" si="211"/>
        <v>0</v>
      </c>
      <c r="H853" s="615">
        <f>ROUND($F$853*VLOOKUP($E$853,ALLOCTABLE_Prod_Commodity,$H$10,FALSE),0)</f>
        <v>0</v>
      </c>
      <c r="I853" s="615">
        <f t="shared" si="212"/>
        <v>0</v>
      </c>
      <c r="J853" s="615">
        <f>ROUND($F$853*VLOOKUP($E$853,ALLOCTABLE_Prod_Commodity,$J$10,FALSE),0)</f>
        <v>0</v>
      </c>
      <c r="K853" s="349">
        <f t="shared" si="213"/>
        <v>0</v>
      </c>
      <c r="L853" s="347">
        <f t="shared" si="214"/>
        <v>0</v>
      </c>
    </row>
    <row r="854" spans="1:12">
      <c r="A854" s="344">
        <v>7</v>
      </c>
      <c r="B854" s="618"/>
      <c r="C854" s="293" t="s">
        <v>424</v>
      </c>
      <c r="D854" s="722" t="s">
        <v>343</v>
      </c>
      <c r="E854" s="714" t="str">
        <f>'FR-16(7)(v)-1 Functional'!$E$854</f>
        <v>NP29</v>
      </c>
      <c r="F854" s="494">
        <v>0</v>
      </c>
      <c r="G854" s="615">
        <f t="shared" si="211"/>
        <v>0</v>
      </c>
      <c r="H854" s="615">
        <f>ROUND($F$854*VLOOKUP($E$854,ALLOCTABLE_Prod_Commodity,$H$10,FALSE),0)</f>
        <v>0</v>
      </c>
      <c r="I854" s="615">
        <f t="shared" si="212"/>
        <v>0</v>
      </c>
      <c r="J854" s="615">
        <f>ROUND($F$854*VLOOKUP($E$854,ALLOCTABLE_Prod_Commodity,$J$10,FALSE),0)</f>
        <v>0</v>
      </c>
      <c r="K854" s="349">
        <f t="shared" si="213"/>
        <v>0</v>
      </c>
      <c r="L854" s="347">
        <f t="shared" si="214"/>
        <v>0</v>
      </c>
    </row>
    <row r="855" spans="1:12">
      <c r="A855" s="344">
        <v>8</v>
      </c>
      <c r="C855" s="488" t="s">
        <v>229</v>
      </c>
      <c r="D855" s="589" t="s">
        <v>285</v>
      </c>
      <c r="E855" s="333"/>
      <c r="F855" s="348">
        <f t="shared" ref="F855:L855" si="215">SUM(F848:F854)</f>
        <v>0</v>
      </c>
      <c r="G855" s="348">
        <f t="shared" si="215"/>
        <v>0</v>
      </c>
      <c r="H855" s="348">
        <f t="shared" si="215"/>
        <v>0</v>
      </c>
      <c r="I855" s="348">
        <f t="shared" si="215"/>
        <v>0</v>
      </c>
      <c r="J855" s="348">
        <f t="shared" si="215"/>
        <v>0</v>
      </c>
      <c r="K855" s="348">
        <f t="shared" si="215"/>
        <v>0</v>
      </c>
      <c r="L855" s="348">
        <f t="shared" si="215"/>
        <v>0</v>
      </c>
    </row>
    <row r="861" spans="1:12" ht="20.25">
      <c r="A861" s="1192" t="s">
        <v>1215</v>
      </c>
    </row>
    <row r="863" spans="1:12">
      <c r="A863" s="344" t="s">
        <v>914</v>
      </c>
      <c r="B863" s="196"/>
      <c r="C863" s="196"/>
      <c r="D863" s="344"/>
      <c r="E863" s="196"/>
      <c r="F863" s="344" t="str">
        <f>$F$8</f>
        <v>PRODUCTION</v>
      </c>
      <c r="G863" s="344" t="s">
        <v>418</v>
      </c>
      <c r="H863" s="344" t="s">
        <v>864</v>
      </c>
      <c r="I863" s="344" t="s">
        <v>865</v>
      </c>
      <c r="J863" s="344" t="s">
        <v>549</v>
      </c>
      <c r="K863" s="344" t="s">
        <v>229</v>
      </c>
      <c r="L863" s="344" t="s">
        <v>342</v>
      </c>
    </row>
    <row r="864" spans="1:12">
      <c r="A864" s="346" t="s">
        <v>915</v>
      </c>
      <c r="B864" s="345" t="s">
        <v>99</v>
      </c>
      <c r="C864" s="345"/>
      <c r="D864" s="346" t="s">
        <v>337</v>
      </c>
      <c r="E864" s="345"/>
      <c r="F864" s="344" t="str">
        <f>$F$9</f>
        <v>COMMODITY</v>
      </c>
      <c r="G864" s="346" t="s">
        <v>338</v>
      </c>
      <c r="H864" s="346" t="s">
        <v>405</v>
      </c>
      <c r="I864" s="346" t="s">
        <v>405</v>
      </c>
      <c r="J864" s="346" t="s">
        <v>550</v>
      </c>
      <c r="K864" s="346" t="s">
        <v>341</v>
      </c>
      <c r="L864" s="346" t="s">
        <v>340</v>
      </c>
    </row>
    <row r="865" spans="1:12">
      <c r="B865" s="196"/>
      <c r="C865" s="578" t="s">
        <v>4</v>
      </c>
      <c r="D865" s="344"/>
      <c r="E865" s="196"/>
      <c r="F865" s="761"/>
      <c r="G865" s="633">
        <f>$G$10</f>
        <v>3</v>
      </c>
      <c r="H865" s="633">
        <f>$H$10</f>
        <v>4</v>
      </c>
      <c r="I865" s="633">
        <f>$I$10</f>
        <v>5</v>
      </c>
      <c r="J865" s="633">
        <f>$J$10</f>
        <v>6</v>
      </c>
    </row>
    <row r="866" spans="1:12">
      <c r="A866" s="333">
        <v>1</v>
      </c>
      <c r="B866" s="332" t="s">
        <v>100</v>
      </c>
      <c r="D866" s="344"/>
      <c r="E866" s="196"/>
      <c r="I866" s="332"/>
    </row>
    <row r="867" spans="1:12">
      <c r="A867" s="333">
        <v>2</v>
      </c>
      <c r="C867" s="332" t="str">
        <f>'FR-16(7)(v)-1 Functional'!C867</f>
        <v>TOTAL GAS COST OF SERVICE</v>
      </c>
      <c r="D867" s="344"/>
      <c r="E867" s="196"/>
      <c r="F867" s="347">
        <f t="shared" ref="F867:L867" si="216">F647</f>
        <v>40024708</v>
      </c>
      <c r="G867" s="347">
        <f t="shared" ca="1" si="216"/>
        <v>20237452</v>
      </c>
      <c r="H867" s="347">
        <f t="shared" si="216"/>
        <v>11519861</v>
      </c>
      <c r="I867" s="347">
        <f t="shared" ca="1" si="216"/>
        <v>8126771</v>
      </c>
      <c r="J867" s="347">
        <f t="shared" si="216"/>
        <v>140624</v>
      </c>
      <c r="K867" s="347">
        <f t="shared" ca="1" si="216"/>
        <v>40024708</v>
      </c>
      <c r="L867" s="347">
        <f t="shared" ca="1" si="216"/>
        <v>0</v>
      </c>
    </row>
    <row r="868" spans="1:12">
      <c r="A868" s="333">
        <v>3</v>
      </c>
      <c r="C868" s="359" t="str">
        <f>'FR-16(7)(v)-1 Functional'!C868</f>
        <v>TOTAL OTHER OPERATING REVENUES</v>
      </c>
      <c r="D868" s="344"/>
      <c r="E868" s="196"/>
      <c r="F868" s="347">
        <f>F630</f>
        <v>2870</v>
      </c>
      <c r="G868" s="347">
        <f>$G$630</f>
        <v>1452</v>
      </c>
      <c r="H868" s="347">
        <f>$H$630</f>
        <v>827</v>
      </c>
      <c r="I868" s="347">
        <f>$I$630</f>
        <v>586</v>
      </c>
      <c r="J868" s="347">
        <f>$J$630</f>
        <v>5</v>
      </c>
      <c r="K868" s="347">
        <f>$K$630</f>
        <v>2870</v>
      </c>
      <c r="L868" s="347">
        <f>$L$630</f>
        <v>0</v>
      </c>
    </row>
    <row r="869" spans="1:12">
      <c r="A869" s="333">
        <v>4</v>
      </c>
      <c r="C869" s="332" t="str">
        <f>'FR-16(7)(v)-1 Functional'!C869</f>
        <v xml:space="preserve">  TOTAL GAS REVENUE</v>
      </c>
      <c r="D869" s="344"/>
      <c r="E869" s="196"/>
      <c r="F869" s="348">
        <f t="shared" ref="F869:L869" si="217">SUM(F866:F868)</f>
        <v>40027578</v>
      </c>
      <c r="G869" s="348">
        <f t="shared" ca="1" si="217"/>
        <v>20238904</v>
      </c>
      <c r="H869" s="348">
        <f t="shared" si="217"/>
        <v>11520688</v>
      </c>
      <c r="I869" s="348">
        <f t="shared" ca="1" si="217"/>
        <v>8127357</v>
      </c>
      <c r="J869" s="348">
        <f t="shared" si="217"/>
        <v>140629</v>
      </c>
      <c r="K869" s="348">
        <f t="shared" ca="1" si="217"/>
        <v>40027578</v>
      </c>
      <c r="L869" s="348">
        <f t="shared" ca="1" si="217"/>
        <v>0</v>
      </c>
    </row>
    <row r="870" spans="1:12">
      <c r="A870" s="333">
        <v>5</v>
      </c>
      <c r="C870" s="332" t="str">
        <f>'FR-16(7)(v)-1 Functional'!C870</f>
        <v>TOTAL OP EXP EX INC &amp; REV TAX</v>
      </c>
      <c r="D870" s="344"/>
      <c r="E870" s="196"/>
      <c r="F870" s="347">
        <f>-F501</f>
        <v>-38590987</v>
      </c>
      <c r="G870" s="347">
        <f>-$G$501</f>
        <v>-19513729</v>
      </c>
      <c r="H870" s="347">
        <f>-$H$501</f>
        <v>-11109035</v>
      </c>
      <c r="I870" s="347">
        <f>-$I$501</f>
        <v>-7841383</v>
      </c>
      <c r="J870" s="347">
        <f>-$J$501</f>
        <v>-126840</v>
      </c>
      <c r="K870" s="512">
        <f>-$K$501</f>
        <v>-38590987</v>
      </c>
      <c r="L870" s="347">
        <f>-$L$501</f>
        <v>0</v>
      </c>
    </row>
    <row r="871" spans="1:12">
      <c r="A871" s="333">
        <v>6</v>
      </c>
      <c r="C871" s="359" t="str">
        <f>'FR-16(7)(v)-1 Functional'!C871</f>
        <v>FIRM SERVICE REVENUE TAX</v>
      </c>
      <c r="D871" s="344"/>
      <c r="E871" s="196"/>
      <c r="F871" s="347">
        <f>-ROUND(F694*F867,0)</f>
        <v>0</v>
      </c>
      <c r="G871" s="347">
        <f ca="1">F871-SUM(H871:J871)</f>
        <v>0</v>
      </c>
      <c r="H871" s="347">
        <f>-ROUND(H694*H867,0)</f>
        <v>0</v>
      </c>
      <c r="I871" s="347">
        <f ca="1">-ROUND(I694*I867,0)</f>
        <v>0</v>
      </c>
      <c r="J871" s="347">
        <f>-ROUND(J694*J867,0)</f>
        <v>0</v>
      </c>
      <c r="K871" s="510">
        <f ca="1">SUM(G871:J871)</f>
        <v>0</v>
      </c>
      <c r="L871" s="347">
        <f ca="1">-ROUND('FR-16(7)(v)-1 Functional'!K694*L867,0)</f>
        <v>0</v>
      </c>
    </row>
    <row r="872" spans="1:12">
      <c r="A872" s="333">
        <v>7</v>
      </c>
      <c r="C872" s="332" t="str">
        <f>'FR-16(7)(v)-1 Functional'!C872</f>
        <v xml:space="preserve">  NET INCOME</v>
      </c>
      <c r="D872" s="344"/>
      <c r="E872" s="196"/>
      <c r="F872" s="348">
        <f>SUM(F869:F871)</f>
        <v>1436591</v>
      </c>
      <c r="G872" s="348">
        <f ca="1">SUM(G869:G871)</f>
        <v>725175</v>
      </c>
      <c r="H872" s="348">
        <f>SUM(H869:H871)</f>
        <v>411653</v>
      </c>
      <c r="I872" s="348">
        <f ca="1">SUM(I869:I871)</f>
        <v>285974</v>
      </c>
      <c r="J872" s="348">
        <f>SUM(J869:J871)</f>
        <v>13789</v>
      </c>
      <c r="K872" s="348">
        <f ca="1">SUM(G872:J872)</f>
        <v>1436591</v>
      </c>
      <c r="L872" s="348">
        <f ca="1">SUM(L869:L871)</f>
        <v>0</v>
      </c>
    </row>
    <row r="873" spans="1:12">
      <c r="A873" s="333">
        <v>8</v>
      </c>
      <c r="D873" s="344"/>
      <c r="E873" s="196"/>
      <c r="I873" s="332"/>
    </row>
    <row r="874" spans="1:12">
      <c r="A874" s="333">
        <v>9</v>
      </c>
      <c r="B874" s="332" t="s">
        <v>101</v>
      </c>
      <c r="D874" s="344"/>
      <c r="E874" s="196"/>
      <c r="I874" s="332"/>
    </row>
    <row r="875" spans="1:12">
      <c r="A875" s="333">
        <v>10</v>
      </c>
      <c r="C875" s="332" t="str">
        <f>'FR-16(7)(v)-1 Functional'!C875</f>
        <v>TOTAL INTEREST EXPENSE</v>
      </c>
      <c r="D875" s="344"/>
      <c r="E875" s="196"/>
      <c r="F875" s="347">
        <f>-F516</f>
        <v>-144290</v>
      </c>
      <c r="G875" s="347">
        <f>-$G$516</f>
        <v>-73313</v>
      </c>
      <c r="H875" s="347">
        <f>-$H$516</f>
        <v>-41212</v>
      </c>
      <c r="I875" s="347">
        <f>-$I$516</f>
        <v>-27103</v>
      </c>
      <c r="J875" s="347">
        <f>-$J$516</f>
        <v>-2662</v>
      </c>
      <c r="K875" s="347">
        <f>-$K$516</f>
        <v>-144290</v>
      </c>
      <c r="L875" s="347">
        <f>-$L$516</f>
        <v>0</v>
      </c>
    </row>
    <row r="876" spans="1:12">
      <c r="A876" s="333">
        <v>11</v>
      </c>
      <c r="C876" s="359" t="str">
        <f>'FR-16(7)(v)-1 Functional'!C876</f>
        <v>TOTAL OTHER DEDUCTIONS</v>
      </c>
      <c r="D876" s="344"/>
      <c r="E876" s="196"/>
      <c r="F876" s="347">
        <f>-F522</f>
        <v>-199633</v>
      </c>
      <c r="G876" s="347">
        <f>-$G$522</f>
        <v>-108757</v>
      </c>
      <c r="H876" s="347">
        <f>-$H$522</f>
        <v>-59203</v>
      </c>
      <c r="I876" s="347">
        <f>-$I$522</f>
        <v>-31530</v>
      </c>
      <c r="J876" s="347">
        <f>-$J$522</f>
        <v>-143</v>
      </c>
      <c r="K876" s="347">
        <f>-$K$522</f>
        <v>-199633</v>
      </c>
      <c r="L876" s="347">
        <f>-$L$522</f>
        <v>0</v>
      </c>
    </row>
    <row r="877" spans="1:12">
      <c r="A877" s="333">
        <v>12</v>
      </c>
      <c r="C877" s="332" t="str">
        <f>'FR-16(7)(v)-1 Functional'!C877</f>
        <v xml:space="preserve">  PRELIMINARY TAXABLE INCOME</v>
      </c>
      <c r="D877" s="344"/>
      <c r="E877" s="196"/>
      <c r="F877" s="348">
        <f>SUM(F874:F876)+F872</f>
        <v>1092668</v>
      </c>
      <c r="G877" s="348">
        <f ca="1">SUM(G874:G876)+G872</f>
        <v>543105</v>
      </c>
      <c r="H877" s="348">
        <f>SUM(H874:H876)+H872</f>
        <v>311238</v>
      </c>
      <c r="I877" s="348">
        <f ca="1">SUM(I874:I876)+I872</f>
        <v>227341</v>
      </c>
      <c r="J877" s="348">
        <f>SUM(J874:J876)+J872</f>
        <v>10984</v>
      </c>
      <c r="K877" s="348">
        <f ca="1">SUM(G877:J877)</f>
        <v>1092668</v>
      </c>
      <c r="L877" s="348">
        <f ca="1">SUM(L874:L876)+L872</f>
        <v>0</v>
      </c>
    </row>
    <row r="878" spans="1:12">
      <c r="A878" s="333">
        <v>13</v>
      </c>
      <c r="D878" s="344"/>
      <c r="E878" s="196"/>
      <c r="I878" s="332"/>
    </row>
    <row r="879" spans="1:12">
      <c r="A879" s="333">
        <v>14</v>
      </c>
      <c r="B879" s="332" t="s">
        <v>99</v>
      </c>
      <c r="D879" s="344"/>
      <c r="E879" s="196"/>
      <c r="I879" s="332"/>
    </row>
    <row r="880" spans="1:12">
      <c r="A880" s="333">
        <v>15</v>
      </c>
      <c r="B880" s="332" t="s">
        <v>74</v>
      </c>
      <c r="D880" s="344"/>
      <c r="E880" s="196"/>
      <c r="I880" s="332"/>
    </row>
    <row r="881" spans="1:12">
      <c r="A881" s="333">
        <v>16</v>
      </c>
      <c r="C881" s="332" t="str">
        <f>'FR-16(7)(v)-1 Functional'!C881</f>
        <v>PRELIMINARY TAXABLE INCOME</v>
      </c>
      <c r="D881" s="344"/>
      <c r="E881" s="196"/>
      <c r="F881" s="347">
        <f t="shared" ref="F881:L881" si="218">F877</f>
        <v>1092668</v>
      </c>
      <c r="G881" s="347">
        <f t="shared" ca="1" si="218"/>
        <v>543105</v>
      </c>
      <c r="H881" s="347">
        <f t="shared" si="218"/>
        <v>311238</v>
      </c>
      <c r="I881" s="347">
        <f t="shared" ca="1" si="218"/>
        <v>227341</v>
      </c>
      <c r="J881" s="347">
        <f t="shared" si="218"/>
        <v>10984</v>
      </c>
      <c r="K881" s="347">
        <f t="shared" ca="1" si="218"/>
        <v>1092668</v>
      </c>
      <c r="L881" s="347">
        <f t="shared" ca="1" si="218"/>
        <v>0</v>
      </c>
    </row>
    <row r="882" spans="1:12">
      <c r="A882" s="333">
        <v>17</v>
      </c>
      <c r="C882" s="332" t="str">
        <f>'FR-16(7)(v)-1 Functional'!C882</f>
        <v xml:space="preserve">  NET FEDERAL TAXABLE INCOME</v>
      </c>
      <c r="D882" s="344"/>
      <c r="E882" s="196"/>
      <c r="F882" s="347">
        <f t="shared" ref="F882:L882" si="219">SUM(F881:F881)</f>
        <v>1092668</v>
      </c>
      <c r="G882" s="347">
        <f t="shared" ca="1" si="219"/>
        <v>543105</v>
      </c>
      <c r="H882" s="347">
        <f t="shared" si="219"/>
        <v>311238</v>
      </c>
      <c r="I882" s="347">
        <f t="shared" ca="1" si="219"/>
        <v>227341</v>
      </c>
      <c r="J882" s="347">
        <f t="shared" si="219"/>
        <v>10984</v>
      </c>
      <c r="K882" s="347">
        <f t="shared" ca="1" si="219"/>
        <v>1092668</v>
      </c>
      <c r="L882" s="347">
        <f t="shared" ca="1" si="219"/>
        <v>0</v>
      </c>
    </row>
    <row r="883" spans="1:12">
      <c r="A883" s="333">
        <v>18</v>
      </c>
      <c r="C883" s="332" t="str">
        <f>'FR-16(7)(v)-1 Functional'!C883</f>
        <v xml:space="preserve">  FEDERAL INCOME TAX RATE</v>
      </c>
      <c r="D883" s="344"/>
      <c r="E883" s="196"/>
      <c r="F883" s="350">
        <f>F692</f>
        <v>0.21</v>
      </c>
      <c r="G883" s="350">
        <f>G692</f>
        <v>0.21</v>
      </c>
      <c r="H883" s="350">
        <f>H692</f>
        <v>0.21</v>
      </c>
      <c r="I883" s="350">
        <f>I692</f>
        <v>0.21</v>
      </c>
      <c r="J883" s="350">
        <f>J692</f>
        <v>0.21</v>
      </c>
      <c r="K883" s="350"/>
      <c r="L883" s="350">
        <f>'FR-16(7)(v)-1 Functional'!K692</f>
        <v>0.21</v>
      </c>
    </row>
    <row r="884" spans="1:12">
      <c r="A884" s="333">
        <v>19</v>
      </c>
      <c r="C884" s="332" t="str">
        <f>'FR-16(7)(v)-1 Functional'!C884</f>
        <v>PRELIMINARY FIT = FI01 * K190</v>
      </c>
      <c r="D884" s="344"/>
      <c r="E884" s="196"/>
      <c r="F884" s="347">
        <f>ROUND(F883*F882,0)</f>
        <v>229460</v>
      </c>
      <c r="G884" s="347">
        <f ca="1">ROUND(G883*G882,0)</f>
        <v>114052</v>
      </c>
      <c r="H884" s="347">
        <f>ROUND(H883*H882,0)</f>
        <v>65360</v>
      </c>
      <c r="I884" s="347">
        <f ca="1">ROUND(I883*I882,0)</f>
        <v>47742</v>
      </c>
      <c r="J884" s="347">
        <f>ROUND(J883*J882,0)</f>
        <v>2307</v>
      </c>
      <c r="K884" s="347">
        <f ca="1">SUM(G884:J884)</f>
        <v>229461</v>
      </c>
      <c r="L884" s="347">
        <f ca="1">ROUND(L883*L882,0)</f>
        <v>0</v>
      </c>
    </row>
    <row r="885" spans="1:12">
      <c r="A885" s="333">
        <v>20</v>
      </c>
      <c r="C885" s="332" t="str">
        <f>'FR-16(7)(v)-1 Functional'!C885</f>
        <v>TOTAL FED DEF IT (410 &amp; 411)</v>
      </c>
      <c r="D885" s="344"/>
      <c r="E885" s="196"/>
      <c r="F885" s="347">
        <f>F532</f>
        <v>726188</v>
      </c>
      <c r="G885" s="347">
        <f>$G$532</f>
        <v>366793</v>
      </c>
      <c r="H885" s="347">
        <f>$H$532</f>
        <v>208926</v>
      </c>
      <c r="I885" s="347">
        <f>$I$532</f>
        <v>147916</v>
      </c>
      <c r="J885" s="347">
        <f>$J$532</f>
        <v>2553</v>
      </c>
      <c r="K885" s="347">
        <f>$K$532</f>
        <v>726188</v>
      </c>
      <c r="L885" s="347">
        <f>$L$532</f>
        <v>0</v>
      </c>
    </row>
    <row r="886" spans="1:12">
      <c r="A886" s="333">
        <v>21</v>
      </c>
      <c r="C886" s="359" t="str">
        <f>'FR-16(7)(v)-1 Functional'!C886</f>
        <v>TOTAL AMORTIZED ITC</v>
      </c>
      <c r="D886" s="344"/>
      <c r="E886" s="196"/>
      <c r="F886" s="347">
        <f>-F536</f>
        <v>-486</v>
      </c>
      <c r="G886" s="347">
        <f>-$G$536</f>
        <v>-261</v>
      </c>
      <c r="H886" s="347">
        <f>-$H$536</f>
        <v>-143</v>
      </c>
      <c r="I886" s="347">
        <f>-$I$536</f>
        <v>-82</v>
      </c>
      <c r="J886" s="347">
        <f>-$J$536</f>
        <v>0</v>
      </c>
      <c r="K886" s="347">
        <f>-$K$536</f>
        <v>-486</v>
      </c>
      <c r="L886" s="347">
        <f>-$L$536</f>
        <v>0</v>
      </c>
    </row>
    <row r="887" spans="1:12">
      <c r="A887" s="333">
        <v>22</v>
      </c>
      <c r="C887" s="332" t="str">
        <f>'FR-16(7)(v)-1 Functional'!C887</f>
        <v xml:space="preserve">  NET FED INC TAX ALLOWABLE</v>
      </c>
      <c r="D887" s="344"/>
      <c r="E887" s="196"/>
      <c r="F887" s="348">
        <f t="shared" ref="F887:L887" si="220">SUM(F884:F886)</f>
        <v>955162</v>
      </c>
      <c r="G887" s="348">
        <f t="shared" ca="1" si="220"/>
        <v>480584</v>
      </c>
      <c r="H887" s="348">
        <f t="shared" si="220"/>
        <v>274143</v>
      </c>
      <c r="I887" s="348">
        <f t="shared" ca="1" si="220"/>
        <v>195576</v>
      </c>
      <c r="J887" s="348">
        <f t="shared" si="220"/>
        <v>4860</v>
      </c>
      <c r="K887" s="348">
        <f t="shared" ca="1" si="220"/>
        <v>955163</v>
      </c>
      <c r="L887" s="348">
        <f t="shared" ca="1" si="220"/>
        <v>0</v>
      </c>
    </row>
    <row r="888" spans="1:12">
      <c r="A888" s="333">
        <v>23</v>
      </c>
      <c r="D888" s="344"/>
      <c r="E888" s="196"/>
      <c r="I888" s="332"/>
    </row>
    <row r="889" spans="1:12">
      <c r="A889" s="333">
        <v>24</v>
      </c>
      <c r="B889" s="332" t="s">
        <v>75</v>
      </c>
      <c r="D889" s="344"/>
      <c r="E889" s="196"/>
      <c r="I889" s="332"/>
    </row>
    <row r="890" spans="1:12">
      <c r="A890" s="333">
        <v>25</v>
      </c>
      <c r="C890" s="332" t="str">
        <f>'FR-16(7)(v)-1 Functional'!C890</f>
        <v>PRELIM FIT</v>
      </c>
      <c r="D890" s="344"/>
      <c r="E890" s="196"/>
      <c r="F890" s="347">
        <f t="shared" ref="F890:L890" si="221">F884</f>
        <v>229460</v>
      </c>
      <c r="G890" s="347">
        <f t="shared" ca="1" si="221"/>
        <v>114052</v>
      </c>
      <c r="H890" s="347">
        <f t="shared" si="221"/>
        <v>65360</v>
      </c>
      <c r="I890" s="347">
        <f t="shared" ca="1" si="221"/>
        <v>47742</v>
      </c>
      <c r="J890" s="347">
        <f t="shared" si="221"/>
        <v>2307</v>
      </c>
      <c r="K890" s="347">
        <f t="shared" ca="1" si="221"/>
        <v>229461</v>
      </c>
      <c r="L890" s="347">
        <f t="shared" ca="1" si="221"/>
        <v>0</v>
      </c>
    </row>
    <row r="891" spans="1:12">
      <c r="A891" s="333">
        <v>26</v>
      </c>
      <c r="C891" s="359" t="str">
        <f>'FR-16(7)(v)-1 Functional'!C891</f>
        <v>TEST YEAR INV TAX CREDIT</v>
      </c>
      <c r="D891" s="344"/>
      <c r="E891" s="196"/>
      <c r="F891" s="347">
        <f>-F540</f>
        <v>0</v>
      </c>
      <c r="G891" s="626">
        <f>-$G$540</f>
        <v>0</v>
      </c>
      <c r="H891" s="626">
        <f>-$H$540</f>
        <v>0</v>
      </c>
      <c r="I891" s="347">
        <f>-$I$540</f>
        <v>0</v>
      </c>
      <c r="J891" s="347">
        <f>-$J$540</f>
        <v>0</v>
      </c>
      <c r="K891" s="347">
        <f>-$K$540</f>
        <v>0</v>
      </c>
      <c r="L891" s="347">
        <f>-$L$540</f>
        <v>0</v>
      </c>
    </row>
    <row r="892" spans="1:12">
      <c r="A892" s="333">
        <v>27</v>
      </c>
      <c r="C892" s="332" t="str">
        <f>'FR-16(7)(v)-1 Functional'!C892</f>
        <v xml:space="preserve">  FED INC TAX PAYABLE</v>
      </c>
      <c r="D892" s="344"/>
      <c r="E892" s="196"/>
      <c r="F892" s="348">
        <f t="shared" ref="F892:L892" si="222">SUM(F889:F891)</f>
        <v>229460</v>
      </c>
      <c r="G892" s="348">
        <f t="shared" ca="1" si="222"/>
        <v>114052</v>
      </c>
      <c r="H892" s="348">
        <f t="shared" si="222"/>
        <v>65360</v>
      </c>
      <c r="I892" s="348">
        <f t="shared" ca="1" si="222"/>
        <v>47742</v>
      </c>
      <c r="J892" s="348">
        <f t="shared" si="222"/>
        <v>2307</v>
      </c>
      <c r="K892" s="348">
        <f t="shared" ca="1" si="222"/>
        <v>229461</v>
      </c>
      <c r="L892" s="348">
        <f t="shared" ca="1" si="222"/>
        <v>0</v>
      </c>
    </row>
    <row r="893" spans="1:12">
      <c r="A893" s="333">
        <v>28</v>
      </c>
      <c r="D893" s="344"/>
      <c r="E893" s="196"/>
      <c r="I893" s="332"/>
    </row>
    <row r="894" spans="1:12">
      <c r="A894" s="333">
        <v>29</v>
      </c>
      <c r="B894" s="332" t="s">
        <v>40</v>
      </c>
      <c r="D894" s="344"/>
      <c r="E894" s="196"/>
      <c r="I894" s="332"/>
    </row>
    <row r="895" spans="1:12">
      <c r="A895" s="333">
        <v>30</v>
      </c>
      <c r="C895" s="332" t="str">
        <f>'FR-16(7)(v)-1 Functional'!C895</f>
        <v>NET INCOME</v>
      </c>
      <c r="D895" s="344"/>
      <c r="E895" s="196"/>
      <c r="F895" s="347">
        <f t="shared" ref="F895:L895" si="223">F872</f>
        <v>1436591</v>
      </c>
      <c r="G895" s="347">
        <f t="shared" ca="1" si="223"/>
        <v>725175</v>
      </c>
      <c r="H895" s="347">
        <f t="shared" si="223"/>
        <v>411653</v>
      </c>
      <c r="I895" s="347">
        <f t="shared" ca="1" si="223"/>
        <v>285974</v>
      </c>
      <c r="J895" s="347">
        <f t="shared" si="223"/>
        <v>13789</v>
      </c>
      <c r="K895" s="347">
        <f t="shared" ca="1" si="223"/>
        <v>1436591</v>
      </c>
      <c r="L895" s="347">
        <f t="shared" ca="1" si="223"/>
        <v>0</v>
      </c>
    </row>
    <row r="896" spans="1:12">
      <c r="A896" s="333">
        <v>31</v>
      </c>
      <c r="C896" s="359" t="str">
        <f>'FR-16(7)(v)-1 Functional'!C896</f>
        <v>NET FED INC TAX ALLOWABLE</v>
      </c>
      <c r="D896" s="344"/>
      <c r="E896" s="196"/>
      <c r="F896" s="347">
        <f t="shared" ref="F896:L896" si="224">-F887</f>
        <v>-955162</v>
      </c>
      <c r="G896" s="347">
        <f t="shared" ca="1" si="224"/>
        <v>-480584</v>
      </c>
      <c r="H896" s="347">
        <f t="shared" si="224"/>
        <v>-274143</v>
      </c>
      <c r="I896" s="347">
        <f t="shared" ca="1" si="224"/>
        <v>-195576</v>
      </c>
      <c r="J896" s="347">
        <f t="shared" si="224"/>
        <v>-4860</v>
      </c>
      <c r="K896" s="347">
        <f t="shared" ca="1" si="224"/>
        <v>-955163</v>
      </c>
      <c r="L896" s="347">
        <f t="shared" ca="1" si="224"/>
        <v>0</v>
      </c>
    </row>
    <row r="897" spans="1:14">
      <c r="A897" s="333">
        <v>32</v>
      </c>
      <c r="C897" s="332" t="str">
        <f>'FR-16(7)(v)-1 Functional'!C897</f>
        <v xml:space="preserve">  OVERALL RETURN EARNED</v>
      </c>
      <c r="D897" s="344"/>
      <c r="E897" s="196"/>
      <c r="F897" s="348">
        <f t="shared" ref="F897:L897" si="225">SUM(F894:F896)</f>
        <v>481429</v>
      </c>
      <c r="G897" s="348">
        <f t="shared" ca="1" si="225"/>
        <v>244591</v>
      </c>
      <c r="H897" s="348">
        <f t="shared" si="225"/>
        <v>137510</v>
      </c>
      <c r="I897" s="348">
        <f t="shared" ca="1" si="225"/>
        <v>90398</v>
      </c>
      <c r="J897" s="348">
        <f t="shared" si="225"/>
        <v>8929</v>
      </c>
      <c r="K897" s="348">
        <f t="shared" ca="1" si="225"/>
        <v>481428</v>
      </c>
      <c r="L897" s="348">
        <f t="shared" ca="1" si="225"/>
        <v>0</v>
      </c>
    </row>
    <row r="898" spans="1:14">
      <c r="A898" s="333">
        <v>33</v>
      </c>
      <c r="D898" s="344"/>
      <c r="E898" s="196"/>
      <c r="I898" s="332"/>
    </row>
    <row r="899" spans="1:14">
      <c r="A899" s="333">
        <v>34</v>
      </c>
      <c r="C899" s="332" t="str">
        <f>'FR-16(7)(v)-1 Functional'!C899</f>
        <v xml:space="preserve">  RATE OF RETURN EARNED</v>
      </c>
      <c r="D899" s="344"/>
      <c r="E899" s="196"/>
      <c r="F899" s="350">
        <f t="shared" ref="F899:L899" si="226">IF(F331=0,0,ROUND(F897/F331,5))</f>
        <v>7.1910000000000002E-2</v>
      </c>
      <c r="G899" s="350">
        <f t="shared" ca="1" si="226"/>
        <v>7.1910000000000002E-2</v>
      </c>
      <c r="H899" s="350">
        <f t="shared" si="226"/>
        <v>7.1919999999999998E-2</v>
      </c>
      <c r="I899" s="350">
        <f t="shared" ca="1" si="226"/>
        <v>7.1889999999999996E-2</v>
      </c>
      <c r="J899" s="350">
        <f t="shared" si="226"/>
        <v>7.2300000000000003E-2</v>
      </c>
      <c r="K899" s="350">
        <f t="shared" ca="1" si="226"/>
        <v>7.1910000000000002E-2</v>
      </c>
      <c r="L899" s="350">
        <f t="shared" ca="1" si="226"/>
        <v>0</v>
      </c>
    </row>
    <row r="900" spans="1:14">
      <c r="N900" s="196"/>
    </row>
  </sheetData>
  <conditionalFormatting sqref="P708:P742 P744:P762 P766:P778 P780:P844">
    <cfRule type="cellIs" dxfId="4" priority="1" operator="notEqual">
      <formula>1</formula>
    </cfRule>
  </conditionalFormatting>
  <pageMargins left="1" right="1" top="1" bottom="1" header="1" footer="0.5"/>
  <pageSetup scale="64" orientation="landscape" blackAndWhite="1" r:id="rId1"/>
  <headerFooter alignWithMargins="0"/>
  <rowBreaks count="16" manualBreakCount="16">
    <brk id="44" max="11" man="1"/>
    <brk id="101" max="11" man="1"/>
    <brk id="151" max="11" man="1"/>
    <brk id="191" max="11" man="1"/>
    <brk id="238" max="11" man="1"/>
    <brk id="283" max="11" man="1"/>
    <brk id="334" max="11" man="1"/>
    <brk id="389" max="11" man="1"/>
    <brk id="433" max="11" man="1"/>
    <brk id="465" max="11" man="1"/>
    <brk id="501" max="11" man="1"/>
    <brk id="565" max="11" man="1"/>
    <brk id="655" max="11" man="1"/>
    <brk id="694" max="11" man="1"/>
    <brk id="746" max="11" man="1"/>
    <brk id="803" max="11" man="1"/>
  </row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tabColor rgb="FF7030A0"/>
    <pageSetUpPr fitToPage="1"/>
  </sheetPr>
  <dimension ref="A1:O899"/>
  <sheetViews>
    <sheetView topLeftCell="A596" zoomScale="80" zoomScaleNormal="80" zoomScaleSheetLayoutView="80" workbookViewId="0">
      <selection activeCell="J751" sqref="J751"/>
    </sheetView>
  </sheetViews>
  <sheetFormatPr defaultColWidth="8.77734375" defaultRowHeight="12.75"/>
  <cols>
    <col min="1" max="1" width="6.44140625" style="332" customWidth="1"/>
    <col min="2" max="2" width="3.5546875" style="332" customWidth="1"/>
    <col min="3" max="3" width="41.6640625" style="332" customWidth="1"/>
    <col min="4" max="4" width="8.33203125" style="333" customWidth="1"/>
    <col min="5" max="5" width="8.77734375" style="332" customWidth="1"/>
    <col min="6" max="6" width="14" style="332" customWidth="1"/>
    <col min="7" max="8" width="11.88671875" style="332" customWidth="1"/>
    <col min="9" max="9" width="13.77734375" style="332" customWidth="1"/>
    <col min="10" max="11" width="11.88671875" style="332" customWidth="1"/>
    <col min="12" max="14" width="8.77734375" style="332"/>
    <col min="15" max="15" width="11.88671875" style="332" customWidth="1"/>
    <col min="16" max="16384" width="8.77734375" style="332"/>
  </cols>
  <sheetData>
    <row r="1" spans="1:11">
      <c r="A1" s="343" t="str">
        <f>co_name</f>
        <v>DUKE ENERGY KENTUCKY, INC.</v>
      </c>
      <c r="C1" s="196"/>
      <c r="D1" s="344"/>
      <c r="E1" s="196"/>
      <c r="F1" s="196"/>
      <c r="G1" s="196"/>
      <c r="H1" s="196"/>
      <c r="I1" s="196"/>
      <c r="J1" s="583" t="s">
        <v>1541</v>
      </c>
      <c r="K1" s="196"/>
    </row>
    <row r="2" spans="1:11">
      <c r="A2" s="583" t="s">
        <v>1222</v>
      </c>
      <c r="C2" s="196"/>
      <c r="D2" s="344"/>
      <c r="E2" s="196"/>
      <c r="F2" s="196"/>
      <c r="G2" s="196"/>
      <c r="H2" s="196"/>
      <c r="I2" s="196"/>
      <c r="J2" s="583" t="s">
        <v>437</v>
      </c>
      <c r="K2" s="196"/>
    </row>
    <row r="3" spans="1:11">
      <c r="A3" s="343" t="str">
        <f>case_name</f>
        <v>CASE NO: 2018-00261</v>
      </c>
      <c r="C3" s="196"/>
      <c r="D3" s="344"/>
      <c r="E3" s="196"/>
      <c r="F3" s="196"/>
      <c r="G3" s="196"/>
      <c r="H3" s="196"/>
      <c r="I3" s="196"/>
      <c r="J3" s="196" t="str">
        <f>Witness</f>
        <v>JAMES E. ZIOLKOWSKI</v>
      </c>
      <c r="K3" s="196"/>
    </row>
    <row r="4" spans="1:11">
      <c r="A4" s="343" t="str">
        <f>data_filing</f>
        <v>DATA: 12 MONTH FORECASTED PERIOD</v>
      </c>
      <c r="C4" s="196"/>
      <c r="D4" s="344"/>
      <c r="E4" s="196"/>
      <c r="F4" s="196"/>
      <c r="G4" s="196"/>
      <c r="H4" s="196"/>
      <c r="I4" s="196"/>
      <c r="J4" s="196" t="str">
        <f>"PAGE "&amp;Pages-17&amp;" OF "&amp;Pages</f>
        <v>PAGE 1 OF 18</v>
      </c>
      <c r="K4" s="196"/>
    </row>
    <row r="5" spans="1:11">
      <c r="A5" s="343" t="str">
        <f>type</f>
        <v xml:space="preserve">TYPE OF FILING: "X" ORIGINAL   UPDATED    REVISED  </v>
      </c>
      <c r="C5" s="196"/>
      <c r="D5" s="344"/>
      <c r="E5" s="196"/>
      <c r="F5" s="196"/>
      <c r="G5" s="196"/>
      <c r="H5" s="196"/>
      <c r="I5" s="196"/>
      <c r="J5" s="196"/>
      <c r="K5" s="196"/>
    </row>
    <row r="6" spans="1:11">
      <c r="A6" s="343"/>
      <c r="C6" s="196"/>
      <c r="D6" s="344"/>
      <c r="E6" s="196"/>
      <c r="F6" s="196"/>
      <c r="G6" s="196"/>
      <c r="H6" s="196"/>
      <c r="I6" s="196"/>
      <c r="J6" s="196"/>
      <c r="K6" s="196"/>
    </row>
    <row r="7" spans="1:11">
      <c r="A7" s="343"/>
      <c r="C7" s="196"/>
      <c r="D7" s="344"/>
      <c r="E7" s="196"/>
      <c r="F7" s="196"/>
      <c r="G7" s="196"/>
      <c r="H7" s="196"/>
      <c r="I7" s="196"/>
      <c r="J7" s="196"/>
      <c r="K7" s="196"/>
    </row>
    <row r="8" spans="1:11">
      <c r="A8" s="344" t="s">
        <v>914</v>
      </c>
      <c r="B8" s="196"/>
      <c r="C8" s="196"/>
      <c r="D8" s="344"/>
      <c r="E8" s="196"/>
      <c r="F8" s="344" t="s">
        <v>229</v>
      </c>
      <c r="G8" s="545" t="s">
        <v>1005</v>
      </c>
      <c r="H8" s="533"/>
      <c r="I8" s="534"/>
      <c r="J8" s="344" t="s">
        <v>229</v>
      </c>
      <c r="K8" s="344" t="s">
        <v>342</v>
      </c>
    </row>
    <row r="9" spans="1:11">
      <c r="A9" s="346" t="s">
        <v>915</v>
      </c>
      <c r="B9" s="345" t="s">
        <v>102</v>
      </c>
      <c r="C9" s="345"/>
      <c r="D9" s="346" t="s">
        <v>337</v>
      </c>
      <c r="E9" s="345"/>
      <c r="F9" s="346" t="s">
        <v>846</v>
      </c>
      <c r="G9" s="546" t="s">
        <v>847</v>
      </c>
      <c r="H9" s="535" t="s">
        <v>848</v>
      </c>
      <c r="I9" s="536" t="s">
        <v>849</v>
      </c>
      <c r="J9" s="346" t="s">
        <v>341</v>
      </c>
      <c r="K9" s="346" t="s">
        <v>340</v>
      </c>
    </row>
    <row r="10" spans="1:11">
      <c r="C10" s="578" t="s">
        <v>354</v>
      </c>
      <c r="D10" s="344"/>
      <c r="E10" s="196"/>
      <c r="G10" s="785">
        <v>3</v>
      </c>
      <c r="H10" s="786">
        <v>4</v>
      </c>
      <c r="I10" s="787">
        <v>5</v>
      </c>
    </row>
    <row r="11" spans="1:11">
      <c r="A11" s="333">
        <v>1</v>
      </c>
      <c r="B11" s="332" t="s">
        <v>100</v>
      </c>
      <c r="D11" s="344"/>
      <c r="E11" s="196"/>
      <c r="G11" s="547"/>
      <c r="H11" s="537"/>
      <c r="I11" s="538"/>
    </row>
    <row r="12" spans="1:11">
      <c r="A12" s="333">
        <v>2</v>
      </c>
      <c r="C12" s="332" t="str">
        <f>'FR-16(7)(v)-1 Functional'!C12</f>
        <v>GROSS GAS PLANT IN SERVICE</v>
      </c>
      <c r="D12" s="344"/>
      <c r="E12" s="196"/>
      <c r="F12" s="347">
        <f>F101</f>
        <v>581968224</v>
      </c>
      <c r="G12" s="548">
        <f>G101</f>
        <v>317764089</v>
      </c>
      <c r="H12" s="539">
        <f>H101</f>
        <v>0</v>
      </c>
      <c r="I12" s="540">
        <f>I101</f>
        <v>264204135</v>
      </c>
      <c r="J12" s="347">
        <f>J101</f>
        <v>581968224</v>
      </c>
      <c r="K12" s="347">
        <f>F12-J12</f>
        <v>0</v>
      </c>
    </row>
    <row r="13" spans="1:11">
      <c r="A13" s="333">
        <v>3</v>
      </c>
      <c r="C13" s="332" t="str">
        <f>'FR-16(7)(v)-1 Functional'!C13</f>
        <v>TOTAL DEPRECIATION RESERVE</v>
      </c>
      <c r="D13" s="344"/>
      <c r="E13" s="196"/>
      <c r="F13" s="347">
        <f>-F151</f>
        <v>-183834988</v>
      </c>
      <c r="G13" s="548">
        <f>-G151</f>
        <v>-99990440</v>
      </c>
      <c r="H13" s="539">
        <f>-H151</f>
        <v>0</v>
      </c>
      <c r="I13" s="540">
        <f>-I151</f>
        <v>-83844548</v>
      </c>
      <c r="J13" s="347">
        <f>-J151</f>
        <v>-183834988</v>
      </c>
      <c r="K13" s="347">
        <f>F13-J13</f>
        <v>0</v>
      </c>
    </row>
    <row r="14" spans="1:11">
      <c r="A14" s="333">
        <v>4</v>
      </c>
      <c r="C14" s="359" t="str">
        <f>'FR-16(7)(v)-1 Functional'!C14</f>
        <v>TOTAL RATE BASE ADJUSTMENTS</v>
      </c>
      <c r="D14" s="344"/>
      <c r="E14" s="196"/>
      <c r="F14" s="347">
        <f>F326</f>
        <v>-91152476</v>
      </c>
      <c r="G14" s="548">
        <f>G326</f>
        <v>-47623916</v>
      </c>
      <c r="H14" s="539">
        <f>H326</f>
        <v>0</v>
      </c>
      <c r="I14" s="540">
        <f>I326</f>
        <v>-43528560</v>
      </c>
      <c r="J14" s="347">
        <f>J326</f>
        <v>-91152476</v>
      </c>
      <c r="K14" s="347">
        <f>F14-J14</f>
        <v>0</v>
      </c>
    </row>
    <row r="15" spans="1:11">
      <c r="A15" s="333">
        <v>5</v>
      </c>
      <c r="C15" s="332" t="str">
        <f>'FR-16(7)(v)-1 Functional'!C15</f>
        <v xml:space="preserve">  TOTAL RATE BASE</v>
      </c>
      <c r="D15" s="344"/>
      <c r="E15" s="196"/>
      <c r="F15" s="348">
        <f t="shared" ref="F15:K15" si="0">SUM(F12:F14)</f>
        <v>306980760</v>
      </c>
      <c r="G15" s="549">
        <f t="shared" si="0"/>
        <v>170149733</v>
      </c>
      <c r="H15" s="541">
        <f t="shared" si="0"/>
        <v>0</v>
      </c>
      <c r="I15" s="542">
        <f t="shared" si="0"/>
        <v>136831027</v>
      </c>
      <c r="J15" s="348">
        <f t="shared" si="0"/>
        <v>306980760</v>
      </c>
      <c r="K15" s="348">
        <f t="shared" si="0"/>
        <v>0</v>
      </c>
    </row>
    <row r="16" spans="1:11">
      <c r="A16" s="333">
        <v>6</v>
      </c>
      <c r="D16" s="344"/>
      <c r="E16" s="196"/>
      <c r="G16" s="547"/>
      <c r="H16" s="537"/>
      <c r="I16" s="538"/>
    </row>
    <row r="17" spans="1:11">
      <c r="A17" s="333">
        <v>7</v>
      </c>
      <c r="B17" s="332" t="s">
        <v>98</v>
      </c>
      <c r="D17" s="344"/>
      <c r="E17" s="196"/>
      <c r="G17" s="547"/>
      <c r="H17" s="537"/>
      <c r="I17" s="538"/>
    </row>
    <row r="18" spans="1:11">
      <c r="A18" s="333">
        <v>8</v>
      </c>
      <c r="C18" s="332" t="str">
        <f>'FR-16(7)(v)-1 Functional'!C18</f>
        <v>TOTAL O&amp;M EXPENSE</v>
      </c>
      <c r="D18" s="344"/>
      <c r="E18" s="196"/>
      <c r="F18" s="347">
        <f>F433</f>
        <v>22475277</v>
      </c>
      <c r="G18" s="548">
        <f>G433</f>
        <v>10068183</v>
      </c>
      <c r="H18" s="539">
        <f>H433</f>
        <v>0</v>
      </c>
      <c r="I18" s="540">
        <f>I433</f>
        <v>12407094</v>
      </c>
      <c r="J18" s="347">
        <f>J433</f>
        <v>22475277</v>
      </c>
      <c r="K18" s="347">
        <f t="shared" ref="K18:K24" si="1">F18-J18</f>
        <v>0</v>
      </c>
    </row>
    <row r="19" spans="1:11">
      <c r="A19" s="333">
        <v>9</v>
      </c>
      <c r="C19" s="332" t="str">
        <f>'FR-16(7)(v)-1 Functional'!C19</f>
        <v>TOTAL DEPRECIATION EXPENSE</v>
      </c>
      <c r="D19" s="344"/>
      <c r="E19" s="196"/>
      <c r="F19" s="347">
        <f>F465</f>
        <v>14157287</v>
      </c>
      <c r="G19" s="548">
        <f>G465</f>
        <v>7510696</v>
      </c>
      <c r="H19" s="539">
        <f>H465</f>
        <v>0</v>
      </c>
      <c r="I19" s="540">
        <f>I465</f>
        <v>6646591</v>
      </c>
      <c r="J19" s="347">
        <f>J465</f>
        <v>14157287</v>
      </c>
      <c r="K19" s="347">
        <f t="shared" si="1"/>
        <v>0</v>
      </c>
    </row>
    <row r="20" spans="1:11">
      <c r="A20" s="333">
        <v>10</v>
      </c>
      <c r="C20" s="359" t="str">
        <f>'FR-16(7)(v)-1 Functional'!C20</f>
        <v>TOTAL OTHER TAX &amp; MISC EXPENSE</v>
      </c>
      <c r="D20" s="344"/>
      <c r="E20" s="196"/>
      <c r="F20" s="347">
        <f>F495</f>
        <v>4018380</v>
      </c>
      <c r="G20" s="548">
        <f>$G$495</f>
        <v>2102200</v>
      </c>
      <c r="H20" s="539">
        <f>$H$495</f>
        <v>0</v>
      </c>
      <c r="I20" s="540">
        <f>$I$495</f>
        <v>1916180</v>
      </c>
      <c r="J20" s="347">
        <f>$J$495</f>
        <v>4018380</v>
      </c>
      <c r="K20" s="347">
        <f t="shared" si="1"/>
        <v>0</v>
      </c>
    </row>
    <row r="21" spans="1:11">
      <c r="A21" s="333">
        <v>11</v>
      </c>
      <c r="C21" s="332" t="str">
        <f>'FR-16(7)(v)-1 Functional'!C21</f>
        <v xml:space="preserve">  TOTAL OP EXP EXCLUDING INC &amp; REV TAX</v>
      </c>
      <c r="D21" s="344"/>
      <c r="E21" s="196"/>
      <c r="F21" s="348">
        <f>SUM(F17:F20)</f>
        <v>40650944</v>
      </c>
      <c r="G21" s="549">
        <f>SUM(G17:G20)</f>
        <v>19681079</v>
      </c>
      <c r="H21" s="541">
        <f>SUM(H17:H20)</f>
        <v>0</v>
      </c>
      <c r="I21" s="542">
        <f>SUM(I17:I20)</f>
        <v>20969865</v>
      </c>
      <c r="J21" s="348">
        <f>SUM(J17:J20)</f>
        <v>40650944</v>
      </c>
      <c r="K21" s="348">
        <f t="shared" si="1"/>
        <v>0</v>
      </c>
    </row>
    <row r="22" spans="1:11">
      <c r="A22" s="333">
        <v>12</v>
      </c>
      <c r="C22" s="332" t="str">
        <f>'FR-16(7)(v)-1 Functional'!C22</f>
        <v>NET FED INCOME TAX EXP ALLOWABLE</v>
      </c>
      <c r="D22" s="344"/>
      <c r="E22" s="196"/>
      <c r="F22" s="347">
        <f>F557</f>
        <v>2371042</v>
      </c>
      <c r="G22" s="548">
        <f>$G$557</f>
        <v>1389567</v>
      </c>
      <c r="H22" s="539">
        <f>$H$557</f>
        <v>0</v>
      </c>
      <c r="I22" s="540">
        <f>$I$557</f>
        <v>981475</v>
      </c>
      <c r="J22" s="347">
        <f>$J$557</f>
        <v>2371042</v>
      </c>
      <c r="K22" s="347">
        <f t="shared" si="1"/>
        <v>0</v>
      </c>
    </row>
    <row r="23" spans="1:11">
      <c r="A23" s="333">
        <v>13</v>
      </c>
      <c r="C23" s="359" t="str">
        <f>'FR-16(7)(v)-1 Functional'!C23</f>
        <v>NET STATE INCOME TAX EXP ALLOWABLE</v>
      </c>
      <c r="D23" s="344"/>
      <c r="E23" s="196"/>
      <c r="F23" s="347">
        <f>F605</f>
        <v>772059</v>
      </c>
      <c r="G23" s="548">
        <f>G605</f>
        <v>437927</v>
      </c>
      <c r="H23" s="539">
        <f>H605</f>
        <v>0</v>
      </c>
      <c r="I23" s="540">
        <f>I605</f>
        <v>334133</v>
      </c>
      <c r="J23" s="347">
        <f>J605</f>
        <v>772060</v>
      </c>
      <c r="K23" s="347">
        <f t="shared" si="1"/>
        <v>-1</v>
      </c>
    </row>
    <row r="24" spans="1:11">
      <c r="A24" s="333">
        <v>14</v>
      </c>
      <c r="C24" s="332" t="str">
        <f>'FR-16(7)(v)-1 Functional'!C24</f>
        <v xml:space="preserve">  TOTAL OPERATING EXPENSE</v>
      </c>
      <c r="D24" s="344"/>
      <c r="E24" s="196"/>
      <c r="F24" s="348">
        <f>SUM(F21:F23)</f>
        <v>43794045</v>
      </c>
      <c r="G24" s="549">
        <f>SUM(G21:G23)</f>
        <v>21508573</v>
      </c>
      <c r="H24" s="541">
        <f>SUM(H21:H23)</f>
        <v>0</v>
      </c>
      <c r="I24" s="542">
        <f>SUM(I21:I23)</f>
        <v>22285473</v>
      </c>
      <c r="J24" s="348">
        <f>SUM(J21:J23)</f>
        <v>43794046</v>
      </c>
      <c r="K24" s="348">
        <f t="shared" si="1"/>
        <v>-1</v>
      </c>
    </row>
    <row r="25" spans="1:11">
      <c r="A25" s="333">
        <v>15</v>
      </c>
      <c r="D25" s="344"/>
      <c r="E25" s="196"/>
      <c r="G25" s="547"/>
      <c r="H25" s="537"/>
      <c r="I25" s="538"/>
    </row>
    <row r="26" spans="1:11">
      <c r="A26" s="333">
        <v>16</v>
      </c>
      <c r="B26" s="332" t="s">
        <v>43</v>
      </c>
      <c r="D26" s="344"/>
      <c r="E26" s="196"/>
      <c r="F26" s="347">
        <f>F334</f>
        <v>22044288</v>
      </c>
      <c r="G26" s="548">
        <f>G334</f>
        <v>12218452</v>
      </c>
      <c r="H26" s="539">
        <f>H334</f>
        <v>0</v>
      </c>
      <c r="I26" s="540">
        <f>I334</f>
        <v>9825836</v>
      </c>
      <c r="J26" s="347">
        <f>J334</f>
        <v>22044288</v>
      </c>
      <c r="K26" s="347">
        <f t="shared" ref="K26:K31" si="2">F26-J26</f>
        <v>0</v>
      </c>
    </row>
    <row r="27" spans="1:11">
      <c r="A27" s="333">
        <v>17</v>
      </c>
      <c r="B27" s="359" t="s">
        <v>103</v>
      </c>
      <c r="C27" s="359"/>
      <c r="D27" s="344"/>
      <c r="E27" s="196"/>
      <c r="F27" s="347">
        <f>-F630</f>
        <v>-91387</v>
      </c>
      <c r="G27" s="548">
        <f>-$G$630</f>
        <v>-17988</v>
      </c>
      <c r="H27" s="539">
        <f>-$H$630</f>
        <v>0</v>
      </c>
      <c r="I27" s="540">
        <f>-$I$630</f>
        <v>-73399</v>
      </c>
      <c r="J27" s="347">
        <f>-$J$630</f>
        <v>-91387</v>
      </c>
      <c r="K27" s="347">
        <f t="shared" si="2"/>
        <v>0</v>
      </c>
    </row>
    <row r="28" spans="1:11">
      <c r="A28" s="1174">
        <v>18</v>
      </c>
      <c r="B28" s="353"/>
      <c r="C28" s="332" t="str">
        <f>'FR-16(7)(v)-1 Functional'!C28</f>
        <v>TOTAL GAS COST OF SERVICE</v>
      </c>
      <c r="D28" s="354"/>
      <c r="E28" s="342"/>
      <c r="F28" s="348">
        <f>SUM(F24:F27)</f>
        <v>65746946</v>
      </c>
      <c r="G28" s="1175">
        <f>SUM(G24:G27)</f>
        <v>33709037</v>
      </c>
      <c r="H28" s="1176">
        <f>SUM(H24:H27)</f>
        <v>0</v>
      </c>
      <c r="I28" s="1177">
        <f>SUM(I24:I27)</f>
        <v>32037910</v>
      </c>
      <c r="J28" s="348">
        <f>SUM(J24:J27)</f>
        <v>65746947</v>
      </c>
      <c r="K28" s="348">
        <f t="shared" si="2"/>
        <v>-1</v>
      </c>
    </row>
    <row r="29" spans="1:11">
      <c r="A29" s="1112">
        <v>19</v>
      </c>
      <c r="B29" s="1113" t="s">
        <v>1206</v>
      </c>
      <c r="C29" s="1114"/>
      <c r="D29" s="1115">
        <f>1-'WP FR-16(7)(v)Rate Incr (15.0%)'!I11</f>
        <v>0.85</v>
      </c>
      <c r="E29" s="1116"/>
      <c r="F29" s="1117">
        <f ca="1">'WP FR-16(7)(v)Rate Incr (15.0%)'!S20</f>
        <v>0</v>
      </c>
      <c r="G29" s="1166">
        <v>0</v>
      </c>
      <c r="H29" s="1167">
        <v>0</v>
      </c>
      <c r="I29" s="1168">
        <v>0</v>
      </c>
      <c r="J29" s="1117">
        <f>SUM(G29:I29)</f>
        <v>0</v>
      </c>
      <c r="K29" s="1120">
        <f t="shared" ca="1" si="2"/>
        <v>0</v>
      </c>
    </row>
    <row r="30" spans="1:11">
      <c r="A30" s="1112">
        <v>20</v>
      </c>
      <c r="B30" s="1121" t="s">
        <v>1207</v>
      </c>
      <c r="C30" s="1024"/>
      <c r="D30" s="1122"/>
      <c r="E30" s="1116"/>
      <c r="F30" s="1123">
        <f t="shared" ref="F30:K30" ca="1" si="3">F28+F29</f>
        <v>65746946</v>
      </c>
      <c r="G30" s="1124">
        <f t="shared" si="3"/>
        <v>33709037</v>
      </c>
      <c r="H30" s="1125">
        <f t="shared" si="3"/>
        <v>0</v>
      </c>
      <c r="I30" s="1126">
        <f t="shared" si="3"/>
        <v>32037910</v>
      </c>
      <c r="J30" s="1123">
        <f t="shared" si="3"/>
        <v>65746947</v>
      </c>
      <c r="K30" s="1123">
        <f t="shared" ca="1" si="3"/>
        <v>-1</v>
      </c>
    </row>
    <row r="31" spans="1:11">
      <c r="A31" s="1112">
        <v>21</v>
      </c>
      <c r="B31" s="1128" t="s">
        <v>850</v>
      </c>
      <c r="C31" s="1114"/>
      <c r="D31" s="1122"/>
      <c r="E31" s="1116"/>
      <c r="F31" s="1127">
        <f>F745</f>
        <v>58965089</v>
      </c>
      <c r="G31" s="1124">
        <f>G745</f>
        <v>30193663</v>
      </c>
      <c r="H31" s="1125">
        <f>H745</f>
        <v>0</v>
      </c>
      <c r="I31" s="1126">
        <f>I745</f>
        <v>28771426</v>
      </c>
      <c r="J31" s="1127">
        <f>J745</f>
        <v>58965089</v>
      </c>
      <c r="K31" s="1127">
        <f t="shared" si="2"/>
        <v>0</v>
      </c>
    </row>
    <row r="32" spans="1:11">
      <c r="A32" s="1112">
        <v>22</v>
      </c>
      <c r="B32" s="1129" t="s">
        <v>1208</v>
      </c>
      <c r="C32" s="1024"/>
      <c r="D32" s="1122"/>
      <c r="E32" s="1116"/>
      <c r="F32" s="1132">
        <f t="shared" ref="F32:K32" ca="1" si="4">F30-F31</f>
        <v>6781857</v>
      </c>
      <c r="G32" s="1151">
        <f t="shared" si="4"/>
        <v>3515374</v>
      </c>
      <c r="H32" s="1169">
        <f t="shared" si="4"/>
        <v>0</v>
      </c>
      <c r="I32" s="1152">
        <f t="shared" si="4"/>
        <v>3266484</v>
      </c>
      <c r="J32" s="1132">
        <f t="shared" si="4"/>
        <v>6781858</v>
      </c>
      <c r="K32" s="1132">
        <f t="shared" ca="1" si="4"/>
        <v>-1</v>
      </c>
    </row>
    <row r="33" spans="1:14">
      <c r="A33" s="1112">
        <v>23</v>
      </c>
      <c r="B33" s="1024"/>
      <c r="C33" s="1024"/>
      <c r="D33" s="1122"/>
      <c r="E33" s="1116"/>
      <c r="F33" s="1024"/>
      <c r="G33" s="1134"/>
      <c r="H33" s="1135"/>
      <c r="I33" s="1136"/>
      <c r="J33" s="1024"/>
      <c r="K33" s="1024"/>
    </row>
    <row r="34" spans="1:14">
      <c r="A34" s="1112">
        <v>24</v>
      </c>
      <c r="B34" s="1024" t="s">
        <v>104</v>
      </c>
      <c r="C34" s="1024"/>
      <c r="D34" s="1122"/>
      <c r="E34" s="1116"/>
      <c r="F34" s="1127">
        <f>F654+F26</f>
        <v>17532432</v>
      </c>
      <c r="G34" s="1124">
        <f>G654+G26</f>
        <v>9908059</v>
      </c>
      <c r="H34" s="1125">
        <f>H654+H26</f>
        <v>0</v>
      </c>
      <c r="I34" s="1126">
        <f>I654+I26</f>
        <v>7624373</v>
      </c>
      <c r="J34" s="1127">
        <f>J654+J26</f>
        <v>17532432</v>
      </c>
      <c r="K34" s="1127">
        <f>F34-J34</f>
        <v>0</v>
      </c>
    </row>
    <row r="35" spans="1:14">
      <c r="A35" s="1112">
        <v>25</v>
      </c>
      <c r="B35" s="1024" t="s">
        <v>105</v>
      </c>
      <c r="C35" s="1024"/>
      <c r="D35" s="1122"/>
      <c r="E35" s="1116"/>
      <c r="F35" s="1137">
        <f t="shared" ref="F35:K35" si="5">IF(F331=0,0,ROUND(F34/F331,5))</f>
        <v>5.7110000000000001E-2</v>
      </c>
      <c r="G35" s="1138">
        <f t="shared" si="5"/>
        <v>5.8229999999999997E-2</v>
      </c>
      <c r="H35" s="1139">
        <f t="shared" si="5"/>
        <v>0</v>
      </c>
      <c r="I35" s="1140">
        <f t="shared" si="5"/>
        <v>5.5719999999999999E-2</v>
      </c>
      <c r="J35" s="1137">
        <f t="shared" si="5"/>
        <v>5.7110000000000001E-2</v>
      </c>
      <c r="K35" s="1137">
        <f t="shared" si="5"/>
        <v>0</v>
      </c>
    </row>
    <row r="36" spans="1:14">
      <c r="A36" s="1112">
        <v>26</v>
      </c>
      <c r="B36" s="1024" t="s">
        <v>42</v>
      </c>
      <c r="C36" s="1024"/>
      <c r="D36" s="1122"/>
      <c r="E36" s="1116"/>
      <c r="F36" s="1137">
        <f>$F$688</f>
        <v>7.1809999999999999E-2</v>
      </c>
      <c r="G36" s="1138">
        <f>F688</f>
        <v>7.1809999999999999E-2</v>
      </c>
      <c r="H36" s="1139">
        <f>F688</f>
        <v>7.1809999999999999E-2</v>
      </c>
      <c r="I36" s="1140">
        <f>F688</f>
        <v>7.1809999999999999E-2</v>
      </c>
      <c r="J36" s="1137">
        <f>$F$688</f>
        <v>7.1809999999999999E-2</v>
      </c>
      <c r="K36" s="1137">
        <f>F688</f>
        <v>7.1809999999999999E-2</v>
      </c>
      <c r="N36" s="659" t="s">
        <v>1210</v>
      </c>
    </row>
    <row r="37" spans="1:14">
      <c r="A37" s="1112">
        <v>27</v>
      </c>
      <c r="B37" s="1024" t="s">
        <v>106</v>
      </c>
      <c r="C37" s="1024"/>
      <c r="D37" s="1122"/>
      <c r="E37" s="1116"/>
      <c r="F37" s="1137">
        <f>IF(F670=0,0,(F35-$F$683-$F$684-$F$686)*$F$673/$F$670)</f>
        <v>7.0042516701959379E-2</v>
      </c>
      <c r="G37" s="1138">
        <f>IF(F670=0,0,(G35-F683-F684-F686)*F673/F670)</f>
        <v>7.2249200772457112E-2</v>
      </c>
      <c r="H37" s="1139">
        <f>IF(F670=0,0,(H35-F683-F684-F686)*F673/F670)</f>
        <v>-4.2478668357081424E-2</v>
      </c>
      <c r="I37" s="1140">
        <f>IF(F670=0,0,(I35-F683-F684-F686)*F673/F670)</f>
        <v>6.7303864150180942E-2</v>
      </c>
      <c r="J37" s="1137">
        <f>IF(F670=0,0,(J35-F683-F684-F686)*F673/F670)</f>
        <v>7.0042516701959379E-2</v>
      </c>
      <c r="K37" s="1137">
        <f>IF(F670=0,0,(K35-F683-F684-F686)*F673/F670)</f>
        <v>-4.2478668357081424E-2</v>
      </c>
      <c r="N37" s="659" t="s">
        <v>1211</v>
      </c>
    </row>
    <row r="38" spans="1:14">
      <c r="A38" s="1112">
        <v>28</v>
      </c>
      <c r="B38" s="1024" t="s">
        <v>107</v>
      </c>
      <c r="C38" s="1024"/>
      <c r="D38" s="1122"/>
      <c r="E38" s="1116"/>
      <c r="F38" s="1137">
        <f>IF($F$670=0,0,(F36-$F$683-$F$684-$F$686)*$F$673/$F$670)</f>
        <v>9.9005245127242167E-2</v>
      </c>
      <c r="G38" s="1138">
        <f>IF(F670=0,0,(G36-F683-F684-F686)*F673/F670)</f>
        <v>9.9005245127242167E-2</v>
      </c>
      <c r="H38" s="1139">
        <f>IF(F670=0,0,(H36-F683-F684-F686)*F673/F670)</f>
        <v>9.9005245127242167E-2</v>
      </c>
      <c r="I38" s="1140">
        <f>IF(F670=0,0,(I36-F683-F684-F686)*F673/F670)</f>
        <v>9.9005245127242167E-2</v>
      </c>
      <c r="J38" s="1137">
        <f>IF($F$670=0,0,(J36-$F$683-$F$684-$F$686)*$F$673/$F$670)</f>
        <v>9.9005245127242167E-2</v>
      </c>
      <c r="K38" s="1137">
        <f>IF(F670=0,0,(K36-F683-F684-F686)*F673/F670)</f>
        <v>9.9005245127242167E-2</v>
      </c>
    </row>
    <row r="39" spans="1:14">
      <c r="A39" s="1112">
        <v>29</v>
      </c>
      <c r="B39" s="1024"/>
      <c r="C39" s="1024"/>
      <c r="D39" s="1122"/>
      <c r="E39" s="1116"/>
      <c r="F39" s="1024" t="s">
        <v>343</v>
      </c>
      <c r="G39" s="1134"/>
      <c r="H39" s="1135"/>
      <c r="I39" s="1136"/>
      <c r="J39" s="1024"/>
      <c r="K39" s="1024"/>
    </row>
    <row r="40" spans="1:14">
      <c r="A40" s="1112">
        <v>30</v>
      </c>
      <c r="B40" s="1024" t="s">
        <v>108</v>
      </c>
      <c r="C40" s="1024"/>
      <c r="D40" s="1122"/>
      <c r="E40" s="1116"/>
      <c r="F40" s="1127">
        <f>F744</f>
        <v>58965089</v>
      </c>
      <c r="G40" s="1124">
        <f>G744</f>
        <v>30193663</v>
      </c>
      <c r="H40" s="1125">
        <f>H744</f>
        <v>0</v>
      </c>
      <c r="I40" s="1126">
        <f>I744</f>
        <v>28771426</v>
      </c>
      <c r="J40" s="1127">
        <f>J744</f>
        <v>58965089</v>
      </c>
      <c r="K40" s="1127">
        <f>F40-J40</f>
        <v>0</v>
      </c>
    </row>
    <row r="41" spans="1:14">
      <c r="A41" s="1112">
        <v>31</v>
      </c>
      <c r="B41" s="1024" t="s">
        <v>109</v>
      </c>
      <c r="C41" s="1024"/>
      <c r="D41" s="1122"/>
      <c r="E41" s="1116"/>
      <c r="F41" s="1127">
        <f t="shared" ref="F41:K41" si="6">F28-F40</f>
        <v>6781857</v>
      </c>
      <c r="G41" s="1124">
        <f t="shared" si="6"/>
        <v>3515374</v>
      </c>
      <c r="H41" s="1125">
        <f t="shared" si="6"/>
        <v>0</v>
      </c>
      <c r="I41" s="1126">
        <f t="shared" si="6"/>
        <v>3266484</v>
      </c>
      <c r="J41" s="1127">
        <f t="shared" si="6"/>
        <v>6781858</v>
      </c>
      <c r="K41" s="1127">
        <f t="shared" si="6"/>
        <v>-1</v>
      </c>
    </row>
    <row r="42" spans="1:14">
      <c r="A42" s="1112">
        <v>32</v>
      </c>
      <c r="B42" s="1024"/>
      <c r="C42" s="1024" t="s">
        <v>283</v>
      </c>
      <c r="D42" s="1122"/>
      <c r="E42" s="1116"/>
      <c r="F42" s="1141">
        <f t="shared" ref="F42:K42" si="7">IF(F40=0,0,ROUND(F41/F40,5))</f>
        <v>0.11501</v>
      </c>
      <c r="G42" s="1142">
        <f t="shared" si="7"/>
        <v>0.11643000000000001</v>
      </c>
      <c r="H42" s="1143">
        <f t="shared" si="7"/>
        <v>0</v>
      </c>
      <c r="I42" s="1144">
        <f t="shared" si="7"/>
        <v>0.11353000000000001</v>
      </c>
      <c r="J42" s="1141">
        <f t="shared" si="7"/>
        <v>0.11501</v>
      </c>
      <c r="K42" s="1127">
        <f t="shared" si="7"/>
        <v>0</v>
      </c>
    </row>
    <row r="43" spans="1:14">
      <c r="A43" s="1112">
        <v>33</v>
      </c>
      <c r="B43" s="1024" t="s">
        <v>110</v>
      </c>
      <c r="C43" s="1024"/>
      <c r="D43" s="1122"/>
      <c r="E43" s="1116"/>
      <c r="F43" s="1127">
        <f t="shared" ref="F43:K43" si="8">F31-F40</f>
        <v>0</v>
      </c>
      <c r="G43" s="1124">
        <f t="shared" si="8"/>
        <v>0</v>
      </c>
      <c r="H43" s="1125">
        <f t="shared" si="8"/>
        <v>0</v>
      </c>
      <c r="I43" s="1126">
        <f t="shared" si="8"/>
        <v>0</v>
      </c>
      <c r="J43" s="1127">
        <f t="shared" si="8"/>
        <v>0</v>
      </c>
      <c r="K43" s="1127">
        <f t="shared" si="8"/>
        <v>0</v>
      </c>
    </row>
    <row r="44" spans="1:14">
      <c r="A44" s="1112">
        <v>34</v>
      </c>
      <c r="B44" s="1024"/>
      <c r="C44" s="1024" t="s">
        <v>283</v>
      </c>
      <c r="D44" s="1122"/>
      <c r="E44" s="1116"/>
      <c r="F44" s="1141">
        <f t="shared" ref="F44:K44" si="9">IF(F40=0,0,ROUND(F43/F40,5))</f>
        <v>0</v>
      </c>
      <c r="G44" s="1145">
        <f t="shared" si="9"/>
        <v>0</v>
      </c>
      <c r="H44" s="1146">
        <f t="shared" si="9"/>
        <v>0</v>
      </c>
      <c r="I44" s="1147">
        <f t="shared" si="9"/>
        <v>0</v>
      </c>
      <c r="J44" s="1141">
        <f t="shared" si="9"/>
        <v>0</v>
      </c>
      <c r="K44" s="1127">
        <f t="shared" si="9"/>
        <v>0</v>
      </c>
    </row>
    <row r="45" spans="1:14">
      <c r="A45" s="343"/>
      <c r="C45" s="196"/>
      <c r="D45" s="344"/>
      <c r="E45" s="196"/>
      <c r="F45" s="196"/>
      <c r="G45" s="196"/>
      <c r="H45" s="196"/>
      <c r="I45" s="196"/>
      <c r="J45" s="196"/>
      <c r="K45" s="196"/>
    </row>
    <row r="46" spans="1:14">
      <c r="A46" s="343" t="str">
        <f>co_name</f>
        <v>DUKE ENERGY KENTUCKY, INC.</v>
      </c>
      <c r="C46" s="196"/>
      <c r="D46" s="344"/>
      <c r="E46" s="196"/>
      <c r="F46" s="196"/>
      <c r="G46" s="196"/>
      <c r="H46" s="196"/>
      <c r="I46" s="196"/>
      <c r="J46" s="196" t="str">
        <f>$J$1</f>
        <v>FR-16(7)(v)-4</v>
      </c>
      <c r="K46" s="196"/>
    </row>
    <row r="47" spans="1:14">
      <c r="A47" s="343" t="str">
        <f>$A$2</f>
        <v>DISTRIBUTION CLASSIFIED - GAS COST OF SERVICE</v>
      </c>
      <c r="C47" s="196"/>
      <c r="D47" s="344"/>
      <c r="E47" s="196"/>
      <c r="F47" s="196"/>
      <c r="G47" s="196"/>
      <c r="H47" s="196"/>
      <c r="I47" s="196"/>
      <c r="J47" s="196" t="str">
        <f>$J$2</f>
        <v>WITNESS RESPONSIBLE:</v>
      </c>
      <c r="K47" s="196"/>
    </row>
    <row r="48" spans="1:14">
      <c r="A48" s="343" t="str">
        <f>case_name</f>
        <v>CASE NO: 2018-00261</v>
      </c>
      <c r="C48" s="196"/>
      <c r="D48" s="344"/>
      <c r="E48" s="196"/>
      <c r="F48" s="196"/>
      <c r="G48" s="196"/>
      <c r="H48" s="196"/>
      <c r="I48" s="196"/>
      <c r="J48" s="196" t="str">
        <f>Witness</f>
        <v>JAMES E. ZIOLKOWSKI</v>
      </c>
      <c r="K48" s="196"/>
    </row>
    <row r="49" spans="1:11">
      <c r="A49" s="343" t="str">
        <f>data_filing</f>
        <v>DATA: 12 MONTH FORECASTED PERIOD</v>
      </c>
      <c r="C49" s="196"/>
      <c r="D49" s="344"/>
      <c r="E49" s="196"/>
      <c r="F49" s="196"/>
      <c r="G49" s="196"/>
      <c r="H49" s="196"/>
      <c r="I49" s="196"/>
      <c r="J49" s="196" t="str">
        <f>"PAGE "&amp;Pages-16&amp;" OF "&amp;Pages</f>
        <v>PAGE 2 OF 18</v>
      </c>
      <c r="K49" s="196"/>
    </row>
    <row r="50" spans="1:11">
      <c r="A50" s="343" t="str">
        <f>type</f>
        <v xml:space="preserve">TYPE OF FILING: "X" ORIGINAL   UPDATED    REVISED  </v>
      </c>
      <c r="C50" s="196"/>
      <c r="D50" s="344"/>
      <c r="E50" s="196"/>
      <c r="F50" s="196"/>
      <c r="G50" s="196"/>
      <c r="H50" s="196"/>
      <c r="I50" s="196"/>
      <c r="J50" s="196"/>
      <c r="K50" s="196"/>
    </row>
    <row r="51" spans="1:11">
      <c r="A51" s="343"/>
      <c r="C51" s="196"/>
      <c r="D51" s="344"/>
      <c r="E51" s="196"/>
      <c r="F51" s="196"/>
      <c r="G51" s="196"/>
      <c r="H51" s="196"/>
      <c r="I51" s="196"/>
      <c r="J51" s="196"/>
      <c r="K51" s="196"/>
    </row>
    <row r="52" spans="1:11">
      <c r="A52" s="343"/>
      <c r="C52" s="196"/>
      <c r="D52" s="344"/>
      <c r="E52" s="196"/>
      <c r="F52" s="196"/>
      <c r="G52" s="196"/>
      <c r="H52" s="196"/>
      <c r="I52" s="196"/>
      <c r="J52" s="196"/>
      <c r="K52" s="196"/>
    </row>
    <row r="53" spans="1:11">
      <c r="A53" s="344" t="s">
        <v>914</v>
      </c>
      <c r="B53" s="196"/>
      <c r="C53" s="196"/>
      <c r="D53" s="344"/>
      <c r="E53" s="196"/>
      <c r="F53" s="344" t="s">
        <v>229</v>
      </c>
      <c r="G53" s="545" t="s">
        <v>1005</v>
      </c>
      <c r="H53" s="533"/>
      <c r="I53" s="534"/>
      <c r="J53" s="344" t="s">
        <v>229</v>
      </c>
      <c r="K53" s="344" t="s">
        <v>342</v>
      </c>
    </row>
    <row r="54" spans="1:11">
      <c r="A54" s="346" t="s">
        <v>915</v>
      </c>
      <c r="B54" s="345" t="s">
        <v>95</v>
      </c>
      <c r="C54" s="345"/>
      <c r="D54" s="346" t="s">
        <v>337</v>
      </c>
      <c r="E54" s="345"/>
      <c r="F54" s="346" t="s">
        <v>846</v>
      </c>
      <c r="G54" s="546" t="s">
        <v>847</v>
      </c>
      <c r="H54" s="535" t="s">
        <v>848</v>
      </c>
      <c r="I54" s="536" t="s">
        <v>849</v>
      </c>
      <c r="J54" s="346" t="s">
        <v>341</v>
      </c>
      <c r="K54" s="346" t="s">
        <v>340</v>
      </c>
    </row>
    <row r="55" spans="1:11">
      <c r="C55" s="578" t="s">
        <v>344</v>
      </c>
      <c r="D55" s="344"/>
      <c r="E55" s="196"/>
      <c r="G55" s="800">
        <f>$G$10</f>
        <v>3</v>
      </c>
      <c r="H55" s="801">
        <f>$H$10</f>
        <v>4</v>
      </c>
      <c r="I55" s="802">
        <f>$I$10</f>
        <v>5</v>
      </c>
      <c r="K55" s="332" t="s">
        <v>343</v>
      </c>
    </row>
    <row r="56" spans="1:11">
      <c r="A56" s="333">
        <v>1</v>
      </c>
      <c r="B56" s="332" t="s">
        <v>14</v>
      </c>
      <c r="E56" s="196"/>
      <c r="G56" s="547"/>
      <c r="H56" s="537"/>
      <c r="I56" s="538"/>
    </row>
    <row r="57" spans="1:11">
      <c r="A57" s="333">
        <v>2</v>
      </c>
      <c r="C57" s="365" t="str">
        <f>'FR-16(7)(v)-1 Functional'!C57</f>
        <v>PRODUCTION PLANT</v>
      </c>
      <c r="D57" s="344" t="str">
        <f>'FR-16(7)(v)-1 Functional'!D57</f>
        <v>K205</v>
      </c>
      <c r="E57" s="196"/>
      <c r="F57" s="479">
        <f>'FR-16(7)(v)-1 Functional'!I57</f>
        <v>0</v>
      </c>
      <c r="G57" s="548">
        <f>ROUND(F57*VLOOKUP(D57,Alloctable_Classified_Distribution,$G$10,FALSE),0)</f>
        <v>0</v>
      </c>
      <c r="H57" s="539">
        <f>ROUND(F57*VLOOKUP(D57,Alloctable_Classified_Distribution,$H$10,FALSE),0)</f>
        <v>0</v>
      </c>
      <c r="I57" s="540">
        <f>ROUND(F57*VLOOKUP(D57,Alloctable_Classified_Distribution,$I$10,FALSE),0)</f>
        <v>0</v>
      </c>
      <c r="J57" s="347">
        <f>SUM($G$57:$I$57)</f>
        <v>0</v>
      </c>
      <c r="K57" s="347">
        <f>F57-$J$57</f>
        <v>0</v>
      </c>
    </row>
    <row r="58" spans="1:11">
      <c r="A58" s="333">
        <v>3</v>
      </c>
      <c r="C58" s="359" t="str">
        <f>'FR-16(7)(v)-1 Functional'!C58</f>
        <v>GAS PRODUCTION -CPMPL NOT CLASS</v>
      </c>
      <c r="D58" s="344" t="str">
        <f>'FR-16(7)(v)-1 Functional'!D58</f>
        <v>K205</v>
      </c>
      <c r="E58" s="196"/>
      <c r="F58" s="479">
        <f>'FR-16(7)(v)-1 Functional'!I58</f>
        <v>0</v>
      </c>
      <c r="G58" s="548">
        <f>ROUND(F58*VLOOKUP(D58,Alloctable_Classified_Distribution,$G$10,FALSE),0)</f>
        <v>0</v>
      </c>
      <c r="H58" s="539">
        <f>ROUND(F58*VLOOKUP(D58,Alloctable_Classified_Distribution,$H$10,FALSE),0)</f>
        <v>0</v>
      </c>
      <c r="I58" s="540">
        <f>ROUND(F58*VLOOKUP(D58,Alloctable_Classified_Distribution,$I$10,FALSE),0)</f>
        <v>0</v>
      </c>
      <c r="J58" s="347">
        <f>SUM($G$58:$I$58)</f>
        <v>0</v>
      </c>
      <c r="K58" s="347">
        <f>F58-$J$58</f>
        <v>0</v>
      </c>
    </row>
    <row r="59" spans="1:11">
      <c r="A59" s="333">
        <v>4</v>
      </c>
      <c r="C59" s="332" t="str">
        <f>'FR-16(7)(v)-1 Functional'!C59</f>
        <v xml:space="preserve">  PRODUCTION PLANT IN SERVICE</v>
      </c>
      <c r="D59" s="344"/>
      <c r="E59" s="196"/>
      <c r="F59" s="348">
        <f>SUM(F57:F58)</f>
        <v>0</v>
      </c>
      <c r="G59" s="549">
        <f>SUM($G$57:$G$58)</f>
        <v>0</v>
      </c>
      <c r="H59" s="541">
        <f>SUM($H$57:$H$58)</f>
        <v>0</v>
      </c>
      <c r="I59" s="542">
        <f>SUM($I$57:$I$58)</f>
        <v>0</v>
      </c>
      <c r="J59" s="348">
        <f>SUM($J$57:$J$58)</f>
        <v>0</v>
      </c>
      <c r="K59" s="348">
        <f>SUM($K$57:$K$58)</f>
        <v>0</v>
      </c>
    </row>
    <row r="60" spans="1:11">
      <c r="A60" s="333">
        <v>5</v>
      </c>
      <c r="D60" s="344"/>
      <c r="E60" s="196"/>
      <c r="G60" s="547"/>
      <c r="H60" s="537"/>
      <c r="I60" s="538"/>
    </row>
    <row r="61" spans="1:11">
      <c r="A61" s="333">
        <v>6</v>
      </c>
      <c r="B61" s="332" t="s">
        <v>15</v>
      </c>
      <c r="D61" s="344"/>
      <c r="E61" s="196"/>
      <c r="G61" s="547"/>
      <c r="H61" s="537"/>
      <c r="I61" s="538"/>
    </row>
    <row r="62" spans="1:11">
      <c r="A62" s="333">
        <v>7</v>
      </c>
      <c r="C62" s="359" t="str">
        <f>'FR-16(7)(v)-1 Functional'!C62</f>
        <v>TRANSMISSION PLANT</v>
      </c>
      <c r="D62" s="344" t="s">
        <v>343</v>
      </c>
      <c r="E62" s="196"/>
      <c r="F62" s="477"/>
      <c r="G62" s="548"/>
      <c r="H62" s="539"/>
      <c r="I62" s="540"/>
      <c r="J62" s="347"/>
      <c r="K62" s="347"/>
    </row>
    <row r="63" spans="1:11">
      <c r="A63" s="333">
        <v>8</v>
      </c>
      <c r="C63" s="332" t="str">
        <f>'FR-16(7)(v)-1 Functional'!C63</f>
        <v xml:space="preserve">  TRANSMISSION PLANT IN SERVICE</v>
      </c>
      <c r="D63" s="344"/>
      <c r="E63" s="196"/>
      <c r="F63" s="348">
        <f>SUM(F62)</f>
        <v>0</v>
      </c>
      <c r="G63" s="549">
        <f>SUM($G$62)</f>
        <v>0</v>
      </c>
      <c r="H63" s="541">
        <f>SUM($H$62)</f>
        <v>0</v>
      </c>
      <c r="I63" s="542">
        <f>SUM($I$62)</f>
        <v>0</v>
      </c>
      <c r="J63" s="348">
        <f>SUM($J$62)</f>
        <v>0</v>
      </c>
      <c r="K63" s="348">
        <f>SUM($K$62)</f>
        <v>0</v>
      </c>
    </row>
    <row r="64" spans="1:11">
      <c r="A64" s="333">
        <v>9</v>
      </c>
      <c r="D64" s="344"/>
      <c r="E64" s="196"/>
      <c r="G64" s="547"/>
      <c r="H64" s="537"/>
      <c r="I64" s="538"/>
    </row>
    <row r="65" spans="1:11">
      <c r="A65" s="333">
        <v>10</v>
      </c>
      <c r="B65" s="332" t="s">
        <v>16</v>
      </c>
      <c r="D65" s="344"/>
      <c r="E65" s="196"/>
      <c r="F65" s="347">
        <f>F63+F59</f>
        <v>0</v>
      </c>
      <c r="G65" s="548">
        <f>$G$63+$G$59</f>
        <v>0</v>
      </c>
      <c r="H65" s="539">
        <f>$H$63+$H$59</f>
        <v>0</v>
      </c>
      <c r="I65" s="540">
        <f>$I$63+$I$59</f>
        <v>0</v>
      </c>
      <c r="J65" s="347">
        <f>$J$63+$J$59</f>
        <v>0</v>
      </c>
      <c r="K65" s="347">
        <f>$K$63+$K$59</f>
        <v>0</v>
      </c>
    </row>
    <row r="66" spans="1:11">
      <c r="A66" s="333">
        <v>11</v>
      </c>
      <c r="D66" s="344"/>
      <c r="E66" s="196"/>
      <c r="G66" s="547"/>
      <c r="H66" s="537"/>
      <c r="I66" s="538"/>
    </row>
    <row r="67" spans="1:11">
      <c r="A67" s="333">
        <v>12</v>
      </c>
      <c r="B67" s="332" t="s">
        <v>17</v>
      </c>
      <c r="D67" s="344"/>
      <c r="E67" s="196"/>
      <c r="G67" s="547"/>
      <c r="H67" s="537"/>
      <c r="I67" s="538"/>
    </row>
    <row r="68" spans="1:11">
      <c r="A68" s="333">
        <v>13</v>
      </c>
      <c r="C68" s="332" t="str">
        <f>'FR-16(7)(v)-1 Functional'!C68</f>
        <v>SYSTEM M&amp;R - (2780, 2781)</v>
      </c>
      <c r="D68" s="344" t="str">
        <f>'FR-16(7)(v)-1 Functional'!D68</f>
        <v>K203</v>
      </c>
      <c r="E68" s="196"/>
      <c r="F68" s="479">
        <f>'FR-16(7)(v)-1 Functional'!I68</f>
        <v>8194914</v>
      </c>
      <c r="G68" s="548">
        <f t="shared" ref="G68:G77" si="10">ROUND(F68*VLOOKUP(D68,Alloctable_Classified_Distribution,$G$10,FALSE),0)</f>
        <v>8194914</v>
      </c>
      <c r="H68" s="539">
        <f t="shared" ref="H68:H77" si="11">ROUND(F68*VLOOKUP(D68,Alloctable_Classified_Distribution,$H$10,FALSE),0)</f>
        <v>0</v>
      </c>
      <c r="I68" s="540">
        <f t="shared" ref="I68:I77" si="12">ROUND(F68*VLOOKUP(D68,Alloctable_Classified_Distribution,$I$10,FALSE),0)</f>
        <v>0</v>
      </c>
      <c r="J68" s="347">
        <f t="shared" ref="J68:J77" si="13">SUM(G68:I68)</f>
        <v>8194914</v>
      </c>
      <c r="K68" s="347">
        <f t="shared" ref="K68:K77" si="14">F68-J68</f>
        <v>0</v>
      </c>
    </row>
    <row r="69" spans="1:11">
      <c r="A69" s="333">
        <v>14</v>
      </c>
      <c r="C69" s="332" t="str">
        <f>'FR-16(7)(v)-1 Functional'!C69</f>
        <v xml:space="preserve">DIST REG EQUIP &amp; CITY GATE M&amp;R- (2782, 2790) </v>
      </c>
      <c r="D69" s="344" t="str">
        <f>'FR-16(7)(v)-1 Functional'!D69</f>
        <v>K203</v>
      </c>
      <c r="E69" s="196"/>
      <c r="F69" s="479">
        <f>'FR-16(7)(v)-1 Functional'!I69</f>
        <v>2419176</v>
      </c>
      <c r="G69" s="548">
        <f t="shared" si="10"/>
        <v>2419176</v>
      </c>
      <c r="H69" s="539">
        <f t="shared" si="11"/>
        <v>0</v>
      </c>
      <c r="I69" s="540">
        <f t="shared" si="12"/>
        <v>0</v>
      </c>
      <c r="J69" s="347">
        <f t="shared" si="13"/>
        <v>2419176</v>
      </c>
      <c r="K69" s="347">
        <f t="shared" si="14"/>
        <v>0</v>
      </c>
    </row>
    <row r="70" spans="1:11">
      <c r="A70" s="333">
        <v>15</v>
      </c>
      <c r="C70" s="332" t="str">
        <f>'FR-16(7)(v)-1 Functional'!C70</f>
        <v>LARGE IND M&amp;R - (2850, 2851)</v>
      </c>
      <c r="D70" s="344" t="str">
        <f>'FR-16(7)(v)-1 Functional'!D70</f>
        <v>K595</v>
      </c>
      <c r="E70" s="196"/>
      <c r="F70" s="479">
        <f>'FR-16(7)(v)-1 Functional'!I70</f>
        <v>519875</v>
      </c>
      <c r="G70" s="548">
        <f t="shared" si="10"/>
        <v>519875</v>
      </c>
      <c r="H70" s="539">
        <f t="shared" si="11"/>
        <v>0</v>
      </c>
      <c r="I70" s="540">
        <f t="shared" si="12"/>
        <v>0</v>
      </c>
      <c r="J70" s="347">
        <f t="shared" si="13"/>
        <v>519875</v>
      </c>
      <c r="K70" s="347">
        <f t="shared" si="14"/>
        <v>0</v>
      </c>
    </row>
    <row r="71" spans="1:11">
      <c r="A71" s="333">
        <v>16</v>
      </c>
      <c r="C71" s="332" t="str">
        <f>'FR-16(7)(v)-1 Functional'!C71</f>
        <v>MAINS - (2761, 2762, 2763, 2765)</v>
      </c>
      <c r="D71" s="344" t="str">
        <f>'FR-16(7)(v)-1 Functional'!D71</f>
        <v>K415</v>
      </c>
      <c r="E71" s="196"/>
      <c r="F71" s="479">
        <f>'FR-16(7)(v)-1 Functional'!I71</f>
        <v>283446655</v>
      </c>
      <c r="G71" s="548">
        <f t="shared" si="10"/>
        <v>238095190</v>
      </c>
      <c r="H71" s="539">
        <f t="shared" si="11"/>
        <v>0</v>
      </c>
      <c r="I71" s="540">
        <f t="shared" si="12"/>
        <v>45351465</v>
      </c>
      <c r="J71" s="347">
        <f t="shared" si="13"/>
        <v>283446655</v>
      </c>
      <c r="K71" s="347">
        <f t="shared" si="14"/>
        <v>0</v>
      </c>
    </row>
    <row r="72" spans="1:11">
      <c r="A72" s="333">
        <v>17</v>
      </c>
      <c r="C72" s="332" t="str">
        <f>'FR-16(7)(v)-1 Functional'!C72</f>
        <v>SERVICES - (2801, 2802, 2803)</v>
      </c>
      <c r="D72" s="344" t="str">
        <f>'FR-16(7)(v)-1 Functional'!D72</f>
        <v>K403</v>
      </c>
      <c r="E72" s="196"/>
      <c r="F72" s="479">
        <f>'FR-16(7)(v)-1 Functional'!I72</f>
        <v>163028490</v>
      </c>
      <c r="G72" s="548">
        <f t="shared" si="10"/>
        <v>0</v>
      </c>
      <c r="H72" s="539">
        <f t="shared" si="11"/>
        <v>0</v>
      </c>
      <c r="I72" s="540">
        <f t="shared" si="12"/>
        <v>163028490</v>
      </c>
      <c r="J72" s="347">
        <f t="shared" si="13"/>
        <v>163028490</v>
      </c>
      <c r="K72" s="347">
        <f t="shared" si="14"/>
        <v>0</v>
      </c>
    </row>
    <row r="73" spans="1:11">
      <c r="A73" s="333">
        <v>18</v>
      </c>
      <c r="C73" s="332" t="str">
        <f>'FR-16(7)(v)-1 Functional'!C73</f>
        <v>MTRS &amp; MTR INST (2810, 2811, 2820, 2821)</v>
      </c>
      <c r="D73" s="344" t="str">
        <f>'FR-16(7)(v)-1 Functional'!D73</f>
        <v>K413</v>
      </c>
      <c r="E73" s="196"/>
      <c r="F73" s="479">
        <f>'FR-16(7)(v)-1 Functional'!I73</f>
        <v>23257250</v>
      </c>
      <c r="G73" s="548">
        <f t="shared" si="10"/>
        <v>0</v>
      </c>
      <c r="H73" s="539">
        <f t="shared" si="11"/>
        <v>0</v>
      </c>
      <c r="I73" s="540">
        <f t="shared" si="12"/>
        <v>23257250</v>
      </c>
      <c r="J73" s="347">
        <f t="shared" si="13"/>
        <v>23257250</v>
      </c>
      <c r="K73" s="347">
        <f t="shared" si="14"/>
        <v>0</v>
      </c>
    </row>
    <row r="74" spans="1:11">
      <c r="A74" s="333">
        <v>19</v>
      </c>
      <c r="C74" s="332" t="str">
        <f>'FR-16(7)(v)-1 Functional'!C74</f>
        <v>LAND, R OF W, STRUCT &amp; IMPROV</v>
      </c>
      <c r="D74" s="344" t="str">
        <f>'FR-16(7)(v)-1 Functional'!D74</f>
        <v>K203</v>
      </c>
      <c r="E74" s="196"/>
      <c r="F74" s="479">
        <f>'FR-16(7)(v)-1 Functional'!I74</f>
        <v>1460393</v>
      </c>
      <c r="G74" s="548">
        <f t="shared" si="10"/>
        <v>1460393</v>
      </c>
      <c r="H74" s="539">
        <f t="shared" si="11"/>
        <v>0</v>
      </c>
      <c r="I74" s="540">
        <f t="shared" si="12"/>
        <v>0</v>
      </c>
      <c r="J74" s="347">
        <f t="shared" si="13"/>
        <v>1460393</v>
      </c>
      <c r="K74" s="347">
        <f t="shared" si="14"/>
        <v>0</v>
      </c>
    </row>
    <row r="75" spans="1:11">
      <c r="A75" s="333">
        <v>20</v>
      </c>
      <c r="C75" s="332" t="str">
        <f>'FR-16(7)(v)-1 Functional'!C75</f>
        <v>HOUSE REG &amp; INSTALL (2830, 2840)</v>
      </c>
      <c r="D75" s="344" t="str">
        <f>'FR-16(7)(v)-1 Functional'!D75</f>
        <v>K417</v>
      </c>
      <c r="E75" s="196"/>
      <c r="F75" s="479">
        <f>'FR-16(7)(v)-1 Functional'!I75</f>
        <v>12497082</v>
      </c>
      <c r="G75" s="548">
        <f t="shared" si="10"/>
        <v>0</v>
      </c>
      <c r="H75" s="539">
        <f t="shared" si="11"/>
        <v>0</v>
      </c>
      <c r="I75" s="540">
        <f t="shared" si="12"/>
        <v>12497082</v>
      </c>
      <c r="J75" s="347">
        <f t="shared" si="13"/>
        <v>12497082</v>
      </c>
      <c r="K75" s="347">
        <f t="shared" si="14"/>
        <v>0</v>
      </c>
    </row>
    <row r="76" spans="1:11">
      <c r="A76" s="333">
        <v>21</v>
      </c>
      <c r="C76" s="365" t="str">
        <f>'FR-16(7)(v)-1 Functional'!C76</f>
        <v>STREET LIGHTING EQUIPMENT &amp; OTH</v>
      </c>
      <c r="D76" s="344" t="str">
        <f>'FR-16(7)(v)-1 Functional'!D76</f>
        <v>K597</v>
      </c>
      <c r="E76" s="196"/>
      <c r="F76" s="479">
        <f>'FR-16(7)(v)-1 Functional'!I76</f>
        <v>49737</v>
      </c>
      <c r="G76" s="548">
        <f t="shared" si="10"/>
        <v>49737</v>
      </c>
      <c r="H76" s="539">
        <f t="shared" si="11"/>
        <v>0</v>
      </c>
      <c r="I76" s="540">
        <f t="shared" si="12"/>
        <v>0</v>
      </c>
      <c r="J76" s="347">
        <f t="shared" si="13"/>
        <v>49737</v>
      </c>
      <c r="K76" s="347">
        <f t="shared" si="14"/>
        <v>0</v>
      </c>
    </row>
    <row r="77" spans="1:11">
      <c r="A77" s="333">
        <v>22</v>
      </c>
      <c r="C77" s="332" t="str">
        <f>'FR-16(7)(v)-1 Functional'!C77</f>
        <v>ASSET RETIREMENT COST FOR DISTRIBUTION PLANT</v>
      </c>
      <c r="D77" s="344" t="str">
        <f>'FR-16(7)(v)-1 Functional'!D77</f>
        <v>K203</v>
      </c>
      <c r="E77" s="196"/>
      <c r="F77" s="479">
        <f>'FR-16(7)(v)-1 Functional'!I77</f>
        <v>53610236</v>
      </c>
      <c r="G77" s="548">
        <f t="shared" si="10"/>
        <v>53610236</v>
      </c>
      <c r="H77" s="539">
        <f t="shared" si="11"/>
        <v>0</v>
      </c>
      <c r="I77" s="540">
        <f t="shared" si="12"/>
        <v>0</v>
      </c>
      <c r="J77" s="347">
        <f t="shared" si="13"/>
        <v>53610236</v>
      </c>
      <c r="K77" s="347">
        <f t="shared" si="14"/>
        <v>0</v>
      </c>
    </row>
    <row r="78" spans="1:11">
      <c r="A78" s="333">
        <v>23</v>
      </c>
      <c r="C78" s="339" t="str">
        <f>'FR-16(7)(v)-1 Functional'!C78</f>
        <v xml:space="preserve">  DISTRIBUTION PLANT IN SERVICE</v>
      </c>
      <c r="D78" s="344"/>
      <c r="E78" s="196"/>
      <c r="F78" s="348">
        <f t="shared" ref="F78:K78" si="15">SUM(F68:F77)</f>
        <v>548483808</v>
      </c>
      <c r="G78" s="549">
        <f t="shared" si="15"/>
        <v>304349521</v>
      </c>
      <c r="H78" s="541">
        <f t="shared" si="15"/>
        <v>0</v>
      </c>
      <c r="I78" s="542">
        <f t="shared" si="15"/>
        <v>244134287</v>
      </c>
      <c r="J78" s="348">
        <f t="shared" si="15"/>
        <v>548483808</v>
      </c>
      <c r="K78" s="348">
        <f t="shared" si="15"/>
        <v>0</v>
      </c>
    </row>
    <row r="79" spans="1:11">
      <c r="A79" s="333">
        <v>24</v>
      </c>
      <c r="D79" s="344"/>
      <c r="E79" s="196"/>
      <c r="G79" s="547"/>
      <c r="H79" s="537"/>
      <c r="I79" s="538"/>
    </row>
    <row r="80" spans="1:11">
      <c r="A80" s="333">
        <v>25</v>
      </c>
      <c r="B80" s="332" t="s">
        <v>18</v>
      </c>
      <c r="D80" s="344"/>
      <c r="E80" s="196"/>
      <c r="F80" s="347">
        <f>F78+F63</f>
        <v>548483808</v>
      </c>
      <c r="G80" s="548">
        <f>G78+$G$63</f>
        <v>304349521</v>
      </c>
      <c r="H80" s="539">
        <f>H78+$H$63</f>
        <v>0</v>
      </c>
      <c r="I80" s="540">
        <f>I78+$I$63</f>
        <v>244134287</v>
      </c>
      <c r="J80" s="347">
        <f>J78+$J$63</f>
        <v>548483808</v>
      </c>
      <c r="K80" s="347">
        <f>K78+$K$63</f>
        <v>0</v>
      </c>
    </row>
    <row r="81" spans="1:11">
      <c r="A81" s="333">
        <v>26</v>
      </c>
      <c r="B81" s="332" t="s">
        <v>19</v>
      </c>
      <c r="D81" s="344"/>
      <c r="E81" s="196"/>
      <c r="F81" s="347">
        <f t="shared" ref="F81:K81" si="16">F78+F65</f>
        <v>548483808</v>
      </c>
      <c r="G81" s="548">
        <f t="shared" si="16"/>
        <v>304349521</v>
      </c>
      <c r="H81" s="539">
        <f t="shared" si="16"/>
        <v>0</v>
      </c>
      <c r="I81" s="540">
        <f t="shared" si="16"/>
        <v>244134287</v>
      </c>
      <c r="J81" s="347">
        <f t="shared" si="16"/>
        <v>548483808</v>
      </c>
      <c r="K81" s="347">
        <f t="shared" si="16"/>
        <v>0</v>
      </c>
    </row>
    <row r="82" spans="1:11">
      <c r="A82" s="333">
        <v>27</v>
      </c>
      <c r="D82" s="344"/>
      <c r="E82" s="196"/>
      <c r="G82" s="547"/>
      <c r="H82" s="537"/>
      <c r="I82" s="538"/>
    </row>
    <row r="83" spans="1:11">
      <c r="A83" s="333">
        <v>28</v>
      </c>
      <c r="B83" s="332" t="s">
        <v>20</v>
      </c>
      <c r="D83" s="344"/>
      <c r="E83" s="196"/>
      <c r="G83" s="547"/>
      <c r="H83" s="537"/>
      <c r="I83" s="538"/>
    </row>
    <row r="84" spans="1:11">
      <c r="A84" s="333">
        <v>29</v>
      </c>
      <c r="C84" s="332" t="str">
        <f>'FR-16(7)(v)-1 Functional'!C84</f>
        <v>PRODUCTION PLANT</v>
      </c>
      <c r="D84" s="344" t="str">
        <f>'FR-16(7)(v)-1 Functional'!D84</f>
        <v>K201</v>
      </c>
      <c r="E84" s="196"/>
      <c r="F84" s="479">
        <f>'FR-16(7)(v)-1 Functional'!I84</f>
        <v>0</v>
      </c>
      <c r="G84" s="548">
        <f t="shared" ref="G84:G89" si="17">ROUND(F84*VLOOKUP(D84,Alloctable_Classified_Distribution,$G$10,FALSE),0)</f>
        <v>0</v>
      </c>
      <c r="H84" s="539">
        <f t="shared" ref="H84:H89" si="18">ROUND(F84*VLOOKUP(D84,Alloctable_Classified_Distribution,$H$10,FALSE),0)</f>
        <v>0</v>
      </c>
      <c r="I84" s="540">
        <f t="shared" ref="I84:I89" si="19">ROUND(F84*VLOOKUP(D84,Alloctable_Classified_Distribution,$I$10,FALSE),0)</f>
        <v>0</v>
      </c>
      <c r="J84" s="347">
        <f t="shared" ref="J84:J89" si="20">SUM(G84:I84)</f>
        <v>0</v>
      </c>
      <c r="K84" s="347">
        <f t="shared" ref="K84:K89" si="21">F84-J84</f>
        <v>0</v>
      </c>
    </row>
    <row r="85" spans="1:11">
      <c r="A85" s="333">
        <v>30</v>
      </c>
      <c r="C85" s="332" t="str">
        <f>'FR-16(7)(v)-1 Functional'!C85</f>
        <v>PRODUCTION PLANT COMMODITY</v>
      </c>
      <c r="D85" s="344" t="str">
        <f>'FR-16(7)(v)-1 Functional'!D85</f>
        <v>P349</v>
      </c>
      <c r="E85" s="196"/>
      <c r="F85" s="479">
        <f>'FR-16(7)(v)-1 Functional'!I85</f>
        <v>0</v>
      </c>
      <c r="G85" s="548">
        <f t="shared" si="17"/>
        <v>0</v>
      </c>
      <c r="H85" s="539">
        <f t="shared" si="18"/>
        <v>0</v>
      </c>
      <c r="I85" s="540">
        <f t="shared" si="19"/>
        <v>0</v>
      </c>
      <c r="J85" s="347">
        <f t="shared" si="20"/>
        <v>0</v>
      </c>
      <c r="K85" s="347">
        <f t="shared" si="21"/>
        <v>0</v>
      </c>
    </row>
    <row r="86" spans="1:11">
      <c r="A86" s="333">
        <v>31</v>
      </c>
      <c r="C86" s="332" t="str">
        <f>'FR-16(7)(v)-1 Functional'!C86</f>
        <v>DISTRIBUTION PLANT</v>
      </c>
      <c r="D86" s="344" t="str">
        <f>'FR-16(7)(v)-1 Functional'!D86</f>
        <v>D349</v>
      </c>
      <c r="E86" s="196"/>
      <c r="F86" s="479">
        <f>'FR-16(7)(v)-1 Functional'!I86</f>
        <v>15031206</v>
      </c>
      <c r="G86" s="548">
        <f t="shared" si="17"/>
        <v>8788596</v>
      </c>
      <c r="H86" s="539">
        <f t="shared" si="18"/>
        <v>0</v>
      </c>
      <c r="I86" s="540">
        <f t="shared" si="19"/>
        <v>6242610</v>
      </c>
      <c r="J86" s="347">
        <f t="shared" si="20"/>
        <v>15031206</v>
      </c>
      <c r="K86" s="347">
        <f t="shared" si="21"/>
        <v>0</v>
      </c>
    </row>
    <row r="87" spans="1:11">
      <c r="A87" s="333">
        <v>32</v>
      </c>
      <c r="C87" s="332" t="str">
        <f>'FR-16(7)(v)-1 Functional'!C87</f>
        <v>CUSTOMER ACCOUNTING</v>
      </c>
      <c r="D87" s="344" t="str">
        <f>'FR-16(7)(v)-1 Functional'!D87</f>
        <v>CA19</v>
      </c>
      <c r="E87" s="196"/>
      <c r="F87" s="479">
        <f>'FR-16(7)(v)-1 Functional'!I87</f>
        <v>6350501</v>
      </c>
      <c r="G87" s="548">
        <f t="shared" si="17"/>
        <v>0</v>
      </c>
      <c r="H87" s="539">
        <f t="shared" si="18"/>
        <v>0</v>
      </c>
      <c r="I87" s="540">
        <f t="shared" si="19"/>
        <v>6350501</v>
      </c>
      <c r="J87" s="347">
        <f t="shared" si="20"/>
        <v>6350501</v>
      </c>
      <c r="K87" s="347">
        <f t="shared" si="21"/>
        <v>0</v>
      </c>
    </row>
    <row r="88" spans="1:11">
      <c r="A88" s="333">
        <v>33</v>
      </c>
      <c r="C88" s="332" t="str">
        <f>'FR-16(7)(v)-1 Functional'!C88</f>
        <v>CUSTOMER SERVICE &amp; INFORMATION</v>
      </c>
      <c r="D88" s="344" t="str">
        <f>'FR-16(7)(v)-1 Functional'!D88</f>
        <v>CS19</v>
      </c>
      <c r="E88" s="196"/>
      <c r="F88" s="479">
        <f>'FR-16(7)(v)-1 Functional'!I88</f>
        <v>555712</v>
      </c>
      <c r="G88" s="548">
        <f t="shared" si="17"/>
        <v>0</v>
      </c>
      <c r="H88" s="539">
        <f t="shared" si="18"/>
        <v>0</v>
      </c>
      <c r="I88" s="540">
        <f t="shared" si="19"/>
        <v>555712</v>
      </c>
      <c r="J88" s="347">
        <f t="shared" si="20"/>
        <v>555712</v>
      </c>
      <c r="K88" s="347">
        <f t="shared" si="21"/>
        <v>0</v>
      </c>
    </row>
    <row r="89" spans="1:11">
      <c r="A89" s="333">
        <v>34</v>
      </c>
      <c r="C89" s="332" t="str">
        <f>'FR-16(7)(v)-1 Functional'!C89</f>
        <v>SALES</v>
      </c>
      <c r="D89" s="344" t="str">
        <f>'FR-16(7)(v)-1 Functional'!D89</f>
        <v>SE19</v>
      </c>
      <c r="E89" s="196"/>
      <c r="F89" s="479">
        <f>'FR-16(7)(v)-1 Functional'!I89</f>
        <v>0</v>
      </c>
      <c r="G89" s="548">
        <f t="shared" si="17"/>
        <v>0</v>
      </c>
      <c r="H89" s="539">
        <f t="shared" si="18"/>
        <v>0</v>
      </c>
      <c r="I89" s="540">
        <f t="shared" si="19"/>
        <v>0</v>
      </c>
      <c r="J89" s="347">
        <f t="shared" si="20"/>
        <v>0</v>
      </c>
      <c r="K89" s="347">
        <f t="shared" si="21"/>
        <v>0</v>
      </c>
    </row>
    <row r="90" spans="1:11">
      <c r="A90" s="333">
        <v>35</v>
      </c>
      <c r="C90" s="339" t="str">
        <f>'FR-16(7)(v)-1 Functional'!C90</f>
        <v xml:space="preserve">  GEN &amp; INTANG PLANT IN SERVICE</v>
      </c>
      <c r="D90" s="344"/>
      <c r="E90" s="196"/>
      <c r="F90" s="480">
        <f t="shared" ref="F90:K90" si="22">SUM(F84:F89)</f>
        <v>21937419</v>
      </c>
      <c r="G90" s="549">
        <f t="shared" si="22"/>
        <v>8788596</v>
      </c>
      <c r="H90" s="541">
        <f t="shared" si="22"/>
        <v>0</v>
      </c>
      <c r="I90" s="542">
        <f t="shared" si="22"/>
        <v>13148823</v>
      </c>
      <c r="J90" s="348">
        <f t="shared" si="22"/>
        <v>21937419</v>
      </c>
      <c r="K90" s="348">
        <f t="shared" si="22"/>
        <v>0</v>
      </c>
    </row>
    <row r="91" spans="1:11">
      <c r="A91" s="333">
        <v>36</v>
      </c>
      <c r="D91" s="344"/>
      <c r="E91" s="196"/>
      <c r="G91" s="547"/>
      <c r="H91" s="537"/>
      <c r="I91" s="538"/>
    </row>
    <row r="92" spans="1:11">
      <c r="A92" s="333">
        <v>37</v>
      </c>
      <c r="B92" s="332" t="s">
        <v>21</v>
      </c>
      <c r="D92" s="344"/>
      <c r="E92" s="196"/>
      <c r="G92" s="547"/>
      <c r="H92" s="537"/>
      <c r="I92" s="538"/>
    </row>
    <row r="93" spans="1:11">
      <c r="A93" s="333">
        <v>38</v>
      </c>
      <c r="C93" s="332" t="str">
        <f>'FR-16(7)(v)-1 Functional'!C93</f>
        <v>PRODUCTION PLANT</v>
      </c>
      <c r="D93" s="344" t="str">
        <f>'FR-16(7)(v)-1 Functional'!D93</f>
        <v>K201</v>
      </c>
      <c r="E93" s="196"/>
      <c r="F93" s="479">
        <f>'FR-16(7)(v)-1 Functional'!I93</f>
        <v>0</v>
      </c>
      <c r="G93" s="548">
        <f t="shared" ref="G93:G98" si="23">ROUND(F93*VLOOKUP(D93,Alloctable_Classified_Distribution,$G$10,FALSE),0)</f>
        <v>0</v>
      </c>
      <c r="H93" s="539">
        <f t="shared" ref="H93:H98" si="24">ROUND(F93*VLOOKUP(D93,Alloctable_Classified_Distribution,$H$10,FALSE),0)</f>
        <v>0</v>
      </c>
      <c r="I93" s="540">
        <f t="shared" ref="I93:I98" si="25">ROUND(F93*VLOOKUP(D93,Alloctable_Classified_Distribution,$I$10,FALSE),0)</f>
        <v>0</v>
      </c>
      <c r="J93" s="347">
        <f t="shared" ref="J93:J98" si="26">SUM(G93:I93)</f>
        <v>0</v>
      </c>
      <c r="K93" s="347">
        <f t="shared" ref="K93:K98" si="27">F93-J93</f>
        <v>0</v>
      </c>
    </row>
    <row r="94" spans="1:11">
      <c r="A94" s="333">
        <v>39</v>
      </c>
      <c r="C94" s="332" t="str">
        <f>'FR-16(7)(v)-1 Functional'!C94</f>
        <v>PRODUCTION PLANT COMMODITY</v>
      </c>
      <c r="D94" s="344" t="str">
        <f>'FR-16(7)(v)-1 Functional'!D94</f>
        <v>P349</v>
      </c>
      <c r="E94" s="196"/>
      <c r="F94" s="479">
        <f>'FR-16(7)(v)-1 Functional'!I94</f>
        <v>0</v>
      </c>
      <c r="G94" s="548">
        <f t="shared" si="23"/>
        <v>0</v>
      </c>
      <c r="H94" s="539">
        <f t="shared" si="24"/>
        <v>0</v>
      </c>
      <c r="I94" s="540">
        <f t="shared" si="25"/>
        <v>0</v>
      </c>
      <c r="J94" s="347">
        <f t="shared" si="26"/>
        <v>0</v>
      </c>
      <c r="K94" s="347">
        <f t="shared" si="27"/>
        <v>0</v>
      </c>
    </row>
    <row r="95" spans="1:11">
      <c r="A95" s="333">
        <v>40</v>
      </c>
      <c r="C95" s="332" t="str">
        <f>'FR-16(7)(v)-1 Functional'!C95</f>
        <v>DISTRIBUTION PLANT</v>
      </c>
      <c r="D95" s="344" t="str">
        <f>'FR-16(7)(v)-1 Functional'!D95</f>
        <v>D349</v>
      </c>
      <c r="E95" s="196"/>
      <c r="F95" s="479">
        <f>'FR-16(7)(v)-1 Functional'!I95</f>
        <v>7911837</v>
      </c>
      <c r="G95" s="548">
        <f t="shared" si="23"/>
        <v>4625972</v>
      </c>
      <c r="H95" s="539">
        <f t="shared" si="24"/>
        <v>0</v>
      </c>
      <c r="I95" s="540">
        <f t="shared" si="25"/>
        <v>3285865</v>
      </c>
      <c r="J95" s="347">
        <f t="shared" si="26"/>
        <v>7911837</v>
      </c>
      <c r="K95" s="347">
        <f t="shared" si="27"/>
        <v>0</v>
      </c>
    </row>
    <row r="96" spans="1:11">
      <c r="A96" s="333">
        <v>41</v>
      </c>
      <c r="C96" s="332" t="str">
        <f>'FR-16(7)(v)-1 Functional'!C96</f>
        <v>CUSTOMER ACCOUNTING</v>
      </c>
      <c r="D96" s="344" t="str">
        <f>'FR-16(7)(v)-1 Functional'!D96</f>
        <v>CA19</v>
      </c>
      <c r="E96" s="196"/>
      <c r="F96" s="479">
        <f>'FR-16(7)(v)-1 Functional'!I96</f>
        <v>3342655</v>
      </c>
      <c r="G96" s="548">
        <f t="shared" si="23"/>
        <v>0</v>
      </c>
      <c r="H96" s="539">
        <f t="shared" si="24"/>
        <v>0</v>
      </c>
      <c r="I96" s="540">
        <f t="shared" si="25"/>
        <v>3342655</v>
      </c>
      <c r="J96" s="347">
        <f t="shared" si="26"/>
        <v>3342655</v>
      </c>
      <c r="K96" s="347">
        <f t="shared" si="27"/>
        <v>0</v>
      </c>
    </row>
    <row r="97" spans="1:11">
      <c r="A97" s="333">
        <v>42</v>
      </c>
      <c r="C97" s="332" t="str">
        <f>'FR-16(7)(v)-1 Functional'!C97</f>
        <v>CUSTOMER SERVICE &amp; INFORMATION</v>
      </c>
      <c r="D97" s="344" t="str">
        <f>'FR-16(7)(v)-1 Functional'!D97</f>
        <v>CS19</v>
      </c>
      <c r="E97" s="196"/>
      <c r="F97" s="479">
        <f>'FR-16(7)(v)-1 Functional'!I97</f>
        <v>292505</v>
      </c>
      <c r="G97" s="548">
        <f t="shared" si="23"/>
        <v>0</v>
      </c>
      <c r="H97" s="539">
        <f t="shared" si="24"/>
        <v>0</v>
      </c>
      <c r="I97" s="540">
        <f t="shared" si="25"/>
        <v>292505</v>
      </c>
      <c r="J97" s="347">
        <f t="shared" si="26"/>
        <v>292505</v>
      </c>
      <c r="K97" s="347">
        <f t="shared" si="27"/>
        <v>0</v>
      </c>
    </row>
    <row r="98" spans="1:11">
      <c r="A98" s="333">
        <v>43</v>
      </c>
      <c r="C98" s="365" t="str">
        <f>'FR-16(7)(v)-1 Functional'!C98</f>
        <v>SALES</v>
      </c>
      <c r="D98" s="344" t="str">
        <f>'FR-16(7)(v)-1 Functional'!D98</f>
        <v>SE19</v>
      </c>
      <c r="E98" s="196"/>
      <c r="F98" s="479">
        <f>'FR-16(7)(v)-1 Functional'!I98</f>
        <v>0</v>
      </c>
      <c r="G98" s="548">
        <f t="shared" si="23"/>
        <v>0</v>
      </c>
      <c r="H98" s="539">
        <f t="shared" si="24"/>
        <v>0</v>
      </c>
      <c r="I98" s="540">
        <f t="shared" si="25"/>
        <v>0</v>
      </c>
      <c r="J98" s="347">
        <f t="shared" si="26"/>
        <v>0</v>
      </c>
      <c r="K98" s="347">
        <f t="shared" si="27"/>
        <v>0</v>
      </c>
    </row>
    <row r="99" spans="1:11">
      <c r="A99" s="333">
        <v>44</v>
      </c>
      <c r="C99" s="339" t="str">
        <f>'FR-16(7)(v)-1 Functional'!C99</f>
        <v xml:space="preserve">  COMMON &amp; OTHER PLANT IN SERVICE</v>
      </c>
      <c r="E99" s="196"/>
      <c r="F99" s="348">
        <f t="shared" ref="F99:K99" si="28">SUM(F93:F98)</f>
        <v>11546997</v>
      </c>
      <c r="G99" s="549">
        <f t="shared" si="28"/>
        <v>4625972</v>
      </c>
      <c r="H99" s="541">
        <f t="shared" si="28"/>
        <v>0</v>
      </c>
      <c r="I99" s="542">
        <f t="shared" si="28"/>
        <v>6921025</v>
      </c>
      <c r="J99" s="348">
        <f t="shared" si="28"/>
        <v>11546997</v>
      </c>
      <c r="K99" s="348">
        <f t="shared" si="28"/>
        <v>0</v>
      </c>
    </row>
    <row r="100" spans="1:11">
      <c r="A100" s="333">
        <v>45</v>
      </c>
      <c r="E100" s="196"/>
      <c r="G100" s="547"/>
      <c r="H100" s="537"/>
      <c r="I100" s="538"/>
    </row>
    <row r="101" spans="1:11">
      <c r="A101" s="333">
        <v>46</v>
      </c>
      <c r="B101" s="332" t="s">
        <v>95</v>
      </c>
      <c r="E101" s="196"/>
      <c r="F101" s="347">
        <f t="shared" ref="F101:K101" si="29">F81+F90+F99</f>
        <v>581968224</v>
      </c>
      <c r="G101" s="550">
        <f t="shared" si="29"/>
        <v>317764089</v>
      </c>
      <c r="H101" s="543">
        <f t="shared" si="29"/>
        <v>0</v>
      </c>
      <c r="I101" s="544">
        <f t="shared" si="29"/>
        <v>264204135</v>
      </c>
      <c r="J101" s="347">
        <f t="shared" si="29"/>
        <v>581968224</v>
      </c>
      <c r="K101" s="347">
        <f t="shared" si="29"/>
        <v>0</v>
      </c>
    </row>
    <row r="102" spans="1:11">
      <c r="B102" s="343"/>
      <c r="C102" s="196"/>
      <c r="D102" s="344"/>
      <c r="E102" s="196"/>
      <c r="F102" s="196"/>
      <c r="G102" s="196"/>
      <c r="H102" s="196"/>
      <c r="I102" s="196"/>
      <c r="J102" s="196"/>
      <c r="K102" s="196"/>
    </row>
    <row r="103" spans="1:11">
      <c r="A103" s="343" t="str">
        <f>co_name</f>
        <v>DUKE ENERGY KENTUCKY, INC.</v>
      </c>
      <c r="C103" s="196"/>
      <c r="D103" s="344"/>
      <c r="E103" s="196"/>
      <c r="F103" s="196"/>
      <c r="G103" s="196"/>
      <c r="H103" s="196"/>
      <c r="I103" s="196"/>
      <c r="J103" s="196" t="str">
        <f>$J$1</f>
        <v>FR-16(7)(v)-4</v>
      </c>
      <c r="K103" s="196"/>
    </row>
    <row r="104" spans="1:11">
      <c r="A104" s="343" t="str">
        <f>$A$2</f>
        <v>DISTRIBUTION CLASSIFIED - GAS COST OF SERVICE</v>
      </c>
      <c r="C104" s="196"/>
      <c r="D104" s="344"/>
      <c r="E104" s="196"/>
      <c r="F104" s="196"/>
      <c r="G104" s="196"/>
      <c r="H104" s="196"/>
      <c r="I104" s="196"/>
      <c r="J104" s="196" t="str">
        <f>$J$2</f>
        <v>WITNESS RESPONSIBLE:</v>
      </c>
      <c r="K104" s="196"/>
    </row>
    <row r="105" spans="1:11">
      <c r="A105" s="343" t="str">
        <f>case_name</f>
        <v>CASE NO: 2018-00261</v>
      </c>
      <c r="C105" s="196"/>
      <c r="D105" s="344"/>
      <c r="E105" s="196"/>
      <c r="F105" s="196"/>
      <c r="G105" s="196"/>
      <c r="H105" s="196"/>
      <c r="I105" s="196"/>
      <c r="J105" s="196" t="str">
        <f>Witness</f>
        <v>JAMES E. ZIOLKOWSKI</v>
      </c>
      <c r="K105" s="196"/>
    </row>
    <row r="106" spans="1:11">
      <c r="A106" s="343" t="str">
        <f>data_filing</f>
        <v>DATA: 12 MONTH FORECASTED PERIOD</v>
      </c>
      <c r="C106" s="196"/>
      <c r="D106" s="344"/>
      <c r="E106" s="196"/>
      <c r="F106" s="196"/>
      <c r="G106" s="196"/>
      <c r="H106" s="196"/>
      <c r="I106" s="196"/>
      <c r="J106" s="196" t="str">
        <f>"PAGE "&amp;Pages-15&amp;" OF "&amp;Pages</f>
        <v>PAGE 3 OF 18</v>
      </c>
      <c r="K106" s="196"/>
    </row>
    <row r="107" spans="1:11">
      <c r="A107" s="343" t="str">
        <f>type</f>
        <v xml:space="preserve">TYPE OF FILING: "X" ORIGINAL   UPDATED    REVISED  </v>
      </c>
      <c r="C107" s="196"/>
      <c r="D107" s="344"/>
      <c r="E107" s="196"/>
      <c r="F107" s="196"/>
      <c r="G107" s="196"/>
      <c r="H107" s="196"/>
      <c r="I107" s="196"/>
      <c r="J107" s="196"/>
      <c r="K107" s="196"/>
    </row>
    <row r="108" spans="1:11">
      <c r="A108" s="343"/>
      <c r="C108" s="196"/>
      <c r="D108" s="344"/>
      <c r="E108" s="196"/>
      <c r="F108" s="196"/>
      <c r="G108" s="196"/>
      <c r="H108" s="196"/>
      <c r="I108" s="196"/>
      <c r="J108" s="196"/>
      <c r="K108" s="196"/>
    </row>
    <row r="109" spans="1:11">
      <c r="B109" s="343"/>
      <c r="C109" s="196"/>
      <c r="D109" s="344"/>
      <c r="E109" s="196"/>
      <c r="F109" s="196"/>
      <c r="G109" s="196"/>
      <c r="H109" s="196"/>
      <c r="I109" s="196"/>
      <c r="J109" s="196"/>
      <c r="K109" s="196"/>
    </row>
    <row r="110" spans="1:11">
      <c r="A110" s="344" t="s">
        <v>914</v>
      </c>
      <c r="B110" s="196"/>
      <c r="C110" s="196"/>
      <c r="D110" s="344"/>
      <c r="E110" s="196"/>
      <c r="F110" s="344" t="s">
        <v>229</v>
      </c>
      <c r="G110" s="545" t="s">
        <v>1005</v>
      </c>
      <c r="H110" s="533"/>
      <c r="I110" s="534"/>
      <c r="J110" s="344" t="s">
        <v>229</v>
      </c>
      <c r="K110" s="344" t="s">
        <v>342</v>
      </c>
    </row>
    <row r="111" spans="1:11">
      <c r="A111" s="346" t="s">
        <v>915</v>
      </c>
      <c r="B111" s="345" t="s">
        <v>22</v>
      </c>
      <c r="C111" s="345"/>
      <c r="D111" s="346" t="s">
        <v>337</v>
      </c>
      <c r="E111" s="345"/>
      <c r="F111" s="346" t="s">
        <v>846</v>
      </c>
      <c r="G111" s="546" t="s">
        <v>847</v>
      </c>
      <c r="H111" s="535" t="s">
        <v>848</v>
      </c>
      <c r="I111" s="536" t="s">
        <v>849</v>
      </c>
      <c r="J111" s="346" t="s">
        <v>341</v>
      </c>
      <c r="K111" s="346" t="s">
        <v>340</v>
      </c>
    </row>
    <row r="112" spans="1:11">
      <c r="C112" s="578" t="s">
        <v>345</v>
      </c>
      <c r="D112" s="344"/>
      <c r="E112" s="196"/>
      <c r="G112" s="800">
        <f>$G$10</f>
        <v>3</v>
      </c>
      <c r="H112" s="801">
        <f>$H$10</f>
        <v>4</v>
      </c>
      <c r="I112" s="802">
        <f>$I$10</f>
        <v>5</v>
      </c>
    </row>
    <row r="113" spans="1:11">
      <c r="A113" s="333">
        <v>1</v>
      </c>
      <c r="B113" s="332" t="s">
        <v>14</v>
      </c>
      <c r="D113" s="344"/>
      <c r="E113" s="196"/>
      <c r="G113" s="547"/>
      <c r="H113" s="537"/>
      <c r="I113" s="538"/>
    </row>
    <row r="114" spans="1:11">
      <c r="A114" s="333">
        <v>2</v>
      </c>
      <c r="C114" s="365" t="str">
        <f>'FR-16(7)(v)-1 Functional'!C114</f>
        <v>PRODUCTION PLANT</v>
      </c>
      <c r="D114" s="344" t="str">
        <f>'FR-16(7)(v)-1 Functional'!D114</f>
        <v>K205</v>
      </c>
      <c r="E114" s="196"/>
      <c r="F114" s="479">
        <f>'FR-16(7)(v)-1 Functional'!I114</f>
        <v>0</v>
      </c>
      <c r="G114" s="548">
        <f>F114-SUM(H114:I114)</f>
        <v>0</v>
      </c>
      <c r="H114" s="539">
        <f>ROUND(F114*VLOOKUP(D114,Alloctable_Classified_Distribution,$H$10,FALSE),0)</f>
        <v>0</v>
      </c>
      <c r="I114" s="540">
        <f>ROUND(F114*VLOOKUP(D114,Alloctable_Classified_Distribution,$I$10,FALSE),0)</f>
        <v>0</v>
      </c>
      <c r="J114" s="347">
        <f>SUM(G114:I114)</f>
        <v>0</v>
      </c>
      <c r="K114" s="347">
        <f>F114-J114</f>
        <v>0</v>
      </c>
    </row>
    <row r="115" spans="1:11">
      <c r="A115" s="333">
        <v>3</v>
      </c>
      <c r="C115" s="339" t="str">
        <f>'FR-16(7)(v)-1 Functional'!C115</f>
        <v xml:space="preserve">  TOTAL PROD DEPREC RESERVE</v>
      </c>
      <c r="D115" s="344"/>
      <c r="E115" s="196"/>
      <c r="F115" s="348">
        <f t="shared" ref="F115:K115" si="30">SUM(F114:F114)</f>
        <v>0</v>
      </c>
      <c r="G115" s="549">
        <f t="shared" si="30"/>
        <v>0</v>
      </c>
      <c r="H115" s="541">
        <f t="shared" si="30"/>
        <v>0</v>
      </c>
      <c r="I115" s="542">
        <f t="shared" si="30"/>
        <v>0</v>
      </c>
      <c r="J115" s="348">
        <f t="shared" si="30"/>
        <v>0</v>
      </c>
      <c r="K115" s="348">
        <f t="shared" si="30"/>
        <v>0</v>
      </c>
    </row>
    <row r="116" spans="1:11">
      <c r="A116" s="333">
        <v>4</v>
      </c>
      <c r="D116" s="344"/>
      <c r="E116" s="196"/>
      <c r="G116" s="547"/>
      <c r="H116" s="537"/>
      <c r="I116" s="538"/>
    </row>
    <row r="117" spans="1:11">
      <c r="A117" s="333">
        <v>5</v>
      </c>
      <c r="B117" s="332" t="s">
        <v>15</v>
      </c>
      <c r="D117" s="344"/>
      <c r="E117" s="196"/>
      <c r="G117" s="547"/>
      <c r="H117" s="537"/>
      <c r="I117" s="538"/>
    </row>
    <row r="118" spans="1:11">
      <c r="A118" s="333">
        <v>6</v>
      </c>
      <c r="C118" s="359" t="str">
        <f>'FR-16(7)(v)-1 Functional'!C118</f>
        <v>TRANSMISSION PLANT</v>
      </c>
      <c r="D118" s="344" t="s">
        <v>343</v>
      </c>
      <c r="E118" s="196"/>
      <c r="F118" s="477"/>
      <c r="G118" s="548"/>
      <c r="H118" s="539"/>
      <c r="I118" s="540"/>
      <c r="J118" s="347"/>
      <c r="K118" s="347"/>
    </row>
    <row r="119" spans="1:11">
      <c r="A119" s="333">
        <v>7</v>
      </c>
      <c r="C119" s="332" t="str">
        <f>'FR-16(7)(v)-1 Functional'!C119</f>
        <v>TOTAL TRANS DEPREC RESERVE</v>
      </c>
      <c r="D119" s="344"/>
      <c r="E119" s="196"/>
      <c r="F119" s="348">
        <f t="shared" ref="F119:K119" si="31">SUM(F118:F118)</f>
        <v>0</v>
      </c>
      <c r="G119" s="549">
        <f t="shared" si="31"/>
        <v>0</v>
      </c>
      <c r="H119" s="541">
        <f t="shared" si="31"/>
        <v>0</v>
      </c>
      <c r="I119" s="542">
        <f t="shared" si="31"/>
        <v>0</v>
      </c>
      <c r="J119" s="348">
        <f t="shared" si="31"/>
        <v>0</v>
      </c>
      <c r="K119" s="348">
        <f t="shared" si="31"/>
        <v>0</v>
      </c>
    </row>
    <row r="120" spans="1:11">
      <c r="A120" s="333">
        <v>8</v>
      </c>
      <c r="D120" s="344"/>
      <c r="E120" s="196"/>
      <c r="G120" s="547"/>
      <c r="H120" s="537"/>
      <c r="I120" s="538"/>
    </row>
    <row r="121" spans="1:11">
      <c r="A121" s="333">
        <v>9</v>
      </c>
      <c r="B121" s="332" t="s">
        <v>17</v>
      </c>
      <c r="D121" s="344"/>
      <c r="E121" s="196"/>
      <c r="G121" s="547"/>
      <c r="H121" s="537"/>
      <c r="I121" s="538"/>
    </row>
    <row r="122" spans="1:11">
      <c r="A122" s="333">
        <v>10</v>
      </c>
      <c r="C122" s="332" t="str">
        <f>'FR-16(7)(v)-1 Functional'!C122</f>
        <v>SYSTEM M&amp;R - (2780, 2781)</v>
      </c>
      <c r="D122" s="344" t="str">
        <f>'FR-16(7)(v)-1 Functional'!D122</f>
        <v>K203</v>
      </c>
      <c r="E122" s="196"/>
      <c r="F122" s="479">
        <f>'FR-16(7)(v)-1 Functional'!I122</f>
        <v>2957792</v>
      </c>
      <c r="G122" s="548">
        <f t="shared" ref="G122:G130" si="32">F122-SUM(H122:I122)</f>
        <v>2957792</v>
      </c>
      <c r="H122" s="539">
        <f t="shared" ref="H122:H130" si="33">ROUND(F122*VLOOKUP(D122,Alloctable_Classified_Distribution,$H$10,FALSE),0)</f>
        <v>0</v>
      </c>
      <c r="I122" s="540">
        <f t="shared" ref="I122:I130" si="34">ROUND(F122*VLOOKUP(D122,Alloctable_Classified_Distribution,$I$10,FALSE),0)</f>
        <v>0</v>
      </c>
      <c r="J122" s="347">
        <f t="shared" ref="J122:J130" si="35">SUM(G122:I122)</f>
        <v>2957792</v>
      </c>
      <c r="K122" s="347">
        <f t="shared" ref="K122:K130" si="36">F122-J122</f>
        <v>0</v>
      </c>
    </row>
    <row r="123" spans="1:11">
      <c r="A123" s="333">
        <v>11</v>
      </c>
      <c r="C123" s="332" t="str">
        <f>'FR-16(7)(v)-1 Functional'!C123</f>
        <v xml:space="preserve">DIST REG EQUIP &amp; CITY GATE M&amp;R- (2782, 2790) </v>
      </c>
      <c r="D123" s="344" t="str">
        <f>'FR-16(7)(v)-1 Functional'!D123</f>
        <v>K203</v>
      </c>
      <c r="E123" s="196"/>
      <c r="F123" s="479">
        <f>'FR-16(7)(v)-1 Functional'!I123</f>
        <v>1110309</v>
      </c>
      <c r="G123" s="548">
        <f t="shared" si="32"/>
        <v>1110309</v>
      </c>
      <c r="H123" s="539">
        <f t="shared" si="33"/>
        <v>0</v>
      </c>
      <c r="I123" s="540">
        <f t="shared" si="34"/>
        <v>0</v>
      </c>
      <c r="J123" s="347">
        <f t="shared" si="35"/>
        <v>1110309</v>
      </c>
      <c r="K123" s="347">
        <f t="shared" si="36"/>
        <v>0</v>
      </c>
    </row>
    <row r="124" spans="1:11">
      <c r="A124" s="333">
        <v>12</v>
      </c>
      <c r="C124" s="332" t="str">
        <f>'FR-16(7)(v)-1 Functional'!C124</f>
        <v>LARGE IND M&amp;R - (2850, 2851)</v>
      </c>
      <c r="D124" s="344" t="str">
        <f>'FR-16(7)(v)-1 Functional'!D124</f>
        <v>K595</v>
      </c>
      <c r="E124" s="196"/>
      <c r="F124" s="479">
        <f>'FR-16(7)(v)-1 Functional'!I124</f>
        <v>498099</v>
      </c>
      <c r="G124" s="548">
        <f t="shared" si="32"/>
        <v>498099</v>
      </c>
      <c r="H124" s="539">
        <f t="shared" si="33"/>
        <v>0</v>
      </c>
      <c r="I124" s="540">
        <f t="shared" si="34"/>
        <v>0</v>
      </c>
      <c r="J124" s="347">
        <f t="shared" si="35"/>
        <v>498099</v>
      </c>
      <c r="K124" s="347">
        <f t="shared" si="36"/>
        <v>0</v>
      </c>
    </row>
    <row r="125" spans="1:11">
      <c r="A125" s="333">
        <v>13</v>
      </c>
      <c r="C125" s="332" t="str">
        <f>'FR-16(7)(v)-1 Functional'!C125</f>
        <v>MAINS - (2761, 2762, 2763, 2765)</v>
      </c>
      <c r="D125" s="344" t="str">
        <f>'FR-16(7)(v)-1 Functional'!D125</f>
        <v>K415</v>
      </c>
      <c r="E125" s="196"/>
      <c r="F125" s="479">
        <f>'FR-16(7)(v)-1 Functional'!I125</f>
        <v>106766757</v>
      </c>
      <c r="G125" s="548">
        <f t="shared" si="32"/>
        <v>89684076</v>
      </c>
      <c r="H125" s="539">
        <f t="shared" si="33"/>
        <v>0</v>
      </c>
      <c r="I125" s="540">
        <f t="shared" si="34"/>
        <v>17082681</v>
      </c>
      <c r="J125" s="347">
        <f t="shared" si="35"/>
        <v>106766757</v>
      </c>
      <c r="K125" s="347">
        <f t="shared" si="36"/>
        <v>0</v>
      </c>
    </row>
    <row r="126" spans="1:11">
      <c r="A126" s="333">
        <v>14</v>
      </c>
      <c r="C126" s="332" t="str">
        <f>'FR-16(7)(v)-1 Functional'!C126</f>
        <v>SERVICES - (2801, 2802, 2803)</v>
      </c>
      <c r="D126" s="344" t="str">
        <f>'FR-16(7)(v)-1 Functional'!D126</f>
        <v>K403</v>
      </c>
      <c r="E126" s="196"/>
      <c r="F126" s="479">
        <f>'FR-16(7)(v)-1 Functional'!I126</f>
        <v>53771817</v>
      </c>
      <c r="G126" s="548">
        <f t="shared" si="32"/>
        <v>0</v>
      </c>
      <c r="H126" s="539">
        <f t="shared" si="33"/>
        <v>0</v>
      </c>
      <c r="I126" s="540">
        <f t="shared" si="34"/>
        <v>53771817</v>
      </c>
      <c r="J126" s="347">
        <f t="shared" si="35"/>
        <v>53771817</v>
      </c>
      <c r="K126" s="347">
        <f t="shared" si="36"/>
        <v>0</v>
      </c>
    </row>
    <row r="127" spans="1:11">
      <c r="A127" s="333">
        <v>15</v>
      </c>
      <c r="C127" s="332" t="str">
        <f>'FR-16(7)(v)-1 Functional'!C127</f>
        <v>MTRS &amp; MTR INST (2810, 2811, 2820, 2821)</v>
      </c>
      <c r="D127" s="344" t="str">
        <f>'FR-16(7)(v)-1 Functional'!D127</f>
        <v>K413</v>
      </c>
      <c r="E127" s="196"/>
      <c r="F127" s="479">
        <f>'FR-16(7)(v)-1 Functional'!I127</f>
        <v>-2918585</v>
      </c>
      <c r="G127" s="548">
        <f t="shared" si="32"/>
        <v>0</v>
      </c>
      <c r="H127" s="539">
        <f t="shared" si="33"/>
        <v>0</v>
      </c>
      <c r="I127" s="540">
        <f t="shared" si="34"/>
        <v>-2918585</v>
      </c>
      <c r="J127" s="347">
        <f t="shared" si="35"/>
        <v>-2918585</v>
      </c>
      <c r="K127" s="347">
        <f t="shared" si="36"/>
        <v>0</v>
      </c>
    </row>
    <row r="128" spans="1:11">
      <c r="A128" s="333">
        <v>16</v>
      </c>
      <c r="C128" s="332" t="str">
        <f>'FR-16(7)(v)-1 Functional'!C128</f>
        <v>LAND, R OF W, STRUCT &amp; IMPROV &amp; OTH</v>
      </c>
      <c r="D128" s="344" t="str">
        <f>'FR-16(7)(v)-1 Functional'!D128</f>
        <v>K203</v>
      </c>
      <c r="E128" s="196"/>
      <c r="F128" s="479">
        <f>'FR-16(7)(v)-1 Functional'!I128</f>
        <v>674357</v>
      </c>
      <c r="G128" s="548">
        <f t="shared" si="32"/>
        <v>674357</v>
      </c>
      <c r="H128" s="539">
        <f t="shared" si="33"/>
        <v>0</v>
      </c>
      <c r="I128" s="540">
        <f t="shared" si="34"/>
        <v>0</v>
      </c>
      <c r="J128" s="347">
        <f t="shared" si="35"/>
        <v>674357</v>
      </c>
      <c r="K128" s="347">
        <f t="shared" si="36"/>
        <v>0</v>
      </c>
    </row>
    <row r="129" spans="1:11">
      <c r="A129" s="333">
        <v>17</v>
      </c>
      <c r="C129" s="332" t="str">
        <f>'FR-16(7)(v)-1 Functional'!C129</f>
        <v>HOUSE REG &amp; INSTALL (2830, 2840)</v>
      </c>
      <c r="D129" s="344" t="str">
        <f>'FR-16(7)(v)-1 Functional'!D129</f>
        <v>K417</v>
      </c>
      <c r="E129" s="196"/>
      <c r="F129" s="479">
        <f>'FR-16(7)(v)-1 Functional'!I129</f>
        <v>5133050</v>
      </c>
      <c r="G129" s="548">
        <f t="shared" si="32"/>
        <v>0</v>
      </c>
      <c r="H129" s="539">
        <f t="shared" si="33"/>
        <v>0</v>
      </c>
      <c r="I129" s="540">
        <f t="shared" si="34"/>
        <v>5133050</v>
      </c>
      <c r="J129" s="347">
        <f t="shared" si="35"/>
        <v>5133050</v>
      </c>
      <c r="K129" s="347">
        <f t="shared" si="36"/>
        <v>0</v>
      </c>
    </row>
    <row r="130" spans="1:11">
      <c r="A130" s="333">
        <v>18</v>
      </c>
      <c r="C130" s="359" t="str">
        <f>'FR-16(7)(v)-1 Functional'!C130</f>
        <v>STREET LIGHTING EQUIPMENT &amp; OTH</v>
      </c>
      <c r="D130" s="344" t="str">
        <f>'FR-16(7)(v)-1 Functional'!D130</f>
        <v>K597</v>
      </c>
      <c r="E130" s="196"/>
      <c r="F130" s="479">
        <f>'FR-16(7)(v)-1 Functional'!I130</f>
        <v>-2136531</v>
      </c>
      <c r="G130" s="548">
        <f t="shared" si="32"/>
        <v>-2136531</v>
      </c>
      <c r="H130" s="539">
        <f t="shared" si="33"/>
        <v>0</v>
      </c>
      <c r="I130" s="540">
        <f t="shared" si="34"/>
        <v>0</v>
      </c>
      <c r="J130" s="347">
        <f t="shared" si="35"/>
        <v>-2136531</v>
      </c>
      <c r="K130" s="347">
        <f t="shared" si="36"/>
        <v>0</v>
      </c>
    </row>
    <row r="131" spans="1:11">
      <c r="A131" s="333">
        <v>19</v>
      </c>
      <c r="C131" s="332" t="str">
        <f>'FR-16(7)(v)-1 Functional'!C131</f>
        <v xml:space="preserve">  TOTAL DIST DEPREC RESERVE</v>
      </c>
      <c r="D131" s="344"/>
      <c r="E131" s="196"/>
      <c r="F131" s="348">
        <f t="shared" ref="F131:K131" si="37">SUM(F121:F130)</f>
        <v>165857065</v>
      </c>
      <c r="G131" s="549">
        <f t="shared" si="37"/>
        <v>92788102</v>
      </c>
      <c r="H131" s="541">
        <f t="shared" si="37"/>
        <v>0</v>
      </c>
      <c r="I131" s="542">
        <f t="shared" si="37"/>
        <v>73068963</v>
      </c>
      <c r="J131" s="348">
        <f t="shared" si="37"/>
        <v>165857065</v>
      </c>
      <c r="K131" s="348">
        <f t="shared" si="37"/>
        <v>0</v>
      </c>
    </row>
    <row r="132" spans="1:11">
      <c r="A132" s="333">
        <v>20</v>
      </c>
      <c r="D132" s="344"/>
      <c r="E132" s="196"/>
      <c r="G132" s="547"/>
      <c r="H132" s="537"/>
      <c r="I132" s="538"/>
    </row>
    <row r="133" spans="1:11">
      <c r="A133" s="333">
        <v>21</v>
      </c>
      <c r="B133" s="332" t="s">
        <v>20</v>
      </c>
      <c r="D133" s="344"/>
      <c r="E133" s="196"/>
      <c r="G133" s="547"/>
      <c r="H133" s="537"/>
      <c r="I133" s="538"/>
    </row>
    <row r="134" spans="1:11">
      <c r="A134" s="333">
        <v>22</v>
      </c>
      <c r="C134" s="332" t="str">
        <f>'FR-16(7)(v)-1 Functional'!C134</f>
        <v>PRODUCTION PLANT</v>
      </c>
      <c r="D134" s="344" t="str">
        <f>'FR-16(7)(v)-1 Functional'!D134</f>
        <v>K201</v>
      </c>
      <c r="E134" s="196"/>
      <c r="F134" s="479">
        <f>'FR-16(7)(v)-1 Functional'!I134</f>
        <v>0</v>
      </c>
      <c r="G134" s="548">
        <f t="shared" ref="G134:G139" si="38">F134-SUM(H134:I134)</f>
        <v>0</v>
      </c>
      <c r="H134" s="539">
        <f t="shared" ref="H134:H139" si="39">ROUND(F134*VLOOKUP(D134,Alloctable_Classified_Distribution,$H$10,FALSE),0)</f>
        <v>0</v>
      </c>
      <c r="I134" s="540">
        <f t="shared" ref="I134:I139" si="40">ROUND(F134*VLOOKUP(D134,Alloctable_Classified_Distribution,$I$10,FALSE),0)</f>
        <v>0</v>
      </c>
      <c r="J134" s="347">
        <f t="shared" ref="J134:J139" si="41">SUM(G134:I134)</f>
        <v>0</v>
      </c>
      <c r="K134" s="347">
        <f t="shared" ref="K134:K139" si="42">F134-J134</f>
        <v>0</v>
      </c>
    </row>
    <row r="135" spans="1:11">
      <c r="A135" s="333">
        <v>23</v>
      </c>
      <c r="C135" s="332" t="str">
        <f>'FR-16(7)(v)-1 Functional'!C135</f>
        <v>PRODUCTION PLANT COMMODITY</v>
      </c>
      <c r="D135" s="344" t="str">
        <f>'FR-16(7)(v)-1 Functional'!D135</f>
        <v>P349</v>
      </c>
      <c r="E135" s="196"/>
      <c r="F135" s="479">
        <f>'FR-16(7)(v)-1 Functional'!I135</f>
        <v>0</v>
      </c>
      <c r="G135" s="548">
        <f t="shared" si="38"/>
        <v>0</v>
      </c>
      <c r="H135" s="539">
        <f t="shared" si="39"/>
        <v>0</v>
      </c>
      <c r="I135" s="540">
        <f t="shared" si="40"/>
        <v>0</v>
      </c>
      <c r="J135" s="347">
        <f t="shared" si="41"/>
        <v>0</v>
      </c>
      <c r="K135" s="347">
        <f t="shared" si="42"/>
        <v>0</v>
      </c>
    </row>
    <row r="136" spans="1:11">
      <c r="A136" s="333">
        <v>24</v>
      </c>
      <c r="C136" s="332" t="str">
        <f>'FR-16(7)(v)-1 Functional'!C136</f>
        <v>DISTRIBUTION PLANT</v>
      </c>
      <c r="D136" s="344" t="str">
        <f>'FR-16(7)(v)-1 Functional'!D136</f>
        <v>D349</v>
      </c>
      <c r="E136" s="196"/>
      <c r="F136" s="479">
        <f>'FR-16(7)(v)-1 Functional'!I136</f>
        <v>5793367</v>
      </c>
      <c r="G136" s="548">
        <f t="shared" si="38"/>
        <v>3387324</v>
      </c>
      <c r="H136" s="539">
        <f t="shared" si="39"/>
        <v>0</v>
      </c>
      <c r="I136" s="540">
        <f t="shared" si="40"/>
        <v>2406043</v>
      </c>
      <c r="J136" s="347">
        <f t="shared" si="41"/>
        <v>5793367</v>
      </c>
      <c r="K136" s="347">
        <f t="shared" si="42"/>
        <v>0</v>
      </c>
    </row>
    <row r="137" spans="1:11">
      <c r="A137" s="333">
        <v>25</v>
      </c>
      <c r="C137" s="332" t="str">
        <f>'FR-16(7)(v)-1 Functional'!C137</f>
        <v>CUSTOMER ACCOUNTING</v>
      </c>
      <c r="D137" s="344" t="str">
        <f>'FR-16(7)(v)-1 Functional'!D137</f>
        <v>CA19</v>
      </c>
      <c r="E137" s="196"/>
      <c r="F137" s="479">
        <f>'FR-16(7)(v)-1 Functional'!I137</f>
        <v>2447627</v>
      </c>
      <c r="G137" s="548">
        <f t="shared" si="38"/>
        <v>0</v>
      </c>
      <c r="H137" s="539">
        <f t="shared" si="39"/>
        <v>0</v>
      </c>
      <c r="I137" s="540">
        <f t="shared" si="40"/>
        <v>2447627</v>
      </c>
      <c r="J137" s="347">
        <f t="shared" si="41"/>
        <v>2447627</v>
      </c>
      <c r="K137" s="347">
        <f t="shared" si="42"/>
        <v>0</v>
      </c>
    </row>
    <row r="138" spans="1:11">
      <c r="A138" s="333">
        <v>26</v>
      </c>
      <c r="C138" s="332" t="str">
        <f>'FR-16(7)(v)-1 Functional'!C138</f>
        <v>CUSTOMER SERVICE &amp; INFORMATION</v>
      </c>
      <c r="D138" s="344" t="str">
        <f>'FR-16(7)(v)-1 Functional'!D138</f>
        <v>CS19</v>
      </c>
      <c r="E138" s="196"/>
      <c r="F138" s="479">
        <f>'FR-16(7)(v)-1 Functional'!I138</f>
        <v>214184</v>
      </c>
      <c r="G138" s="548">
        <f t="shared" si="38"/>
        <v>0</v>
      </c>
      <c r="H138" s="539">
        <f t="shared" si="39"/>
        <v>0</v>
      </c>
      <c r="I138" s="540">
        <f t="shared" si="40"/>
        <v>214184</v>
      </c>
      <c r="J138" s="347">
        <f t="shared" si="41"/>
        <v>214184</v>
      </c>
      <c r="K138" s="347">
        <f t="shared" si="42"/>
        <v>0</v>
      </c>
    </row>
    <row r="139" spans="1:11">
      <c r="A139" s="333">
        <v>27</v>
      </c>
      <c r="C139" s="365" t="str">
        <f>'FR-16(7)(v)-1 Functional'!C139</f>
        <v>SALES</v>
      </c>
      <c r="D139" s="344" t="str">
        <f>'FR-16(7)(v)-1 Functional'!D139</f>
        <v>SE19</v>
      </c>
      <c r="E139" s="196"/>
      <c r="F139" s="479">
        <f>'FR-16(7)(v)-1 Functional'!I139</f>
        <v>0</v>
      </c>
      <c r="G139" s="548">
        <f t="shared" si="38"/>
        <v>0</v>
      </c>
      <c r="H139" s="539">
        <f t="shared" si="39"/>
        <v>0</v>
      </c>
      <c r="I139" s="540">
        <f t="shared" si="40"/>
        <v>0</v>
      </c>
      <c r="J139" s="347">
        <f t="shared" si="41"/>
        <v>0</v>
      </c>
      <c r="K139" s="347">
        <f t="shared" si="42"/>
        <v>0</v>
      </c>
    </row>
    <row r="140" spans="1:11">
      <c r="A140" s="333">
        <v>28</v>
      </c>
      <c r="C140" s="339" t="str">
        <f>'FR-16(7)(v)-1 Functional'!C140</f>
        <v xml:space="preserve">  TOTAL GEN DEPREC RESERVE</v>
      </c>
      <c r="D140" s="344"/>
      <c r="E140" s="196"/>
      <c r="F140" s="348">
        <f t="shared" ref="F140:K140" si="43">SUM(F133:F139)</f>
        <v>8455178</v>
      </c>
      <c r="G140" s="549">
        <f t="shared" si="43"/>
        <v>3387324</v>
      </c>
      <c r="H140" s="541">
        <f t="shared" si="43"/>
        <v>0</v>
      </c>
      <c r="I140" s="542">
        <f t="shared" si="43"/>
        <v>5067854</v>
      </c>
      <c r="J140" s="348">
        <f t="shared" si="43"/>
        <v>8455178</v>
      </c>
      <c r="K140" s="348">
        <f t="shared" si="43"/>
        <v>0</v>
      </c>
    </row>
    <row r="141" spans="1:11">
      <c r="A141" s="333">
        <v>29</v>
      </c>
      <c r="C141" s="365"/>
      <c r="D141" s="344"/>
      <c r="E141" s="196"/>
      <c r="G141" s="547"/>
      <c r="H141" s="537"/>
      <c r="I141" s="538"/>
    </row>
    <row r="142" spans="1:11">
      <c r="A142" s="333">
        <v>30</v>
      </c>
      <c r="B142" s="332" t="s">
        <v>21</v>
      </c>
      <c r="C142" s="365"/>
      <c r="D142" s="344"/>
      <c r="E142" s="196"/>
      <c r="G142" s="547"/>
      <c r="H142" s="537"/>
      <c r="I142" s="538"/>
    </row>
    <row r="143" spans="1:11">
      <c r="A143" s="333">
        <v>31</v>
      </c>
      <c r="C143" s="365" t="str">
        <f>'FR-16(7)(v)-1 Functional'!C143</f>
        <v>PRODUCTION PLANT</v>
      </c>
      <c r="D143" s="344" t="str">
        <f>'FR-16(7)(v)-1 Functional'!D143</f>
        <v>K201</v>
      </c>
      <c r="E143" s="196"/>
      <c r="F143" s="479">
        <f>'FR-16(7)(v)-1 Functional'!I143</f>
        <v>0</v>
      </c>
      <c r="G143" s="548">
        <f t="shared" ref="G143:G148" si="44">F143-SUM(H143:I143)</f>
        <v>0</v>
      </c>
      <c r="H143" s="539">
        <f t="shared" ref="H143:H148" si="45">ROUND(F143*VLOOKUP(D143,Alloctable_Classified_Distribution,$H$10,FALSE),0)</f>
        <v>0</v>
      </c>
      <c r="I143" s="540">
        <f t="shared" ref="I143:I148" si="46">ROUND(F143*VLOOKUP(D143,Alloctable_Classified_Distribution,$I$10,FALSE),0)</f>
        <v>0</v>
      </c>
      <c r="J143" s="347">
        <f t="shared" ref="J143:J148" si="47">SUM(G143:I143)</f>
        <v>0</v>
      </c>
      <c r="K143" s="347">
        <f t="shared" ref="K143:K148" si="48">F143-J143</f>
        <v>0</v>
      </c>
    </row>
    <row r="144" spans="1:11">
      <c r="A144" s="333">
        <v>32</v>
      </c>
      <c r="C144" s="365" t="str">
        <f>'FR-16(7)(v)-1 Functional'!C144</f>
        <v>PRODUCTION PLANT COMMODITY</v>
      </c>
      <c r="D144" s="344" t="str">
        <f>'FR-16(7)(v)-1 Functional'!D144</f>
        <v>P349</v>
      </c>
      <c r="E144" s="196"/>
      <c r="F144" s="479">
        <f>'FR-16(7)(v)-1 Functional'!I144</f>
        <v>0</v>
      </c>
      <c r="G144" s="548">
        <f t="shared" si="44"/>
        <v>0</v>
      </c>
      <c r="H144" s="539">
        <f t="shared" si="45"/>
        <v>0</v>
      </c>
      <c r="I144" s="540">
        <f t="shared" si="46"/>
        <v>0</v>
      </c>
      <c r="J144" s="347">
        <f t="shared" si="47"/>
        <v>0</v>
      </c>
      <c r="K144" s="347">
        <f t="shared" si="48"/>
        <v>0</v>
      </c>
    </row>
    <row r="145" spans="1:11">
      <c r="A145" s="333">
        <v>33</v>
      </c>
      <c r="C145" s="365" t="str">
        <f>'FR-16(7)(v)-1 Functional'!C145</f>
        <v>DISTRIBUTION PLANT</v>
      </c>
      <c r="D145" s="344" t="str">
        <f>'FR-16(7)(v)-1 Functional'!D145</f>
        <v>D349</v>
      </c>
      <c r="E145" s="196"/>
      <c r="F145" s="479">
        <f>'FR-16(7)(v)-1 Functional'!I145</f>
        <v>6524849</v>
      </c>
      <c r="G145" s="548">
        <f t="shared" si="44"/>
        <v>3815014</v>
      </c>
      <c r="H145" s="539">
        <f t="shared" si="45"/>
        <v>0</v>
      </c>
      <c r="I145" s="540">
        <f t="shared" si="46"/>
        <v>2709835</v>
      </c>
      <c r="J145" s="347">
        <f t="shared" si="47"/>
        <v>6524849</v>
      </c>
      <c r="K145" s="347">
        <f t="shared" si="48"/>
        <v>0</v>
      </c>
    </row>
    <row r="146" spans="1:11">
      <c r="A146" s="333">
        <v>34</v>
      </c>
      <c r="C146" s="365" t="str">
        <f>'FR-16(7)(v)-1 Functional'!C146</f>
        <v>CUSTOMER ACCOUNTING</v>
      </c>
      <c r="D146" s="344" t="str">
        <f>'FR-16(7)(v)-1 Functional'!D146</f>
        <v>CA19</v>
      </c>
      <c r="E146" s="196"/>
      <c r="F146" s="479">
        <f>'FR-16(7)(v)-1 Functional'!I146</f>
        <v>2756669</v>
      </c>
      <c r="G146" s="548">
        <f t="shared" si="44"/>
        <v>0</v>
      </c>
      <c r="H146" s="539">
        <f t="shared" si="45"/>
        <v>0</v>
      </c>
      <c r="I146" s="540">
        <f t="shared" si="46"/>
        <v>2756669</v>
      </c>
      <c r="J146" s="347">
        <f t="shared" si="47"/>
        <v>2756669</v>
      </c>
      <c r="K146" s="347">
        <f t="shared" si="48"/>
        <v>0</v>
      </c>
    </row>
    <row r="147" spans="1:11">
      <c r="A147" s="333">
        <v>35</v>
      </c>
      <c r="C147" s="365" t="str">
        <f>'FR-16(7)(v)-1 Functional'!C147</f>
        <v>CUSTOMER SERVICE &amp; INFORMATION</v>
      </c>
      <c r="D147" s="344" t="str">
        <f>'FR-16(7)(v)-1 Functional'!D147</f>
        <v>CS19</v>
      </c>
      <c r="E147" s="196"/>
      <c r="F147" s="479">
        <f>'FR-16(7)(v)-1 Functional'!I147</f>
        <v>241227</v>
      </c>
      <c r="G147" s="548">
        <f t="shared" si="44"/>
        <v>0</v>
      </c>
      <c r="H147" s="539">
        <f t="shared" si="45"/>
        <v>0</v>
      </c>
      <c r="I147" s="540">
        <f t="shared" si="46"/>
        <v>241227</v>
      </c>
      <c r="J147" s="347">
        <f t="shared" si="47"/>
        <v>241227</v>
      </c>
      <c r="K147" s="347">
        <f t="shared" si="48"/>
        <v>0</v>
      </c>
    </row>
    <row r="148" spans="1:11">
      <c r="A148" s="333">
        <v>36</v>
      </c>
      <c r="C148" s="365" t="str">
        <f>'FR-16(7)(v)-1 Functional'!C148</f>
        <v>SALES</v>
      </c>
      <c r="D148" s="344" t="str">
        <f>'FR-16(7)(v)-1 Functional'!D148</f>
        <v>SE19</v>
      </c>
      <c r="E148" s="196"/>
      <c r="F148" s="479">
        <f>'FR-16(7)(v)-1 Functional'!I148</f>
        <v>0</v>
      </c>
      <c r="G148" s="548">
        <f t="shared" si="44"/>
        <v>0</v>
      </c>
      <c r="H148" s="539">
        <f t="shared" si="45"/>
        <v>0</v>
      </c>
      <c r="I148" s="540">
        <f t="shared" si="46"/>
        <v>0</v>
      </c>
      <c r="J148" s="347">
        <f t="shared" si="47"/>
        <v>0</v>
      </c>
      <c r="K148" s="347">
        <f t="shared" si="48"/>
        <v>0</v>
      </c>
    </row>
    <row r="149" spans="1:11">
      <c r="A149" s="333">
        <v>37</v>
      </c>
      <c r="C149" s="339" t="str">
        <f>'FR-16(7)(v)-1 Functional'!C149</f>
        <v xml:space="preserve">  TOTAL COM &amp; OTHER PLT RESERVE</v>
      </c>
      <c r="D149" s="344"/>
      <c r="E149" s="196"/>
      <c r="F149" s="348">
        <f>SUM(F143:F148)</f>
        <v>9522745</v>
      </c>
      <c r="G149" s="549">
        <f>SUM(G142:G148)</f>
        <v>3815014</v>
      </c>
      <c r="H149" s="541">
        <f>SUM(H142:H148)</f>
        <v>0</v>
      </c>
      <c r="I149" s="542">
        <f>SUM(I142:I148)</f>
        <v>5707731</v>
      </c>
      <c r="J149" s="348">
        <f>SUM(J142:J148)</f>
        <v>9522745</v>
      </c>
      <c r="K149" s="348">
        <f>SUM(K142:K148)</f>
        <v>0</v>
      </c>
    </row>
    <row r="150" spans="1:11">
      <c r="A150" s="333">
        <v>38</v>
      </c>
      <c r="D150" s="344"/>
      <c r="E150" s="196"/>
      <c r="G150" s="547"/>
      <c r="H150" s="537"/>
      <c r="I150" s="538"/>
    </row>
    <row r="151" spans="1:11">
      <c r="A151" s="333">
        <v>39</v>
      </c>
      <c r="B151" s="332" t="s">
        <v>23</v>
      </c>
      <c r="D151" s="344"/>
      <c r="E151" s="196"/>
      <c r="F151" s="347">
        <f t="shared" ref="F151:K151" si="49">F149+F140+F131+F119+F115</f>
        <v>183834988</v>
      </c>
      <c r="G151" s="550">
        <f t="shared" si="49"/>
        <v>99990440</v>
      </c>
      <c r="H151" s="543">
        <f t="shared" si="49"/>
        <v>0</v>
      </c>
      <c r="I151" s="544">
        <f t="shared" si="49"/>
        <v>83844548</v>
      </c>
      <c r="J151" s="347">
        <f t="shared" si="49"/>
        <v>183834988</v>
      </c>
      <c r="K151" s="347">
        <f t="shared" si="49"/>
        <v>0</v>
      </c>
    </row>
    <row r="152" spans="1:11">
      <c r="B152" s="343"/>
      <c r="C152" s="196"/>
      <c r="D152" s="344"/>
      <c r="E152" s="196"/>
      <c r="F152" s="196"/>
      <c r="G152" s="196"/>
      <c r="H152" s="196"/>
      <c r="I152" s="196"/>
      <c r="J152" s="196"/>
    </row>
    <row r="153" spans="1:11">
      <c r="A153" s="343" t="str">
        <f>co_name</f>
        <v>DUKE ENERGY KENTUCKY, INC.</v>
      </c>
      <c r="C153" s="196"/>
      <c r="D153" s="344"/>
      <c r="E153" s="196"/>
      <c r="F153" s="196"/>
      <c r="G153" s="196"/>
      <c r="H153" s="196"/>
      <c r="I153" s="196"/>
      <c r="J153" s="196" t="str">
        <f>$J$1</f>
        <v>FR-16(7)(v)-4</v>
      </c>
      <c r="K153" s="196"/>
    </row>
    <row r="154" spans="1:11">
      <c r="A154" s="343" t="str">
        <f>$A$2</f>
        <v>DISTRIBUTION CLASSIFIED - GAS COST OF SERVICE</v>
      </c>
      <c r="C154" s="196"/>
      <c r="D154" s="344"/>
      <c r="E154" s="196"/>
      <c r="F154" s="196"/>
      <c r="G154" s="196"/>
      <c r="H154" s="196"/>
      <c r="I154" s="196"/>
      <c r="J154" s="196" t="str">
        <f>$J$2</f>
        <v>WITNESS RESPONSIBLE:</v>
      </c>
      <c r="K154" s="196"/>
    </row>
    <row r="155" spans="1:11">
      <c r="A155" s="343" t="str">
        <f>case_name</f>
        <v>CASE NO: 2018-00261</v>
      </c>
      <c r="C155" s="196"/>
      <c r="D155" s="344"/>
      <c r="E155" s="196"/>
      <c r="F155" s="196"/>
      <c r="G155" s="196"/>
      <c r="H155" s="196"/>
      <c r="I155" s="196"/>
      <c r="J155" s="196" t="str">
        <f>Witness</f>
        <v>JAMES E. ZIOLKOWSKI</v>
      </c>
      <c r="K155" s="196"/>
    </row>
    <row r="156" spans="1:11">
      <c r="A156" s="343" t="str">
        <f>data_filing</f>
        <v>DATA: 12 MONTH FORECASTED PERIOD</v>
      </c>
      <c r="C156" s="196"/>
      <c r="D156" s="344"/>
      <c r="E156" s="196"/>
      <c r="F156" s="196"/>
      <c r="G156" s="196"/>
      <c r="H156" s="196"/>
      <c r="I156" s="196"/>
      <c r="J156" s="196" t="str">
        <f>"PAGE "&amp;Pages-14&amp;" OF "&amp;Pages</f>
        <v>PAGE 4 OF 18</v>
      </c>
      <c r="K156" s="196"/>
    </row>
    <row r="157" spans="1:11">
      <c r="A157" s="343" t="str">
        <f>type</f>
        <v xml:space="preserve">TYPE OF FILING: "X" ORIGINAL   UPDATED    REVISED  </v>
      </c>
      <c r="C157" s="196"/>
      <c r="D157" s="344"/>
      <c r="E157" s="196"/>
      <c r="F157" s="196"/>
      <c r="G157" s="196"/>
      <c r="H157" s="196"/>
      <c r="I157" s="196"/>
      <c r="J157" s="196"/>
      <c r="K157" s="196"/>
    </row>
    <row r="158" spans="1:11">
      <c r="A158" s="343"/>
      <c r="C158" s="196"/>
      <c r="D158" s="344"/>
      <c r="E158" s="196"/>
      <c r="F158" s="196"/>
      <c r="G158" s="196"/>
      <c r="H158" s="196"/>
      <c r="I158" s="196"/>
      <c r="J158" s="196"/>
      <c r="K158" s="196"/>
    </row>
    <row r="159" spans="1:11">
      <c r="B159" s="343"/>
      <c r="C159" s="196"/>
      <c r="D159" s="344"/>
      <c r="E159" s="196"/>
      <c r="F159" s="196"/>
      <c r="G159" s="196"/>
      <c r="H159" s="196"/>
      <c r="I159" s="196"/>
      <c r="J159" s="196"/>
    </row>
    <row r="160" spans="1:11">
      <c r="A160" s="344" t="s">
        <v>914</v>
      </c>
      <c r="B160" s="196"/>
      <c r="C160" s="196"/>
      <c r="D160" s="344"/>
      <c r="E160" s="196"/>
      <c r="F160" s="344" t="s">
        <v>229</v>
      </c>
      <c r="G160" s="545" t="s">
        <v>1005</v>
      </c>
      <c r="H160" s="533"/>
      <c r="I160" s="534"/>
      <c r="J160" s="344" t="s">
        <v>229</v>
      </c>
      <c r="K160" s="344" t="s">
        <v>342</v>
      </c>
    </row>
    <row r="161" spans="1:11">
      <c r="A161" s="346" t="s">
        <v>915</v>
      </c>
      <c r="B161" s="345" t="str">
        <f>"NET GAS PLANT"</f>
        <v>NET GAS PLANT</v>
      </c>
      <c r="C161" s="345"/>
      <c r="D161" s="346" t="s">
        <v>337</v>
      </c>
      <c r="E161" s="345"/>
      <c r="F161" s="346" t="s">
        <v>846</v>
      </c>
      <c r="G161" s="546" t="s">
        <v>847</v>
      </c>
      <c r="H161" s="535" t="s">
        <v>848</v>
      </c>
      <c r="I161" s="536" t="s">
        <v>849</v>
      </c>
      <c r="J161" s="346" t="s">
        <v>341</v>
      </c>
      <c r="K161" s="346" t="s">
        <v>340</v>
      </c>
    </row>
    <row r="162" spans="1:11">
      <c r="C162" s="578" t="s">
        <v>346</v>
      </c>
      <c r="D162" s="344"/>
      <c r="E162" s="196"/>
      <c r="G162" s="800">
        <f>$G$10</f>
        <v>3</v>
      </c>
      <c r="H162" s="801">
        <f>$H$10</f>
        <v>4</v>
      </c>
      <c r="I162" s="802">
        <f>$I$10</f>
        <v>5</v>
      </c>
    </row>
    <row r="163" spans="1:11">
      <c r="A163" s="333">
        <v>1</v>
      </c>
      <c r="B163" s="332" t="s">
        <v>14</v>
      </c>
      <c r="D163" s="344"/>
      <c r="E163" s="196"/>
      <c r="G163" s="547"/>
      <c r="H163" s="537"/>
      <c r="I163" s="538"/>
    </row>
    <row r="164" spans="1:11">
      <c r="A164" s="333">
        <v>2</v>
      </c>
      <c r="C164" s="332" t="str">
        <f>'FR-16(7)(v)-1 Functional'!C164</f>
        <v>PRODUCTION PLANT IN SERVICE</v>
      </c>
      <c r="D164" s="344"/>
      <c r="E164" s="196"/>
      <c r="F164" s="347">
        <f>F59</f>
        <v>0</v>
      </c>
      <c r="G164" s="548">
        <f>$G$59</f>
        <v>0</v>
      </c>
      <c r="H164" s="539">
        <f>$H$59</f>
        <v>0</v>
      </c>
      <c r="I164" s="540">
        <f>$I$59</f>
        <v>0</v>
      </c>
      <c r="J164" s="347">
        <f>$J$59</f>
        <v>0</v>
      </c>
      <c r="K164" s="347">
        <f>F164-J164</f>
        <v>0</v>
      </c>
    </row>
    <row r="165" spans="1:11">
      <c r="A165" s="333">
        <v>3</v>
      </c>
      <c r="C165" s="359" t="str">
        <f>'FR-16(7)(v)-1 Functional'!C165</f>
        <v>TOTAL PROD DEPRC RESERVE</v>
      </c>
      <c r="D165" s="344"/>
      <c r="E165" s="196"/>
      <c r="F165" s="347">
        <f>-F115</f>
        <v>0</v>
      </c>
      <c r="G165" s="548">
        <f>-G115</f>
        <v>0</v>
      </c>
      <c r="H165" s="539">
        <f>-H115</f>
        <v>0</v>
      </c>
      <c r="I165" s="540">
        <f>-I115</f>
        <v>0</v>
      </c>
      <c r="J165" s="347">
        <f>-J115</f>
        <v>0</v>
      </c>
      <c r="K165" s="347">
        <f>F165-J165</f>
        <v>0</v>
      </c>
    </row>
    <row r="166" spans="1:11">
      <c r="A166" s="333">
        <v>4</v>
      </c>
      <c r="C166" s="332" t="str">
        <f>'FR-16(7)(v)-1 Functional'!C166</f>
        <v xml:space="preserve">  NET PRODUCTION PLANT</v>
      </c>
      <c r="D166" s="344"/>
      <c r="E166" s="196"/>
      <c r="F166" s="348">
        <f t="shared" ref="F166:K166" si="50">SUM(F164:F165)</f>
        <v>0</v>
      </c>
      <c r="G166" s="549">
        <f t="shared" si="50"/>
        <v>0</v>
      </c>
      <c r="H166" s="541">
        <f t="shared" si="50"/>
        <v>0</v>
      </c>
      <c r="I166" s="542">
        <f t="shared" si="50"/>
        <v>0</v>
      </c>
      <c r="J166" s="348">
        <f t="shared" si="50"/>
        <v>0</v>
      </c>
      <c r="K166" s="348">
        <f t="shared" si="50"/>
        <v>0</v>
      </c>
    </row>
    <row r="167" spans="1:11">
      <c r="A167" s="333">
        <v>5</v>
      </c>
      <c r="D167" s="344"/>
      <c r="E167" s="196"/>
      <c r="G167" s="547"/>
      <c r="H167" s="537"/>
      <c r="I167" s="538"/>
    </row>
    <row r="168" spans="1:11">
      <c r="A168" s="333">
        <v>6</v>
      </c>
      <c r="B168" s="359" t="s">
        <v>15</v>
      </c>
      <c r="C168" s="359"/>
      <c r="D168" s="344"/>
      <c r="E168" s="196"/>
      <c r="F168" s="347"/>
      <c r="G168" s="548"/>
      <c r="H168" s="539"/>
      <c r="I168" s="540"/>
      <c r="J168" s="347"/>
    </row>
    <row r="169" spans="1:11">
      <c r="A169" s="333">
        <v>7</v>
      </c>
      <c r="C169" s="332" t="str">
        <f>'FR-16(7)(v)-1 Functional'!C169</f>
        <v>TRANSMISSION PLANT IN SERVICE</v>
      </c>
      <c r="D169" s="344"/>
      <c r="E169" s="196"/>
      <c r="F169" s="347">
        <f>F63</f>
        <v>0</v>
      </c>
      <c r="G169" s="548">
        <f>$G$63</f>
        <v>0</v>
      </c>
      <c r="H169" s="539">
        <f>$H$63</f>
        <v>0</v>
      </c>
      <c r="I169" s="540">
        <f>$I$63</f>
        <v>0</v>
      </c>
      <c r="J169" s="347">
        <f>$J$63</f>
        <v>0</v>
      </c>
      <c r="K169" s="347">
        <f>F169-J169</f>
        <v>0</v>
      </c>
    </row>
    <row r="170" spans="1:11">
      <c r="A170" s="333">
        <v>8</v>
      </c>
      <c r="C170" s="332" t="str">
        <f>'FR-16(7)(v)-1 Functional'!C170</f>
        <v>TOTAL TRANS DEPREC RESERVE</v>
      </c>
      <c r="D170" s="344"/>
      <c r="E170" s="196"/>
      <c r="F170" s="347">
        <f>-F119</f>
        <v>0</v>
      </c>
      <c r="G170" s="548">
        <f>-G119</f>
        <v>0</v>
      </c>
      <c r="H170" s="539">
        <f>-H119</f>
        <v>0</v>
      </c>
      <c r="I170" s="540">
        <f>-I119</f>
        <v>0</v>
      </c>
      <c r="J170" s="347">
        <f>-J119</f>
        <v>0</v>
      </c>
      <c r="K170" s="347">
        <f>F170-J170</f>
        <v>0</v>
      </c>
    </row>
    <row r="171" spans="1:11">
      <c r="A171" s="333">
        <v>9</v>
      </c>
      <c r="C171" s="332" t="str">
        <f>'FR-16(7)(v)-1 Functional'!C171</f>
        <v xml:space="preserve">    NET TRANSMISSION PLANT</v>
      </c>
      <c r="D171" s="344"/>
      <c r="E171" s="196"/>
      <c r="F171" s="348">
        <f t="shared" ref="F171:K171" si="51">SUM(F168:F170)</f>
        <v>0</v>
      </c>
      <c r="G171" s="549">
        <f t="shared" si="51"/>
        <v>0</v>
      </c>
      <c r="H171" s="541">
        <f t="shared" si="51"/>
        <v>0</v>
      </c>
      <c r="I171" s="542">
        <f t="shared" si="51"/>
        <v>0</v>
      </c>
      <c r="J171" s="348">
        <f t="shared" si="51"/>
        <v>0</v>
      </c>
      <c r="K171" s="348">
        <f t="shared" si="51"/>
        <v>0</v>
      </c>
    </row>
    <row r="172" spans="1:11">
      <c r="A172" s="333">
        <v>10</v>
      </c>
      <c r="D172" s="344"/>
      <c r="E172" s="196"/>
      <c r="G172" s="547"/>
      <c r="H172" s="537"/>
      <c r="I172" s="538"/>
    </row>
    <row r="173" spans="1:11">
      <c r="A173" s="333">
        <v>11</v>
      </c>
      <c r="B173" s="332" t="s">
        <v>17</v>
      </c>
      <c r="D173" s="344"/>
      <c r="E173" s="196"/>
      <c r="G173" s="547"/>
      <c r="H173" s="537"/>
      <c r="I173" s="538"/>
    </row>
    <row r="174" spans="1:11">
      <c r="A174" s="333">
        <v>12</v>
      </c>
      <c r="C174" s="332" t="str">
        <f>'FR-16(7)(v)-1 Functional'!C174</f>
        <v>DISTRIBUTION PLANT IN SERVICE</v>
      </c>
      <c r="D174" s="344"/>
      <c r="E174" s="196"/>
      <c r="F174" s="347">
        <f>F78</f>
        <v>548483808</v>
      </c>
      <c r="G174" s="548">
        <f>G78</f>
        <v>304349521</v>
      </c>
      <c r="H174" s="539">
        <f>H78</f>
        <v>0</v>
      </c>
      <c r="I174" s="540">
        <f>I78</f>
        <v>244134287</v>
      </c>
      <c r="J174" s="347">
        <f>J78</f>
        <v>548483808</v>
      </c>
      <c r="K174" s="347">
        <f>F174-J174</f>
        <v>0</v>
      </c>
    </row>
    <row r="175" spans="1:11">
      <c r="A175" s="333">
        <v>13</v>
      </c>
      <c r="C175" s="359" t="str">
        <f>'FR-16(7)(v)-1 Functional'!C175</f>
        <v>TOTAL DIST DEPREC RESERVE</v>
      </c>
      <c r="D175" s="344"/>
      <c r="E175" s="196"/>
      <c r="F175" s="347">
        <f>-F131</f>
        <v>-165857065</v>
      </c>
      <c r="G175" s="548">
        <f>-G131</f>
        <v>-92788102</v>
      </c>
      <c r="H175" s="539">
        <f>-H131</f>
        <v>0</v>
      </c>
      <c r="I175" s="540">
        <f>-I131</f>
        <v>-73068963</v>
      </c>
      <c r="J175" s="347">
        <f>-J131</f>
        <v>-165857065</v>
      </c>
      <c r="K175" s="347">
        <f>F175-J175</f>
        <v>0</v>
      </c>
    </row>
    <row r="176" spans="1:11">
      <c r="A176" s="333">
        <v>14</v>
      </c>
      <c r="C176" s="332" t="str">
        <f>'FR-16(7)(v)-1 Functional'!C176</f>
        <v xml:space="preserve">  NET DISTRIBUTION PLANT</v>
      </c>
      <c r="D176" s="344"/>
      <c r="E176" s="196"/>
      <c r="F176" s="348">
        <f t="shared" ref="F176:K176" si="52">SUM(F173:F175)</f>
        <v>382626743</v>
      </c>
      <c r="G176" s="549">
        <f t="shared" si="52"/>
        <v>211561419</v>
      </c>
      <c r="H176" s="541">
        <f t="shared" si="52"/>
        <v>0</v>
      </c>
      <c r="I176" s="542">
        <f t="shared" si="52"/>
        <v>171065324</v>
      </c>
      <c r="J176" s="348">
        <f t="shared" si="52"/>
        <v>382626743</v>
      </c>
      <c r="K176" s="348">
        <f t="shared" si="52"/>
        <v>0</v>
      </c>
    </row>
    <row r="177" spans="1:11">
      <c r="A177" s="333">
        <v>15</v>
      </c>
      <c r="D177" s="344"/>
      <c r="E177" s="196"/>
      <c r="G177" s="547"/>
      <c r="H177" s="537"/>
      <c r="I177" s="538"/>
    </row>
    <row r="178" spans="1:11">
      <c r="A178" s="333">
        <v>16</v>
      </c>
      <c r="B178" s="332" t="s">
        <v>430</v>
      </c>
      <c r="D178" s="344"/>
      <c r="E178" s="196"/>
      <c r="F178" s="347">
        <f t="shared" ref="F178:K178" si="53">F176+F171+F166</f>
        <v>382626743</v>
      </c>
      <c r="G178" s="548">
        <f t="shared" si="53"/>
        <v>211561419</v>
      </c>
      <c r="H178" s="539">
        <f t="shared" si="53"/>
        <v>0</v>
      </c>
      <c r="I178" s="540">
        <f t="shared" si="53"/>
        <v>171065324</v>
      </c>
      <c r="J178" s="347">
        <f t="shared" si="53"/>
        <v>382626743</v>
      </c>
      <c r="K178" s="347">
        <f t="shared" si="53"/>
        <v>0</v>
      </c>
    </row>
    <row r="179" spans="1:11">
      <c r="A179" s="333">
        <v>17</v>
      </c>
      <c r="B179" s="332" t="s">
        <v>24</v>
      </c>
      <c r="D179" s="344"/>
      <c r="E179" s="196"/>
      <c r="F179" s="347">
        <f t="shared" ref="F179:K179" si="54">F176+F171</f>
        <v>382626743</v>
      </c>
      <c r="G179" s="548">
        <f t="shared" si="54"/>
        <v>211561419</v>
      </c>
      <c r="H179" s="539">
        <f t="shared" si="54"/>
        <v>0</v>
      </c>
      <c r="I179" s="540">
        <f t="shared" si="54"/>
        <v>171065324</v>
      </c>
      <c r="J179" s="347">
        <f t="shared" si="54"/>
        <v>382626743</v>
      </c>
      <c r="K179" s="347">
        <f t="shared" si="54"/>
        <v>0</v>
      </c>
    </row>
    <row r="180" spans="1:11">
      <c r="A180" s="333">
        <v>18</v>
      </c>
      <c r="D180" s="344"/>
      <c r="E180" s="196"/>
      <c r="G180" s="547"/>
      <c r="H180" s="537"/>
      <c r="I180" s="538"/>
    </row>
    <row r="181" spans="1:11">
      <c r="A181" s="333">
        <v>19</v>
      </c>
      <c r="B181" s="332" t="s">
        <v>20</v>
      </c>
      <c r="D181" s="344"/>
      <c r="E181" s="196"/>
      <c r="G181" s="547"/>
      <c r="H181" s="537"/>
      <c r="I181" s="538"/>
    </row>
    <row r="182" spans="1:11">
      <c r="A182" s="333">
        <v>20</v>
      </c>
      <c r="C182" s="332" t="str">
        <f>'FR-16(7)(v)-1 Functional'!C182</f>
        <v>GEN &amp; INTANG PLANT IN SERVICE</v>
      </c>
      <c r="D182" s="344"/>
      <c r="E182" s="196"/>
      <c r="F182" s="347">
        <f>F90</f>
        <v>21937419</v>
      </c>
      <c r="G182" s="548">
        <f>G90</f>
        <v>8788596</v>
      </c>
      <c r="H182" s="539">
        <f>H90</f>
        <v>0</v>
      </c>
      <c r="I182" s="540">
        <f>I90</f>
        <v>13148823</v>
      </c>
      <c r="J182" s="347">
        <f>J90</f>
        <v>21937419</v>
      </c>
      <c r="K182" s="347">
        <f>F182-J182</f>
        <v>0</v>
      </c>
    </row>
    <row r="183" spans="1:11">
      <c r="A183" s="333">
        <v>21</v>
      </c>
      <c r="C183" s="359" t="str">
        <f>'FR-16(7)(v)-1 Functional'!C183</f>
        <v>TOTAL GEN &amp; INTG DEPREC RESERVE</v>
      </c>
      <c r="D183" s="344"/>
      <c r="E183" s="196"/>
      <c r="F183" s="347">
        <f>-F140</f>
        <v>-8455178</v>
      </c>
      <c r="G183" s="548">
        <f>-G140</f>
        <v>-3387324</v>
      </c>
      <c r="H183" s="539">
        <f>-H140</f>
        <v>0</v>
      </c>
      <c r="I183" s="540">
        <f>-I140</f>
        <v>-5067854</v>
      </c>
      <c r="J183" s="347">
        <f>-J140</f>
        <v>-8455178</v>
      </c>
      <c r="K183" s="347">
        <f>F183-J183</f>
        <v>0</v>
      </c>
    </row>
    <row r="184" spans="1:11">
      <c r="A184" s="333">
        <v>22</v>
      </c>
      <c r="C184" s="332" t="str">
        <f>'FR-16(7)(v)-1 Functional'!C184</f>
        <v xml:space="preserve">  NET GENERAL &amp; INTANG PLANT</v>
      </c>
      <c r="D184" s="344"/>
      <c r="E184" s="196"/>
      <c r="F184" s="348">
        <f t="shared" ref="F184:K184" si="55">SUM(F181:F183)</f>
        <v>13482241</v>
      </c>
      <c r="G184" s="549">
        <f t="shared" si="55"/>
        <v>5401272</v>
      </c>
      <c r="H184" s="541">
        <f t="shared" si="55"/>
        <v>0</v>
      </c>
      <c r="I184" s="542">
        <f t="shared" si="55"/>
        <v>8080969</v>
      </c>
      <c r="J184" s="348">
        <f t="shared" si="55"/>
        <v>13482241</v>
      </c>
      <c r="K184" s="348">
        <f t="shared" si="55"/>
        <v>0</v>
      </c>
    </row>
    <row r="185" spans="1:11">
      <c r="A185" s="333">
        <v>23</v>
      </c>
      <c r="D185" s="344"/>
      <c r="E185" s="196"/>
      <c r="F185" s="347"/>
      <c r="G185" s="548"/>
      <c r="H185" s="539"/>
      <c r="I185" s="540"/>
      <c r="J185" s="347"/>
    </row>
    <row r="186" spans="1:11">
      <c r="A186" s="333">
        <v>24</v>
      </c>
      <c r="B186" s="332" t="s">
        <v>21</v>
      </c>
      <c r="D186" s="344"/>
      <c r="E186" s="196"/>
      <c r="F186" s="347"/>
      <c r="G186" s="548"/>
      <c r="H186" s="539"/>
      <c r="I186" s="540"/>
      <c r="J186" s="347"/>
    </row>
    <row r="187" spans="1:11">
      <c r="A187" s="333">
        <v>25</v>
      </c>
      <c r="C187" s="332" t="str">
        <f>'FR-16(7)(v)-1 Functional'!C187</f>
        <v>COMMON &amp; OTH PLT IN SERVICE</v>
      </c>
      <c r="D187" s="344"/>
      <c r="E187" s="196"/>
      <c r="F187" s="347">
        <f>F99</f>
        <v>11546997</v>
      </c>
      <c r="G187" s="548">
        <f>G99</f>
        <v>4625972</v>
      </c>
      <c r="H187" s="539">
        <f>H99</f>
        <v>0</v>
      </c>
      <c r="I187" s="540">
        <f>I99</f>
        <v>6921025</v>
      </c>
      <c r="J187" s="347">
        <f>J99</f>
        <v>11546997</v>
      </c>
      <c r="K187" s="347">
        <f>F187-J187</f>
        <v>0</v>
      </c>
    </row>
    <row r="188" spans="1:11">
      <c r="A188" s="333">
        <v>26</v>
      </c>
      <c r="C188" s="359" t="str">
        <f>'FR-16(7)(v)-1 Functional'!C188</f>
        <v>TOTAL COM &amp; OTH DEPREC RESERVE</v>
      </c>
      <c r="D188" s="344"/>
      <c r="E188" s="196"/>
      <c r="F188" s="347">
        <f>-F149</f>
        <v>-9522745</v>
      </c>
      <c r="G188" s="548">
        <f>-G149</f>
        <v>-3815014</v>
      </c>
      <c r="H188" s="539">
        <f>-H149</f>
        <v>0</v>
      </c>
      <c r="I188" s="540">
        <f>-I149</f>
        <v>-5707731</v>
      </c>
      <c r="J188" s="347">
        <f>-J149</f>
        <v>-9522745</v>
      </c>
      <c r="K188" s="347">
        <f>F188-J188</f>
        <v>0</v>
      </c>
    </row>
    <row r="189" spans="1:11">
      <c r="A189" s="333">
        <v>27</v>
      </c>
      <c r="C189" s="332" t="str">
        <f>'FR-16(7)(v)-1 Functional'!C189</f>
        <v xml:space="preserve">  NET COMMON &amp; OTHER PLANT</v>
      </c>
      <c r="D189" s="344"/>
      <c r="E189" s="196"/>
      <c r="F189" s="348">
        <f t="shared" ref="F189:K189" si="56">SUM(F186:F188)</f>
        <v>2024252</v>
      </c>
      <c r="G189" s="549">
        <f t="shared" si="56"/>
        <v>810958</v>
      </c>
      <c r="H189" s="541">
        <f t="shared" si="56"/>
        <v>0</v>
      </c>
      <c r="I189" s="542">
        <f t="shared" si="56"/>
        <v>1213294</v>
      </c>
      <c r="J189" s="348">
        <f t="shared" si="56"/>
        <v>2024252</v>
      </c>
      <c r="K189" s="348">
        <f t="shared" si="56"/>
        <v>0</v>
      </c>
    </row>
    <row r="190" spans="1:11">
      <c r="A190" s="333">
        <v>28</v>
      </c>
      <c r="D190" s="344"/>
      <c r="E190" s="196"/>
      <c r="F190" s="347"/>
      <c r="G190" s="548"/>
      <c r="H190" s="539"/>
      <c r="I190" s="540"/>
      <c r="J190" s="347"/>
      <c r="K190" s="347"/>
    </row>
    <row r="191" spans="1:11">
      <c r="A191" s="333">
        <v>29</v>
      </c>
      <c r="C191" s="332" t="str">
        <f>'FR-16(7)(v)-1 Functional'!C191</f>
        <v>NET GAS PLANT IN SERVICE</v>
      </c>
      <c r="D191" s="344"/>
      <c r="E191" s="196"/>
      <c r="F191" s="347">
        <f t="shared" ref="F191:K191" si="57">F189+F184+F176+F171+F166</f>
        <v>398133236</v>
      </c>
      <c r="G191" s="550">
        <f t="shared" si="57"/>
        <v>217773649</v>
      </c>
      <c r="H191" s="543">
        <f t="shared" si="57"/>
        <v>0</v>
      </c>
      <c r="I191" s="544">
        <f t="shared" si="57"/>
        <v>180359587</v>
      </c>
      <c r="J191" s="347">
        <f t="shared" si="57"/>
        <v>398133236</v>
      </c>
      <c r="K191" s="347">
        <f t="shared" si="57"/>
        <v>0</v>
      </c>
    </row>
    <row r="192" spans="1:11">
      <c r="B192" s="343"/>
      <c r="C192" s="196"/>
      <c r="D192" s="344"/>
      <c r="E192" s="196"/>
      <c r="F192" s="196"/>
      <c r="G192" s="196"/>
      <c r="H192" s="196"/>
      <c r="I192" s="196"/>
      <c r="J192" s="196"/>
      <c r="K192" s="196"/>
    </row>
    <row r="193" spans="1:11">
      <c r="A193" s="343" t="str">
        <f>co_name</f>
        <v>DUKE ENERGY KENTUCKY, INC.</v>
      </c>
      <c r="C193" s="196"/>
      <c r="D193" s="344"/>
      <c r="E193" s="196"/>
      <c r="F193" s="196"/>
      <c r="G193" s="196"/>
      <c r="H193" s="196"/>
      <c r="I193" s="196"/>
      <c r="J193" s="196" t="str">
        <f>$J$1</f>
        <v>FR-16(7)(v)-4</v>
      </c>
      <c r="K193" s="196"/>
    </row>
    <row r="194" spans="1:11">
      <c r="A194" s="343" t="str">
        <f>$A$2</f>
        <v>DISTRIBUTION CLASSIFIED - GAS COST OF SERVICE</v>
      </c>
      <c r="C194" s="196"/>
      <c r="D194" s="344"/>
      <c r="E194" s="196"/>
      <c r="F194" s="196"/>
      <c r="G194" s="196"/>
      <c r="H194" s="196"/>
      <c r="I194" s="196"/>
      <c r="J194" s="196" t="str">
        <f>$J$2</f>
        <v>WITNESS RESPONSIBLE:</v>
      </c>
      <c r="K194" s="196"/>
    </row>
    <row r="195" spans="1:11">
      <c r="A195" s="343" t="str">
        <f>case_name</f>
        <v>CASE NO: 2018-00261</v>
      </c>
      <c r="C195" s="196"/>
      <c r="D195" s="344"/>
      <c r="E195" s="196"/>
      <c r="F195" s="196"/>
      <c r="G195" s="196"/>
      <c r="H195" s="196"/>
      <c r="I195" s="196"/>
      <c r="J195" s="196" t="str">
        <f>Witness</f>
        <v>JAMES E. ZIOLKOWSKI</v>
      </c>
      <c r="K195" s="196"/>
    </row>
    <row r="196" spans="1:11">
      <c r="A196" s="343" t="str">
        <f>data_filing</f>
        <v>DATA: 12 MONTH FORECASTED PERIOD</v>
      </c>
      <c r="C196" s="196"/>
      <c r="D196" s="344"/>
      <c r="E196" s="196"/>
      <c r="F196" s="196"/>
      <c r="G196" s="196"/>
      <c r="H196" s="196"/>
      <c r="I196" s="196"/>
      <c r="J196" s="196" t="str">
        <f>"PAGE "&amp;Pages-13&amp;" OF "&amp;Pages</f>
        <v>PAGE 5 OF 18</v>
      </c>
      <c r="K196" s="196"/>
    </row>
    <row r="197" spans="1:11">
      <c r="A197" s="343" t="str">
        <f>type</f>
        <v xml:space="preserve">TYPE OF FILING: "X" ORIGINAL   UPDATED    REVISED  </v>
      </c>
      <c r="C197" s="196"/>
      <c r="D197" s="344"/>
      <c r="E197" s="196"/>
      <c r="F197" s="196"/>
      <c r="G197" s="196"/>
      <c r="H197" s="196"/>
      <c r="I197" s="196"/>
      <c r="J197" s="196"/>
      <c r="K197" s="196"/>
    </row>
    <row r="198" spans="1:11">
      <c r="B198" s="343"/>
      <c r="C198" s="196"/>
      <c r="D198" s="344"/>
      <c r="E198" s="196"/>
      <c r="F198" s="196"/>
      <c r="G198" s="196"/>
      <c r="H198" s="196"/>
      <c r="I198" s="196"/>
      <c r="J198" s="196"/>
      <c r="K198" s="196"/>
    </row>
    <row r="199" spans="1:11">
      <c r="B199" s="343"/>
      <c r="C199" s="196"/>
      <c r="D199" s="344"/>
      <c r="E199" s="196"/>
      <c r="F199" s="196"/>
      <c r="G199" s="196"/>
      <c r="H199" s="196"/>
      <c r="I199" s="196"/>
      <c r="J199" s="196"/>
      <c r="K199" s="196"/>
    </row>
    <row r="200" spans="1:11">
      <c r="A200" s="344" t="s">
        <v>914</v>
      </c>
      <c r="B200" s="196"/>
      <c r="C200" s="196"/>
      <c r="D200" s="344"/>
      <c r="E200" s="196"/>
      <c r="F200" s="344" t="s">
        <v>229</v>
      </c>
      <c r="G200" s="545" t="s">
        <v>1005</v>
      </c>
      <c r="H200" s="533"/>
      <c r="I200" s="534"/>
      <c r="J200" s="344" t="s">
        <v>229</v>
      </c>
      <c r="K200" s="344" t="s">
        <v>342</v>
      </c>
    </row>
    <row r="201" spans="1:11">
      <c r="A201" s="346" t="s">
        <v>915</v>
      </c>
      <c r="B201" s="345" t="s">
        <v>953</v>
      </c>
      <c r="C201" s="345"/>
      <c r="D201" s="346" t="s">
        <v>337</v>
      </c>
      <c r="E201" s="345"/>
      <c r="F201" s="346" t="s">
        <v>846</v>
      </c>
      <c r="G201" s="546" t="s">
        <v>847</v>
      </c>
      <c r="H201" s="535" t="s">
        <v>848</v>
      </c>
      <c r="I201" s="536" t="s">
        <v>849</v>
      </c>
      <c r="J201" s="346" t="s">
        <v>341</v>
      </c>
      <c r="K201" s="346" t="s">
        <v>340</v>
      </c>
    </row>
    <row r="202" spans="1:11">
      <c r="C202" s="578" t="s">
        <v>347</v>
      </c>
      <c r="D202" s="344"/>
      <c r="E202" s="196"/>
      <c r="G202" s="800">
        <f>$G$10</f>
        <v>3</v>
      </c>
      <c r="H202" s="801">
        <f>$H$10</f>
        <v>4</v>
      </c>
      <c r="I202" s="802">
        <f>$I$10</f>
        <v>5</v>
      </c>
    </row>
    <row r="203" spans="1:11">
      <c r="A203" s="333">
        <v>1</v>
      </c>
      <c r="B203" s="332" t="s">
        <v>26</v>
      </c>
      <c r="D203" s="344"/>
      <c r="E203" s="196"/>
      <c r="G203" s="547"/>
      <c r="H203" s="537"/>
      <c r="I203" s="538"/>
    </row>
    <row r="204" spans="1:11">
      <c r="A204" s="333">
        <v>2</v>
      </c>
      <c r="B204" s="332" t="s">
        <v>823</v>
      </c>
      <c r="D204" s="344"/>
      <c r="E204" s="196"/>
      <c r="G204" s="547"/>
      <c r="H204" s="537"/>
      <c r="I204" s="538"/>
    </row>
    <row r="205" spans="1:11">
      <c r="A205" s="333">
        <v>3</v>
      </c>
      <c r="B205" s="332" t="s">
        <v>27</v>
      </c>
      <c r="D205" s="344"/>
      <c r="E205" s="196"/>
      <c r="G205" s="547"/>
      <c r="H205" s="537"/>
      <c r="I205" s="538"/>
    </row>
    <row r="206" spans="1:11">
      <c r="A206" s="333">
        <v>4</v>
      </c>
      <c r="C206" s="332" t="str">
        <f>'FR-16(7)(v)-1 Functional'!C206</f>
        <v>LIBERALIZED DEPRECIATION</v>
      </c>
      <c r="D206" s="344" t="str">
        <f>'FR-16(7)(v)-1 Functional'!D206</f>
        <v>NP29</v>
      </c>
      <c r="E206" s="332" t="s">
        <v>343</v>
      </c>
      <c r="F206" s="479">
        <f>'FR-16(7)(v)-1 Functional'!I206</f>
        <v>52427259</v>
      </c>
      <c r="G206" s="548">
        <f t="shared" ref="G206:G214" si="58">F206-SUM(H206:I206)</f>
        <v>28677186</v>
      </c>
      <c r="H206" s="539">
        <f t="shared" ref="H206:H214" si="59">ROUND(F206*VLOOKUP(D206,Alloctable_Classified_Distribution,$H$10,FALSE),0)</f>
        <v>0</v>
      </c>
      <c r="I206" s="540">
        <f t="shared" ref="I206:I214" si="60">ROUND(F206*VLOOKUP(D206,Alloctable_Classified_Distribution,$I$10,FALSE),0)</f>
        <v>23750073</v>
      </c>
      <c r="J206" s="347">
        <f t="shared" ref="J206:J214" si="61">SUM(G206:I206)</f>
        <v>52427259</v>
      </c>
      <c r="K206" s="347">
        <f t="shared" ref="K206:K214" si="62">F206-J206</f>
        <v>0</v>
      </c>
    </row>
    <row r="207" spans="1:11">
      <c r="A207" s="333">
        <v>5</v>
      </c>
      <c r="C207" s="332" t="str">
        <f>'FR-16(7)(v)-1 Functional'!C207</f>
        <v>LEASED METERS</v>
      </c>
      <c r="D207" s="344" t="str">
        <f>'FR-16(7)(v)-1 Functional'!D207</f>
        <v>K413</v>
      </c>
      <c r="E207" s="332" t="s">
        <v>343</v>
      </c>
      <c r="F207" s="479">
        <f>'FR-16(7)(v)-1 Functional'!I207</f>
        <v>1689651</v>
      </c>
      <c r="G207" s="548">
        <f t="shared" si="58"/>
        <v>0</v>
      </c>
      <c r="H207" s="539">
        <f t="shared" si="59"/>
        <v>0</v>
      </c>
      <c r="I207" s="540">
        <f t="shared" si="60"/>
        <v>1689651</v>
      </c>
      <c r="J207" s="347">
        <f t="shared" si="61"/>
        <v>1689651</v>
      </c>
      <c r="K207" s="347">
        <f t="shared" si="62"/>
        <v>0</v>
      </c>
    </row>
    <row r="208" spans="1:11">
      <c r="A208" s="333">
        <v>6</v>
      </c>
      <c r="C208" s="332" t="str">
        <f>'FR-16(7)(v)-1 Functional'!C208</f>
        <v>CONTRIB AID CONSTR</v>
      </c>
      <c r="D208" s="344" t="str">
        <f>'FR-16(7)(v)-1 Functional'!D208</f>
        <v>D249</v>
      </c>
      <c r="E208" s="332" t="s">
        <v>343</v>
      </c>
      <c r="F208" s="479">
        <f>'FR-16(7)(v)-1 Functional'!I208</f>
        <v>-185094</v>
      </c>
      <c r="G208" s="548">
        <f t="shared" si="58"/>
        <v>-102342</v>
      </c>
      <c r="H208" s="539">
        <f t="shared" si="59"/>
        <v>0</v>
      </c>
      <c r="I208" s="540">
        <f t="shared" si="60"/>
        <v>-82752</v>
      </c>
      <c r="J208" s="347">
        <f t="shared" si="61"/>
        <v>-185094</v>
      </c>
      <c r="K208" s="347">
        <f t="shared" si="62"/>
        <v>0</v>
      </c>
    </row>
    <row r="209" spans="1:11">
      <c r="A209" s="333">
        <v>7</v>
      </c>
      <c r="C209" s="332" t="str">
        <f>'FR-16(7)(v)-1 Functional'!C209</f>
        <v>CAPITALIZED INTEREST</v>
      </c>
      <c r="D209" s="344" t="str">
        <f>'FR-16(7)(v)-1 Functional'!D209</f>
        <v>NP29</v>
      </c>
      <c r="E209" s="332" t="s">
        <v>343</v>
      </c>
      <c r="F209" s="479">
        <f>'FR-16(7)(v)-1 Functional'!I209</f>
        <v>-932199</v>
      </c>
      <c r="G209" s="548">
        <f t="shared" si="58"/>
        <v>-509904</v>
      </c>
      <c r="H209" s="539">
        <f t="shared" si="59"/>
        <v>0</v>
      </c>
      <c r="I209" s="540">
        <f t="shared" si="60"/>
        <v>-422295</v>
      </c>
      <c r="J209" s="347">
        <f t="shared" si="61"/>
        <v>-932199</v>
      </c>
      <c r="K209" s="347">
        <f t="shared" si="62"/>
        <v>0</v>
      </c>
    </row>
    <row r="210" spans="1:11">
      <c r="A210" s="333">
        <v>8</v>
      </c>
      <c r="C210" s="332" t="str">
        <f>'FR-16(7)(v)-1 Functional'!C210</f>
        <v>AFUDC IN DEBT</v>
      </c>
      <c r="D210" s="344" t="str">
        <f>'FR-16(7)(v)-1 Functional'!D210</f>
        <v>NP29</v>
      </c>
      <c r="E210" s="332" t="s">
        <v>343</v>
      </c>
      <c r="F210" s="479">
        <f>'FR-16(7)(v)-1 Functional'!I210</f>
        <v>251339</v>
      </c>
      <c r="G210" s="548">
        <f t="shared" si="58"/>
        <v>137480</v>
      </c>
      <c r="H210" s="539">
        <f t="shared" si="59"/>
        <v>0</v>
      </c>
      <c r="I210" s="540">
        <f t="shared" si="60"/>
        <v>113859</v>
      </c>
      <c r="J210" s="347">
        <f t="shared" si="61"/>
        <v>251339</v>
      </c>
      <c r="K210" s="347">
        <f t="shared" si="62"/>
        <v>0</v>
      </c>
    </row>
    <row r="211" spans="1:11">
      <c r="A211" s="333">
        <v>9</v>
      </c>
      <c r="C211" s="332" t="str">
        <f>'FR-16(7)(v)-1 Functional'!C211</f>
        <v>CWIP DIFFERENCES</v>
      </c>
      <c r="D211" s="344" t="str">
        <f>'FR-16(7)(v)-1 Functional'!D211</f>
        <v>NP29</v>
      </c>
      <c r="E211" s="332" t="s">
        <v>343</v>
      </c>
      <c r="F211" s="479">
        <f>'FR-16(7)(v)-1 Functional'!I211</f>
        <v>0</v>
      </c>
      <c r="G211" s="548">
        <f t="shared" si="58"/>
        <v>0</v>
      </c>
      <c r="H211" s="539">
        <f t="shared" si="59"/>
        <v>0</v>
      </c>
      <c r="I211" s="540">
        <f t="shared" si="60"/>
        <v>0</v>
      </c>
      <c r="J211" s="347">
        <f t="shared" si="61"/>
        <v>0</v>
      </c>
      <c r="K211" s="347">
        <f t="shared" si="62"/>
        <v>0</v>
      </c>
    </row>
    <row r="212" spans="1:11">
      <c r="A212" s="333">
        <v>10</v>
      </c>
      <c r="C212" s="332" t="str">
        <f>'FR-16(7)(v)-1 Functional'!C212</f>
        <v>NON-CASH OVERHEADS</v>
      </c>
      <c r="D212" s="344" t="str">
        <f>'FR-16(7)(v)-1 Functional'!D212</f>
        <v>AG39</v>
      </c>
      <c r="E212" s="332" t="s">
        <v>343</v>
      </c>
      <c r="F212" s="479">
        <f>'FR-16(7)(v)-1 Functional'!I212</f>
        <v>-481486</v>
      </c>
      <c r="G212" s="548">
        <f t="shared" si="58"/>
        <v>-192893</v>
      </c>
      <c r="H212" s="539">
        <f t="shared" si="59"/>
        <v>0</v>
      </c>
      <c r="I212" s="540">
        <f t="shared" si="60"/>
        <v>-288593</v>
      </c>
      <c r="J212" s="347">
        <f t="shared" si="61"/>
        <v>-481486</v>
      </c>
      <c r="K212" s="347">
        <f t="shared" si="62"/>
        <v>0</v>
      </c>
    </row>
    <row r="213" spans="1:11">
      <c r="A213" s="333">
        <v>11</v>
      </c>
      <c r="C213" s="332" t="str">
        <f>'FR-16(7)(v)-1 Functional'!C213</f>
        <v>PLANT FAS 109</v>
      </c>
      <c r="D213" s="344" t="str">
        <f>'FR-16(7)(v)-1 Functional'!D213</f>
        <v>NP29</v>
      </c>
      <c r="E213" s="332" t="s">
        <v>343</v>
      </c>
      <c r="F213" s="479">
        <f>'FR-16(7)(v)-1 Functional'!I213</f>
        <v>0</v>
      </c>
      <c r="G213" s="548">
        <f t="shared" si="58"/>
        <v>0</v>
      </c>
      <c r="H213" s="539">
        <f t="shared" si="59"/>
        <v>0</v>
      </c>
      <c r="I213" s="540">
        <f t="shared" si="60"/>
        <v>0</v>
      </c>
      <c r="J213" s="347">
        <f t="shared" si="61"/>
        <v>0</v>
      </c>
      <c r="K213" s="347">
        <f t="shared" si="62"/>
        <v>0</v>
      </c>
    </row>
    <row r="214" spans="1:11">
      <c r="A214" s="333">
        <v>12</v>
      </c>
      <c r="C214" s="365" t="str">
        <f>'FR-16(7)(v)-1 Functional'!C214</f>
        <v>MISCELLANEOUS</v>
      </c>
      <c r="D214" s="344" t="str">
        <f>'FR-16(7)(v)-1 Functional'!D214</f>
        <v>AG39</v>
      </c>
      <c r="F214" s="479">
        <f>'FR-16(7)(v)-1 Functional'!I214</f>
        <v>8477939</v>
      </c>
      <c r="G214" s="548">
        <f t="shared" si="58"/>
        <v>3396432</v>
      </c>
      <c r="H214" s="539">
        <f t="shared" si="59"/>
        <v>0</v>
      </c>
      <c r="I214" s="540">
        <f t="shared" si="60"/>
        <v>5081507</v>
      </c>
      <c r="J214" s="347">
        <f t="shared" si="61"/>
        <v>8477939</v>
      </c>
      <c r="K214" s="347">
        <f t="shared" si="62"/>
        <v>0</v>
      </c>
    </row>
    <row r="215" spans="1:11">
      <c r="A215" s="333">
        <v>13</v>
      </c>
      <c r="C215" s="339" t="str">
        <f>'FR-16(7)(v)-1 Functional'!C215</f>
        <v xml:space="preserve">  TOTAL ACCOUNT 282</v>
      </c>
      <c r="D215" s="344"/>
      <c r="F215" s="348">
        <f t="shared" ref="F215:K215" si="63">SUM(F206:F214)</f>
        <v>61247409</v>
      </c>
      <c r="G215" s="549">
        <f t="shared" si="63"/>
        <v>31405959</v>
      </c>
      <c r="H215" s="541">
        <f t="shared" si="63"/>
        <v>0</v>
      </c>
      <c r="I215" s="542">
        <f t="shared" si="63"/>
        <v>29841450</v>
      </c>
      <c r="J215" s="348">
        <f t="shared" si="63"/>
        <v>61247409</v>
      </c>
      <c r="K215" s="348">
        <f t="shared" si="63"/>
        <v>0</v>
      </c>
    </row>
    <row r="216" spans="1:11">
      <c r="A216" s="333">
        <v>14</v>
      </c>
      <c r="D216" s="344"/>
      <c r="E216" s="196"/>
      <c r="G216" s="547"/>
      <c r="H216" s="537"/>
      <c r="I216" s="538"/>
    </row>
    <row r="217" spans="1:11">
      <c r="A217" s="333">
        <v>15</v>
      </c>
      <c r="B217" s="332" t="s">
        <v>28</v>
      </c>
      <c r="D217" s="344"/>
      <c r="E217" s="196"/>
      <c r="G217" s="547"/>
      <c r="H217" s="537"/>
      <c r="I217" s="538"/>
    </row>
    <row r="218" spans="1:11">
      <c r="A218" s="333">
        <v>16</v>
      </c>
      <c r="C218" s="332" t="str">
        <f>'FR-16(7)(v)-1 Functional'!C218</f>
        <v>BLANK</v>
      </c>
      <c r="D218" s="344" t="str">
        <f>'FR-16(7)(v)-1 Functional'!D218</f>
        <v>K413</v>
      </c>
      <c r="F218" s="479">
        <f>'FR-16(7)(v)-1 Functional'!I218</f>
        <v>0</v>
      </c>
      <c r="G218" s="548">
        <f t="shared" ref="G218:G228" si="64">F218-SUM(H218:I218)</f>
        <v>0</v>
      </c>
      <c r="H218" s="539">
        <f t="shared" ref="H218:H225" si="65">ROUND(F218*VLOOKUP(D218,Alloctable_Classified_Distribution,$H$10,FALSE),0)</f>
        <v>0</v>
      </c>
      <c r="I218" s="540">
        <f t="shared" ref="I218:I225" si="66">ROUND(F218*VLOOKUP(D218,Alloctable_Classified_Distribution,$I$10,FALSE),0)</f>
        <v>0</v>
      </c>
      <c r="J218" s="347">
        <f t="shared" ref="J218:J228" si="67">SUM(G218:I218)</f>
        <v>0</v>
      </c>
      <c r="K218" s="347">
        <f t="shared" ref="K218:K228" si="68">F218-J218</f>
        <v>0</v>
      </c>
    </row>
    <row r="219" spans="1:11">
      <c r="A219" s="333">
        <v>17</v>
      </c>
      <c r="C219" s="332" t="str">
        <f>'FR-16(7)(v)-1 Functional'!C219</f>
        <v>BLANK</v>
      </c>
      <c r="D219" s="344" t="str">
        <f>'FR-16(7)(v)-1 Functional'!D219</f>
        <v>K413</v>
      </c>
      <c r="F219" s="479">
        <f>'FR-16(7)(v)-1 Functional'!I219</f>
        <v>0</v>
      </c>
      <c r="G219" s="548">
        <f t="shared" si="64"/>
        <v>0</v>
      </c>
      <c r="H219" s="539">
        <f t="shared" si="65"/>
        <v>0</v>
      </c>
      <c r="I219" s="540">
        <f t="shared" si="66"/>
        <v>0</v>
      </c>
      <c r="J219" s="347">
        <f t="shared" si="67"/>
        <v>0</v>
      </c>
      <c r="K219" s="347">
        <f t="shared" si="68"/>
        <v>0</v>
      </c>
    </row>
    <row r="220" spans="1:11">
      <c r="A220" s="333">
        <v>18</v>
      </c>
      <c r="C220" s="332" t="str">
        <f>'FR-16(7)(v)-1 Functional'!C220</f>
        <v>UNRECOVERED PURCHASED GAS COST</v>
      </c>
      <c r="D220" s="344" t="str">
        <f>'FR-16(7)(v)-1 Functional'!D220</f>
        <v>AG39</v>
      </c>
      <c r="F220" s="479">
        <f>'FR-16(7)(v)-1 Functional'!I220</f>
        <v>17958</v>
      </c>
      <c r="G220" s="548">
        <f t="shared" si="64"/>
        <v>7194</v>
      </c>
      <c r="H220" s="539">
        <f t="shared" si="65"/>
        <v>0</v>
      </c>
      <c r="I220" s="540">
        <f t="shared" si="66"/>
        <v>10764</v>
      </c>
      <c r="J220" s="347">
        <f t="shared" si="67"/>
        <v>17958</v>
      </c>
      <c r="K220" s="347">
        <f t="shared" si="68"/>
        <v>0</v>
      </c>
    </row>
    <row r="221" spans="1:11">
      <c r="A221" s="333">
        <v>19</v>
      </c>
      <c r="C221" s="332" t="str">
        <f>'FR-16(7)(v)-1 Functional'!C221</f>
        <v>ENVIRONMENTAL RESERVE</v>
      </c>
      <c r="D221" s="344" t="str">
        <f>'FR-16(7)(v)-1 Functional'!D221</f>
        <v>NP29</v>
      </c>
      <c r="F221" s="479">
        <f>'FR-16(7)(v)-1 Functional'!I221</f>
        <v>0</v>
      </c>
      <c r="G221" s="548">
        <f t="shared" si="64"/>
        <v>0</v>
      </c>
      <c r="H221" s="539">
        <f t="shared" si="65"/>
        <v>0</v>
      </c>
      <c r="I221" s="540">
        <f t="shared" si="66"/>
        <v>0</v>
      </c>
      <c r="J221" s="347">
        <f t="shared" si="67"/>
        <v>0</v>
      </c>
      <c r="K221" s="347">
        <f t="shared" si="68"/>
        <v>0</v>
      </c>
    </row>
    <row r="222" spans="1:11">
      <c r="A222" s="333">
        <v>20</v>
      </c>
      <c r="C222" s="332" t="str">
        <f>'FR-16(7)(v)-1 Functional'!C222</f>
        <v>POST IN-SERVICE CARRYING COSTS</v>
      </c>
      <c r="D222" s="344" t="str">
        <f>'FR-16(7)(v)-1 Functional'!D222</f>
        <v>K667</v>
      </c>
      <c r="F222" s="479">
        <f>'FR-16(7)(v)-1 Functional'!I222</f>
        <v>0</v>
      </c>
      <c r="G222" s="548">
        <f t="shared" si="64"/>
        <v>0</v>
      </c>
      <c r="H222" s="539">
        <f t="shared" si="65"/>
        <v>0</v>
      </c>
      <c r="I222" s="540">
        <f t="shared" si="66"/>
        <v>0</v>
      </c>
      <c r="J222" s="347">
        <f t="shared" si="67"/>
        <v>0</v>
      </c>
      <c r="K222" s="347">
        <f t="shared" si="68"/>
        <v>0</v>
      </c>
    </row>
    <row r="223" spans="1:11">
      <c r="A223" s="333">
        <v>21</v>
      </c>
      <c r="C223" s="332" t="str">
        <f>'FR-16(7)(v)-1 Functional'!C223</f>
        <v>ARO CUMULATIVE EFFECT</v>
      </c>
      <c r="D223" s="344" t="str">
        <f>'FR-16(7)(v)-1 Functional'!D223</f>
        <v>NP29</v>
      </c>
      <c r="F223" s="479">
        <f>'FR-16(7)(v)-1 Functional'!I223</f>
        <v>0</v>
      </c>
      <c r="G223" s="548">
        <f t="shared" si="64"/>
        <v>0</v>
      </c>
      <c r="H223" s="539">
        <f t="shared" si="65"/>
        <v>0</v>
      </c>
      <c r="I223" s="540">
        <f t="shared" si="66"/>
        <v>0</v>
      </c>
      <c r="J223" s="347">
        <f t="shared" si="67"/>
        <v>0</v>
      </c>
      <c r="K223" s="347">
        <f t="shared" si="68"/>
        <v>0</v>
      </c>
    </row>
    <row r="224" spans="1:11">
      <c r="A224" s="333">
        <v>22</v>
      </c>
      <c r="C224" s="332" t="str">
        <f>'FR-16(7)(v)-1 Functional'!C224</f>
        <v>LOSS ON REACQUIRED DEBT</v>
      </c>
      <c r="D224" s="344" t="str">
        <f>'FR-16(7)(v)-1 Functional'!D224</f>
        <v>NP29</v>
      </c>
      <c r="F224" s="479">
        <f>'FR-16(7)(v)-1 Functional'!I224</f>
        <v>16969</v>
      </c>
      <c r="G224" s="548">
        <f t="shared" si="64"/>
        <v>9282</v>
      </c>
      <c r="H224" s="539">
        <f t="shared" si="65"/>
        <v>0</v>
      </c>
      <c r="I224" s="540">
        <f t="shared" si="66"/>
        <v>7687</v>
      </c>
      <c r="J224" s="347">
        <f t="shared" si="67"/>
        <v>16969</v>
      </c>
      <c r="K224" s="347">
        <f t="shared" si="68"/>
        <v>0</v>
      </c>
    </row>
    <row r="225" spans="1:11">
      <c r="A225" s="333">
        <v>23</v>
      </c>
      <c r="C225" s="332" t="str">
        <f>'FR-16(7)(v)-1 Functional'!C225</f>
        <v>VACATION PAY ACCRUAL</v>
      </c>
      <c r="D225" s="344" t="str">
        <f>'FR-16(7)(v)-1 Functional'!D225</f>
        <v>AG39</v>
      </c>
      <c r="F225" s="479">
        <f>'FR-16(7)(v)-1 Functional'!I225</f>
        <v>82286</v>
      </c>
      <c r="G225" s="548">
        <f t="shared" si="64"/>
        <v>32965</v>
      </c>
      <c r="H225" s="539">
        <f t="shared" si="65"/>
        <v>0</v>
      </c>
      <c r="I225" s="540">
        <f t="shared" si="66"/>
        <v>49321</v>
      </c>
      <c r="J225" s="347">
        <f t="shared" si="67"/>
        <v>82286</v>
      </c>
      <c r="K225" s="347">
        <f t="shared" si="68"/>
        <v>0</v>
      </c>
    </row>
    <row r="226" spans="1:11">
      <c r="A226" s="333">
        <v>24</v>
      </c>
      <c r="C226" s="618" t="str">
        <f>'FR-16(7)(v)-1 Functional'!C226</f>
        <v>RATE CASE EXPENSE AMORT</v>
      </c>
      <c r="D226" s="344" t="str">
        <f>'FR-16(7)(v)-1 Functional'!D226</f>
        <v>AG39</v>
      </c>
      <c r="F226" s="479">
        <f>'FR-16(7)(v)-1 Functional'!I226</f>
        <v>-22495</v>
      </c>
      <c r="G226" s="548">
        <f>F226-SUM(H226:I226)</f>
        <v>-9012</v>
      </c>
      <c r="H226" s="539">
        <f>ROUND(F226*VLOOKUP(D226,Alloctable_Classified_Distribution,$H$10,FALSE),0)</f>
        <v>0</v>
      </c>
      <c r="I226" s="540">
        <f>ROUND(F226*VLOOKUP(D226,Alloctable_Classified_Distribution,$I$10,FALSE),0)</f>
        <v>-13483</v>
      </c>
      <c r="J226" s="347">
        <f>SUM(G226:I226)</f>
        <v>-22495</v>
      </c>
      <c r="K226" s="347">
        <f>F226-J226</f>
        <v>0</v>
      </c>
    </row>
    <row r="227" spans="1:11">
      <c r="A227" s="333">
        <v>25</v>
      </c>
      <c r="C227" s="332" t="str">
        <f>'FR-16(7)(v)-1 Functional'!C227</f>
        <v>PENSION</v>
      </c>
      <c r="D227" s="344" t="str">
        <f>'FR-16(7)(v)-1 Functional'!D227</f>
        <v>AG39</v>
      </c>
      <c r="F227" s="479">
        <f>'FR-16(7)(v)-1 Functional'!I227</f>
        <v>1437634</v>
      </c>
      <c r="G227" s="548">
        <f>F227-SUM(H227:I227)</f>
        <v>575945</v>
      </c>
      <c r="H227" s="539">
        <f>ROUND(F227*VLOOKUP(D227,Alloctable_Classified_Distribution,$H$10,FALSE),0)</f>
        <v>0</v>
      </c>
      <c r="I227" s="540">
        <f>ROUND(F227*VLOOKUP(D227,Alloctable_Classified_Distribution,$I$10,FALSE),0)</f>
        <v>861689</v>
      </c>
      <c r="J227" s="347">
        <f>SUM(G227:I227)</f>
        <v>1437634</v>
      </c>
      <c r="K227" s="347">
        <f>F227-J227</f>
        <v>0</v>
      </c>
    </row>
    <row r="228" spans="1:11">
      <c r="A228" s="333">
        <v>26</v>
      </c>
      <c r="C228" s="365" t="str">
        <f>'FR-16(7)(v)-1 Functional'!C228</f>
        <v>MISCELLANEOUS</v>
      </c>
      <c r="D228" s="344" t="str">
        <f>'FR-16(7)(v)-1 Functional'!D228</f>
        <v>K406</v>
      </c>
      <c r="F228" s="479">
        <f>'FR-16(7)(v)-1 Functional'!I228</f>
        <v>722522</v>
      </c>
      <c r="G228" s="548">
        <f t="shared" si="64"/>
        <v>0</v>
      </c>
      <c r="H228" s="539">
        <f>ROUND(F228*VLOOKUP(D228,Alloctable_Classified_Distribution,$H$10,FALSE),0)</f>
        <v>0</v>
      </c>
      <c r="I228" s="540">
        <f>ROUND(F228*VLOOKUP(D228,Alloctable_Classified_Distribution,$I$10,FALSE),0)</f>
        <v>722522</v>
      </c>
      <c r="J228" s="347">
        <f t="shared" si="67"/>
        <v>722522</v>
      </c>
      <c r="K228" s="347">
        <f t="shared" si="68"/>
        <v>0</v>
      </c>
    </row>
    <row r="229" spans="1:11">
      <c r="A229" s="333">
        <v>27</v>
      </c>
      <c r="C229" s="339" t="str">
        <f>'FR-16(7)(v)-1 Functional'!C229</f>
        <v xml:space="preserve">  TOTAL ACCOUNT 283</v>
      </c>
      <c r="D229" s="344"/>
      <c r="F229" s="348">
        <f t="shared" ref="F229:K229" si="69">SUM(F217:F228)</f>
        <v>2254874</v>
      </c>
      <c r="G229" s="549">
        <f t="shared" si="69"/>
        <v>616374</v>
      </c>
      <c r="H229" s="541">
        <f t="shared" si="69"/>
        <v>0</v>
      </c>
      <c r="I229" s="542">
        <f t="shared" si="69"/>
        <v>1638500</v>
      </c>
      <c r="J229" s="348">
        <f t="shared" si="69"/>
        <v>2254874</v>
      </c>
      <c r="K229" s="348">
        <f t="shared" si="69"/>
        <v>0</v>
      </c>
    </row>
    <row r="230" spans="1:11">
      <c r="A230" s="333">
        <v>28</v>
      </c>
      <c r="D230" s="344"/>
      <c r="E230" s="196"/>
      <c r="G230" s="547"/>
      <c r="H230" s="537"/>
      <c r="I230" s="538"/>
    </row>
    <row r="231" spans="1:11">
      <c r="A231" s="333">
        <v>29</v>
      </c>
      <c r="B231" s="353" t="s">
        <v>824</v>
      </c>
      <c r="C231" s="353"/>
      <c r="D231" s="344"/>
      <c r="E231" s="196"/>
      <c r="G231" s="547"/>
      <c r="H231" s="537"/>
      <c r="I231" s="538"/>
    </row>
    <row r="232" spans="1:11">
      <c r="A232" s="333">
        <v>30</v>
      </c>
      <c r="C232" s="332" t="str">
        <f>'FR-16(7)(v)-1 Functional'!C232</f>
        <v>CUSTOMER ADVANCES FOR CONSTRUCTION</v>
      </c>
      <c r="D232" s="344" t="s">
        <v>312</v>
      </c>
      <c r="E232" s="196"/>
      <c r="F232" s="479">
        <f>'FR-16(7)(v)-1 Functional'!I232</f>
        <v>1579329</v>
      </c>
      <c r="G232" s="548">
        <f>F232-SUM(H232:I232)</f>
        <v>873243</v>
      </c>
      <c r="H232" s="539">
        <f>ROUND(F232*VLOOKUP(D232,Alloctable_Classified_Distribution,$H$10,FALSE),0)</f>
        <v>0</v>
      </c>
      <c r="I232" s="540">
        <f>ROUND(F232*VLOOKUP(D232,Alloctable_Classified_Distribution,$I$10,FALSE),0)</f>
        <v>706086</v>
      </c>
      <c r="J232" s="347">
        <f>SUM(G232:I232)</f>
        <v>1579329</v>
      </c>
      <c r="K232" s="347">
        <f>F232-J232</f>
        <v>0</v>
      </c>
    </row>
    <row r="233" spans="1:11">
      <c r="A233" s="333">
        <v>31</v>
      </c>
      <c r="C233" s="332" t="str">
        <f>'FR-16(7)(v)-1 Functional'!C233</f>
        <v>CUSTOMER SERVICE DEPOSITS</v>
      </c>
      <c r="D233" s="344" t="str">
        <f>'FR-16(7)(v)-1 Functional'!D233</f>
        <v>D249</v>
      </c>
      <c r="E233" s="196"/>
      <c r="F233" s="479">
        <f>'FR-16(7)(v)-1 Functional'!I233</f>
        <v>0</v>
      </c>
      <c r="G233" s="548">
        <f>F233-SUM(H233:I233)</f>
        <v>0</v>
      </c>
      <c r="H233" s="539">
        <f>ROUND(F233*VLOOKUP(D233,Alloctable_Classified_Distribution,$H$10,FALSE),0)</f>
        <v>0</v>
      </c>
      <c r="I233" s="540">
        <f>ROUND(F233*VLOOKUP(D233,Alloctable_Classified_Distribution,$I$10,FALSE),0)</f>
        <v>0</v>
      </c>
      <c r="J233" s="347">
        <f>SUM(G233:I233)</f>
        <v>0</v>
      </c>
      <c r="K233" s="347">
        <f>F233-J233</f>
        <v>0</v>
      </c>
    </row>
    <row r="234" spans="1:11">
      <c r="A234" s="333">
        <v>32</v>
      </c>
      <c r="C234" s="332" t="str">
        <f>'FR-16(7)(v)-1 Functional'!C234</f>
        <v>POST RETIREMENT BENEFITS</v>
      </c>
      <c r="D234" s="344" t="str">
        <f>'FR-16(7)(v)-1 Functional'!D234</f>
        <v>AG39</v>
      </c>
      <c r="E234" s="196"/>
      <c r="F234" s="479">
        <f>'FR-16(7)(v)-1 Functional'!I234</f>
        <v>0</v>
      </c>
      <c r="G234" s="548">
        <f>F234-SUM(H234:I234)</f>
        <v>0</v>
      </c>
      <c r="H234" s="539">
        <f>ROUND(F234*VLOOKUP(D234,Alloctable_Classified_Distribution,$H$10,FALSE),0)</f>
        <v>0</v>
      </c>
      <c r="I234" s="540">
        <f>ROUND(F234*VLOOKUP(D234,Alloctable_Classified_Distribution,$I$10,FALSE),0)</f>
        <v>0</v>
      </c>
      <c r="J234" s="347">
        <f>SUM(G234:I234)</f>
        <v>0</v>
      </c>
      <c r="K234" s="347">
        <f>F234-J234</f>
        <v>0</v>
      </c>
    </row>
    <row r="235" spans="1:11">
      <c r="A235" s="333">
        <v>33</v>
      </c>
      <c r="C235" s="365" t="str">
        <f>'FR-16(7)(v)-1 Functional'!C235</f>
        <v>EDIT</v>
      </c>
      <c r="D235" s="344" t="str">
        <f>'FR-16(7)(v)-1 Functional'!D235</f>
        <v>NP29</v>
      </c>
      <c r="E235" s="196"/>
      <c r="F235" s="479">
        <f>'FR-16(7)(v)-1 Functional'!I235</f>
        <v>31089698</v>
      </c>
      <c r="G235" s="548">
        <f>F235-SUM(H235:I235)</f>
        <v>17005754</v>
      </c>
      <c r="H235" s="539">
        <f>ROUND(F235*VLOOKUP(D235,Alloctable_Classified_Distribution,$H$10,FALSE),0)</f>
        <v>0</v>
      </c>
      <c r="I235" s="540">
        <f>ROUND(F235*VLOOKUP(D235,Alloctable_Classified_Distribution,$I$10,FALSE),0)</f>
        <v>14083944</v>
      </c>
      <c r="J235" s="347">
        <f>SUM(G235:I235)</f>
        <v>31089698</v>
      </c>
      <c r="K235" s="347">
        <f>F235-J235</f>
        <v>0</v>
      </c>
    </row>
    <row r="236" spans="1:11">
      <c r="A236" s="333">
        <v>34</v>
      </c>
      <c r="C236" s="339" t="str">
        <f>'FR-16(7)(v)-1 Functional'!C236</f>
        <v xml:space="preserve">  TOTAL OTHER SUBTRACTIVE ADJS</v>
      </c>
      <c r="D236" s="344"/>
      <c r="E236" s="196"/>
      <c r="F236" s="348">
        <f t="shared" ref="F236:K236" si="70">SUM(F231:F235)</f>
        <v>32669027</v>
      </c>
      <c r="G236" s="549">
        <f t="shared" si="70"/>
        <v>17878997</v>
      </c>
      <c r="H236" s="541">
        <f t="shared" si="70"/>
        <v>0</v>
      </c>
      <c r="I236" s="542">
        <f t="shared" si="70"/>
        <v>14790030</v>
      </c>
      <c r="J236" s="348">
        <f t="shared" si="70"/>
        <v>32669027</v>
      </c>
      <c r="K236" s="348">
        <f t="shared" si="70"/>
        <v>0</v>
      </c>
    </row>
    <row r="237" spans="1:11">
      <c r="A237" s="333">
        <v>35</v>
      </c>
      <c r="D237" s="344"/>
      <c r="E237" s="196"/>
      <c r="G237" s="547"/>
      <c r="H237" s="537"/>
      <c r="I237" s="538"/>
    </row>
    <row r="238" spans="1:11">
      <c r="A238" s="333">
        <v>36</v>
      </c>
      <c r="B238" s="332" t="s">
        <v>828</v>
      </c>
      <c r="D238" s="344"/>
      <c r="E238" s="196"/>
      <c r="F238" s="347">
        <f t="shared" ref="F238:K238" si="71">F236+F229+F215</f>
        <v>96171310</v>
      </c>
      <c r="G238" s="550">
        <f t="shared" si="71"/>
        <v>49901330</v>
      </c>
      <c r="H238" s="543">
        <f t="shared" si="71"/>
        <v>0</v>
      </c>
      <c r="I238" s="544">
        <f t="shared" si="71"/>
        <v>46269980</v>
      </c>
      <c r="J238" s="347">
        <f t="shared" si="71"/>
        <v>96171310</v>
      </c>
      <c r="K238" s="347">
        <f t="shared" si="71"/>
        <v>0</v>
      </c>
    </row>
    <row r="239" spans="1:11">
      <c r="B239" s="343"/>
      <c r="C239" s="196"/>
      <c r="D239" s="344"/>
      <c r="E239" s="196"/>
      <c r="F239" s="196"/>
      <c r="G239" s="196"/>
      <c r="H239" s="196"/>
      <c r="I239" s="196"/>
      <c r="J239" s="196"/>
      <c r="K239" s="196"/>
    </row>
    <row r="240" spans="1:11">
      <c r="A240" s="343" t="str">
        <f>co_name</f>
        <v>DUKE ENERGY KENTUCKY, INC.</v>
      </c>
      <c r="C240" s="196"/>
      <c r="D240" s="344"/>
      <c r="E240" s="196"/>
      <c r="F240" s="196"/>
      <c r="G240" s="196"/>
      <c r="H240" s="196"/>
      <c r="I240" s="196"/>
      <c r="J240" s="196" t="str">
        <f>$J$1</f>
        <v>FR-16(7)(v)-4</v>
      </c>
      <c r="K240" s="196"/>
    </row>
    <row r="241" spans="1:11">
      <c r="A241" s="343" t="str">
        <f>$A$2</f>
        <v>DISTRIBUTION CLASSIFIED - GAS COST OF SERVICE</v>
      </c>
      <c r="C241" s="196"/>
      <c r="D241" s="344"/>
      <c r="E241" s="196"/>
      <c r="F241" s="196"/>
      <c r="G241" s="196"/>
      <c r="H241" s="196"/>
      <c r="I241" s="196"/>
      <c r="J241" s="196" t="str">
        <f>$J$2</f>
        <v>WITNESS RESPONSIBLE:</v>
      </c>
      <c r="K241" s="196"/>
    </row>
    <row r="242" spans="1:11">
      <c r="A242" s="343" t="str">
        <f>case_name</f>
        <v>CASE NO: 2018-00261</v>
      </c>
      <c r="C242" s="196"/>
      <c r="D242" s="344"/>
      <c r="E242" s="196"/>
      <c r="F242" s="196"/>
      <c r="G242" s="196"/>
      <c r="H242" s="196"/>
      <c r="I242" s="196"/>
      <c r="J242" s="196" t="str">
        <f>Witness</f>
        <v>JAMES E. ZIOLKOWSKI</v>
      </c>
      <c r="K242" s="196"/>
    </row>
    <row r="243" spans="1:11">
      <c r="A243" s="343" t="str">
        <f>data_filing</f>
        <v>DATA: 12 MONTH FORECASTED PERIOD</v>
      </c>
      <c r="C243" s="196"/>
      <c r="D243" s="344"/>
      <c r="E243" s="196"/>
      <c r="F243" s="196"/>
      <c r="G243" s="196"/>
      <c r="H243" s="196"/>
      <c r="I243" s="196"/>
      <c r="J243" s="196" t="str">
        <f>"PAGE "&amp;Pages-12&amp;" OF "&amp;Pages</f>
        <v>PAGE 6 OF 18</v>
      </c>
      <c r="K243" s="196"/>
    </row>
    <row r="244" spans="1:11">
      <c r="A244" s="343" t="str">
        <f>type</f>
        <v xml:space="preserve">TYPE OF FILING: "X" ORIGINAL   UPDATED    REVISED  </v>
      </c>
      <c r="C244" s="196"/>
      <c r="D244" s="344"/>
      <c r="E244" s="196"/>
      <c r="F244" s="196"/>
      <c r="G244" s="196"/>
      <c r="H244" s="196"/>
      <c r="I244" s="196"/>
      <c r="J244" s="196"/>
      <c r="K244" s="196"/>
    </row>
    <row r="245" spans="1:11">
      <c r="B245" s="343"/>
      <c r="C245" s="196"/>
      <c r="D245" s="344"/>
      <c r="E245" s="196"/>
      <c r="F245" s="196"/>
      <c r="G245" s="196"/>
      <c r="H245" s="196"/>
      <c r="I245" s="196"/>
      <c r="J245" s="196"/>
      <c r="K245" s="196"/>
    </row>
    <row r="246" spans="1:11">
      <c r="B246" s="343"/>
      <c r="C246" s="196"/>
      <c r="D246" s="344"/>
      <c r="E246" s="196"/>
      <c r="F246" s="196"/>
      <c r="G246" s="196"/>
      <c r="H246" s="196"/>
      <c r="I246" s="196"/>
      <c r="J246" s="196"/>
      <c r="K246" s="196"/>
    </row>
    <row r="247" spans="1:11">
      <c r="A247" s="344" t="s">
        <v>914</v>
      </c>
      <c r="B247" s="196"/>
      <c r="C247" s="196"/>
      <c r="D247" s="344"/>
      <c r="E247" s="196"/>
      <c r="F247" s="344" t="s">
        <v>229</v>
      </c>
      <c r="G247" s="545" t="s">
        <v>1005</v>
      </c>
      <c r="H247" s="533"/>
      <c r="I247" s="534"/>
      <c r="J247" s="344" t="s">
        <v>229</v>
      </c>
      <c r="K247" s="344" t="s">
        <v>342</v>
      </c>
    </row>
    <row r="248" spans="1:11">
      <c r="A248" s="346" t="s">
        <v>915</v>
      </c>
      <c r="B248" s="345" t="s">
        <v>954</v>
      </c>
      <c r="C248" s="345"/>
      <c r="D248" s="346" t="s">
        <v>337</v>
      </c>
      <c r="E248" s="345"/>
      <c r="F248" s="346" t="s">
        <v>846</v>
      </c>
      <c r="G248" s="546" t="s">
        <v>847</v>
      </c>
      <c r="H248" s="535" t="s">
        <v>848</v>
      </c>
      <c r="I248" s="536" t="s">
        <v>849</v>
      </c>
      <c r="J248" s="346" t="s">
        <v>341</v>
      </c>
      <c r="K248" s="346" t="s">
        <v>340</v>
      </c>
    </row>
    <row r="249" spans="1:11">
      <c r="C249" s="578" t="s">
        <v>558</v>
      </c>
      <c r="D249" s="344"/>
      <c r="E249" s="196"/>
      <c r="G249" s="800">
        <f>$G$10</f>
        <v>3</v>
      </c>
      <c r="H249" s="801">
        <f>$H$10</f>
        <v>4</v>
      </c>
      <c r="I249" s="802">
        <f>$I$10</f>
        <v>5</v>
      </c>
    </row>
    <row r="250" spans="1:11">
      <c r="A250" s="333">
        <v>1</v>
      </c>
      <c r="B250" s="332" t="s">
        <v>826</v>
      </c>
      <c r="D250" s="344"/>
      <c r="E250" s="196"/>
      <c r="G250" s="551"/>
      <c r="H250" s="552"/>
      <c r="I250" s="553"/>
    </row>
    <row r="251" spans="1:11">
      <c r="A251" s="333">
        <v>2</v>
      </c>
      <c r="B251" s="332" t="s">
        <v>29</v>
      </c>
      <c r="D251" s="344"/>
      <c r="E251" s="196"/>
      <c r="G251" s="547"/>
      <c r="H251" s="537"/>
      <c r="I251" s="538"/>
    </row>
    <row r="252" spans="1:11">
      <c r="A252" s="333">
        <v>3</v>
      </c>
      <c r="C252" s="332" t="str">
        <f>'FR-16(7)(v)-1 Functional'!C252</f>
        <v>UNCOLLECTIBLE ACCTS</v>
      </c>
      <c r="D252" s="344" t="str">
        <f>'FR-16(7)(v)-1 Functional'!D252</f>
        <v>K406</v>
      </c>
      <c r="F252" s="479">
        <f>'FR-16(7)(v)-1 Functional'!I252</f>
        <v>3828</v>
      </c>
      <c r="G252" s="548">
        <f>F252-SUM(H252:I252)</f>
        <v>0</v>
      </c>
      <c r="H252" s="539">
        <f t="shared" ref="H252:H274" si="72">ROUND(F252*VLOOKUP(D252,Alloctable_Classified_Distribution,$H$10,FALSE),0)</f>
        <v>0</v>
      </c>
      <c r="I252" s="540">
        <f t="shared" ref="I252:I274" si="73">ROUND(F252*VLOOKUP(D252,Alloctable_Classified_Distribution,$I$10,FALSE),0)</f>
        <v>3828</v>
      </c>
      <c r="J252" s="347">
        <f t="shared" ref="J252:J274" si="74">SUM(G252:I252)</f>
        <v>3828</v>
      </c>
      <c r="K252" s="347">
        <f t="shared" ref="K252:K274" si="75">F252-J252</f>
        <v>0</v>
      </c>
    </row>
    <row r="253" spans="1:11">
      <c r="A253" s="333">
        <v>4</v>
      </c>
      <c r="C253" s="332" t="str">
        <f>'FR-16(7)(v)-1 Functional'!C253</f>
        <v>GAS SUPPLIER REFUND</v>
      </c>
      <c r="D253" s="344" t="str">
        <f>'FR-16(7)(v)-1 Functional'!D253</f>
        <v>K300</v>
      </c>
      <c r="F253" s="479">
        <f>'FR-16(7)(v)-1 Functional'!I253</f>
        <v>0</v>
      </c>
      <c r="G253" s="548">
        <f t="shared" ref="G253:G274" si="76">F253-SUM(H253:I253)</f>
        <v>0</v>
      </c>
      <c r="H253" s="539">
        <f t="shared" si="72"/>
        <v>0</v>
      </c>
      <c r="I253" s="540">
        <f t="shared" si="73"/>
        <v>0</v>
      </c>
      <c r="J253" s="347">
        <f t="shared" si="74"/>
        <v>0</v>
      </c>
      <c r="K253" s="347">
        <f t="shared" si="75"/>
        <v>0</v>
      </c>
    </row>
    <row r="254" spans="1:11">
      <c r="A254" s="333">
        <v>5</v>
      </c>
      <c r="C254" s="332" t="str">
        <f>'FR-16(7)(v)-1 Functional'!C254</f>
        <v>UNBILLED REVENUE - FUEL &amp; RATE REFUNDS</v>
      </c>
      <c r="D254" s="344" t="str">
        <f>'FR-16(7)(v)-1 Functional'!D254</f>
        <v>K300</v>
      </c>
      <c r="F254" s="479">
        <f>'FR-16(7)(v)-1 Functional'!I254</f>
        <v>0</v>
      </c>
      <c r="G254" s="548">
        <f t="shared" si="76"/>
        <v>0</v>
      </c>
      <c r="H254" s="539">
        <f t="shared" si="72"/>
        <v>0</v>
      </c>
      <c r="I254" s="540">
        <f t="shared" si="73"/>
        <v>0</v>
      </c>
      <c r="J254" s="347">
        <f t="shared" si="74"/>
        <v>0</v>
      </c>
      <c r="K254" s="347">
        <f t="shared" si="75"/>
        <v>0</v>
      </c>
    </row>
    <row r="255" spans="1:11">
      <c r="A255" s="333">
        <v>6</v>
      </c>
      <c r="C255" s="353" t="str">
        <f>'FR-16(7)(v)-1 Functional'!C255</f>
        <v>OFFSITE GAS STORAGE</v>
      </c>
      <c r="D255" s="344" t="str">
        <f>'FR-16(7)(v)-1 Functional'!D255</f>
        <v>K300</v>
      </c>
      <c r="F255" s="479">
        <f>'FR-16(7)(v)-1 Functional'!I255</f>
        <v>0</v>
      </c>
      <c r="G255" s="548">
        <f t="shared" si="76"/>
        <v>0</v>
      </c>
      <c r="H255" s="539">
        <f t="shared" si="72"/>
        <v>0</v>
      </c>
      <c r="I255" s="540">
        <f t="shared" si="73"/>
        <v>0</v>
      </c>
      <c r="J255" s="347">
        <f t="shared" si="74"/>
        <v>0</v>
      </c>
      <c r="K255" s="347">
        <f t="shared" si="75"/>
        <v>0</v>
      </c>
    </row>
    <row r="256" spans="1:11">
      <c r="A256" s="333">
        <v>7</v>
      </c>
      <c r="C256" s="332" t="str">
        <f>'FR-16(7)(v)-1 Functional'!C256</f>
        <v>GAS METERS</v>
      </c>
      <c r="D256" s="344" t="str">
        <f>'FR-16(7)(v)-1 Functional'!D256</f>
        <v>K413</v>
      </c>
      <c r="F256" s="479">
        <f>'FR-16(7)(v)-1 Functional'!I256</f>
        <v>37579</v>
      </c>
      <c r="G256" s="548">
        <f t="shared" si="76"/>
        <v>0</v>
      </c>
      <c r="H256" s="539">
        <f t="shared" si="72"/>
        <v>0</v>
      </c>
      <c r="I256" s="540">
        <f t="shared" si="73"/>
        <v>37579</v>
      </c>
      <c r="J256" s="347">
        <f t="shared" si="74"/>
        <v>37579</v>
      </c>
      <c r="K256" s="347">
        <f t="shared" si="75"/>
        <v>0</v>
      </c>
    </row>
    <row r="257" spans="1:11">
      <c r="A257" s="333">
        <v>8</v>
      </c>
      <c r="C257" s="332" t="str">
        <f>'FR-16(7)(v)-1 Functional'!C257</f>
        <v>UNAMORTIZED DEBT PREMIUM</v>
      </c>
      <c r="D257" s="344" t="str">
        <f>'FR-16(7)(v)-1 Functional'!D257</f>
        <v>NP29</v>
      </c>
      <c r="F257" s="479">
        <f>'FR-16(7)(v)-1 Functional'!I257</f>
        <v>-1820</v>
      </c>
      <c r="G257" s="548">
        <f t="shared" si="76"/>
        <v>-996</v>
      </c>
      <c r="H257" s="539">
        <f t="shared" si="72"/>
        <v>0</v>
      </c>
      <c r="I257" s="540">
        <f t="shared" si="73"/>
        <v>-824</v>
      </c>
      <c r="J257" s="347">
        <f t="shared" si="74"/>
        <v>-1820</v>
      </c>
      <c r="K257" s="347">
        <f t="shared" si="75"/>
        <v>0</v>
      </c>
    </row>
    <row r="258" spans="1:11">
      <c r="A258" s="333">
        <v>9</v>
      </c>
      <c r="C258" s="332" t="str">
        <f>'FR-16(7)(v)-1 Functional'!C258</f>
        <v>ARO CUMULATIVE EFFECT</v>
      </c>
      <c r="D258" s="344" t="str">
        <f>'FR-16(7)(v)-1 Functional'!D258</f>
        <v>NP29</v>
      </c>
      <c r="F258" s="479">
        <f>'FR-16(7)(v)-1 Functional'!I258</f>
        <v>0</v>
      </c>
      <c r="G258" s="548">
        <f t="shared" si="76"/>
        <v>0</v>
      </c>
      <c r="H258" s="539">
        <f t="shared" si="72"/>
        <v>0</v>
      </c>
      <c r="I258" s="540">
        <f t="shared" si="73"/>
        <v>0</v>
      </c>
      <c r="J258" s="347">
        <f t="shared" si="74"/>
        <v>0</v>
      </c>
      <c r="K258" s="347">
        <f t="shared" si="75"/>
        <v>0</v>
      </c>
    </row>
    <row r="259" spans="1:11">
      <c r="A259" s="333">
        <v>10</v>
      </c>
      <c r="C259" s="332" t="str">
        <f>'FR-16(7)(v)-1 Functional'!C259</f>
        <v>PENSION EXPENSE</v>
      </c>
      <c r="D259" s="344" t="str">
        <f>'FR-16(7)(v)-1 Functional'!D259</f>
        <v>AG39</v>
      </c>
      <c r="F259" s="479">
        <f>'FR-16(7)(v)-1 Functional'!I259</f>
        <v>165355</v>
      </c>
      <c r="G259" s="548">
        <f t="shared" si="76"/>
        <v>66245</v>
      </c>
      <c r="H259" s="539">
        <f t="shared" si="72"/>
        <v>0</v>
      </c>
      <c r="I259" s="540">
        <f t="shared" si="73"/>
        <v>99110</v>
      </c>
      <c r="J259" s="347">
        <f t="shared" si="74"/>
        <v>165355</v>
      </c>
      <c r="K259" s="347">
        <f t="shared" si="75"/>
        <v>0</v>
      </c>
    </row>
    <row r="260" spans="1:11">
      <c r="A260" s="333">
        <v>11</v>
      </c>
      <c r="C260" s="332" t="str">
        <f>'FR-16(7)(v)-1 Functional'!C260</f>
        <v>POST RETIREMENT BENEFITS - LIFE INS</v>
      </c>
      <c r="D260" s="344" t="str">
        <f>'FR-16(7)(v)-1 Functional'!D260</f>
        <v>AG39</v>
      </c>
      <c r="F260" s="479">
        <f>'FR-16(7)(v)-1 Functional'!I260</f>
        <v>0</v>
      </c>
      <c r="G260" s="548">
        <f t="shared" si="76"/>
        <v>0</v>
      </c>
      <c r="H260" s="539">
        <f t="shared" si="72"/>
        <v>0</v>
      </c>
      <c r="I260" s="540">
        <f t="shared" si="73"/>
        <v>0</v>
      </c>
      <c r="J260" s="347">
        <f t="shared" si="74"/>
        <v>0</v>
      </c>
      <c r="K260" s="347">
        <f t="shared" si="75"/>
        <v>0</v>
      </c>
    </row>
    <row r="261" spans="1:11">
      <c r="A261" s="333">
        <v>12</v>
      </c>
      <c r="C261" s="332" t="str">
        <f>'FR-16(7)(v)-1 Functional'!C261</f>
        <v>POST RETIREMENT BENEFITS - HEALTH CARE</v>
      </c>
      <c r="D261" s="344" t="str">
        <f>'FR-16(7)(v)-1 Functional'!D261</f>
        <v>AG39</v>
      </c>
      <c r="F261" s="479">
        <f>'FR-16(7)(v)-1 Functional'!I261</f>
        <v>0</v>
      </c>
      <c r="G261" s="548">
        <f t="shared" si="76"/>
        <v>0</v>
      </c>
      <c r="H261" s="539">
        <f t="shared" si="72"/>
        <v>0</v>
      </c>
      <c r="I261" s="540">
        <f t="shared" si="73"/>
        <v>0</v>
      </c>
      <c r="J261" s="347">
        <f t="shared" si="74"/>
        <v>0</v>
      </c>
      <c r="K261" s="347">
        <f t="shared" si="75"/>
        <v>0</v>
      </c>
    </row>
    <row r="262" spans="1:11">
      <c r="A262" s="333">
        <v>13</v>
      </c>
      <c r="C262" s="332" t="str">
        <f>'FR-16(7)(v)-1 Functional'!C262</f>
        <v>POST EMPLOYMENT BENEFITS - SFAS 112</v>
      </c>
      <c r="D262" s="344" t="str">
        <f>'FR-16(7)(v)-1 Functional'!D262</f>
        <v>AG39</v>
      </c>
      <c r="F262" s="479">
        <f>'FR-16(7)(v)-1 Functional'!I262</f>
        <v>39438</v>
      </c>
      <c r="G262" s="548">
        <f t="shared" si="76"/>
        <v>15800</v>
      </c>
      <c r="H262" s="539">
        <f t="shared" si="72"/>
        <v>0</v>
      </c>
      <c r="I262" s="540">
        <f t="shared" si="73"/>
        <v>23638</v>
      </c>
      <c r="J262" s="347">
        <f t="shared" si="74"/>
        <v>39438</v>
      </c>
      <c r="K262" s="347">
        <f t="shared" si="75"/>
        <v>0</v>
      </c>
    </row>
    <row r="263" spans="1:11">
      <c r="A263" s="333">
        <v>14</v>
      </c>
      <c r="C263" s="332" t="str">
        <f>'FR-16(7)(v)-1 Functional'!C263</f>
        <v>OPEB EXPENSE ACCRUAL</v>
      </c>
      <c r="D263" s="344" t="str">
        <f>'FR-16(7)(v)-1 Functional'!D263</f>
        <v>AG39</v>
      </c>
      <c r="F263" s="479">
        <f>'FR-16(7)(v)-1 Functional'!I263</f>
        <v>271387</v>
      </c>
      <c r="G263" s="548">
        <f t="shared" si="76"/>
        <v>108723</v>
      </c>
      <c r="H263" s="539">
        <f t="shared" si="72"/>
        <v>0</v>
      </c>
      <c r="I263" s="540">
        <f t="shared" si="73"/>
        <v>162664</v>
      </c>
      <c r="J263" s="347">
        <f t="shared" si="74"/>
        <v>271387</v>
      </c>
      <c r="K263" s="347">
        <f t="shared" si="75"/>
        <v>0</v>
      </c>
    </row>
    <row r="264" spans="1:11">
      <c r="A264" s="333">
        <v>15</v>
      </c>
      <c r="C264" s="332" t="str">
        <f>'FR-16(7)(v)-1 Functional'!C264</f>
        <v>INCENTIVE PLAN</v>
      </c>
      <c r="D264" s="344" t="str">
        <f>'FR-16(7)(v)-1 Functional'!D264</f>
        <v>AG39</v>
      </c>
      <c r="F264" s="479">
        <f>'FR-16(7)(v)-1 Functional'!I264</f>
        <v>0</v>
      </c>
      <c r="G264" s="548">
        <f t="shared" si="76"/>
        <v>0</v>
      </c>
      <c r="H264" s="539">
        <f t="shared" si="72"/>
        <v>0</v>
      </c>
      <c r="I264" s="540">
        <f t="shared" si="73"/>
        <v>0</v>
      </c>
      <c r="J264" s="347">
        <f t="shared" si="74"/>
        <v>0</v>
      </c>
      <c r="K264" s="347">
        <f t="shared" si="75"/>
        <v>0</v>
      </c>
    </row>
    <row r="265" spans="1:11">
      <c r="A265" s="333">
        <v>16</v>
      </c>
      <c r="C265" s="332" t="str">
        <f>'FR-16(7)(v)-1 Functional'!C265</f>
        <v>FEDERAL DEFERRED TAX RECEIVEABLE</v>
      </c>
      <c r="D265" s="344" t="str">
        <f>'FR-16(7)(v)-1 Functional'!D265</f>
        <v>AG39</v>
      </c>
      <c r="F265" s="479">
        <f>'FR-16(7)(v)-1 Functional'!I265</f>
        <v>0</v>
      </c>
      <c r="G265" s="548">
        <f t="shared" si="76"/>
        <v>0</v>
      </c>
      <c r="H265" s="539">
        <f t="shared" si="72"/>
        <v>0</v>
      </c>
      <c r="I265" s="540">
        <f t="shared" si="73"/>
        <v>0</v>
      </c>
      <c r="J265" s="347">
        <f t="shared" si="74"/>
        <v>0</v>
      </c>
      <c r="K265" s="347">
        <f t="shared" si="75"/>
        <v>0</v>
      </c>
    </row>
    <row r="266" spans="1:11">
      <c r="A266" s="333">
        <v>17</v>
      </c>
      <c r="C266" s="332" t="str">
        <f>'FR-16(7)(v)-1 Functional'!C266</f>
        <v>DSM DEFERRAL</v>
      </c>
      <c r="D266" s="344" t="str">
        <f>'FR-16(7)(v)-1 Functional'!D266</f>
        <v>AG39</v>
      </c>
      <c r="F266" s="479">
        <f>'FR-16(7)(v)-1 Functional'!I266</f>
        <v>168063</v>
      </c>
      <c r="G266" s="548">
        <f t="shared" si="76"/>
        <v>67329</v>
      </c>
      <c r="H266" s="539">
        <f t="shared" si="72"/>
        <v>0</v>
      </c>
      <c r="I266" s="540">
        <f t="shared" si="73"/>
        <v>100734</v>
      </c>
      <c r="J266" s="347">
        <f t="shared" si="74"/>
        <v>168063</v>
      </c>
      <c r="K266" s="347">
        <f t="shared" si="75"/>
        <v>0</v>
      </c>
    </row>
    <row r="267" spans="1:11">
      <c r="A267" s="333">
        <v>18</v>
      </c>
      <c r="C267" s="332" t="str">
        <f>'FR-16(7)(v)-1 Functional'!C267</f>
        <v>PROPERTY TAX</v>
      </c>
      <c r="D267" s="344" t="str">
        <f>'FR-16(7)(v)-1 Functional'!D267</f>
        <v>P229</v>
      </c>
      <c r="F267" s="479">
        <f>'FR-16(7)(v)-1 Functional'!I267</f>
        <v>0</v>
      </c>
      <c r="G267" s="548">
        <f t="shared" si="76"/>
        <v>0</v>
      </c>
      <c r="H267" s="539">
        <f t="shared" si="72"/>
        <v>0</v>
      </c>
      <c r="I267" s="540">
        <f t="shared" si="73"/>
        <v>0</v>
      </c>
      <c r="J267" s="347">
        <f t="shared" si="74"/>
        <v>0</v>
      </c>
      <c r="K267" s="347">
        <f t="shared" si="75"/>
        <v>0</v>
      </c>
    </row>
    <row r="268" spans="1:11">
      <c r="A268" s="333">
        <v>19</v>
      </c>
      <c r="C268" s="353" t="str">
        <f>'FR-16(7)(v)-1 Functional'!C268</f>
        <v>PROPERTY TAX ON PROPANE</v>
      </c>
      <c r="D268" s="344" t="str">
        <f>'FR-16(7)(v)-1 Functional'!D268</f>
        <v>P229</v>
      </c>
      <c r="F268" s="479">
        <f>'FR-16(7)(v)-1 Functional'!I268</f>
        <v>0</v>
      </c>
      <c r="G268" s="548">
        <f t="shared" si="76"/>
        <v>0</v>
      </c>
      <c r="H268" s="539">
        <f t="shared" si="72"/>
        <v>0</v>
      </c>
      <c r="I268" s="540">
        <f t="shared" si="73"/>
        <v>0</v>
      </c>
      <c r="J268" s="347">
        <f t="shared" si="74"/>
        <v>0</v>
      </c>
      <c r="K268" s="347">
        <f t="shared" si="75"/>
        <v>0</v>
      </c>
    </row>
    <row r="269" spans="1:11">
      <c r="A269" s="333">
        <v>20</v>
      </c>
      <c r="C269" s="489" t="str">
        <f>'FR-16(7)(v)-1 Functional'!C269</f>
        <v>401K INCENTIVE PLAN</v>
      </c>
      <c r="D269" s="344" t="str">
        <f>'FR-16(7)(v)-1 Functional'!D269</f>
        <v>AG39</v>
      </c>
      <c r="F269" s="479">
        <f>'FR-16(7)(v)-1 Functional'!I269</f>
        <v>0</v>
      </c>
      <c r="G269" s="548">
        <f t="shared" si="76"/>
        <v>0</v>
      </c>
      <c r="H269" s="539">
        <f t="shared" si="72"/>
        <v>0</v>
      </c>
      <c r="I269" s="540">
        <f t="shared" si="73"/>
        <v>0</v>
      </c>
      <c r="J269" s="347">
        <f t="shared" si="74"/>
        <v>0</v>
      </c>
      <c r="K269" s="347">
        <f t="shared" si="75"/>
        <v>0</v>
      </c>
    </row>
    <row r="270" spans="1:11">
      <c r="A270" s="333">
        <v>21</v>
      </c>
      <c r="C270" s="332" t="str">
        <f>'FR-16(7)(v)-1 Functional'!C270</f>
        <v>ENVIRONMENTAL RESERVE</v>
      </c>
      <c r="D270" s="344" t="str">
        <f>'FR-16(7)(v)-1 Functional'!D270</f>
        <v>NP29</v>
      </c>
      <c r="F270" s="479">
        <f>'FR-16(7)(v)-1 Functional'!I270</f>
        <v>158058</v>
      </c>
      <c r="G270" s="548">
        <f t="shared" si="76"/>
        <v>86456</v>
      </c>
      <c r="H270" s="539">
        <f t="shared" si="72"/>
        <v>0</v>
      </c>
      <c r="I270" s="540">
        <f t="shared" si="73"/>
        <v>71602</v>
      </c>
      <c r="J270" s="347">
        <f t="shared" si="74"/>
        <v>158058</v>
      </c>
      <c r="K270" s="347">
        <f t="shared" si="75"/>
        <v>0</v>
      </c>
    </row>
    <row r="271" spans="1:11">
      <c r="A271" s="333">
        <v>22</v>
      </c>
      <c r="C271" s="332" t="str">
        <f>'FR-16(7)(v)-1 Functional'!C271</f>
        <v>VACATION PAY ACCRUALS</v>
      </c>
      <c r="D271" s="344" t="str">
        <f>'FR-16(7)(v)-1 Functional'!D271</f>
        <v>G129</v>
      </c>
      <c r="F271" s="479">
        <f>'FR-16(7)(v)-1 Functional'!I271</f>
        <v>146965</v>
      </c>
      <c r="G271" s="548">
        <f t="shared" si="76"/>
        <v>58877</v>
      </c>
      <c r="H271" s="539">
        <f t="shared" si="72"/>
        <v>0</v>
      </c>
      <c r="I271" s="540">
        <f t="shared" si="73"/>
        <v>88088</v>
      </c>
      <c r="J271" s="347">
        <f t="shared" si="74"/>
        <v>146965</v>
      </c>
      <c r="K271" s="347">
        <f t="shared" si="75"/>
        <v>0</v>
      </c>
    </row>
    <row r="272" spans="1:11">
      <c r="A272" s="333">
        <v>23</v>
      </c>
      <c r="C272" s="332" t="str">
        <f>'FR-16(7)(v)-1 Functional'!C272</f>
        <v>SMART GRID</v>
      </c>
      <c r="D272" s="344" t="str">
        <f>'FR-16(7)(v)-1 Functional'!D272</f>
        <v>K413</v>
      </c>
      <c r="F272" s="479">
        <f>'FR-16(7)(v)-1 Functional'!I272</f>
        <v>0</v>
      </c>
      <c r="G272" s="548">
        <f t="shared" si="76"/>
        <v>0</v>
      </c>
      <c r="H272" s="539">
        <f t="shared" si="72"/>
        <v>0</v>
      </c>
      <c r="I272" s="540">
        <f t="shared" si="73"/>
        <v>0</v>
      </c>
      <c r="J272" s="347">
        <f t="shared" si="74"/>
        <v>0</v>
      </c>
      <c r="K272" s="347">
        <f t="shared" si="75"/>
        <v>0</v>
      </c>
    </row>
    <row r="273" spans="1:11">
      <c r="A273" s="333">
        <v>24</v>
      </c>
      <c r="C273" s="332" t="str">
        <f>'FR-16(7)(v)-1 Functional'!C273</f>
        <v>METERS &amp; TRANSFORMERS</v>
      </c>
      <c r="D273" s="344" t="str">
        <f>'FR-16(7)(v)-1 Functional'!D273</f>
        <v>D249</v>
      </c>
      <c r="F273" s="479">
        <f>'FR-16(7)(v)-1 Functional'!I273</f>
        <v>0</v>
      </c>
      <c r="G273" s="548">
        <f t="shared" si="76"/>
        <v>0</v>
      </c>
      <c r="H273" s="539">
        <f t="shared" si="72"/>
        <v>0</v>
      </c>
      <c r="I273" s="540">
        <f t="shared" si="73"/>
        <v>0</v>
      </c>
      <c r="J273" s="347">
        <f t="shared" si="74"/>
        <v>0</v>
      </c>
      <c r="K273" s="347">
        <f t="shared" si="75"/>
        <v>0</v>
      </c>
    </row>
    <row r="274" spans="1:11">
      <c r="A274" s="333">
        <v>25</v>
      </c>
      <c r="C274" s="359" t="str">
        <f>'FR-16(7)(v)-1 Functional'!C274</f>
        <v>OTHER</v>
      </c>
      <c r="D274" s="344" t="str">
        <f>'FR-16(7)(v)-1 Functional'!D274</f>
        <v>AG39</v>
      </c>
      <c r="F274" s="479">
        <f>'FR-16(7)(v)-1 Functional'!I274</f>
        <v>340202</v>
      </c>
      <c r="G274" s="548">
        <f t="shared" si="76"/>
        <v>136292</v>
      </c>
      <c r="H274" s="539">
        <f t="shared" si="72"/>
        <v>0</v>
      </c>
      <c r="I274" s="540">
        <f t="shared" si="73"/>
        <v>203910</v>
      </c>
      <c r="J274" s="347">
        <f t="shared" si="74"/>
        <v>340202</v>
      </c>
      <c r="K274" s="347">
        <f t="shared" si="75"/>
        <v>0</v>
      </c>
    </row>
    <row r="275" spans="1:11">
      <c r="A275" s="333">
        <v>26</v>
      </c>
      <c r="C275" s="332" t="str">
        <f>'FR-16(7)(v)-1 Functional'!C275</f>
        <v xml:space="preserve">  TOTAL ACCOUNT 190</v>
      </c>
      <c r="D275" s="344"/>
      <c r="F275" s="348">
        <f t="shared" ref="F275:K275" si="77">SUM(F251:F274)</f>
        <v>1329055</v>
      </c>
      <c r="G275" s="549">
        <f t="shared" si="77"/>
        <v>538726</v>
      </c>
      <c r="H275" s="541">
        <f t="shared" si="77"/>
        <v>0</v>
      </c>
      <c r="I275" s="542">
        <f t="shared" si="77"/>
        <v>790329</v>
      </c>
      <c r="J275" s="348">
        <f t="shared" si="77"/>
        <v>1329055</v>
      </c>
      <c r="K275" s="348">
        <f t="shared" si="77"/>
        <v>0</v>
      </c>
    </row>
    <row r="276" spans="1:11">
      <c r="A276" s="333">
        <v>27</v>
      </c>
      <c r="D276" s="344"/>
      <c r="E276" s="196"/>
      <c r="G276" s="547"/>
      <c r="H276" s="537"/>
      <c r="I276" s="538"/>
    </row>
    <row r="277" spans="1:11">
      <c r="A277" s="333">
        <v>28</v>
      </c>
      <c r="B277" s="332" t="s">
        <v>30</v>
      </c>
      <c r="D277" s="344"/>
      <c r="E277" s="196"/>
      <c r="G277" s="547"/>
      <c r="H277" s="537"/>
      <c r="I277" s="538"/>
    </row>
    <row r="278" spans="1:11">
      <c r="A278" s="333">
        <v>29</v>
      </c>
      <c r="C278" s="365" t="str">
        <f>'FR-16(7)(v)-1 Functional'!C278</f>
        <v>RESERVED FOR FUTURE USE</v>
      </c>
      <c r="D278" s="344" t="str">
        <f>'FR-16(7)(v)-1 Functional'!D278</f>
        <v>D249</v>
      </c>
      <c r="F278" s="479">
        <f>'FR-16(7)(v)-1 Functional'!I278</f>
        <v>0</v>
      </c>
      <c r="G278" s="548">
        <f>F278-SUM(H278:I278)</f>
        <v>0</v>
      </c>
      <c r="H278" s="539">
        <f>ROUND(F278*VLOOKUP(D278,Alloctable_Classified_Distribution,$H$10,FALSE),0)</f>
        <v>0</v>
      </c>
      <c r="I278" s="540">
        <f>ROUND(F278*VLOOKUP(D278,Alloctable_Classified_Distribution,$I$10,FALSE),0)</f>
        <v>0</v>
      </c>
      <c r="J278" s="347">
        <f>SUM(G278:I278)</f>
        <v>0</v>
      </c>
      <c r="K278" s="347">
        <f>F278-J278</f>
        <v>0</v>
      </c>
    </row>
    <row r="279" spans="1:11">
      <c r="A279" s="333">
        <v>30</v>
      </c>
      <c r="C279" s="332" t="str">
        <f>'FR-16(7)(v)-1 Functional'!C279</f>
        <v>ANNUALIZE DEPRECIATION</v>
      </c>
      <c r="D279" s="344" t="str">
        <f>'FR-16(7)(v)-1 Functional'!D279</f>
        <v>NP29</v>
      </c>
      <c r="F279" s="477">
        <f>'FR-16(7)(v)-1 Functional'!I279</f>
        <v>-268309</v>
      </c>
      <c r="G279" s="548">
        <f>ROUND(F279*VLOOKUP(D279,Alloctable_Classified_Distribution,$G$10,FALSE),0)</f>
        <v>-146762</v>
      </c>
      <c r="H279" s="539">
        <f>ROUND(F279*VLOOKUP(D279,Alloctable_Classified_Distribution,$H$10,FALSE),0)</f>
        <v>0</v>
      </c>
      <c r="I279" s="540">
        <f>ROUND(F279*VLOOKUP(D279,Alloctable_Classified_Distribution,$I$10,FALSE),0)</f>
        <v>-121547</v>
      </c>
      <c r="J279" s="347">
        <f>SUM(G279:I279)</f>
        <v>-268309</v>
      </c>
      <c r="K279" s="347">
        <f>F279-J279</f>
        <v>0</v>
      </c>
    </row>
    <row r="280" spans="1:11">
      <c r="A280" s="333">
        <v>31</v>
      </c>
      <c r="C280" s="332" t="str">
        <f>'FR-16(7)(v)-1 Functional'!C280</f>
        <v>ELIMINATE UNBILLED REVENUE AND GAS COSTS</v>
      </c>
      <c r="D280" s="344" t="str">
        <f>'FR-16(7)(v)-1 Functional'!D280</f>
        <v>K300</v>
      </c>
      <c r="F280" s="477">
        <v>0</v>
      </c>
      <c r="G280" s="548">
        <f>ROUND(F280*VLOOKUP(D280,Alloctable_Classified_Distribution,$G$10,FALSE),0)</f>
        <v>0</v>
      </c>
      <c r="H280" s="539">
        <f>ROUND(F280*VLOOKUP(D280,Alloctable_Classified_Distribution,$H$10,FALSE),0)</f>
        <v>0</v>
      </c>
      <c r="I280" s="540">
        <f>ROUND(F280*VLOOKUP(D280,Alloctable_Classified_Distribution,$I$10,FALSE),0)</f>
        <v>0</v>
      </c>
      <c r="J280" s="347">
        <f>SUM(G280:I280)</f>
        <v>0</v>
      </c>
      <c r="K280" s="347">
        <f>F280-J280</f>
        <v>0</v>
      </c>
    </row>
    <row r="281" spans="1:11">
      <c r="A281" s="333">
        <v>32</v>
      </c>
      <c r="C281" s="339" t="str">
        <f>'FR-16(7)(v)-1 Functional'!C281</f>
        <v xml:space="preserve">  OTHER</v>
      </c>
      <c r="D281" s="344"/>
      <c r="F281" s="348">
        <f>SUM(F278:F280)</f>
        <v>-268309</v>
      </c>
      <c r="G281" s="549">
        <f>SUM(G277:G280)</f>
        <v>-146762</v>
      </c>
      <c r="H281" s="541">
        <f>SUM(H277:H280)</f>
        <v>0</v>
      </c>
      <c r="I281" s="542">
        <f>SUM(I277:I280)</f>
        <v>-121547</v>
      </c>
      <c r="J281" s="348">
        <f>SUM(J277:J280)</f>
        <v>-268309</v>
      </c>
      <c r="K281" s="348">
        <f>SUM(K277:K280)</f>
        <v>0</v>
      </c>
    </row>
    <row r="282" spans="1:11">
      <c r="A282" s="333">
        <v>33</v>
      </c>
      <c r="D282" s="344"/>
      <c r="F282" s="335" t="s">
        <v>343</v>
      </c>
      <c r="G282" s="547"/>
      <c r="H282" s="537"/>
      <c r="I282" s="538"/>
    </row>
    <row r="283" spans="1:11">
      <c r="A283" s="333">
        <v>34</v>
      </c>
      <c r="B283" s="332" t="s">
        <v>825</v>
      </c>
      <c r="D283" s="344"/>
      <c r="F283" s="347">
        <f t="shared" ref="F283:K283" si="78">F275+F281</f>
        <v>1060746</v>
      </c>
      <c r="G283" s="550">
        <f t="shared" si="78"/>
        <v>391964</v>
      </c>
      <c r="H283" s="543">
        <f t="shared" si="78"/>
        <v>0</v>
      </c>
      <c r="I283" s="544">
        <f t="shared" si="78"/>
        <v>668782</v>
      </c>
      <c r="J283" s="347">
        <f t="shared" si="78"/>
        <v>1060746</v>
      </c>
      <c r="K283" s="347">
        <f t="shared" si="78"/>
        <v>0</v>
      </c>
    </row>
    <row r="284" spans="1:11">
      <c r="B284" s="343"/>
      <c r="C284" s="196"/>
      <c r="D284" s="344"/>
      <c r="E284" s="196"/>
      <c r="F284" s="196"/>
      <c r="G284" s="196"/>
      <c r="H284" s="196"/>
      <c r="I284" s="196"/>
      <c r="J284" s="196"/>
      <c r="K284" s="196"/>
    </row>
    <row r="285" spans="1:11">
      <c r="A285" s="343" t="str">
        <f>co_name</f>
        <v>DUKE ENERGY KENTUCKY, INC.</v>
      </c>
      <c r="C285" s="196"/>
      <c r="D285" s="344"/>
      <c r="E285" s="196"/>
      <c r="F285" s="196"/>
      <c r="G285" s="196"/>
      <c r="H285" s="196"/>
      <c r="I285" s="196"/>
      <c r="J285" s="196" t="str">
        <f>$J$1</f>
        <v>FR-16(7)(v)-4</v>
      </c>
      <c r="K285" s="196"/>
    </row>
    <row r="286" spans="1:11">
      <c r="A286" s="343" t="str">
        <f>$A$2</f>
        <v>DISTRIBUTION CLASSIFIED - GAS COST OF SERVICE</v>
      </c>
      <c r="C286" s="196"/>
      <c r="D286" s="344"/>
      <c r="E286" s="196"/>
      <c r="F286" s="196"/>
      <c r="G286" s="196"/>
      <c r="H286" s="196"/>
      <c r="I286" s="196"/>
      <c r="J286" s="196" t="str">
        <f>$J$2</f>
        <v>WITNESS RESPONSIBLE:</v>
      </c>
      <c r="K286" s="196"/>
    </row>
    <row r="287" spans="1:11">
      <c r="A287" s="343" t="str">
        <f>case_name</f>
        <v>CASE NO: 2018-00261</v>
      </c>
      <c r="C287" s="196"/>
      <c r="D287" s="344"/>
      <c r="E287" s="196"/>
      <c r="F287" s="196"/>
      <c r="G287" s="196"/>
      <c r="H287" s="196"/>
      <c r="I287" s="196"/>
      <c r="J287" s="196" t="str">
        <f>Witness</f>
        <v>JAMES E. ZIOLKOWSKI</v>
      </c>
      <c r="K287" s="196"/>
    </row>
    <row r="288" spans="1:11">
      <c r="A288" s="343" t="str">
        <f>data_filing</f>
        <v>DATA: 12 MONTH FORECASTED PERIOD</v>
      </c>
      <c r="C288" s="196"/>
      <c r="D288" s="344"/>
      <c r="E288" s="196"/>
      <c r="F288" s="196"/>
      <c r="G288" s="196"/>
      <c r="H288" s="196"/>
      <c r="I288" s="196"/>
      <c r="J288" s="196" t="str">
        <f>"PAGE "&amp;Pages-11&amp;" OF "&amp;Pages</f>
        <v>PAGE 7 OF 18</v>
      </c>
      <c r="K288" s="196"/>
    </row>
    <row r="289" spans="1:13">
      <c r="A289" s="343" t="str">
        <f>type</f>
        <v xml:space="preserve">TYPE OF FILING: "X" ORIGINAL   UPDATED    REVISED  </v>
      </c>
      <c r="C289" s="196"/>
      <c r="D289" s="344"/>
      <c r="E289" s="196"/>
      <c r="F289" s="196"/>
      <c r="G289" s="196"/>
      <c r="H289" s="196"/>
      <c r="I289" s="196"/>
      <c r="J289" s="196"/>
      <c r="K289" s="196"/>
    </row>
    <row r="290" spans="1:13">
      <c r="B290" s="343"/>
      <c r="C290" s="196"/>
      <c r="D290" s="344"/>
      <c r="E290" s="196"/>
      <c r="F290" s="196"/>
      <c r="G290" s="196"/>
      <c r="H290" s="196"/>
      <c r="I290" s="196"/>
      <c r="J290" s="196"/>
      <c r="K290" s="196"/>
    </row>
    <row r="291" spans="1:13">
      <c r="B291" s="343"/>
      <c r="C291" s="196"/>
      <c r="D291" s="344"/>
      <c r="E291" s="196"/>
      <c r="F291" s="196"/>
      <c r="G291" s="196"/>
      <c r="H291" s="196"/>
      <c r="I291" s="196"/>
      <c r="J291" s="196"/>
      <c r="K291" s="196"/>
    </row>
    <row r="292" spans="1:13">
      <c r="A292" s="344" t="s">
        <v>914</v>
      </c>
      <c r="B292" s="196"/>
      <c r="C292" s="196"/>
      <c r="D292" s="344"/>
      <c r="E292" s="196"/>
      <c r="F292" s="344" t="s">
        <v>229</v>
      </c>
      <c r="G292" s="545" t="s">
        <v>1005</v>
      </c>
      <c r="H292" s="533"/>
      <c r="I292" s="534"/>
      <c r="J292" s="344" t="s">
        <v>229</v>
      </c>
      <c r="K292" s="344" t="s">
        <v>342</v>
      </c>
    </row>
    <row r="293" spans="1:13">
      <c r="A293" s="346" t="s">
        <v>915</v>
      </c>
      <c r="B293" s="345" t="s">
        <v>32</v>
      </c>
      <c r="C293" s="345"/>
      <c r="D293" s="346" t="s">
        <v>337</v>
      </c>
      <c r="E293" s="345"/>
      <c r="F293" s="346" t="s">
        <v>846</v>
      </c>
      <c r="G293" s="546" t="s">
        <v>847</v>
      </c>
      <c r="H293" s="535" t="s">
        <v>848</v>
      </c>
      <c r="I293" s="536" t="s">
        <v>849</v>
      </c>
      <c r="J293" s="346" t="s">
        <v>341</v>
      </c>
      <c r="K293" s="346" t="s">
        <v>340</v>
      </c>
    </row>
    <row r="294" spans="1:13">
      <c r="C294" s="578" t="s">
        <v>559</v>
      </c>
      <c r="D294" s="344"/>
      <c r="E294" s="490"/>
      <c r="F294" s="491"/>
      <c r="G294" s="800">
        <f>$G$10</f>
        <v>3</v>
      </c>
      <c r="H294" s="801">
        <f>$H$10</f>
        <v>4</v>
      </c>
      <c r="I294" s="802">
        <f>$I$10</f>
        <v>5</v>
      </c>
      <c r="J294" s="490"/>
      <c r="K294" s="490"/>
    </row>
    <row r="295" spans="1:13">
      <c r="C295" s="578"/>
      <c r="D295" s="344"/>
      <c r="E295" s="490"/>
      <c r="F295" s="491"/>
      <c r="G295" s="800"/>
      <c r="H295" s="801"/>
      <c r="I295" s="802"/>
      <c r="J295" s="490"/>
      <c r="K295" s="490"/>
    </row>
    <row r="296" spans="1:13">
      <c r="A296" s="333">
        <v>1</v>
      </c>
      <c r="B296" s="332" t="s">
        <v>31</v>
      </c>
      <c r="D296" s="344"/>
      <c r="E296" s="196"/>
      <c r="F296" s="347">
        <f t="shared" ref="F296:K296" si="79">F191-F238+F283</f>
        <v>303022672</v>
      </c>
      <c r="G296" s="548">
        <f t="shared" si="79"/>
        <v>168264283</v>
      </c>
      <c r="H296" s="539">
        <f t="shared" si="79"/>
        <v>0</v>
      </c>
      <c r="I296" s="540">
        <f t="shared" si="79"/>
        <v>134758389</v>
      </c>
      <c r="J296" s="347">
        <f t="shared" si="79"/>
        <v>303022672</v>
      </c>
      <c r="K296" s="347">
        <f t="shared" si="79"/>
        <v>0</v>
      </c>
    </row>
    <row r="297" spans="1:13">
      <c r="A297" s="333">
        <v>2</v>
      </c>
      <c r="D297" s="344"/>
      <c r="E297" s="196"/>
      <c r="G297" s="547"/>
      <c r="H297" s="537"/>
      <c r="I297" s="538"/>
    </row>
    <row r="298" spans="1:13">
      <c r="A298" s="333">
        <v>3</v>
      </c>
      <c r="B298" s="332" t="s">
        <v>32</v>
      </c>
      <c r="D298" s="344"/>
      <c r="E298" s="196"/>
      <c r="G298" s="547"/>
      <c r="H298" s="537"/>
      <c r="I298" s="538"/>
    </row>
    <row r="299" spans="1:13">
      <c r="A299" s="333">
        <v>4</v>
      </c>
      <c r="D299" s="344"/>
      <c r="E299" s="196"/>
      <c r="G299" s="547"/>
      <c r="H299" s="537"/>
      <c r="I299" s="538"/>
    </row>
    <row r="300" spans="1:13">
      <c r="A300" s="333">
        <v>5</v>
      </c>
      <c r="B300" s="332" t="s">
        <v>33</v>
      </c>
      <c r="D300" s="344"/>
      <c r="E300" s="196"/>
      <c r="G300" s="547"/>
      <c r="H300" s="537"/>
      <c r="I300" s="538"/>
    </row>
    <row r="301" spans="1:13">
      <c r="A301" s="333">
        <v>6</v>
      </c>
      <c r="C301" s="332" t="str">
        <f>'FR-16(7)(v)-1 Functional'!C301</f>
        <v>GAS ENRICHER LIQUID</v>
      </c>
      <c r="D301" s="344" t="str">
        <f>'FR-16(7)(v)-1 Functional'!D301</f>
        <v>K301</v>
      </c>
      <c r="E301" s="196"/>
      <c r="F301" s="479">
        <f>'FR-16(7)(v)-1 Functional'!I301</f>
        <v>0</v>
      </c>
      <c r="G301" s="548">
        <f>ROUND(F301*VLOOKUP(D301,Alloctable_Classified_Distribution,$G$10,FALSE),0)</f>
        <v>0</v>
      </c>
      <c r="H301" s="539">
        <f>ROUND(F301*VLOOKUP(D301,Alloctable_Classified_Distribution,$H$10,FALSE),0)</f>
        <v>0</v>
      </c>
      <c r="I301" s="540">
        <f>ROUND(F301*VLOOKUP(D301,Alloctable_Classified_Distribution,$I$10,FALSE),0)</f>
        <v>0</v>
      </c>
      <c r="J301" s="347">
        <f>SUM(G301:I301)</f>
        <v>0</v>
      </c>
      <c r="K301" s="347">
        <f>F301-J301</f>
        <v>0</v>
      </c>
      <c r="M301" s="335"/>
    </row>
    <row r="302" spans="1:13">
      <c r="A302" s="333">
        <v>7</v>
      </c>
      <c r="C302" s="359" t="str">
        <f>'FR-16(7)(v)-1 Functional'!C302</f>
        <v>OTHER SUPPLIES</v>
      </c>
      <c r="D302" s="344" t="str">
        <f>'FR-16(7)(v)-1 Functional'!D302</f>
        <v>NP29</v>
      </c>
      <c r="E302" s="196"/>
      <c r="F302" s="479">
        <f>'FR-16(7)(v)-1 Functional'!I302</f>
        <v>1134659</v>
      </c>
      <c r="G302" s="548">
        <f>ROUND(F302*VLOOKUP(D302,Alloctable_Classified_Distribution,$G$10,FALSE),0)</f>
        <v>620647</v>
      </c>
      <c r="H302" s="539">
        <f>ROUND(F302*VLOOKUP(D302,Alloctable_Classified_Distribution,$H$10,FALSE),0)</f>
        <v>0</v>
      </c>
      <c r="I302" s="540">
        <f>ROUND(F302*VLOOKUP(D302,Alloctable_Classified_Distribution,$I$10,FALSE),0)</f>
        <v>514012</v>
      </c>
      <c r="J302" s="347">
        <f>SUM(G302:I302)</f>
        <v>1134659</v>
      </c>
      <c r="K302" s="347">
        <f>F302-J302</f>
        <v>0</v>
      </c>
      <c r="M302" s="335"/>
    </row>
    <row r="303" spans="1:13">
      <c r="A303" s="333">
        <v>8</v>
      </c>
      <c r="C303" s="332" t="str">
        <f>'FR-16(7)(v)-1 Functional'!C303</f>
        <v xml:space="preserve">  TOTAL PLANT MATS. &amp; SUPPLIES</v>
      </c>
      <c r="D303" s="344"/>
      <c r="E303" s="196"/>
      <c r="F303" s="348">
        <f t="shared" ref="F303:K303" si="80">SUM(F300:F302)</f>
        <v>1134659</v>
      </c>
      <c r="G303" s="549">
        <f t="shared" si="80"/>
        <v>620647</v>
      </c>
      <c r="H303" s="541">
        <f t="shared" si="80"/>
        <v>0</v>
      </c>
      <c r="I303" s="542">
        <f t="shared" si="80"/>
        <v>514012</v>
      </c>
      <c r="J303" s="348">
        <f t="shared" si="80"/>
        <v>1134659</v>
      </c>
      <c r="K303" s="348">
        <f t="shared" si="80"/>
        <v>0</v>
      </c>
    </row>
    <row r="304" spans="1:13">
      <c r="A304" s="333">
        <v>9</v>
      </c>
      <c r="B304" s="332" t="s">
        <v>34</v>
      </c>
      <c r="D304" s="344"/>
      <c r="E304" s="196"/>
      <c r="F304" s="347">
        <f t="shared" ref="F304:K304" si="81">F303</f>
        <v>1134659</v>
      </c>
      <c r="G304" s="548">
        <f t="shared" si="81"/>
        <v>620647</v>
      </c>
      <c r="H304" s="539">
        <f t="shared" si="81"/>
        <v>0</v>
      </c>
      <c r="I304" s="540">
        <f t="shared" si="81"/>
        <v>514012</v>
      </c>
      <c r="J304" s="347">
        <f t="shared" si="81"/>
        <v>1134659</v>
      </c>
      <c r="K304" s="347">
        <f t="shared" si="81"/>
        <v>0</v>
      </c>
    </row>
    <row r="305" spans="1:13">
      <c r="A305" s="333">
        <v>10</v>
      </c>
      <c r="D305" s="344"/>
      <c r="E305" s="196"/>
      <c r="G305" s="547"/>
      <c r="H305" s="537"/>
      <c r="I305" s="538"/>
    </row>
    <row r="306" spans="1:13">
      <c r="A306" s="333">
        <v>11</v>
      </c>
      <c r="B306" s="332" t="s">
        <v>35</v>
      </c>
      <c r="D306" s="344"/>
      <c r="E306" s="196"/>
      <c r="G306" s="547"/>
      <c r="H306" s="537"/>
      <c r="I306" s="538"/>
    </row>
    <row r="307" spans="1:13">
      <c r="A307" s="333">
        <v>12</v>
      </c>
      <c r="C307" s="332" t="str">
        <f>'FR-16(7)(v)-1 Functional'!C307</f>
        <v>INSURANCE GENERAL</v>
      </c>
      <c r="D307" s="344" t="str">
        <f>'FR-16(7)(v)-1 Functional'!D307</f>
        <v>OM39</v>
      </c>
      <c r="E307" s="196"/>
      <c r="F307" s="479">
        <f>'FR-16(7)(v)-1 Functional'!I307</f>
        <v>14019</v>
      </c>
      <c r="G307" s="548">
        <f>ROUND(F307*VLOOKUP(D307,Alloctable_Classified_Distribution,$G$10,FALSE),0)</f>
        <v>6280</v>
      </c>
      <c r="H307" s="539">
        <f>ROUND(F307*VLOOKUP(D307,Alloctable_Classified_Distribution,$H$10,FALSE),0)</f>
        <v>0</v>
      </c>
      <c r="I307" s="540">
        <f>ROUND(F307*VLOOKUP(D307,Alloctable_Classified_Distribution,$I$10,FALSE),0)</f>
        <v>7739</v>
      </c>
      <c r="J307" s="347">
        <f>SUM(G307:I307)</f>
        <v>14019</v>
      </c>
      <c r="K307" s="347">
        <f>F307-J307</f>
        <v>0</v>
      </c>
      <c r="M307" s="335"/>
    </row>
    <row r="308" spans="1:13">
      <c r="A308" s="333">
        <v>13</v>
      </c>
      <c r="C308" s="332" t="str">
        <f>'FR-16(7)(v)-1 Functional'!C308</f>
        <v>EXCISE TAX</v>
      </c>
      <c r="D308" s="344" t="str">
        <f>'FR-16(7)(v)-1 Functional'!D308</f>
        <v>OM39</v>
      </c>
      <c r="E308" s="196"/>
      <c r="F308" s="479">
        <f>'FR-16(7)(v)-1 Functional'!I308</f>
        <v>0</v>
      </c>
      <c r="G308" s="548">
        <f>ROUND(F308*VLOOKUP(D308,Alloctable_Classified_Distribution,$G$10,FALSE),0)</f>
        <v>0</v>
      </c>
      <c r="H308" s="539">
        <f>ROUND(F308*VLOOKUP(D308,Alloctable_Classified_Distribution,$H$10,FALSE),0)</f>
        <v>0</v>
      </c>
      <c r="I308" s="540">
        <f>ROUND(F308*VLOOKUP(D308,Alloctable_Classified_Distribution,$I$10,FALSE),0)</f>
        <v>0</v>
      </c>
      <c r="J308" s="347">
        <f>SUM(G308:I308)</f>
        <v>0</v>
      </c>
      <c r="K308" s="347">
        <f>F308-J308</f>
        <v>0</v>
      </c>
      <c r="M308" s="335"/>
    </row>
    <row r="309" spans="1:13">
      <c r="A309" s="333">
        <v>14</v>
      </c>
      <c r="C309" s="332" t="str">
        <f>'FR-16(7)(v)-1 Functional'!C309</f>
        <v>GAS PURCHASE</v>
      </c>
      <c r="D309" s="344" t="str">
        <f>'FR-16(7)(v)-1 Functional'!D309</f>
        <v>K301</v>
      </c>
      <c r="E309" s="196"/>
      <c r="F309" s="479">
        <f>'FR-16(7)(v)-1 Functional'!I309</f>
        <v>0</v>
      </c>
      <c r="G309" s="548">
        <f>ROUND(F309*VLOOKUP(D309,Alloctable_Classified_Distribution,$G$10,FALSE),0)</f>
        <v>0</v>
      </c>
      <c r="H309" s="539">
        <f>ROUND(F309*VLOOKUP(D309,Alloctable_Classified_Distribution,$H$10,FALSE),0)</f>
        <v>0</v>
      </c>
      <c r="I309" s="540">
        <f>ROUND(F309*VLOOKUP(D309,Alloctable_Classified_Distribution,$I$10,FALSE),0)</f>
        <v>0</v>
      </c>
      <c r="J309" s="347">
        <f>SUM(G309:I309)</f>
        <v>0</v>
      </c>
      <c r="K309" s="347">
        <f>F309-J309</f>
        <v>0</v>
      </c>
      <c r="M309" s="335"/>
    </row>
    <row r="310" spans="1:13">
      <c r="A310" s="333">
        <v>15</v>
      </c>
      <c r="C310" s="339" t="str">
        <f>'FR-16(7)(v)-1 Functional'!C310</f>
        <v xml:space="preserve">  TOTAL PREPAYMENTS</v>
      </c>
      <c r="D310" s="344"/>
      <c r="E310" s="196"/>
      <c r="F310" s="579">
        <f t="shared" ref="F310:K310" si="82">SUM(F306:F309)</f>
        <v>14019</v>
      </c>
      <c r="G310" s="580">
        <f t="shared" si="82"/>
        <v>6280</v>
      </c>
      <c r="H310" s="581">
        <f t="shared" si="82"/>
        <v>0</v>
      </c>
      <c r="I310" s="582">
        <f t="shared" si="82"/>
        <v>7739</v>
      </c>
      <c r="J310" s="579">
        <f t="shared" si="82"/>
        <v>14019</v>
      </c>
      <c r="K310" s="579">
        <f t="shared" si="82"/>
        <v>0</v>
      </c>
    </row>
    <row r="311" spans="1:13">
      <c r="A311" s="333">
        <v>16</v>
      </c>
      <c r="D311" s="344"/>
      <c r="E311" s="196"/>
      <c r="G311" s="547"/>
      <c r="H311" s="537"/>
      <c r="I311" s="538"/>
    </row>
    <row r="312" spans="1:13">
      <c r="A312" s="333">
        <v>17</v>
      </c>
      <c r="B312" s="332" t="s">
        <v>36</v>
      </c>
      <c r="D312" s="344"/>
      <c r="E312" s="196"/>
      <c r="F312" s="347">
        <f>IF(WorkingCap="No",0,ROUND((F433-F348-F353)/8,0))</f>
        <v>2809410</v>
      </c>
      <c r="G312" s="548">
        <f>IF(WorkingCap="No",0,ROUND((G433-G348-G353)/8,0))</f>
        <v>1258523</v>
      </c>
      <c r="H312" s="539">
        <f>IF(WorkingCap="No",0,ROUND((H433-H348-H353)/8,0))</f>
        <v>0</v>
      </c>
      <c r="I312" s="540">
        <f>IF(WorkingCap="No",0,ROUND((I433-I348-I353)/8,0))</f>
        <v>1550887</v>
      </c>
      <c r="J312" s="347">
        <f>SUM(G312:I312)</f>
        <v>2809410</v>
      </c>
      <c r="K312" s="347">
        <f>F312-J312</f>
        <v>0</v>
      </c>
    </row>
    <row r="313" spans="1:13">
      <c r="A313" s="333">
        <v>18</v>
      </c>
      <c r="B313" s="332" t="s">
        <v>37</v>
      </c>
      <c r="D313" s="344"/>
      <c r="E313" s="196"/>
      <c r="F313" s="347">
        <f t="shared" ref="F313:K313" si="83">F312</f>
        <v>2809410</v>
      </c>
      <c r="G313" s="548">
        <f t="shared" si="83"/>
        <v>1258523</v>
      </c>
      <c r="H313" s="539">
        <f t="shared" si="83"/>
        <v>0</v>
      </c>
      <c r="I313" s="540">
        <f t="shared" si="83"/>
        <v>1550887</v>
      </c>
      <c r="J313" s="347">
        <f t="shared" si="83"/>
        <v>2809410</v>
      </c>
      <c r="K313" s="347">
        <f t="shared" si="83"/>
        <v>0</v>
      </c>
    </row>
    <row r="314" spans="1:13">
      <c r="A314" s="333">
        <v>19</v>
      </c>
      <c r="D314" s="344"/>
      <c r="E314" s="196"/>
      <c r="G314" s="547"/>
      <c r="H314" s="537"/>
      <c r="I314" s="538"/>
    </row>
    <row r="315" spans="1:13">
      <c r="A315" s="333">
        <v>20</v>
      </c>
      <c r="B315" s="332" t="s">
        <v>38</v>
      </c>
      <c r="D315" s="344"/>
      <c r="E315" s="196"/>
      <c r="G315" s="547"/>
      <c r="H315" s="537"/>
      <c r="I315" s="538"/>
    </row>
    <row r="316" spans="1:13">
      <c r="A316" s="333">
        <v>21</v>
      </c>
      <c r="C316" s="618" t="str">
        <f>'FR-16(7)(v)-1 Functional'!C316</f>
        <v>GAS STORED UNDERGROUND</v>
      </c>
      <c r="D316" s="344" t="str">
        <f>'FR-16(7)(v)-1 Functional'!D316</f>
        <v>K301</v>
      </c>
      <c r="E316" s="196"/>
      <c r="F316" s="479">
        <f>'FR-16(7)(v)-1 Functional'!I316</f>
        <v>0</v>
      </c>
      <c r="G316" s="548">
        <f>ROUND(F316*VLOOKUP(D316,Alloctable_Classified_Distribution,$G$10,FALSE),0)</f>
        <v>0</v>
      </c>
      <c r="H316" s="539">
        <f>ROUND(F316*VLOOKUP(D316,Alloctable_Classified_Distribution,$H$10,FALSE),0)</f>
        <v>0</v>
      </c>
      <c r="I316" s="540">
        <f>ROUND(F316*VLOOKUP(D316,Alloctable_Classified_Distribution,$I$10,FALSE),0)</f>
        <v>0</v>
      </c>
      <c r="J316" s="347">
        <f>SUM(G316:I316)</f>
        <v>0</v>
      </c>
      <c r="K316" s="347">
        <f>F316-J316</f>
        <v>0</v>
      </c>
      <c r="M316" s="335"/>
    </row>
    <row r="317" spans="1:13">
      <c r="A317" s="333">
        <v>22</v>
      </c>
      <c r="C317" s="353" t="str">
        <f>'FR-16(7)(v)-1 Functional'!C317</f>
        <v>PIPP UNCOLLECTIBLES</v>
      </c>
      <c r="D317" s="344" t="str">
        <f>'FR-16(7)(v)-1 Functional'!D317</f>
        <v>K406</v>
      </c>
      <c r="E317" s="196"/>
      <c r="F317" s="479">
        <f>'FR-16(7)(v)-1 Functional'!I317</f>
        <v>0</v>
      </c>
      <c r="G317" s="548">
        <f>ROUND(F317*VLOOKUP(D317,Alloctable_Classified_Distribution,$G$10,FALSE),0)</f>
        <v>0</v>
      </c>
      <c r="H317" s="539">
        <f>ROUND(F317*VLOOKUP(D317,Alloctable_Classified_Distribution,$H$10,FALSE),0)</f>
        <v>0</v>
      </c>
      <c r="I317" s="540">
        <f>ROUND(F317*VLOOKUP(D317,Alloctable_Classified_Distribution,$I$10,FALSE),0)</f>
        <v>0</v>
      </c>
      <c r="J317" s="347">
        <f>SUM(G317:I317)</f>
        <v>0</v>
      </c>
      <c r="K317" s="347">
        <f>F317-J317</f>
        <v>0</v>
      </c>
      <c r="M317" s="335"/>
    </row>
    <row r="318" spans="1:13">
      <c r="A318" s="333">
        <v>23</v>
      </c>
      <c r="C318" s="511" t="str">
        <f>'FR-16(7)(v)-1 Functional'!C318</f>
        <v>RESERVED FOR FUTURE USE</v>
      </c>
      <c r="D318" s="344" t="str">
        <f>'FR-16(7)(v)-1 Functional'!D318</f>
        <v>D249</v>
      </c>
      <c r="E318" s="196"/>
      <c r="F318" s="479">
        <f>'FR-16(7)(v)-1 Functional'!I318</f>
        <v>0</v>
      </c>
      <c r="G318" s="548">
        <f>ROUND(F318*VLOOKUP(D318,Alloctable_Classified_Distribution,$G$10,FALSE),0)</f>
        <v>0</v>
      </c>
      <c r="H318" s="539">
        <f>ROUND(F318*VLOOKUP(D318,Alloctable_Classified_Distribution,$H$10,FALSE),0)</f>
        <v>0</v>
      </c>
      <c r="I318" s="540">
        <f>ROUND(F318*VLOOKUP(D318,Alloctable_Classified_Distribution,$I$10,FALSE),0)</f>
        <v>0</v>
      </c>
      <c r="J318" s="347">
        <f>SUM(G318:I318)</f>
        <v>0</v>
      </c>
      <c r="K318" s="347">
        <f>F318-J318</f>
        <v>0</v>
      </c>
      <c r="M318" s="335"/>
    </row>
    <row r="319" spans="1:13">
      <c r="A319" s="333">
        <v>24</v>
      </c>
      <c r="C319" s="332" t="str">
        <f>'FR-16(7)(v)-1 Functional'!C319</f>
        <v xml:space="preserve">  TOTAL MISC WORK CAPITAL</v>
      </c>
      <c r="D319" s="344"/>
      <c r="E319" s="196"/>
      <c r="F319" s="348">
        <f t="shared" ref="F319:K319" si="84">SUM(F315:F318)</f>
        <v>0</v>
      </c>
      <c r="G319" s="549">
        <f t="shared" si="84"/>
        <v>0</v>
      </c>
      <c r="H319" s="541">
        <f t="shared" si="84"/>
        <v>0</v>
      </c>
      <c r="I319" s="542">
        <f t="shared" si="84"/>
        <v>0</v>
      </c>
      <c r="J319" s="348">
        <f t="shared" si="84"/>
        <v>0</v>
      </c>
      <c r="K319" s="348">
        <f t="shared" si="84"/>
        <v>0</v>
      </c>
    </row>
    <row r="320" spans="1:13">
      <c r="A320" s="333">
        <v>25</v>
      </c>
      <c r="D320" s="344"/>
      <c r="E320" s="196"/>
      <c r="G320" s="547"/>
      <c r="H320" s="537"/>
      <c r="I320" s="538"/>
    </row>
    <row r="321" spans="1:13">
      <c r="A321" s="333">
        <v>26</v>
      </c>
      <c r="B321" s="332" t="s">
        <v>39</v>
      </c>
      <c r="D321" s="344"/>
      <c r="E321" s="196"/>
      <c r="F321" s="347">
        <f t="shared" ref="F321:K321" si="85">F304+F310+F313+F319</f>
        <v>3958088</v>
      </c>
      <c r="G321" s="548">
        <f t="shared" si="85"/>
        <v>1885450</v>
      </c>
      <c r="H321" s="539">
        <f t="shared" si="85"/>
        <v>0</v>
      </c>
      <c r="I321" s="540">
        <f t="shared" si="85"/>
        <v>2072638</v>
      </c>
      <c r="J321" s="347">
        <f t="shared" si="85"/>
        <v>3958088</v>
      </c>
      <c r="K321" s="347">
        <f t="shared" si="85"/>
        <v>0</v>
      </c>
    </row>
    <row r="322" spans="1:13">
      <c r="A322" s="333">
        <v>27</v>
      </c>
      <c r="B322" s="332" t="s">
        <v>40</v>
      </c>
      <c r="D322" s="344"/>
      <c r="E322" s="196"/>
      <c r="G322" s="547"/>
      <c r="H322" s="537"/>
      <c r="I322" s="538"/>
    </row>
    <row r="323" spans="1:13">
      <c r="A323" s="333">
        <v>28</v>
      </c>
      <c r="C323" s="332" t="str">
        <f>'FR-16(7)(v)-1 Functional'!C323</f>
        <v>TOTAL ACCUMULATED DEFERRED INCOME TAXES</v>
      </c>
      <c r="D323" s="344"/>
      <c r="E323" s="196"/>
      <c r="F323" s="347">
        <f t="shared" ref="F323:K323" si="86">-F238</f>
        <v>-96171310</v>
      </c>
      <c r="G323" s="548">
        <f t="shared" si="86"/>
        <v>-49901330</v>
      </c>
      <c r="H323" s="539">
        <f t="shared" si="86"/>
        <v>0</v>
      </c>
      <c r="I323" s="540">
        <f t="shared" si="86"/>
        <v>-46269980</v>
      </c>
      <c r="J323" s="347">
        <f t="shared" si="86"/>
        <v>-96171310</v>
      </c>
      <c r="K323" s="347">
        <f t="shared" si="86"/>
        <v>0</v>
      </c>
      <c r="M323" s="335"/>
    </row>
    <row r="324" spans="1:13">
      <c r="A324" s="333">
        <v>29</v>
      </c>
      <c r="C324" s="332" t="str">
        <f>'FR-16(7)(v)-1 Functional'!C324</f>
        <v>TOTAL OTHER ACCUMULATED DEFERRED INCOME TAXES</v>
      </c>
      <c r="D324" s="344"/>
      <c r="E324" s="196"/>
      <c r="F324" s="347">
        <f t="shared" ref="F324:K324" si="87">F283</f>
        <v>1060746</v>
      </c>
      <c r="G324" s="548">
        <f t="shared" si="87"/>
        <v>391964</v>
      </c>
      <c r="H324" s="539">
        <f t="shared" si="87"/>
        <v>0</v>
      </c>
      <c r="I324" s="540">
        <f t="shared" si="87"/>
        <v>668782</v>
      </c>
      <c r="J324" s="347">
        <f t="shared" si="87"/>
        <v>1060746</v>
      </c>
      <c r="K324" s="347">
        <f t="shared" si="87"/>
        <v>0</v>
      </c>
      <c r="M324" s="335"/>
    </row>
    <row r="325" spans="1:13">
      <c r="A325" s="333">
        <v>30</v>
      </c>
      <c r="C325" s="359" t="str">
        <f>'FR-16(7)(v)-1 Functional'!C325</f>
        <v>TOTAL WORKING CAPITAL</v>
      </c>
      <c r="D325" s="344"/>
      <c r="E325" s="196"/>
      <c r="F325" s="347">
        <f t="shared" ref="F325:K325" si="88">F321</f>
        <v>3958088</v>
      </c>
      <c r="G325" s="548">
        <f t="shared" si="88"/>
        <v>1885450</v>
      </c>
      <c r="H325" s="539">
        <f t="shared" si="88"/>
        <v>0</v>
      </c>
      <c r="I325" s="540">
        <f t="shared" si="88"/>
        <v>2072638</v>
      </c>
      <c r="J325" s="347">
        <f t="shared" si="88"/>
        <v>3958088</v>
      </c>
      <c r="K325" s="347">
        <f t="shared" si="88"/>
        <v>0</v>
      </c>
      <c r="M325" s="335"/>
    </row>
    <row r="326" spans="1:13">
      <c r="A326" s="333">
        <v>31</v>
      </c>
      <c r="C326" s="332" t="str">
        <f>'FR-16(7)(v)-1 Functional'!C326</f>
        <v xml:space="preserve">  TOTAL RATE BASE ADJUSTMENTS</v>
      </c>
      <c r="D326" s="344"/>
      <c r="E326" s="196"/>
      <c r="F326" s="348">
        <f t="shared" ref="F326:K326" si="89">SUM(F322:F325)</f>
        <v>-91152476</v>
      </c>
      <c r="G326" s="549">
        <f t="shared" si="89"/>
        <v>-47623916</v>
      </c>
      <c r="H326" s="541">
        <f t="shared" si="89"/>
        <v>0</v>
      </c>
      <c r="I326" s="542">
        <f t="shared" si="89"/>
        <v>-43528560</v>
      </c>
      <c r="J326" s="348">
        <f>SUM(J322:J325)</f>
        <v>-91152476</v>
      </c>
      <c r="K326" s="348">
        <f t="shared" si="89"/>
        <v>0</v>
      </c>
    </row>
    <row r="327" spans="1:13">
      <c r="A327" s="333">
        <v>32</v>
      </c>
      <c r="D327" s="344"/>
      <c r="E327" s="196"/>
      <c r="G327" s="547"/>
      <c r="H327" s="537"/>
      <c r="I327" s="538"/>
    </row>
    <row r="328" spans="1:13">
      <c r="A328" s="333">
        <v>33</v>
      </c>
      <c r="B328" s="332" t="s">
        <v>41</v>
      </c>
      <c r="D328" s="344"/>
      <c r="E328" s="196"/>
      <c r="G328" s="547"/>
      <c r="H328" s="537"/>
      <c r="I328" s="538"/>
    </row>
    <row r="329" spans="1:13">
      <c r="A329" s="333">
        <v>34</v>
      </c>
      <c r="C329" s="332" t="str">
        <f>'FR-16(7)(v)-1 Functional'!C329</f>
        <v>NET GAS PLANT IN SERVICE</v>
      </c>
      <c r="D329" s="344"/>
      <c r="E329" s="196"/>
      <c r="F329" s="347">
        <f t="shared" ref="F329:K329" si="90">F191</f>
        <v>398133236</v>
      </c>
      <c r="G329" s="548">
        <f t="shared" si="90"/>
        <v>217773649</v>
      </c>
      <c r="H329" s="539">
        <f t="shared" si="90"/>
        <v>0</v>
      </c>
      <c r="I329" s="540">
        <f t="shared" si="90"/>
        <v>180359587</v>
      </c>
      <c r="J329" s="347">
        <f t="shared" si="90"/>
        <v>398133236</v>
      </c>
      <c r="K329" s="347">
        <f t="shared" si="90"/>
        <v>0</v>
      </c>
    </row>
    <row r="330" spans="1:13">
      <c r="A330" s="333">
        <v>35</v>
      </c>
      <c r="C330" s="359" t="str">
        <f>'FR-16(7)(v)-1 Functional'!C330</f>
        <v>TOTAL RATE BASE ADJUSTMENTS</v>
      </c>
      <c r="D330" s="344"/>
      <c r="E330" s="196"/>
      <c r="F330" s="347">
        <f t="shared" ref="F330:K330" si="91">F326</f>
        <v>-91152476</v>
      </c>
      <c r="G330" s="548">
        <f t="shared" si="91"/>
        <v>-47623916</v>
      </c>
      <c r="H330" s="539">
        <f t="shared" si="91"/>
        <v>0</v>
      </c>
      <c r="I330" s="540">
        <f t="shared" si="91"/>
        <v>-43528560</v>
      </c>
      <c r="J330" s="347">
        <f t="shared" si="91"/>
        <v>-91152476</v>
      </c>
      <c r="K330" s="347">
        <f t="shared" si="91"/>
        <v>0</v>
      </c>
    </row>
    <row r="331" spans="1:13">
      <c r="A331" s="333">
        <v>36</v>
      </c>
      <c r="C331" s="332" t="str">
        <f>'FR-16(7)(v)-1 Functional'!C331</f>
        <v xml:space="preserve">  TOTAL RATE BASE</v>
      </c>
      <c r="D331" s="344"/>
      <c r="E331" s="196"/>
      <c r="F331" s="348">
        <f t="shared" ref="F331:K331" si="92">SUM(F328:F330)</f>
        <v>306980760</v>
      </c>
      <c r="G331" s="549">
        <f t="shared" si="92"/>
        <v>170149733</v>
      </c>
      <c r="H331" s="541">
        <f t="shared" si="92"/>
        <v>0</v>
      </c>
      <c r="I331" s="542">
        <f t="shared" si="92"/>
        <v>136831027</v>
      </c>
      <c r="J331" s="348">
        <f>SUM(J328:J330)</f>
        <v>306980760</v>
      </c>
      <c r="K331" s="348">
        <f t="shared" si="92"/>
        <v>0</v>
      </c>
    </row>
    <row r="332" spans="1:13">
      <c r="A332" s="333">
        <v>37</v>
      </c>
      <c r="D332" s="344"/>
      <c r="E332" s="196"/>
      <c r="G332" s="547"/>
      <c r="H332" s="537"/>
      <c r="I332" s="538"/>
    </row>
    <row r="333" spans="1:13">
      <c r="A333" s="333">
        <v>38</v>
      </c>
      <c r="B333" s="332" t="s">
        <v>42</v>
      </c>
      <c r="D333" s="344"/>
      <c r="E333" s="196"/>
      <c r="F333" s="350">
        <f>$F$688</f>
        <v>7.1809999999999999E-2</v>
      </c>
      <c r="G333" s="1278">
        <f>F688</f>
        <v>7.1809999999999999E-2</v>
      </c>
      <c r="H333" s="1279">
        <f>F688</f>
        <v>7.1809999999999999E-2</v>
      </c>
      <c r="I333" s="1280">
        <f>F688</f>
        <v>7.1809999999999999E-2</v>
      </c>
      <c r="J333" s="350">
        <f>F688</f>
        <v>7.1809999999999999E-2</v>
      </c>
      <c r="K333" s="350">
        <f>'FR-16(7)(v)-1 Functional'!F688</f>
        <v>7.1809999999999999E-2</v>
      </c>
    </row>
    <row r="334" spans="1:13">
      <c r="A334" s="333">
        <v>39</v>
      </c>
      <c r="B334" s="332" t="s">
        <v>43</v>
      </c>
      <c r="D334" s="344"/>
      <c r="E334" s="196"/>
      <c r="F334" s="347">
        <f>ROUND(F333*F331,0)</f>
        <v>22044288</v>
      </c>
      <c r="G334" s="554">
        <f>ROUND(G331*G333,0)</f>
        <v>12218452</v>
      </c>
      <c r="H334" s="555">
        <f>ROUND(H331*H333,0)</f>
        <v>0</v>
      </c>
      <c r="I334" s="556">
        <f>ROUND(I331*I333,0)</f>
        <v>9825836</v>
      </c>
      <c r="J334" s="347">
        <f>SUM(G334:I334)</f>
        <v>22044288</v>
      </c>
      <c r="K334" s="347">
        <f>ROUND(K331*K333,0)</f>
        <v>0</v>
      </c>
    </row>
    <row r="335" spans="1:13">
      <c r="B335" s="343"/>
      <c r="C335" s="196"/>
      <c r="D335" s="344"/>
      <c r="E335" s="196"/>
      <c r="F335" s="196"/>
      <c r="G335" s="196"/>
      <c r="H335" s="196"/>
      <c r="I335" s="196"/>
      <c r="J335" s="196"/>
      <c r="K335" s="196"/>
    </row>
    <row r="336" spans="1:13">
      <c r="A336" s="343" t="str">
        <f>co_name</f>
        <v>DUKE ENERGY KENTUCKY, INC.</v>
      </c>
      <c r="C336" s="196"/>
      <c r="D336" s="344"/>
      <c r="E336" s="196"/>
      <c r="F336" s="196"/>
      <c r="G336" s="196"/>
      <c r="H336" s="196"/>
      <c r="I336" s="196"/>
      <c r="J336" s="196" t="str">
        <f>$J$1</f>
        <v>FR-16(7)(v)-4</v>
      </c>
      <c r="K336" s="196"/>
    </row>
    <row r="337" spans="1:11">
      <c r="A337" s="343" t="str">
        <f>$A$2</f>
        <v>DISTRIBUTION CLASSIFIED - GAS COST OF SERVICE</v>
      </c>
      <c r="C337" s="196"/>
      <c r="D337" s="344"/>
      <c r="E337" s="196"/>
      <c r="F337" s="196"/>
      <c r="G337" s="196"/>
      <c r="H337" s="196"/>
      <c r="I337" s="196"/>
      <c r="J337" s="196" t="str">
        <f>$J$2</f>
        <v>WITNESS RESPONSIBLE:</v>
      </c>
      <c r="K337" s="196"/>
    </row>
    <row r="338" spans="1:11">
      <c r="A338" s="343" t="str">
        <f>case_name</f>
        <v>CASE NO: 2018-00261</v>
      </c>
      <c r="C338" s="196"/>
      <c r="D338" s="344"/>
      <c r="E338" s="196"/>
      <c r="F338" s="196"/>
      <c r="G338" s="196"/>
      <c r="H338" s="196"/>
      <c r="I338" s="196"/>
      <c r="J338" s="196" t="str">
        <f>Witness</f>
        <v>JAMES E. ZIOLKOWSKI</v>
      </c>
      <c r="K338" s="196"/>
    </row>
    <row r="339" spans="1:11">
      <c r="A339" s="343" t="str">
        <f>data_filing</f>
        <v>DATA: 12 MONTH FORECASTED PERIOD</v>
      </c>
      <c r="C339" s="196"/>
      <c r="D339" s="344"/>
      <c r="E339" s="196"/>
      <c r="F339" s="196"/>
      <c r="G339" s="196"/>
      <c r="H339" s="196"/>
      <c r="I339" s="196"/>
      <c r="J339" s="196" t="str">
        <f>"PAGE "&amp;Pages-10&amp;" OF "&amp;Pages</f>
        <v>PAGE 8 OF 18</v>
      </c>
      <c r="K339" s="196"/>
    </row>
    <row r="340" spans="1:11">
      <c r="A340" s="343" t="str">
        <f>type</f>
        <v xml:space="preserve">TYPE OF FILING: "X" ORIGINAL   UPDATED    REVISED  </v>
      </c>
      <c r="C340" s="196"/>
      <c r="D340" s="344"/>
      <c r="E340" s="196"/>
      <c r="F340" s="196"/>
      <c r="G340" s="196"/>
      <c r="H340" s="196"/>
      <c r="I340" s="196"/>
      <c r="J340" s="196"/>
      <c r="K340" s="196"/>
    </row>
    <row r="341" spans="1:11">
      <c r="B341" s="343"/>
      <c r="C341" s="196"/>
      <c r="D341" s="344"/>
      <c r="E341" s="196"/>
      <c r="F341" s="196"/>
      <c r="G341" s="196"/>
      <c r="H341" s="196"/>
      <c r="I341" s="196"/>
      <c r="J341" s="196"/>
      <c r="K341" s="196"/>
    </row>
    <row r="342" spans="1:11">
      <c r="B342" s="343"/>
      <c r="C342" s="196"/>
      <c r="D342" s="344"/>
      <c r="E342" s="196"/>
      <c r="F342" s="196"/>
      <c r="G342" s="196"/>
      <c r="H342" s="196"/>
      <c r="I342" s="196"/>
      <c r="J342" s="196"/>
      <c r="K342" s="196"/>
    </row>
    <row r="343" spans="1:11">
      <c r="A343" s="344" t="s">
        <v>914</v>
      </c>
      <c r="B343" s="196"/>
      <c r="C343" s="196"/>
      <c r="D343" s="344"/>
      <c r="E343" s="196"/>
      <c r="F343" s="344" t="s">
        <v>229</v>
      </c>
      <c r="G343" s="545" t="s">
        <v>1005</v>
      </c>
      <c r="H343" s="533"/>
      <c r="I343" s="534"/>
      <c r="J343" s="344" t="s">
        <v>229</v>
      </c>
      <c r="K343" s="344" t="s">
        <v>342</v>
      </c>
    </row>
    <row r="344" spans="1:11">
      <c r="A344" s="346" t="s">
        <v>915</v>
      </c>
      <c r="B344" s="345" t="s">
        <v>44</v>
      </c>
      <c r="C344" s="345"/>
      <c r="D344" s="346" t="s">
        <v>337</v>
      </c>
      <c r="E344" s="345"/>
      <c r="F344" s="346" t="s">
        <v>846</v>
      </c>
      <c r="G344" s="546" t="s">
        <v>847</v>
      </c>
      <c r="H344" s="535" t="s">
        <v>848</v>
      </c>
      <c r="I344" s="536" t="s">
        <v>849</v>
      </c>
      <c r="J344" s="346" t="s">
        <v>341</v>
      </c>
      <c r="K344" s="346" t="s">
        <v>340</v>
      </c>
    </row>
    <row r="345" spans="1:11">
      <c r="C345" s="578" t="s">
        <v>348</v>
      </c>
      <c r="D345" s="344"/>
      <c r="E345" s="196"/>
      <c r="G345" s="800">
        <f>$G$10</f>
        <v>3</v>
      </c>
      <c r="H345" s="801">
        <f>$H$10</f>
        <v>4</v>
      </c>
      <c r="I345" s="802">
        <f>$I$10</f>
        <v>5</v>
      </c>
    </row>
    <row r="346" spans="1:11">
      <c r="A346" s="333">
        <v>1</v>
      </c>
      <c r="B346" s="332" t="s">
        <v>45</v>
      </c>
      <c r="D346" s="344"/>
      <c r="E346" s="196"/>
      <c r="G346" s="547"/>
      <c r="H346" s="537"/>
      <c r="I346" s="538"/>
    </row>
    <row r="347" spans="1:11">
      <c r="A347" s="333">
        <v>2</v>
      </c>
      <c r="B347" s="332" t="s">
        <v>46</v>
      </c>
      <c r="D347" s="344"/>
      <c r="E347" s="196"/>
      <c r="G347" s="547"/>
      <c r="H347" s="537"/>
      <c r="I347" s="538"/>
    </row>
    <row r="348" spans="1:11">
      <c r="A348" s="333">
        <v>3</v>
      </c>
      <c r="C348" s="332" t="str">
        <f>'FR-16(7)(v)-1 Functional'!C348</f>
        <v>ANNUALIZED GAS COST</v>
      </c>
      <c r="D348" s="344" t="str">
        <f>'FR-16(7)(v)-1 Functional'!D348</f>
        <v>K301</v>
      </c>
      <c r="E348" s="196"/>
      <c r="F348" s="479">
        <f>'FR-16(7)(v)-1 Functional'!I348</f>
        <v>0</v>
      </c>
      <c r="G348" s="548">
        <f>F348-SUM(H348:I348)</f>
        <v>0</v>
      </c>
      <c r="H348" s="539">
        <f>ROUND(F348*VLOOKUP(D348,Alloctable_Classified_Distribution,$H$10,FALSE),0)</f>
        <v>0</v>
      </c>
      <c r="I348" s="540">
        <f>ROUND(F348*VLOOKUP(D348,Alloctable_Classified_Distribution,$I$10,FALSE),0)</f>
        <v>0</v>
      </c>
      <c r="J348" s="347">
        <f>SUM(G348:I348)</f>
        <v>0</v>
      </c>
      <c r="K348" s="347">
        <f>F348-J348</f>
        <v>0</v>
      </c>
    </row>
    <row r="349" spans="1:11">
      <c r="A349" s="333">
        <v>4</v>
      </c>
      <c r="C349" s="359" t="str">
        <f>'FR-16(7)(v)-1 Functional'!C349</f>
        <v>OTHER ASSOCIATED COST</v>
      </c>
      <c r="D349" s="344" t="str">
        <f>'FR-16(7)(v)-1 Functional'!D349</f>
        <v>K300</v>
      </c>
      <c r="E349" s="196"/>
      <c r="F349" s="479">
        <f>'FR-16(7)(v)-1 Functional'!I349</f>
        <v>0</v>
      </c>
      <c r="G349" s="548">
        <f>F349-SUM(H349:I349)</f>
        <v>0</v>
      </c>
      <c r="H349" s="539">
        <f>ROUND(F349*VLOOKUP(D349,Alloctable_Classified_Distribution,$H$10,FALSE),0)</f>
        <v>0</v>
      </c>
      <c r="I349" s="540">
        <f>ROUND(F349*VLOOKUP(D349,Alloctable_Classified_Distribution,$I$10,FALSE),0)</f>
        <v>0</v>
      </c>
      <c r="J349" s="347">
        <f>SUM(G349:I349)</f>
        <v>0</v>
      </c>
      <c r="K349" s="347">
        <f>F349-J349</f>
        <v>0</v>
      </c>
    </row>
    <row r="350" spans="1:11">
      <c r="A350" s="333">
        <v>5</v>
      </c>
      <c r="C350" s="332" t="str">
        <f>'FR-16(7)(v)-1 Functional'!C350</f>
        <v xml:space="preserve">  TOTAL COMMODITY RELATED</v>
      </c>
      <c r="D350" s="344"/>
      <c r="E350" s="196"/>
      <c r="F350" s="348">
        <f t="shared" ref="F350:K350" si="93">SUM(F348:F349)</f>
        <v>0</v>
      </c>
      <c r="G350" s="549">
        <f t="shared" si="93"/>
        <v>0</v>
      </c>
      <c r="H350" s="541">
        <f t="shared" si="93"/>
        <v>0</v>
      </c>
      <c r="I350" s="542">
        <f t="shared" si="93"/>
        <v>0</v>
      </c>
      <c r="J350" s="348">
        <f t="shared" si="93"/>
        <v>0</v>
      </c>
      <c r="K350" s="348">
        <f t="shared" si="93"/>
        <v>0</v>
      </c>
    </row>
    <row r="351" spans="1:11">
      <c r="A351" s="333">
        <v>6</v>
      </c>
      <c r="D351" s="344"/>
      <c r="E351" s="196"/>
      <c r="G351" s="547"/>
      <c r="H351" s="537"/>
      <c r="I351" s="538"/>
    </row>
    <row r="352" spans="1:11">
      <c r="A352" s="333">
        <v>7</v>
      </c>
      <c r="B352" s="359" t="s">
        <v>47</v>
      </c>
      <c r="C352" s="359"/>
      <c r="D352" s="344"/>
      <c r="E352" s="196"/>
      <c r="F352" s="347"/>
      <c r="G352" s="548"/>
      <c r="H352" s="539"/>
      <c r="I352" s="540"/>
      <c r="J352" s="347"/>
      <c r="K352" s="347"/>
    </row>
    <row r="353" spans="1:11">
      <c r="A353" s="333">
        <v>8</v>
      </c>
      <c r="C353" s="332" t="str">
        <f>'FR-16(7)(v)-1 Functional'!C353</f>
        <v>ANNUALIZED GAS COST - DEMAND</v>
      </c>
      <c r="D353" s="344" t="s">
        <v>290</v>
      </c>
      <c r="E353" s="196"/>
      <c r="F353" s="477">
        <v>0</v>
      </c>
      <c r="G353" s="548">
        <f>ROUND(F353*VLOOKUP(D353,Alloctable_Classified_Distribution,$G$10,FALSE),0)</f>
        <v>0</v>
      </c>
      <c r="H353" s="539">
        <f>ROUND(F353*VLOOKUP(D353,Alloctable_Classified_Distribution,$H$10,FALSE),0)</f>
        <v>0</v>
      </c>
      <c r="I353" s="540">
        <f>ROUND(F353*VLOOKUP(D353,Alloctable_Classified_Distribution,$I$10,FALSE),0)</f>
        <v>0</v>
      </c>
      <c r="J353" s="347">
        <f>SUM(G353:I353)</f>
        <v>0</v>
      </c>
      <c r="K353" s="347">
        <f>F353-J353</f>
        <v>0</v>
      </c>
    </row>
    <row r="354" spans="1:11">
      <c r="A354" s="333">
        <v>9</v>
      </c>
      <c r="C354" s="332" t="str">
        <f>'FR-16(7)(v)-1 Functional'!C354</f>
        <v xml:space="preserve">  TOTAL DEMAND RELATED</v>
      </c>
      <c r="D354" s="344"/>
      <c r="E354" s="196"/>
      <c r="F354" s="348">
        <f t="shared" ref="F354:K354" si="94">SUM(F352:F353)</f>
        <v>0</v>
      </c>
      <c r="G354" s="549">
        <f t="shared" si="94"/>
        <v>0</v>
      </c>
      <c r="H354" s="541">
        <f t="shared" si="94"/>
        <v>0</v>
      </c>
      <c r="I354" s="542">
        <f t="shared" si="94"/>
        <v>0</v>
      </c>
      <c r="J354" s="348">
        <f t="shared" si="94"/>
        <v>0</v>
      </c>
      <c r="K354" s="348">
        <f t="shared" si="94"/>
        <v>0</v>
      </c>
    </row>
    <row r="355" spans="1:11">
      <c r="A355" s="333">
        <v>10</v>
      </c>
      <c r="D355" s="344"/>
      <c r="E355" s="196"/>
      <c r="G355" s="547"/>
      <c r="H355" s="537"/>
      <c r="I355" s="538"/>
    </row>
    <row r="356" spans="1:11">
      <c r="A356" s="333">
        <v>11</v>
      </c>
      <c r="B356" s="332" t="s">
        <v>1010</v>
      </c>
      <c r="D356" s="344"/>
      <c r="E356" s="196"/>
      <c r="G356" s="547"/>
      <c r="H356" s="537"/>
      <c r="I356" s="538"/>
    </row>
    <row r="357" spans="1:11">
      <c r="A357" s="333">
        <v>12</v>
      </c>
      <c r="C357" s="359" t="str">
        <f>'FR-16(7)(v)-1 Functional'!C357</f>
        <v>PRODUCTION EXPENSES</v>
      </c>
      <c r="D357" s="344" t="str">
        <f>'FR-16(7)(v)-1 Functional'!D357</f>
        <v>K201</v>
      </c>
      <c r="E357" s="196"/>
      <c r="F357" s="479">
        <f>'FR-16(7)(v)-1 Functional'!I357</f>
        <v>0</v>
      </c>
      <c r="G357" s="548">
        <f>F357-SUM(H357:I357)</f>
        <v>0</v>
      </c>
      <c r="H357" s="539">
        <f>ROUND(F357*VLOOKUP(D357,Alloctable_Classified_Distribution,$H$10,FALSE),0)</f>
        <v>0</v>
      </c>
      <c r="I357" s="540">
        <f>ROUND(F357*VLOOKUP(D357,Alloctable_Classified_Distribution,$I$10,FALSE),0)</f>
        <v>0</v>
      </c>
      <c r="J357" s="347">
        <f>SUM(G357:I357)</f>
        <v>0</v>
      </c>
      <c r="K357" s="347">
        <f>F357-J357</f>
        <v>0</v>
      </c>
    </row>
    <row r="358" spans="1:11">
      <c r="A358" s="333">
        <v>13</v>
      </c>
      <c r="C358" s="332" t="str">
        <f>'FR-16(7)(v)-1 Functional'!C358</f>
        <v xml:space="preserve">  TOTAL DEM REL &amp; OTH PROD O&amp;M </v>
      </c>
      <c r="D358" s="344"/>
      <c r="E358" s="196"/>
      <c r="F358" s="348">
        <f t="shared" ref="F358:K358" si="95">SUM(F356:F357)</f>
        <v>0</v>
      </c>
      <c r="G358" s="549">
        <f t="shared" si="95"/>
        <v>0</v>
      </c>
      <c r="H358" s="541">
        <f t="shared" si="95"/>
        <v>0</v>
      </c>
      <c r="I358" s="542">
        <f t="shared" si="95"/>
        <v>0</v>
      </c>
      <c r="J358" s="348">
        <f t="shared" si="95"/>
        <v>0</v>
      </c>
      <c r="K358" s="348">
        <f t="shared" si="95"/>
        <v>0</v>
      </c>
    </row>
    <row r="359" spans="1:11">
      <c r="A359" s="333">
        <v>14</v>
      </c>
      <c r="D359" s="344"/>
      <c r="E359" s="196"/>
      <c r="F359" s="347"/>
      <c r="G359" s="548"/>
      <c r="H359" s="539"/>
      <c r="I359" s="540"/>
      <c r="J359" s="347"/>
      <c r="K359" s="347"/>
    </row>
    <row r="360" spans="1:11">
      <c r="A360" s="333">
        <v>15</v>
      </c>
      <c r="B360" s="332" t="s">
        <v>48</v>
      </c>
      <c r="D360" s="344"/>
      <c r="E360" s="196" t="s">
        <v>343</v>
      </c>
      <c r="F360" s="347">
        <f t="shared" ref="F360:K360" si="96">F358+F354+F350</f>
        <v>0</v>
      </c>
      <c r="G360" s="548">
        <f t="shared" si="96"/>
        <v>0</v>
      </c>
      <c r="H360" s="539">
        <f t="shared" si="96"/>
        <v>0</v>
      </c>
      <c r="I360" s="540">
        <f t="shared" si="96"/>
        <v>0</v>
      </c>
      <c r="J360" s="347">
        <f t="shared" si="96"/>
        <v>0</v>
      </c>
      <c r="K360" s="347">
        <f t="shared" si="96"/>
        <v>0</v>
      </c>
    </row>
    <row r="361" spans="1:11">
      <c r="A361" s="333">
        <v>16</v>
      </c>
      <c r="D361" s="344"/>
      <c r="E361" s="196"/>
      <c r="G361" s="547"/>
      <c r="H361" s="537"/>
      <c r="I361" s="538"/>
    </row>
    <row r="362" spans="1:11">
      <c r="A362" s="333">
        <v>17</v>
      </c>
      <c r="B362" s="332" t="s">
        <v>49</v>
      </c>
      <c r="D362" s="344"/>
      <c r="E362" s="196"/>
      <c r="G362" s="547"/>
      <c r="H362" s="537"/>
      <c r="I362" s="538"/>
    </row>
    <row r="363" spans="1:11">
      <c r="A363" s="333">
        <v>18</v>
      </c>
      <c r="C363" s="359" t="str">
        <f>'FR-16(7)(v)-1 Functional'!C363</f>
        <v>TRANSMISSION O &amp; M</v>
      </c>
      <c r="D363" s="344" t="s">
        <v>343</v>
      </c>
      <c r="E363" s="196"/>
      <c r="F363" s="477"/>
      <c r="G363" s="548"/>
      <c r="H363" s="539"/>
      <c r="I363" s="540"/>
      <c r="J363" s="347"/>
      <c r="K363" s="347"/>
    </row>
    <row r="364" spans="1:11">
      <c r="A364" s="333">
        <v>19</v>
      </c>
      <c r="C364" s="332" t="str">
        <f>'FR-16(7)(v)-1 Functional'!C364</f>
        <v xml:space="preserve">  TOTAL TRANSMISSION O &amp; M</v>
      </c>
      <c r="D364" s="344"/>
      <c r="E364" s="196"/>
      <c r="F364" s="348">
        <f t="shared" ref="F364:K364" si="97">SUM(F363)</f>
        <v>0</v>
      </c>
      <c r="G364" s="549">
        <f t="shared" si="97"/>
        <v>0</v>
      </c>
      <c r="H364" s="541">
        <f t="shared" si="97"/>
        <v>0</v>
      </c>
      <c r="I364" s="542">
        <f t="shared" si="97"/>
        <v>0</v>
      </c>
      <c r="J364" s="348">
        <f t="shared" si="97"/>
        <v>0</v>
      </c>
      <c r="K364" s="348">
        <f t="shared" si="97"/>
        <v>0</v>
      </c>
    </row>
    <row r="365" spans="1:11">
      <c r="A365" s="333">
        <v>20</v>
      </c>
      <c r="D365" s="344"/>
      <c r="E365" s="196"/>
      <c r="G365" s="547"/>
      <c r="H365" s="537"/>
      <c r="I365" s="538"/>
    </row>
    <row r="366" spans="1:11">
      <c r="A366" s="333">
        <v>21</v>
      </c>
      <c r="B366" s="332" t="s">
        <v>50</v>
      </c>
      <c r="D366" s="344"/>
      <c r="E366" s="196"/>
      <c r="G366" s="547"/>
      <c r="H366" s="537"/>
      <c r="I366" s="538"/>
    </row>
    <row r="367" spans="1:11">
      <c r="A367" s="333">
        <v>22</v>
      </c>
      <c r="C367" s="332" t="str">
        <f>'FR-16(7)(v)-1 Functional'!C367</f>
        <v>LOAD DISPATCHING</v>
      </c>
      <c r="D367" s="344" t="str">
        <f>'FR-16(7)(v)-1 Functional'!D367</f>
        <v>K203</v>
      </c>
      <c r="E367" s="196"/>
      <c r="F367" s="479">
        <f>'FR-16(7)(v)-1 Functional'!I367</f>
        <v>185332</v>
      </c>
      <c r="G367" s="548">
        <f t="shared" ref="G367:G377" si="98">F367-SUM(H367:I367)</f>
        <v>185332</v>
      </c>
      <c r="H367" s="539">
        <f t="shared" ref="H367:H377" si="99">ROUND(F367*VLOOKUP(D367,Alloctable_Classified_Distribution,$H$10,FALSE),0)</f>
        <v>0</v>
      </c>
      <c r="I367" s="540">
        <f t="shared" ref="I367:I377" si="100">ROUND(F367*VLOOKUP(D367,Alloctable_Classified_Distribution,$I$10,FALSE),0)</f>
        <v>0</v>
      </c>
      <c r="J367" s="347">
        <f t="shared" ref="J367:J377" si="101">SUM(G367:I367)</f>
        <v>185332</v>
      </c>
      <c r="K367" s="347">
        <f t="shared" ref="K367:K377" si="102">F367-J367</f>
        <v>0</v>
      </c>
    </row>
    <row r="368" spans="1:11">
      <c r="A368" s="333">
        <v>23</v>
      </c>
      <c r="C368" s="332" t="str">
        <f>'FR-16(7)(v)-1 Functional'!C368</f>
        <v>MAINS &amp; SERVICES OPER</v>
      </c>
      <c r="D368" s="344" t="str">
        <f>'FR-16(7)(v)-1 Functional'!D368</f>
        <v>K667</v>
      </c>
      <c r="E368" s="196"/>
      <c r="F368" s="479">
        <f>'FR-16(7)(v)-1 Functional'!I368</f>
        <v>2548186</v>
      </c>
      <c r="G368" s="548">
        <f t="shared" si="98"/>
        <v>1322610</v>
      </c>
      <c r="H368" s="539">
        <f t="shared" si="99"/>
        <v>0</v>
      </c>
      <c r="I368" s="540">
        <f t="shared" si="100"/>
        <v>1225576</v>
      </c>
      <c r="J368" s="347">
        <f t="shared" si="101"/>
        <v>2548186</v>
      </c>
      <c r="K368" s="347">
        <f t="shared" si="102"/>
        <v>0</v>
      </c>
    </row>
    <row r="369" spans="1:11">
      <c r="A369" s="333">
        <v>24</v>
      </c>
      <c r="C369" s="332" t="str">
        <f>'FR-16(7)(v)-1 Functional'!C369</f>
        <v>M &amp; R STATION GENERAL</v>
      </c>
      <c r="D369" s="344" t="str">
        <f>'FR-16(7)(v)-1 Functional'!D369</f>
        <v>K203</v>
      </c>
      <c r="E369" s="196"/>
      <c r="F369" s="479">
        <f>'FR-16(7)(v)-1 Functional'!I369</f>
        <v>66190</v>
      </c>
      <c r="G369" s="548">
        <f t="shared" si="98"/>
        <v>66190</v>
      </c>
      <c r="H369" s="539">
        <f t="shared" si="99"/>
        <v>0</v>
      </c>
      <c r="I369" s="540">
        <f t="shared" si="100"/>
        <v>0</v>
      </c>
      <c r="J369" s="347">
        <f t="shared" si="101"/>
        <v>66190</v>
      </c>
      <c r="K369" s="347">
        <f t="shared" si="102"/>
        <v>0</v>
      </c>
    </row>
    <row r="370" spans="1:11">
      <c r="A370" s="333">
        <v>25</v>
      </c>
      <c r="C370" s="332" t="str">
        <f>'FR-16(7)(v)-1 Functional'!C370</f>
        <v>CUSTOMER INST &amp; OTHER</v>
      </c>
      <c r="D370" s="344" t="str">
        <f>'FR-16(7)(v)-1 Functional'!D370</f>
        <v>K415</v>
      </c>
      <c r="E370" s="196"/>
      <c r="F370" s="479">
        <f>'FR-16(7)(v)-1 Functional'!I370</f>
        <v>1353005</v>
      </c>
      <c r="G370" s="548">
        <f t="shared" si="98"/>
        <v>1136524</v>
      </c>
      <c r="H370" s="539">
        <f t="shared" si="99"/>
        <v>0</v>
      </c>
      <c r="I370" s="540">
        <f t="shared" si="100"/>
        <v>216481</v>
      </c>
      <c r="J370" s="347">
        <f t="shared" si="101"/>
        <v>1353005</v>
      </c>
      <c r="K370" s="347">
        <f t="shared" si="102"/>
        <v>0</v>
      </c>
    </row>
    <row r="371" spans="1:11">
      <c r="A371" s="333">
        <v>26</v>
      </c>
      <c r="C371" s="332" t="str">
        <f>'FR-16(7)(v)-1 Functional'!C371</f>
        <v>METERS &amp; HOUSE REG</v>
      </c>
      <c r="D371" s="344" t="str">
        <f>'FR-16(7)(v)-1 Functional'!D371</f>
        <v>K697</v>
      </c>
      <c r="E371" s="196"/>
      <c r="F371" s="479">
        <f>'FR-16(7)(v)-1 Functional'!I371</f>
        <v>2583784</v>
      </c>
      <c r="G371" s="548">
        <f t="shared" si="98"/>
        <v>0</v>
      </c>
      <c r="H371" s="539">
        <f t="shared" si="99"/>
        <v>0</v>
      </c>
      <c r="I371" s="540">
        <f t="shared" si="100"/>
        <v>2583784</v>
      </c>
      <c r="J371" s="347">
        <f t="shared" si="101"/>
        <v>2583784</v>
      </c>
      <c r="K371" s="347">
        <f t="shared" si="102"/>
        <v>0</v>
      </c>
    </row>
    <row r="372" spans="1:11">
      <c r="A372" s="333">
        <v>27</v>
      </c>
      <c r="C372" s="332" t="str">
        <f>'FR-16(7)(v)-1 Functional'!C372</f>
        <v>MAINS</v>
      </c>
      <c r="D372" s="344" t="str">
        <f>'FR-16(7)(v)-1 Functional'!D372</f>
        <v>K415</v>
      </c>
      <c r="E372" s="196"/>
      <c r="F372" s="479">
        <f>'FR-16(7)(v)-1 Functional'!I372</f>
        <v>2158350</v>
      </c>
      <c r="G372" s="548">
        <f t="shared" si="98"/>
        <v>1813014</v>
      </c>
      <c r="H372" s="539">
        <f t="shared" si="99"/>
        <v>0</v>
      </c>
      <c r="I372" s="540">
        <f t="shared" si="100"/>
        <v>345336</v>
      </c>
      <c r="J372" s="347">
        <f t="shared" si="101"/>
        <v>2158350</v>
      </c>
      <c r="K372" s="347">
        <f t="shared" si="102"/>
        <v>0</v>
      </c>
    </row>
    <row r="373" spans="1:11">
      <c r="A373" s="333">
        <v>28</v>
      </c>
      <c r="C373" s="332" t="str">
        <f>'FR-16(7)(v)-1 Functional'!C373</f>
        <v>SERVICES</v>
      </c>
      <c r="D373" s="344" t="str">
        <f>'FR-16(7)(v)-1 Functional'!D373</f>
        <v>K403</v>
      </c>
      <c r="E373" s="196"/>
      <c r="F373" s="479">
        <f>'FR-16(7)(v)-1 Functional'!I373</f>
        <v>596174</v>
      </c>
      <c r="G373" s="548">
        <f t="shared" si="98"/>
        <v>0</v>
      </c>
      <c r="H373" s="539">
        <f t="shared" si="99"/>
        <v>0</v>
      </c>
      <c r="I373" s="540">
        <f t="shared" si="100"/>
        <v>596174</v>
      </c>
      <c r="J373" s="347">
        <f t="shared" si="101"/>
        <v>596174</v>
      </c>
      <c r="K373" s="347">
        <f t="shared" si="102"/>
        <v>0</v>
      </c>
    </row>
    <row r="374" spans="1:11">
      <c r="A374" s="333">
        <v>29</v>
      </c>
      <c r="C374" s="332" t="str">
        <f>'FR-16(7)(v)-1 Functional'!C374</f>
        <v>SUPV &amp; ENG</v>
      </c>
      <c r="D374" s="344" t="str">
        <f>'FR-16(7)(v)-1 Functional'!D374</f>
        <v>D249</v>
      </c>
      <c r="E374" s="196"/>
      <c r="F374" s="479">
        <f>'FR-16(7)(v)-1 Functional'!I374</f>
        <v>0</v>
      </c>
      <c r="G374" s="548">
        <f t="shared" si="98"/>
        <v>0</v>
      </c>
      <c r="H374" s="539">
        <f t="shared" si="99"/>
        <v>0</v>
      </c>
      <c r="I374" s="540">
        <f t="shared" si="100"/>
        <v>0</v>
      </c>
      <c r="J374" s="347">
        <f t="shared" si="101"/>
        <v>0</v>
      </c>
      <c r="K374" s="347">
        <f t="shared" si="102"/>
        <v>0</v>
      </c>
    </row>
    <row r="375" spans="1:11">
      <c r="A375" s="333">
        <v>30</v>
      </c>
      <c r="C375" s="332" t="str">
        <f>'FR-16(7)(v)-1 Functional'!C375</f>
        <v>ELIMINATE NON-KY CUSTOMER</v>
      </c>
      <c r="D375" s="344" t="str">
        <f>'FR-16(7)(v)-1 Functional'!D375</f>
        <v>K595</v>
      </c>
      <c r="E375" s="196"/>
      <c r="F375" s="479">
        <f>'FR-16(7)(v)-1 Functional'!I375</f>
        <v>-102870</v>
      </c>
      <c r="G375" s="548">
        <f t="shared" si="98"/>
        <v>-102870</v>
      </c>
      <c r="H375" s="539">
        <f t="shared" si="99"/>
        <v>0</v>
      </c>
      <c r="I375" s="540">
        <f t="shared" si="100"/>
        <v>0</v>
      </c>
      <c r="J375" s="347">
        <f t="shared" si="101"/>
        <v>-102870</v>
      </c>
      <c r="K375" s="347">
        <f t="shared" si="102"/>
        <v>0</v>
      </c>
    </row>
    <row r="376" spans="1:11">
      <c r="A376" s="333">
        <v>31</v>
      </c>
      <c r="C376" s="332" t="str">
        <f>'FR-16(7)(v)-1 Functional'!C376</f>
        <v>INTEGRITY MANAGEMENT EXPENSES</v>
      </c>
      <c r="D376" s="344" t="str">
        <f>'FR-16(7)(v)-1 Functional'!D376</f>
        <v>K203</v>
      </c>
      <c r="E376" s="196"/>
      <c r="F376" s="479">
        <f>'FR-16(7)(v)-1 Functional'!I376</f>
        <v>1065488</v>
      </c>
      <c r="G376" s="548">
        <f t="shared" si="98"/>
        <v>1065488</v>
      </c>
      <c r="H376" s="539">
        <f t="shared" si="99"/>
        <v>0</v>
      </c>
      <c r="I376" s="540">
        <f t="shared" si="100"/>
        <v>0</v>
      </c>
      <c r="J376" s="347">
        <f t="shared" si="101"/>
        <v>1065488</v>
      </c>
      <c r="K376" s="347">
        <f t="shared" si="102"/>
        <v>0</v>
      </c>
    </row>
    <row r="377" spans="1:11">
      <c r="A377" s="333">
        <v>32</v>
      </c>
      <c r="C377" s="359" t="str">
        <f>'FR-16(7)(v)-1 Functional'!C377</f>
        <v>OTHER DISTRIBUTION EXPENSES</v>
      </c>
      <c r="D377" s="344" t="str">
        <f>'FR-16(7)(v)-1 Functional'!D377</f>
        <v>K415</v>
      </c>
      <c r="E377" s="196"/>
      <c r="F377" s="479">
        <f>'FR-16(7)(v)-1 Functional'!I377</f>
        <v>2451456</v>
      </c>
      <c r="G377" s="548">
        <f t="shared" si="98"/>
        <v>2059223</v>
      </c>
      <c r="H377" s="539">
        <f t="shared" si="99"/>
        <v>0</v>
      </c>
      <c r="I377" s="540">
        <f t="shared" si="100"/>
        <v>392233</v>
      </c>
      <c r="J377" s="347">
        <f t="shared" si="101"/>
        <v>2451456</v>
      </c>
      <c r="K377" s="347">
        <f t="shared" si="102"/>
        <v>0</v>
      </c>
    </row>
    <row r="378" spans="1:11">
      <c r="A378" s="333">
        <v>33</v>
      </c>
      <c r="C378" s="332" t="str">
        <f>'FR-16(7)(v)-1 Functional'!C378</f>
        <v xml:space="preserve">  TOTAL DISTRIBUTION O &amp; M</v>
      </c>
      <c r="D378" s="344"/>
      <c r="E378" s="196" t="s">
        <v>343</v>
      </c>
      <c r="F378" s="348">
        <f t="shared" ref="F378:K378" si="103">SUM(F366:F377)</f>
        <v>12905095</v>
      </c>
      <c r="G378" s="549">
        <f t="shared" si="103"/>
        <v>7545511</v>
      </c>
      <c r="H378" s="541">
        <f t="shared" si="103"/>
        <v>0</v>
      </c>
      <c r="I378" s="542">
        <f t="shared" si="103"/>
        <v>5359584</v>
      </c>
      <c r="J378" s="348">
        <f t="shared" si="103"/>
        <v>12905095</v>
      </c>
      <c r="K378" s="348">
        <f t="shared" si="103"/>
        <v>0</v>
      </c>
    </row>
    <row r="379" spans="1:11">
      <c r="A379" s="333">
        <v>34</v>
      </c>
      <c r="C379" s="332" t="s">
        <v>343</v>
      </c>
      <c r="D379" s="344"/>
      <c r="E379" s="196"/>
      <c r="G379" s="547"/>
      <c r="H379" s="537"/>
      <c r="I379" s="538"/>
    </row>
    <row r="380" spans="1:11">
      <c r="A380" s="333">
        <v>35</v>
      </c>
      <c r="B380" s="332" t="s">
        <v>51</v>
      </c>
      <c r="D380" s="344"/>
      <c r="E380" s="196"/>
      <c r="F380" s="332" t="s">
        <v>343</v>
      </c>
      <c r="G380" s="547"/>
      <c r="H380" s="537"/>
      <c r="I380" s="538"/>
    </row>
    <row r="381" spans="1:11">
      <c r="A381" s="333">
        <v>36</v>
      </c>
      <c r="C381" s="332" t="str">
        <f>'FR-16(7)(v)-1 Functional'!C381</f>
        <v>SUPERVISION &amp; ENGINEERING</v>
      </c>
      <c r="D381" s="344" t="str">
        <f>'FR-16(7)(v)-1 Functional'!D381</f>
        <v>K405</v>
      </c>
      <c r="E381" s="196"/>
      <c r="F381" s="479">
        <f>'FR-16(7)(v)-1 Functional'!I381</f>
        <v>185894</v>
      </c>
      <c r="G381" s="548">
        <f t="shared" ref="G381:G388" si="104">F381-SUM(H381:I381)</f>
        <v>0</v>
      </c>
      <c r="H381" s="539">
        <f t="shared" ref="H381:H388" si="105">ROUND(F381*VLOOKUP(D381,Alloctable_Classified_Distribution,$H$10,FALSE),0)</f>
        <v>0</v>
      </c>
      <c r="I381" s="540">
        <f t="shared" ref="I381:I388" si="106">ROUND(F381*VLOOKUP(D381,Alloctable_Classified_Distribution,$I$10,FALSE),0)</f>
        <v>185894</v>
      </c>
      <c r="J381" s="347">
        <f t="shared" ref="J381:J388" si="107">SUM(G381:I381)</f>
        <v>185894</v>
      </c>
      <c r="K381" s="347">
        <f t="shared" ref="K381:K388" si="108">F381-J381</f>
        <v>0</v>
      </c>
    </row>
    <row r="382" spans="1:11">
      <c r="A382" s="333">
        <v>37</v>
      </c>
      <c r="C382" s="332" t="str">
        <f>'FR-16(7)(v)-1 Functional'!C382</f>
        <v>METER READING</v>
      </c>
      <c r="D382" s="344" t="str">
        <f>'FR-16(7)(v)-1 Functional'!D382</f>
        <v>K405</v>
      </c>
      <c r="E382" s="196"/>
      <c r="F382" s="479">
        <f>'FR-16(7)(v)-1 Functional'!I382</f>
        <v>15923</v>
      </c>
      <c r="G382" s="548">
        <f t="shared" si="104"/>
        <v>0</v>
      </c>
      <c r="H382" s="539">
        <f t="shared" si="105"/>
        <v>0</v>
      </c>
      <c r="I382" s="540">
        <f t="shared" si="106"/>
        <v>15923</v>
      </c>
      <c r="J382" s="347">
        <f t="shared" si="107"/>
        <v>15923</v>
      </c>
      <c r="K382" s="347">
        <f t="shared" si="108"/>
        <v>0</v>
      </c>
    </row>
    <row r="383" spans="1:11">
      <c r="A383" s="333">
        <v>38</v>
      </c>
      <c r="C383" s="332" t="str">
        <f>'FR-16(7)(v)-1 Functional'!C383</f>
        <v>CUSTOMER BILLING &amp; COLLECTIONS</v>
      </c>
      <c r="D383" s="344" t="str">
        <f>'FR-16(7)(v)-1 Functional'!D383</f>
        <v>K405</v>
      </c>
      <c r="E383" s="196"/>
      <c r="F383" s="479">
        <f>'FR-16(7)(v)-1 Functional'!I383</f>
        <v>2595599</v>
      </c>
      <c r="G383" s="548">
        <f t="shared" si="104"/>
        <v>0</v>
      </c>
      <c r="H383" s="539">
        <f t="shared" si="105"/>
        <v>0</v>
      </c>
      <c r="I383" s="540">
        <f t="shared" si="106"/>
        <v>2595599</v>
      </c>
      <c r="J383" s="347">
        <f t="shared" si="107"/>
        <v>2595599</v>
      </c>
      <c r="K383" s="347">
        <f t="shared" si="108"/>
        <v>0</v>
      </c>
    </row>
    <row r="384" spans="1:11">
      <c r="A384" s="333">
        <v>39</v>
      </c>
      <c r="C384" s="332" t="str">
        <f>'FR-16(7)(v)-1 Functional'!C384</f>
        <v>UNCOLLECTIBLE EXP</v>
      </c>
      <c r="D384" s="344" t="str">
        <f>'FR-16(7)(v)-1 Functional'!D384</f>
        <v>K406</v>
      </c>
      <c r="E384" s="196"/>
      <c r="F384" s="479">
        <f>'FR-16(7)(v)-1 Functional'!I384</f>
        <v>-229924</v>
      </c>
      <c r="G384" s="548">
        <f t="shared" si="104"/>
        <v>0</v>
      </c>
      <c r="H384" s="539">
        <f t="shared" si="105"/>
        <v>0</v>
      </c>
      <c r="I384" s="540">
        <f t="shared" si="106"/>
        <v>-229924</v>
      </c>
      <c r="J384" s="347">
        <f t="shared" si="107"/>
        <v>-229924</v>
      </c>
      <c r="K384" s="347">
        <f t="shared" si="108"/>
        <v>0</v>
      </c>
    </row>
    <row r="385" spans="1:11">
      <c r="A385" s="333">
        <v>40</v>
      </c>
      <c r="C385" s="332" t="str">
        <f>'FR-16(7)(v)-1 Functional'!C385</f>
        <v>ELIMINATE MISC EXPENSES</v>
      </c>
      <c r="D385" s="344" t="str">
        <f>'FR-16(7)(v)-1 Functional'!D385</f>
        <v>K406</v>
      </c>
      <c r="E385" s="196"/>
      <c r="F385" s="479">
        <f>'FR-16(7)(v)-1 Functional'!I385</f>
        <v>0</v>
      </c>
      <c r="G385" s="548">
        <f t="shared" si="104"/>
        <v>0</v>
      </c>
      <c r="H385" s="539">
        <f t="shared" si="105"/>
        <v>0</v>
      </c>
      <c r="I385" s="540">
        <f t="shared" si="106"/>
        <v>0</v>
      </c>
      <c r="J385" s="347">
        <f t="shared" si="107"/>
        <v>0</v>
      </c>
      <c r="K385" s="347">
        <f t="shared" si="108"/>
        <v>0</v>
      </c>
    </row>
    <row r="386" spans="1:11">
      <c r="A386" s="333">
        <v>41</v>
      </c>
      <c r="C386" s="332" t="str">
        <f>'FR-16(7)(v)-1 Functional'!C386</f>
        <v>SALE OF A/R</v>
      </c>
      <c r="D386" s="344" t="str">
        <f>'FR-16(7)(v)-1 Functional'!D386</f>
        <v>K406</v>
      </c>
      <c r="E386" s="196"/>
      <c r="F386" s="479">
        <f>'FR-16(7)(v)-1 Functional'!I386</f>
        <v>105421</v>
      </c>
      <c r="G386" s="548">
        <f t="shared" si="104"/>
        <v>0</v>
      </c>
      <c r="H386" s="539">
        <f t="shared" si="105"/>
        <v>0</v>
      </c>
      <c r="I386" s="540">
        <f t="shared" si="106"/>
        <v>105421</v>
      </c>
      <c r="J386" s="347">
        <f t="shared" si="107"/>
        <v>105421</v>
      </c>
      <c r="K386" s="347">
        <f t="shared" si="108"/>
        <v>0</v>
      </c>
    </row>
    <row r="387" spans="1:11">
      <c r="A387" s="333">
        <v>42</v>
      </c>
      <c r="C387" s="332" t="str">
        <f>'FR-16(7)(v)-1 Functional'!C387</f>
        <v>INTEREST ON CUSTOMER SERVICE DEPOSITS</v>
      </c>
      <c r="D387" s="344" t="str">
        <f>'FR-16(7)(v)-1 Functional'!D387</f>
        <v>K405</v>
      </c>
      <c r="E387" s="196"/>
      <c r="F387" s="479">
        <f>'FR-16(7)(v)-1 Functional'!I387</f>
        <v>0</v>
      </c>
      <c r="G387" s="548">
        <f t="shared" si="104"/>
        <v>0</v>
      </c>
      <c r="H387" s="539">
        <f t="shared" si="105"/>
        <v>0</v>
      </c>
      <c r="I387" s="540">
        <f t="shared" si="106"/>
        <v>0</v>
      </c>
      <c r="J387" s="347">
        <f t="shared" si="107"/>
        <v>0</v>
      </c>
      <c r="K387" s="347">
        <f t="shared" si="108"/>
        <v>0</v>
      </c>
    </row>
    <row r="388" spans="1:11">
      <c r="A388" s="333">
        <v>43</v>
      </c>
      <c r="C388" s="359" t="str">
        <f>'FR-16(7)(v)-1 Functional'!C388</f>
        <v>ANNUALIZED UNCOLL EXP ON INCR</v>
      </c>
      <c r="D388" s="344" t="str">
        <f>'FR-16(7)(v)-1 Functional'!D388</f>
        <v>K406</v>
      </c>
      <c r="E388" s="196"/>
      <c r="F388" s="479">
        <f>'FR-16(7)(v)-1 Functional'!I388</f>
        <v>0</v>
      </c>
      <c r="G388" s="548">
        <f t="shared" si="104"/>
        <v>0</v>
      </c>
      <c r="H388" s="539">
        <f t="shared" si="105"/>
        <v>0</v>
      </c>
      <c r="I388" s="540">
        <f t="shared" si="106"/>
        <v>0</v>
      </c>
      <c r="J388" s="347">
        <f t="shared" si="107"/>
        <v>0</v>
      </c>
      <c r="K388" s="347">
        <f t="shared" si="108"/>
        <v>0</v>
      </c>
    </row>
    <row r="389" spans="1:11">
      <c r="A389" s="333">
        <v>44</v>
      </c>
      <c r="C389" s="332" t="str">
        <f>'FR-16(7)(v)-1 Functional'!C389</f>
        <v xml:space="preserve">  TOTAL CUSTOMER ACCT EXPENSE</v>
      </c>
      <c r="D389" s="344"/>
      <c r="E389" s="196" t="s">
        <v>343</v>
      </c>
      <c r="F389" s="348">
        <f t="shared" ref="F389:K389" si="109">SUM(F380:F388)</f>
        <v>2672913</v>
      </c>
      <c r="G389" s="557">
        <f t="shared" si="109"/>
        <v>0</v>
      </c>
      <c r="H389" s="558">
        <f t="shared" si="109"/>
        <v>0</v>
      </c>
      <c r="I389" s="559">
        <f t="shared" si="109"/>
        <v>2672913</v>
      </c>
      <c r="J389" s="348">
        <f t="shared" si="109"/>
        <v>2672913</v>
      </c>
      <c r="K389" s="348">
        <f t="shared" si="109"/>
        <v>0</v>
      </c>
    </row>
    <row r="390" spans="1:11">
      <c r="B390" s="343"/>
      <c r="C390" s="196"/>
      <c r="D390" s="344"/>
      <c r="E390" s="196"/>
      <c r="F390" s="196"/>
      <c r="G390" s="196"/>
      <c r="H390" s="196"/>
      <c r="I390" s="196"/>
      <c r="J390" s="196"/>
      <c r="K390" s="196"/>
    </row>
    <row r="391" spans="1:11">
      <c r="A391" s="343" t="str">
        <f>co_name</f>
        <v>DUKE ENERGY KENTUCKY, INC.</v>
      </c>
      <c r="C391" s="196"/>
      <c r="D391" s="344"/>
      <c r="E391" s="196"/>
      <c r="F391" s="196"/>
      <c r="G391" s="196"/>
      <c r="H391" s="196"/>
      <c r="I391" s="196"/>
      <c r="J391" s="196" t="str">
        <f>$J$1</f>
        <v>FR-16(7)(v)-4</v>
      </c>
      <c r="K391" s="196"/>
    </row>
    <row r="392" spans="1:11">
      <c r="A392" s="343" t="str">
        <f>$A$2</f>
        <v>DISTRIBUTION CLASSIFIED - GAS COST OF SERVICE</v>
      </c>
      <c r="C392" s="196"/>
      <c r="D392" s="344"/>
      <c r="E392" s="196"/>
      <c r="F392" s="196"/>
      <c r="G392" s="196"/>
      <c r="H392" s="196"/>
      <c r="I392" s="196"/>
      <c r="J392" s="196" t="str">
        <f>$J$2</f>
        <v>WITNESS RESPONSIBLE:</v>
      </c>
      <c r="K392" s="196"/>
    </row>
    <row r="393" spans="1:11">
      <c r="A393" s="343" t="str">
        <f>case_name</f>
        <v>CASE NO: 2018-00261</v>
      </c>
      <c r="C393" s="196"/>
      <c r="D393" s="344"/>
      <c r="E393" s="196"/>
      <c r="F393" s="196"/>
      <c r="G393" s="196"/>
      <c r="H393" s="196"/>
      <c r="I393" s="196"/>
      <c r="J393" s="196" t="str">
        <f>Witness</f>
        <v>JAMES E. ZIOLKOWSKI</v>
      </c>
      <c r="K393" s="196"/>
    </row>
    <row r="394" spans="1:11">
      <c r="A394" s="343" t="str">
        <f>data_filing</f>
        <v>DATA: 12 MONTH FORECASTED PERIOD</v>
      </c>
      <c r="C394" s="196"/>
      <c r="D394" s="344"/>
      <c r="E394" s="196"/>
      <c r="F394" s="196"/>
      <c r="G394" s="196"/>
      <c r="H394" s="196"/>
      <c r="I394" s="196"/>
      <c r="J394" s="196" t="str">
        <f>"PAGE "&amp;Pages-9&amp;" OF "&amp;Pages</f>
        <v>PAGE 9 OF 18</v>
      </c>
      <c r="K394" s="196"/>
    </row>
    <row r="395" spans="1:11">
      <c r="A395" s="343" t="str">
        <f>type</f>
        <v xml:space="preserve">TYPE OF FILING: "X" ORIGINAL   UPDATED    REVISED  </v>
      </c>
      <c r="C395" s="196"/>
      <c r="D395" s="344"/>
      <c r="E395" s="196"/>
      <c r="F395" s="196"/>
      <c r="G395" s="196"/>
      <c r="H395" s="196"/>
      <c r="I395" s="196"/>
      <c r="J395" s="196"/>
      <c r="K395" s="196"/>
    </row>
    <row r="396" spans="1:11">
      <c r="B396" s="343"/>
      <c r="C396" s="196"/>
      <c r="D396" s="344"/>
      <c r="E396" s="196"/>
      <c r="F396" s="196"/>
      <c r="G396" s="196"/>
      <c r="H396" s="196"/>
      <c r="I396" s="196"/>
      <c r="J396" s="196"/>
      <c r="K396" s="196"/>
    </row>
    <row r="397" spans="1:11">
      <c r="B397" s="343"/>
      <c r="C397" s="196"/>
      <c r="D397" s="344"/>
      <c r="E397" s="196"/>
      <c r="F397" s="196"/>
      <c r="G397" s="196"/>
      <c r="H397" s="196"/>
      <c r="I397" s="196"/>
      <c r="J397" s="196"/>
      <c r="K397" s="196"/>
    </row>
    <row r="398" spans="1:11">
      <c r="A398" s="344" t="s">
        <v>914</v>
      </c>
      <c r="B398" s="196"/>
      <c r="C398" s="196"/>
      <c r="D398" s="344"/>
      <c r="E398" s="196"/>
      <c r="F398" s="344" t="s">
        <v>229</v>
      </c>
      <c r="G398" s="545" t="s">
        <v>1005</v>
      </c>
      <c r="H398" s="533"/>
      <c r="I398" s="534"/>
      <c r="J398" s="344" t="s">
        <v>229</v>
      </c>
      <c r="K398" s="344" t="s">
        <v>342</v>
      </c>
    </row>
    <row r="399" spans="1:11">
      <c r="A399" s="346" t="s">
        <v>915</v>
      </c>
      <c r="B399" s="345" t="s">
        <v>44</v>
      </c>
      <c r="C399" s="345"/>
      <c r="D399" s="346" t="s">
        <v>337</v>
      </c>
      <c r="E399" s="345"/>
      <c r="F399" s="346" t="s">
        <v>846</v>
      </c>
      <c r="G399" s="546" t="s">
        <v>847</v>
      </c>
      <c r="H399" s="535" t="s">
        <v>848</v>
      </c>
      <c r="I399" s="536" t="s">
        <v>849</v>
      </c>
      <c r="J399" s="346" t="s">
        <v>341</v>
      </c>
      <c r="K399" s="346" t="s">
        <v>340</v>
      </c>
    </row>
    <row r="400" spans="1:11">
      <c r="C400" s="578" t="s">
        <v>560</v>
      </c>
      <c r="D400" s="344"/>
      <c r="E400" s="196"/>
      <c r="G400" s="800">
        <f>$G$10</f>
        <v>3</v>
      </c>
      <c r="H400" s="801">
        <f>$H$10</f>
        <v>4</v>
      </c>
      <c r="I400" s="802">
        <f>$I$10</f>
        <v>5</v>
      </c>
    </row>
    <row r="401" spans="1:11">
      <c r="A401" s="333">
        <v>1</v>
      </c>
      <c r="B401" s="332" t="s">
        <v>52</v>
      </c>
      <c r="D401" s="344"/>
      <c r="E401" s="196"/>
      <c r="G401" s="547"/>
      <c r="H401" s="537"/>
      <c r="I401" s="538"/>
    </row>
    <row r="402" spans="1:11">
      <c r="A402" s="333">
        <v>2</v>
      </c>
      <c r="C402" s="359" t="str">
        <f>'FR-16(7)(v)-1 Functional'!C402</f>
        <v>TOTAL CUST SERVICE &amp; INFO</v>
      </c>
      <c r="D402" s="344" t="str">
        <f>'FR-16(7)(v)-1 Functional'!D402</f>
        <v>K407</v>
      </c>
      <c r="E402" s="196"/>
      <c r="F402" s="479">
        <f>'FR-16(7)(v)-1 Functional'!I402</f>
        <v>406241</v>
      </c>
      <c r="G402" s="548">
        <f>F402-SUM(H402:I402)</f>
        <v>0</v>
      </c>
      <c r="H402" s="539">
        <f>ROUND(F402*VLOOKUP(D402,Alloctable_Classified_Distribution,$H$10,FALSE),0)</f>
        <v>0</v>
      </c>
      <c r="I402" s="540">
        <f>ROUND(F402*VLOOKUP(D402,Alloctable_Classified_Distribution,$I$10,FALSE),0)</f>
        <v>406241</v>
      </c>
      <c r="J402" s="347">
        <f>SUM(G402:I402)</f>
        <v>406241</v>
      </c>
      <c r="K402" s="347">
        <f>F402-J402</f>
        <v>0</v>
      </c>
    </row>
    <row r="403" spans="1:11">
      <c r="A403" s="333">
        <v>3</v>
      </c>
      <c r="C403" s="332" t="str">
        <f>'FR-16(7)(v)-1 Functional'!C403</f>
        <v xml:space="preserve">  TOTAL CUSTOMER SERV. &amp; INFO.</v>
      </c>
      <c r="D403" s="344"/>
      <c r="E403" s="196" t="s">
        <v>343</v>
      </c>
      <c r="F403" s="348">
        <f t="shared" ref="F403:K403" si="110">SUM(F402:F402)</f>
        <v>406241</v>
      </c>
      <c r="G403" s="549">
        <f t="shared" si="110"/>
        <v>0</v>
      </c>
      <c r="H403" s="541">
        <f t="shared" si="110"/>
        <v>0</v>
      </c>
      <c r="I403" s="542">
        <f t="shared" si="110"/>
        <v>406241</v>
      </c>
      <c r="J403" s="348">
        <f t="shared" si="110"/>
        <v>406241</v>
      </c>
      <c r="K403" s="348">
        <f t="shared" si="110"/>
        <v>0</v>
      </c>
    </row>
    <row r="404" spans="1:11">
      <c r="A404" s="333">
        <v>4</v>
      </c>
      <c r="D404" s="344"/>
      <c r="E404" s="196"/>
      <c r="F404" s="347"/>
      <c r="G404" s="548"/>
      <c r="H404" s="539"/>
      <c r="I404" s="540"/>
      <c r="J404" s="347"/>
      <c r="K404" s="347"/>
    </row>
    <row r="405" spans="1:11">
      <c r="A405" s="333">
        <v>5</v>
      </c>
      <c r="B405" s="332" t="s">
        <v>53</v>
      </c>
      <c r="D405" s="344"/>
      <c r="E405" s="196"/>
      <c r="F405" s="347"/>
      <c r="G405" s="548"/>
      <c r="H405" s="539"/>
      <c r="I405" s="540"/>
      <c r="J405" s="347"/>
      <c r="K405" s="347"/>
    </row>
    <row r="406" spans="1:11">
      <c r="A406" s="333">
        <v>6</v>
      </c>
      <c r="C406" s="359" t="str">
        <f>'FR-16(7)(v)-1 Functional'!C406</f>
        <v>SALES EXPENSE</v>
      </c>
      <c r="D406" s="344" t="str">
        <f>'FR-16(7)(v)-1 Functional'!D406</f>
        <v>K408</v>
      </c>
      <c r="E406" s="196" t="s">
        <v>343</v>
      </c>
      <c r="F406" s="479">
        <f>'FR-16(7)(v)-1 Functional'!I406</f>
        <v>194128</v>
      </c>
      <c r="G406" s="548">
        <f>F406-SUM(H406:I406)</f>
        <v>0</v>
      </c>
      <c r="H406" s="539">
        <f>ROUND(F406*VLOOKUP(D406,Alloctable_Classified_Distribution,$H$10,FALSE),0)</f>
        <v>0</v>
      </c>
      <c r="I406" s="540">
        <f>ROUND(F406*VLOOKUP(D406,Alloctable_Classified_Distribution,$I$10,FALSE),0)</f>
        <v>194128</v>
      </c>
      <c r="J406" s="347">
        <f>SUM(G406:I406)</f>
        <v>194128</v>
      </c>
      <c r="K406" s="347">
        <f>F406-J406</f>
        <v>0</v>
      </c>
    </row>
    <row r="407" spans="1:11">
      <c r="A407" s="333">
        <v>7</v>
      </c>
      <c r="C407" s="332" t="str">
        <f>'FR-16(7)(v)-1 Functional'!C407</f>
        <v xml:space="preserve">  TOTAL SALES EXPENSE</v>
      </c>
      <c r="D407" s="344"/>
      <c r="E407" s="196" t="s">
        <v>343</v>
      </c>
      <c r="F407" s="348">
        <f t="shared" ref="F407:K407" si="111">SUM(F405:F406)</f>
        <v>194128</v>
      </c>
      <c r="G407" s="549">
        <f t="shared" si="111"/>
        <v>0</v>
      </c>
      <c r="H407" s="541">
        <f t="shared" si="111"/>
        <v>0</v>
      </c>
      <c r="I407" s="542">
        <f t="shared" si="111"/>
        <v>194128</v>
      </c>
      <c r="J407" s="348">
        <f t="shared" si="111"/>
        <v>194128</v>
      </c>
      <c r="K407" s="348">
        <f t="shared" si="111"/>
        <v>0</v>
      </c>
    </row>
    <row r="408" spans="1:11">
      <c r="A408" s="333">
        <v>8</v>
      </c>
      <c r="D408" s="344"/>
      <c r="E408" s="196"/>
      <c r="G408" s="547"/>
      <c r="H408" s="537"/>
      <c r="I408" s="538"/>
    </row>
    <row r="409" spans="1:11">
      <c r="A409" s="333">
        <v>9</v>
      </c>
      <c r="B409" s="332" t="s">
        <v>54</v>
      </c>
      <c r="D409" s="344"/>
      <c r="E409" s="196"/>
      <c r="G409" s="547"/>
      <c r="H409" s="537"/>
      <c r="I409" s="538"/>
    </row>
    <row r="410" spans="1:11">
      <c r="A410" s="333">
        <v>10</v>
      </c>
      <c r="C410" s="332" t="str">
        <f>'FR-16(7)(v)-1 Functional'!C410</f>
        <v>PRODUCTION PLANT DEMAND</v>
      </c>
      <c r="D410" s="344" t="str">
        <f>'FR-16(7)(v)-1 Functional'!D410</f>
        <v>P349</v>
      </c>
      <c r="E410" s="196"/>
      <c r="F410" s="479">
        <f>'FR-16(7)(v)-1 Functional'!I410</f>
        <v>0</v>
      </c>
      <c r="G410" s="548">
        <f t="shared" ref="G410:G415" si="112">F410-SUM(H410:I410)</f>
        <v>0</v>
      </c>
      <c r="H410" s="539">
        <f t="shared" ref="H410:H415" si="113">ROUND(F410*VLOOKUP(D410,Alloctable_Classified_Distribution,$H$10,FALSE),0)</f>
        <v>0</v>
      </c>
      <c r="I410" s="540">
        <f t="shared" ref="I410:I415" si="114">ROUND(F410*VLOOKUP(D410,Alloctable_Classified_Distribution,$I$10,FALSE),0)</f>
        <v>0</v>
      </c>
      <c r="J410" s="347">
        <f t="shared" ref="J410:J415" si="115">SUM(G410:I410)</f>
        <v>0</v>
      </c>
      <c r="K410" s="347">
        <f t="shared" ref="K410:K415" si="116">F410-J410</f>
        <v>0</v>
      </c>
    </row>
    <row r="411" spans="1:11">
      <c r="A411" s="333">
        <v>11</v>
      </c>
      <c r="C411" s="332" t="str">
        <f>'FR-16(7)(v)-1 Functional'!C411</f>
        <v>PRODUCTION PLANT COMMODITY</v>
      </c>
      <c r="D411" s="344" t="str">
        <f>'FR-16(7)(v)-1 Functional'!D411</f>
        <v>K301</v>
      </c>
      <c r="E411" s="196"/>
      <c r="F411" s="479">
        <f>'FR-16(7)(v)-1 Functional'!I411</f>
        <v>0</v>
      </c>
      <c r="G411" s="548">
        <f t="shared" si="112"/>
        <v>0</v>
      </c>
      <c r="H411" s="539">
        <f t="shared" si="113"/>
        <v>0</v>
      </c>
      <c r="I411" s="540">
        <f t="shared" si="114"/>
        <v>0</v>
      </c>
      <c r="J411" s="347">
        <f t="shared" si="115"/>
        <v>0</v>
      </c>
      <c r="K411" s="347">
        <f t="shared" si="116"/>
        <v>0</v>
      </c>
    </row>
    <row r="412" spans="1:11">
      <c r="A412" s="333">
        <v>12</v>
      </c>
      <c r="C412" s="332" t="str">
        <f>'FR-16(7)(v)-1 Functional'!C412</f>
        <v>DISTRIBUTION PLANT</v>
      </c>
      <c r="D412" s="344" t="str">
        <f>'FR-16(7)(v)-1 Functional'!D412</f>
        <v>D349</v>
      </c>
      <c r="E412" s="196"/>
      <c r="F412" s="479">
        <f>'FR-16(7)(v)-1 Functional'!I412</f>
        <v>4278422</v>
      </c>
      <c r="G412" s="548">
        <f t="shared" si="112"/>
        <v>2501551</v>
      </c>
      <c r="H412" s="539">
        <f t="shared" si="113"/>
        <v>0</v>
      </c>
      <c r="I412" s="540">
        <f t="shared" si="114"/>
        <v>1776871</v>
      </c>
      <c r="J412" s="347">
        <f t="shared" si="115"/>
        <v>4278422</v>
      </c>
      <c r="K412" s="347">
        <f t="shared" si="116"/>
        <v>0</v>
      </c>
    </row>
    <row r="413" spans="1:11">
      <c r="A413" s="333">
        <v>13</v>
      </c>
      <c r="C413" s="332" t="str">
        <f>'FR-16(7)(v)-1 Functional'!C413</f>
        <v>CUSTOMER ACCOUNTING</v>
      </c>
      <c r="D413" s="344" t="str">
        <f>'FR-16(7)(v)-1 Functional'!D413</f>
        <v>CA19</v>
      </c>
      <c r="E413" s="196"/>
      <c r="F413" s="479">
        <f>'FR-16(7)(v)-1 Functional'!I413</f>
        <v>1807581</v>
      </c>
      <c r="G413" s="548">
        <f t="shared" si="112"/>
        <v>0</v>
      </c>
      <c r="H413" s="539">
        <f t="shared" si="113"/>
        <v>0</v>
      </c>
      <c r="I413" s="540">
        <f t="shared" si="114"/>
        <v>1807581</v>
      </c>
      <c r="J413" s="347">
        <f t="shared" si="115"/>
        <v>1807581</v>
      </c>
      <c r="K413" s="347">
        <f t="shared" si="116"/>
        <v>0</v>
      </c>
    </row>
    <row r="414" spans="1:11">
      <c r="A414" s="333">
        <v>14</v>
      </c>
      <c r="C414" s="332" t="str">
        <f>'FR-16(7)(v)-1 Functional'!C414</f>
        <v>CUSTOMER SERVICE &amp; INFORMATION</v>
      </c>
      <c r="D414" s="344" t="str">
        <f>'FR-16(7)(v)-1 Functional'!D414</f>
        <v>CS19</v>
      </c>
      <c r="E414" s="196"/>
      <c r="F414" s="479">
        <f>'FR-16(7)(v)-1 Functional'!I414</f>
        <v>158176</v>
      </c>
      <c r="G414" s="548">
        <f t="shared" si="112"/>
        <v>0</v>
      </c>
      <c r="H414" s="539">
        <f t="shared" si="113"/>
        <v>0</v>
      </c>
      <c r="I414" s="540">
        <f t="shared" si="114"/>
        <v>158176</v>
      </c>
      <c r="J414" s="347">
        <f t="shared" si="115"/>
        <v>158176</v>
      </c>
      <c r="K414" s="347">
        <f t="shared" si="116"/>
        <v>0</v>
      </c>
    </row>
    <row r="415" spans="1:11">
      <c r="A415" s="333">
        <v>15</v>
      </c>
      <c r="C415" s="359" t="str">
        <f>'FR-16(7)(v)-1 Functional'!C415</f>
        <v>SALES</v>
      </c>
      <c r="D415" s="344" t="str">
        <f>'FR-16(7)(v)-1 Functional'!D415</f>
        <v>SE19</v>
      </c>
      <c r="E415" s="196"/>
      <c r="F415" s="479">
        <f>'FR-16(7)(v)-1 Functional'!I415</f>
        <v>0</v>
      </c>
      <c r="G415" s="548">
        <f t="shared" si="112"/>
        <v>0</v>
      </c>
      <c r="H415" s="539">
        <f t="shared" si="113"/>
        <v>0</v>
      </c>
      <c r="I415" s="540">
        <f t="shared" si="114"/>
        <v>0</v>
      </c>
      <c r="J415" s="502">
        <f t="shared" si="115"/>
        <v>0</v>
      </c>
      <c r="K415" s="502">
        <f t="shared" si="116"/>
        <v>0</v>
      </c>
    </row>
    <row r="416" spans="1:11">
      <c r="A416" s="333">
        <v>16</v>
      </c>
      <c r="C416" s="332" t="str">
        <f>'FR-16(7)(v)-1 Functional'!C416</f>
        <v xml:space="preserve"> TOT ADMIN &amp; GEN LESS REG EXP</v>
      </c>
      <c r="D416" s="344" t="s">
        <v>343</v>
      </c>
      <c r="E416" s="196"/>
      <c r="F416" s="503">
        <f t="shared" ref="F416:K416" si="117">SUM(F410:F415)</f>
        <v>6244179</v>
      </c>
      <c r="G416" s="563">
        <f t="shared" si="117"/>
        <v>2501551</v>
      </c>
      <c r="H416" s="564">
        <f t="shared" si="117"/>
        <v>0</v>
      </c>
      <c r="I416" s="565">
        <f t="shared" si="117"/>
        <v>3742628</v>
      </c>
      <c r="J416" s="477">
        <f t="shared" si="117"/>
        <v>6244179</v>
      </c>
      <c r="K416" s="477">
        <f t="shared" si="117"/>
        <v>0</v>
      </c>
    </row>
    <row r="417" spans="1:11">
      <c r="A417" s="333">
        <v>17</v>
      </c>
      <c r="C417" s="332" t="str">
        <f>'FR-16(7)(v)-1 Functional'!C417</f>
        <v>AMORTIZATION RATE CASE EXPENSE</v>
      </c>
      <c r="D417" s="344" t="str">
        <f>'FR-16(7)(v)-1 Functional'!D417</f>
        <v>AG39</v>
      </c>
      <c r="E417" s="196"/>
      <c r="F417" s="479">
        <f>'FR-16(7)(v)-1 Functional'!I417</f>
        <v>103204</v>
      </c>
      <c r="G417" s="548">
        <f t="shared" ref="G417:G430" si="118">F417-SUM(H417:I417)</f>
        <v>41346</v>
      </c>
      <c r="H417" s="539">
        <f t="shared" ref="H417:H430" si="119">ROUND(F417*VLOOKUP(D417,Alloctable_Classified_Distribution,$H$10,FALSE),0)</f>
        <v>0</v>
      </c>
      <c r="I417" s="540">
        <f t="shared" ref="I417:I430" si="120">ROUND(F417*VLOOKUP(D417,Alloctable_Classified_Distribution,$I$10,FALSE),0)</f>
        <v>61858</v>
      </c>
      <c r="J417" s="347">
        <f t="shared" ref="J417:J430" si="121">SUM(G417:I417)</f>
        <v>103204</v>
      </c>
      <c r="K417" s="347">
        <f t="shared" ref="K417:K430" si="122">F417-J417</f>
        <v>0</v>
      </c>
    </row>
    <row r="418" spans="1:11">
      <c r="A418" s="333">
        <v>18</v>
      </c>
      <c r="C418" s="332" t="str">
        <f>'FR-16(7)(v)-1 Functional'!C418</f>
        <v>INCENTIVE COMPENSATION</v>
      </c>
      <c r="D418" s="344" t="str">
        <f>'FR-16(7)(v)-1 Functional'!D418</f>
        <v>AG39</v>
      </c>
      <c r="E418" s="196"/>
      <c r="F418" s="479">
        <f>'FR-16(7)(v)-1 Functional'!I418</f>
        <v>-248614</v>
      </c>
      <c r="G418" s="548">
        <f t="shared" si="118"/>
        <v>-99600</v>
      </c>
      <c r="H418" s="539">
        <f t="shared" si="119"/>
        <v>0</v>
      </c>
      <c r="I418" s="540">
        <f t="shared" si="120"/>
        <v>-149014</v>
      </c>
      <c r="J418" s="347">
        <f t="shared" si="121"/>
        <v>-248614</v>
      </c>
      <c r="K418" s="347">
        <f t="shared" si="122"/>
        <v>0</v>
      </c>
    </row>
    <row r="419" spans="1:11">
      <c r="A419" s="333">
        <v>19</v>
      </c>
      <c r="C419" s="332" t="str">
        <f>'FR-16(7)(v)-1 Functional'!C419</f>
        <v>ELIMINATE MISCELLANEOUS EXPENSES</v>
      </c>
      <c r="D419" s="344" t="str">
        <f>'FR-16(7)(v)-1 Functional'!D419</f>
        <v>AG39</v>
      </c>
      <c r="E419" s="196"/>
      <c r="F419" s="479">
        <f>'FR-16(7)(v)-1 Functional'!I419</f>
        <v>-288789</v>
      </c>
      <c r="G419" s="548">
        <f t="shared" si="118"/>
        <v>-115695</v>
      </c>
      <c r="H419" s="539">
        <f t="shared" si="119"/>
        <v>0</v>
      </c>
      <c r="I419" s="540">
        <f t="shared" si="120"/>
        <v>-173094</v>
      </c>
      <c r="J419" s="347">
        <f t="shared" si="121"/>
        <v>-288789</v>
      </c>
      <c r="K419" s="347">
        <f t="shared" si="122"/>
        <v>0</v>
      </c>
    </row>
    <row r="420" spans="1:11">
      <c r="A420" s="333">
        <v>20</v>
      </c>
      <c r="C420" s="332" t="str">
        <f>'FR-16(7)(v)-1 Functional'!C420</f>
        <v>ELIMINATE NON-JURISDICTIONAL EXPENSES</v>
      </c>
      <c r="D420" s="344" t="str">
        <f>'FR-16(7)(v)-1 Functional'!D420</f>
        <v>NP29</v>
      </c>
      <c r="E420" s="196"/>
      <c r="F420" s="479">
        <f>'FR-16(7)(v)-1 Functional'!I420</f>
        <v>0</v>
      </c>
      <c r="G420" s="548">
        <f t="shared" si="118"/>
        <v>0</v>
      </c>
      <c r="H420" s="539">
        <f t="shared" si="119"/>
        <v>0</v>
      </c>
      <c r="I420" s="540">
        <f t="shared" si="120"/>
        <v>0</v>
      </c>
      <c r="J420" s="347">
        <f t="shared" si="121"/>
        <v>0</v>
      </c>
      <c r="K420" s="347">
        <f t="shared" si="122"/>
        <v>0</v>
      </c>
    </row>
    <row r="421" spans="1:11">
      <c r="A421" s="333">
        <v>21</v>
      </c>
      <c r="C421" s="332" t="str">
        <f>'FR-16(7)(v)-1 Functional'!C421</f>
        <v xml:space="preserve">AMORTIZATION OF DEFERRED EXP </v>
      </c>
      <c r="D421" s="344" t="str">
        <f>'FR-16(7)(v)-1 Functional'!D421</f>
        <v>AG39</v>
      </c>
      <c r="E421" s="196"/>
      <c r="F421" s="479">
        <f>'FR-16(7)(v)-1 Functional'!I421</f>
        <v>486920</v>
      </c>
      <c r="G421" s="548">
        <f t="shared" si="118"/>
        <v>195070</v>
      </c>
      <c r="H421" s="539">
        <f t="shared" si="119"/>
        <v>0</v>
      </c>
      <c r="I421" s="540">
        <f t="shared" si="120"/>
        <v>291850</v>
      </c>
      <c r="J421" s="347">
        <f t="shared" si="121"/>
        <v>486920</v>
      </c>
      <c r="K421" s="347">
        <f t="shared" si="122"/>
        <v>0</v>
      </c>
    </row>
    <row r="422" spans="1:11">
      <c r="A422" s="333">
        <v>22</v>
      </c>
      <c r="C422" s="332" t="str">
        <f>'FR-16(7)(v)-1 Functional'!C422</f>
        <v>STATE REG COMMISSION EXPENSES</v>
      </c>
      <c r="D422" s="344" t="str">
        <f>'FR-16(7)(v)-1 Functional'!D422</f>
        <v>AG39</v>
      </c>
      <c r="E422" s="196"/>
      <c r="F422" s="479">
        <f>'FR-16(7)(v)-1 Functional'!I422</f>
        <v>0</v>
      </c>
      <c r="G422" s="548">
        <f t="shared" si="118"/>
        <v>0</v>
      </c>
      <c r="H422" s="539">
        <f t="shared" si="119"/>
        <v>0</v>
      </c>
      <c r="I422" s="540">
        <f t="shared" si="120"/>
        <v>0</v>
      </c>
      <c r="J422" s="347">
        <f t="shared" si="121"/>
        <v>0</v>
      </c>
      <c r="K422" s="347">
        <f t="shared" si="122"/>
        <v>0</v>
      </c>
    </row>
    <row r="423" spans="1:11">
      <c r="A423" s="333">
        <v>23</v>
      </c>
      <c r="C423" s="332" t="str">
        <f>'FR-16(7)(v)-1 Functional'!C423</f>
        <v>STATE REG COM EXP ANN ADJ.</v>
      </c>
      <c r="D423" s="344" t="str">
        <f>'FR-16(7)(v)-1 Functional'!D423</f>
        <v>AG39</v>
      </c>
      <c r="E423" s="196"/>
      <c r="F423" s="479">
        <f>'FR-16(7)(v)-1 Functional'!I423</f>
        <v>0</v>
      </c>
      <c r="G423" s="548">
        <f t="shared" si="118"/>
        <v>0</v>
      </c>
      <c r="H423" s="539">
        <f t="shared" si="119"/>
        <v>0</v>
      </c>
      <c r="I423" s="540">
        <f t="shared" si="120"/>
        <v>0</v>
      </c>
      <c r="J423" s="347">
        <f t="shared" si="121"/>
        <v>0</v>
      </c>
      <c r="K423" s="347">
        <f t="shared" si="122"/>
        <v>0</v>
      </c>
    </row>
    <row r="424" spans="1:11">
      <c r="A424" s="333">
        <v>24</v>
      </c>
      <c r="C424" s="332" t="str">
        <f>'FR-16(7)(v)-1 Functional'!C424</f>
        <v>AMORTIZE CAMERA WORK</v>
      </c>
      <c r="D424" s="344" t="str">
        <f>'FR-16(7)(v)-1 Functional'!D424</f>
        <v>AG39</v>
      </c>
      <c r="E424" s="196"/>
      <c r="F424" s="479">
        <f>'FR-16(7)(v)-1 Functional'!I424</f>
        <v>0</v>
      </c>
      <c r="G424" s="548">
        <f t="shared" ref="G424:G429" si="123">F424-SUM(H424:I424)</f>
        <v>0</v>
      </c>
      <c r="H424" s="539">
        <f t="shared" si="119"/>
        <v>0</v>
      </c>
      <c r="I424" s="540">
        <f t="shared" si="120"/>
        <v>0</v>
      </c>
      <c r="J424" s="347">
        <f t="shared" ref="J424:J429" si="124">SUM(G424:I424)</f>
        <v>0</v>
      </c>
      <c r="K424" s="347">
        <f t="shared" ref="K424:K429" si="125">F424-J424</f>
        <v>0</v>
      </c>
    </row>
    <row r="425" spans="1:11">
      <c r="A425" s="333">
        <v>25</v>
      </c>
      <c r="C425" s="332" t="str">
        <f>'FR-16(7)(v)-1 Functional'!C425</f>
        <v>ELIMINATE MERGER EXPENSE</v>
      </c>
      <c r="D425" s="344" t="str">
        <f>'FR-16(7)(v)-1 Functional'!D425</f>
        <v>AG39</v>
      </c>
      <c r="E425" s="196"/>
      <c r="F425" s="479">
        <f>'FR-16(7)(v)-1 Functional'!I425</f>
        <v>0</v>
      </c>
      <c r="G425" s="548">
        <f t="shared" si="123"/>
        <v>0</v>
      </c>
      <c r="H425" s="539">
        <f t="shared" si="119"/>
        <v>0</v>
      </c>
      <c r="I425" s="540">
        <f t="shared" si="120"/>
        <v>0</v>
      </c>
      <c r="J425" s="347">
        <f t="shared" si="124"/>
        <v>0</v>
      </c>
      <c r="K425" s="347">
        <f t="shared" si="125"/>
        <v>0</v>
      </c>
    </row>
    <row r="426" spans="1:11">
      <c r="A426" s="333">
        <v>26</v>
      </c>
      <c r="C426" s="332" t="str">
        <f>'FR-16(7)(v)-1 Functional'!C426</f>
        <v>SMART GRID AMORTIZATION ADJUSTMENT</v>
      </c>
      <c r="D426" s="344" t="str">
        <f>'FR-16(7)(v)-1 Functional'!D426</f>
        <v>K413</v>
      </c>
      <c r="E426" s="196"/>
      <c r="F426" s="479">
        <f>'FR-16(7)(v)-1 Functional'!I426</f>
        <v>0</v>
      </c>
      <c r="G426" s="548">
        <f t="shared" si="123"/>
        <v>0</v>
      </c>
      <c r="H426" s="539">
        <f t="shared" si="119"/>
        <v>0</v>
      </c>
      <c r="I426" s="540">
        <f t="shared" si="120"/>
        <v>0</v>
      </c>
      <c r="J426" s="347">
        <f t="shared" si="124"/>
        <v>0</v>
      </c>
      <c r="K426" s="347">
        <f t="shared" si="125"/>
        <v>0</v>
      </c>
    </row>
    <row r="427" spans="1:11">
      <c r="A427" s="333">
        <v>27</v>
      </c>
      <c r="C427" s="332" t="str">
        <f>'FR-16(7)(v)-1 Functional'!C427</f>
        <v>AMORTIZE 2011 SMART GRID DEFERRED O&amp;M</v>
      </c>
      <c r="D427" s="344" t="str">
        <f>'FR-16(7)(v)-1 Functional'!D427</f>
        <v>K413</v>
      </c>
      <c r="E427" s="196"/>
      <c r="F427" s="479">
        <f>'FR-16(7)(v)-1 Functional'!I427</f>
        <v>0</v>
      </c>
      <c r="G427" s="548">
        <f t="shared" si="123"/>
        <v>0</v>
      </c>
      <c r="H427" s="539">
        <f t="shared" si="119"/>
        <v>0</v>
      </c>
      <c r="I427" s="540">
        <f t="shared" si="120"/>
        <v>0</v>
      </c>
      <c r="J427" s="347">
        <f t="shared" si="124"/>
        <v>0</v>
      </c>
      <c r="K427" s="347">
        <f t="shared" si="125"/>
        <v>0</v>
      </c>
    </row>
    <row r="428" spans="1:11">
      <c r="A428" s="333">
        <v>28</v>
      </c>
      <c r="C428" s="332" t="str">
        <f>'FR-16(7)(v)-1 Functional'!C428</f>
        <v>INCREASED MEDICAL COSTS</v>
      </c>
      <c r="D428" s="344" t="str">
        <f>'FR-16(7)(v)-1 Functional'!D428</f>
        <v>AG39</v>
      </c>
      <c r="E428" s="196"/>
      <c r="F428" s="479">
        <f>'FR-16(7)(v)-1 Functional'!I428</f>
        <v>0</v>
      </c>
      <c r="G428" s="548">
        <f t="shared" si="123"/>
        <v>0</v>
      </c>
      <c r="H428" s="539">
        <f t="shared" si="119"/>
        <v>0</v>
      </c>
      <c r="I428" s="540">
        <f t="shared" si="120"/>
        <v>0</v>
      </c>
      <c r="J428" s="347">
        <f t="shared" si="124"/>
        <v>0</v>
      </c>
      <c r="K428" s="347">
        <f t="shared" si="125"/>
        <v>0</v>
      </c>
    </row>
    <row r="429" spans="1:11">
      <c r="A429" s="333">
        <v>29</v>
      </c>
      <c r="C429" s="332" t="str">
        <f>'FR-16(7)(v)-1 Functional'!C429</f>
        <v>AMORTIZE GAS FURNACE PROGRAM</v>
      </c>
      <c r="D429" s="344" t="str">
        <f>'FR-16(7)(v)-1 Functional'!D429</f>
        <v>NP29</v>
      </c>
      <c r="E429" s="196"/>
      <c r="F429" s="479">
        <f>'FR-16(7)(v)-1 Functional'!I429</f>
        <v>0</v>
      </c>
      <c r="G429" s="548">
        <f t="shared" si="123"/>
        <v>0</v>
      </c>
      <c r="H429" s="539">
        <f t="shared" si="119"/>
        <v>0</v>
      </c>
      <c r="I429" s="540">
        <f t="shared" si="120"/>
        <v>0</v>
      </c>
      <c r="J429" s="347">
        <f t="shared" si="124"/>
        <v>0</v>
      </c>
      <c r="K429" s="347">
        <f t="shared" si="125"/>
        <v>0</v>
      </c>
    </row>
    <row r="430" spans="1:11">
      <c r="A430" s="333">
        <v>30</v>
      </c>
      <c r="C430" s="359" t="str">
        <f>'FR-16(7)(v)-1 Functional'!C430</f>
        <v>AMORTIZATION OF MGP DEFERRED EXP</v>
      </c>
      <c r="D430" s="344" t="str">
        <f>'FR-16(7)(v)-1 Functional'!D430</f>
        <v>NP29</v>
      </c>
      <c r="E430" s="196"/>
      <c r="F430" s="479">
        <f>'FR-16(7)(v)-1 Functional'!I430</f>
        <v>0</v>
      </c>
      <c r="G430" s="548">
        <f t="shared" si="118"/>
        <v>0</v>
      </c>
      <c r="H430" s="539">
        <f t="shared" si="119"/>
        <v>0</v>
      </c>
      <c r="I430" s="540">
        <f t="shared" si="120"/>
        <v>0</v>
      </c>
      <c r="J430" s="347">
        <f t="shared" si="121"/>
        <v>0</v>
      </c>
      <c r="K430" s="347">
        <f t="shared" si="122"/>
        <v>0</v>
      </c>
    </row>
    <row r="431" spans="1:11">
      <c r="A431" s="333">
        <v>31</v>
      </c>
      <c r="C431" s="332" t="str">
        <f>'FR-16(7)(v)-1 Functional'!C431</f>
        <v xml:space="preserve">  TOTAL ADMIN. &amp; GENERAL</v>
      </c>
      <c r="D431" s="344"/>
      <c r="E431" s="196" t="s">
        <v>343</v>
      </c>
      <c r="F431" s="348">
        <f t="shared" ref="F431:K431" si="126">SUM(F416:F430)</f>
        <v>6296900</v>
      </c>
      <c r="G431" s="549">
        <f t="shared" si="126"/>
        <v>2522672</v>
      </c>
      <c r="H431" s="541">
        <f t="shared" si="126"/>
        <v>0</v>
      </c>
      <c r="I431" s="542">
        <f t="shared" si="126"/>
        <v>3774228</v>
      </c>
      <c r="J431" s="348">
        <f t="shared" si="126"/>
        <v>6296900</v>
      </c>
      <c r="K431" s="348">
        <f t="shared" si="126"/>
        <v>0</v>
      </c>
    </row>
    <row r="432" spans="1:11">
      <c r="A432" s="333">
        <v>32</v>
      </c>
      <c r="D432" s="344"/>
      <c r="E432" s="196"/>
      <c r="F432" s="335"/>
      <c r="G432" s="548"/>
      <c r="H432" s="539"/>
      <c r="I432" s="540"/>
      <c r="J432" s="347"/>
      <c r="K432" s="347"/>
    </row>
    <row r="433" spans="1:11">
      <c r="A433" s="333">
        <v>33</v>
      </c>
      <c r="C433" s="332" t="str">
        <f>'FR-16(7)(v)-1 Functional'!C433</f>
        <v>TOTAL O &amp; M EXPENSE</v>
      </c>
      <c r="D433" s="344"/>
      <c r="E433" s="196"/>
      <c r="F433" s="347">
        <f t="shared" ref="F433:K433" si="127">F431+F407+F403+F389+F378+F364+F360</f>
        <v>22475277</v>
      </c>
      <c r="G433" s="550">
        <f t="shared" si="127"/>
        <v>10068183</v>
      </c>
      <c r="H433" s="543">
        <f t="shared" si="127"/>
        <v>0</v>
      </c>
      <c r="I433" s="544">
        <f t="shared" si="127"/>
        <v>12407094</v>
      </c>
      <c r="J433" s="347">
        <f t="shared" si="127"/>
        <v>22475277</v>
      </c>
      <c r="K433" s="347">
        <f t="shared" si="127"/>
        <v>0</v>
      </c>
    </row>
    <row r="434" spans="1:11">
      <c r="B434" s="343"/>
      <c r="C434" s="196"/>
      <c r="D434" s="344"/>
      <c r="E434" s="196"/>
      <c r="F434" s="196"/>
      <c r="G434" s="196"/>
      <c r="H434" s="196"/>
      <c r="I434" s="196"/>
      <c r="J434" s="196"/>
      <c r="K434" s="196"/>
    </row>
    <row r="435" spans="1:11">
      <c r="A435" s="343" t="str">
        <f>co_name</f>
        <v>DUKE ENERGY KENTUCKY, INC.</v>
      </c>
      <c r="C435" s="196"/>
      <c r="D435" s="344"/>
      <c r="E435" s="196"/>
      <c r="F435" s="196"/>
      <c r="G435" s="196"/>
      <c r="H435" s="196"/>
      <c r="I435" s="196"/>
      <c r="J435" s="196" t="str">
        <f>$J$1</f>
        <v>FR-16(7)(v)-4</v>
      </c>
      <c r="K435" s="196"/>
    </row>
    <row r="436" spans="1:11">
      <c r="A436" s="343" t="str">
        <f>$A$2</f>
        <v>DISTRIBUTION CLASSIFIED - GAS COST OF SERVICE</v>
      </c>
      <c r="C436" s="196"/>
      <c r="D436" s="344"/>
      <c r="E436" s="196"/>
      <c r="F436" s="196"/>
      <c r="G436" s="196"/>
      <c r="H436" s="196"/>
      <c r="I436" s="196"/>
      <c r="J436" s="196" t="str">
        <f>$J$2</f>
        <v>WITNESS RESPONSIBLE:</v>
      </c>
      <c r="K436" s="196"/>
    </row>
    <row r="437" spans="1:11">
      <c r="A437" s="343" t="str">
        <f>case_name</f>
        <v>CASE NO: 2018-00261</v>
      </c>
      <c r="C437" s="196"/>
      <c r="D437" s="344"/>
      <c r="E437" s="196"/>
      <c r="F437" s="196"/>
      <c r="G437" s="196"/>
      <c r="H437" s="196"/>
      <c r="I437" s="196"/>
      <c r="J437" s="196" t="str">
        <f>Witness</f>
        <v>JAMES E. ZIOLKOWSKI</v>
      </c>
      <c r="K437" s="196"/>
    </row>
    <row r="438" spans="1:11">
      <c r="A438" s="343" t="str">
        <f>data_filing</f>
        <v>DATA: 12 MONTH FORECASTED PERIOD</v>
      </c>
      <c r="C438" s="196"/>
      <c r="D438" s="344"/>
      <c r="E438" s="196"/>
      <c r="F438" s="196"/>
      <c r="G438" s="196"/>
      <c r="H438" s="196"/>
      <c r="I438" s="196"/>
      <c r="J438" s="196" t="str">
        <f>"PAGE "&amp;Pages-8&amp;" OF "&amp;Pages</f>
        <v>PAGE 10 OF 18</v>
      </c>
      <c r="K438" s="196"/>
    </row>
    <row r="439" spans="1:11">
      <c r="A439" s="343" t="str">
        <f>type</f>
        <v xml:space="preserve">TYPE OF FILING: "X" ORIGINAL   UPDATED    REVISED  </v>
      </c>
      <c r="C439" s="196"/>
      <c r="D439" s="344"/>
      <c r="E439" s="196"/>
      <c r="F439" s="196"/>
      <c r="G439" s="196"/>
      <c r="H439" s="196"/>
      <c r="I439" s="196"/>
      <c r="J439" s="196"/>
      <c r="K439" s="196"/>
    </row>
    <row r="440" spans="1:11">
      <c r="B440" s="343"/>
      <c r="C440" s="196"/>
      <c r="D440" s="344"/>
      <c r="E440" s="196"/>
      <c r="F440" s="196"/>
      <c r="G440" s="196"/>
      <c r="H440" s="196"/>
      <c r="I440" s="196"/>
      <c r="J440" s="196"/>
      <c r="K440" s="196"/>
    </row>
    <row r="441" spans="1:11">
      <c r="B441" s="343"/>
      <c r="C441" s="196"/>
      <c r="D441" s="344"/>
      <c r="E441" s="196"/>
      <c r="F441" s="196"/>
      <c r="G441" s="196"/>
      <c r="H441" s="196"/>
      <c r="I441" s="196"/>
      <c r="J441" s="196"/>
      <c r="K441" s="196"/>
    </row>
    <row r="442" spans="1:11">
      <c r="A442" s="344" t="s">
        <v>914</v>
      </c>
      <c r="B442" s="196"/>
      <c r="C442" s="196"/>
      <c r="D442" s="344"/>
      <c r="E442" s="196"/>
      <c r="F442" s="344" t="s">
        <v>229</v>
      </c>
      <c r="G442" s="545" t="s">
        <v>1005</v>
      </c>
      <c r="H442" s="533"/>
      <c r="I442" s="534"/>
      <c r="J442" s="344" t="s">
        <v>229</v>
      </c>
      <c r="K442" s="344" t="s">
        <v>342</v>
      </c>
    </row>
    <row r="443" spans="1:11">
      <c r="A443" s="346" t="s">
        <v>915</v>
      </c>
      <c r="B443" s="345" t="s">
        <v>55</v>
      </c>
      <c r="C443" s="345"/>
      <c r="D443" s="346" t="s">
        <v>337</v>
      </c>
      <c r="E443" s="345"/>
      <c r="F443" s="346" t="s">
        <v>846</v>
      </c>
      <c r="G443" s="546" t="s">
        <v>847</v>
      </c>
      <c r="H443" s="535" t="s">
        <v>848</v>
      </c>
      <c r="I443" s="536" t="s">
        <v>849</v>
      </c>
      <c r="J443" s="346" t="s">
        <v>341</v>
      </c>
      <c r="K443" s="346" t="s">
        <v>340</v>
      </c>
    </row>
    <row r="444" spans="1:11">
      <c r="C444" s="578" t="s">
        <v>349</v>
      </c>
      <c r="D444" s="344"/>
      <c r="E444" s="196"/>
      <c r="F444" s="510"/>
      <c r="G444" s="800">
        <f>$G$10</f>
        <v>3</v>
      </c>
      <c r="H444" s="801">
        <f>$H$10</f>
        <v>4</v>
      </c>
      <c r="I444" s="802">
        <f>$I$10</f>
        <v>5</v>
      </c>
      <c r="J444" s="510"/>
      <c r="K444" s="510"/>
    </row>
    <row r="445" spans="1:11">
      <c r="A445" s="333">
        <v>1</v>
      </c>
      <c r="B445" s="353" t="s">
        <v>56</v>
      </c>
      <c r="C445" s="353"/>
      <c r="D445" s="344"/>
      <c r="E445" s="196"/>
      <c r="G445" s="547"/>
      <c r="H445" s="537"/>
      <c r="I445" s="538"/>
    </row>
    <row r="446" spans="1:11">
      <c r="A446" s="333">
        <v>2</v>
      </c>
      <c r="B446" s="353"/>
      <c r="C446" s="511" t="str">
        <f>'FR-16(7)(v)-1 Functional'!C446</f>
        <v>PRODUCTION DEPRECIATION</v>
      </c>
      <c r="D446" s="344" t="str">
        <f>'FR-16(7)(v)-1 Functional'!D446</f>
        <v>P229</v>
      </c>
      <c r="E446" s="196"/>
      <c r="F446" s="479">
        <f>'FR-16(7)(v)-1 Functional'!I446</f>
        <v>0</v>
      </c>
      <c r="G446" s="548">
        <f>F446-SUM(H446:I446)</f>
        <v>0</v>
      </c>
      <c r="H446" s="539">
        <f>ROUND(F446*VLOOKUP(D446,Alloctable_Classified_Distribution,$H$10,FALSE),0)</f>
        <v>0</v>
      </c>
      <c r="I446" s="540">
        <f>ROUND(F446*VLOOKUP(D446,Alloctable_Classified_Distribution,$I$10,FALSE),0)</f>
        <v>0</v>
      </c>
      <c r="J446" s="347">
        <f>SUM(G446:I446)</f>
        <v>0</v>
      </c>
      <c r="K446" s="347">
        <f>F446-J446</f>
        <v>0</v>
      </c>
    </row>
    <row r="447" spans="1:11">
      <c r="A447" s="333">
        <v>3</v>
      </c>
      <c r="B447" s="353"/>
      <c r="C447" s="353" t="str">
        <f>'FR-16(7)(v)-1 Functional'!C447</f>
        <v xml:space="preserve">  TOTAL PRODUCTION DEPREC EXP.</v>
      </c>
      <c r="D447" s="344"/>
      <c r="E447" s="196"/>
      <c r="F447" s="348">
        <f t="shared" ref="F447:K447" si="128">SUM(F446:F446)</f>
        <v>0</v>
      </c>
      <c r="G447" s="549">
        <f t="shared" si="128"/>
        <v>0</v>
      </c>
      <c r="H447" s="541">
        <f t="shared" si="128"/>
        <v>0</v>
      </c>
      <c r="I447" s="542">
        <f t="shared" si="128"/>
        <v>0</v>
      </c>
      <c r="J447" s="348">
        <f t="shared" si="128"/>
        <v>0</v>
      </c>
      <c r="K447" s="348">
        <f t="shared" si="128"/>
        <v>0</v>
      </c>
    </row>
    <row r="448" spans="1:11">
      <c r="A448" s="333">
        <v>4</v>
      </c>
      <c r="B448" s="353"/>
      <c r="C448" s="353"/>
      <c r="D448" s="344"/>
      <c r="E448" s="196"/>
      <c r="F448" s="353"/>
      <c r="G448" s="547"/>
      <c r="H448" s="537"/>
      <c r="I448" s="538"/>
    </row>
    <row r="449" spans="1:11">
      <c r="A449" s="333">
        <v>5</v>
      </c>
      <c r="B449" s="511" t="s">
        <v>57</v>
      </c>
      <c r="C449" s="511"/>
      <c r="D449" s="344"/>
      <c r="E449" s="196"/>
      <c r="F449" s="349"/>
      <c r="G449" s="548"/>
      <c r="H449" s="539"/>
      <c r="I449" s="540"/>
      <c r="J449" s="347"/>
      <c r="K449" s="347"/>
    </row>
    <row r="450" spans="1:11">
      <c r="A450" s="333">
        <v>6</v>
      </c>
      <c r="B450" s="353"/>
      <c r="C450" s="353" t="str">
        <f>'FR-16(7)(v)-1 Functional'!C450</f>
        <v xml:space="preserve">  TOTAL TRANSMISSION DEP. EXP.</v>
      </c>
      <c r="D450" s="344"/>
      <c r="E450" s="196"/>
      <c r="F450" s="348">
        <f t="shared" ref="F450:K450" si="129">SUM(F449)</f>
        <v>0</v>
      </c>
      <c r="G450" s="549">
        <f t="shared" si="129"/>
        <v>0</v>
      </c>
      <c r="H450" s="541">
        <f t="shared" si="129"/>
        <v>0</v>
      </c>
      <c r="I450" s="542">
        <f t="shared" si="129"/>
        <v>0</v>
      </c>
      <c r="J450" s="348">
        <f t="shared" si="129"/>
        <v>0</v>
      </c>
      <c r="K450" s="348">
        <f t="shared" si="129"/>
        <v>0</v>
      </c>
    </row>
    <row r="451" spans="1:11">
      <c r="A451" s="333">
        <v>7</v>
      </c>
      <c r="B451" s="353"/>
      <c r="C451" s="353"/>
      <c r="D451" s="344"/>
      <c r="E451" s="196"/>
      <c r="F451" s="353"/>
      <c r="G451" s="547"/>
      <c r="H451" s="537"/>
      <c r="I451" s="538"/>
    </row>
    <row r="452" spans="1:11">
      <c r="A452" s="333">
        <v>8</v>
      </c>
      <c r="B452" s="353" t="s">
        <v>58</v>
      </c>
      <c r="C452" s="353"/>
      <c r="D452" s="344"/>
      <c r="E452" s="196"/>
      <c r="F452" s="353"/>
      <c r="G452" s="547"/>
      <c r="H452" s="537"/>
      <c r="I452" s="538"/>
    </row>
    <row r="453" spans="1:11">
      <c r="A453" s="333">
        <v>9</v>
      </c>
      <c r="B453" s="353"/>
      <c r="C453" s="511" t="str">
        <f>'FR-16(7)(v)-1 Functional'!C453</f>
        <v>DISTRIBUTION DEPRECIATION</v>
      </c>
      <c r="D453" s="344" t="str">
        <f>'FR-16(7)(v)-1 Functional'!D453</f>
        <v>D249</v>
      </c>
      <c r="E453" s="196"/>
      <c r="F453" s="479">
        <f>'FR-16(7)(v)-1 Functional'!I453</f>
        <v>12074876</v>
      </c>
      <c r="G453" s="548">
        <f>F453-SUM(H453:I453)</f>
        <v>6676440</v>
      </c>
      <c r="H453" s="539">
        <f>ROUND(F453*VLOOKUP(D453,Alloctable_Classified_Distribution,$H$10,FALSE),0)</f>
        <v>0</v>
      </c>
      <c r="I453" s="540">
        <f>ROUND(F453*VLOOKUP(D453,Alloctable_Classified_Distribution,$I$10,FALSE),0)</f>
        <v>5398436</v>
      </c>
      <c r="J453" s="347">
        <f>SUM(G453:I453)</f>
        <v>12074876</v>
      </c>
      <c r="K453" s="347">
        <f>F453-J453</f>
        <v>0</v>
      </c>
    </row>
    <row r="454" spans="1:11">
      <c r="A454" s="333">
        <v>10</v>
      </c>
      <c r="B454" s="353"/>
      <c r="C454" s="353" t="str">
        <f>'FR-16(7)(v)-1 Functional'!C454</f>
        <v xml:space="preserve">  TOTAL DIST. DEPREC EXP.</v>
      </c>
      <c r="D454" s="344"/>
      <c r="E454" s="196"/>
      <c r="F454" s="348">
        <f t="shared" ref="F454:K454" si="130">SUM(F453:F453)</f>
        <v>12074876</v>
      </c>
      <c r="G454" s="549">
        <f t="shared" si="130"/>
        <v>6676440</v>
      </c>
      <c r="H454" s="541">
        <f t="shared" si="130"/>
        <v>0</v>
      </c>
      <c r="I454" s="542">
        <f t="shared" si="130"/>
        <v>5398436</v>
      </c>
      <c r="J454" s="348">
        <f t="shared" si="130"/>
        <v>12074876</v>
      </c>
      <c r="K454" s="348">
        <f t="shared" si="130"/>
        <v>0</v>
      </c>
    </row>
    <row r="455" spans="1:11">
      <c r="A455" s="333">
        <v>11</v>
      </c>
      <c r="B455" s="353"/>
      <c r="C455" s="353"/>
      <c r="D455" s="344"/>
      <c r="E455" s="196"/>
      <c r="F455" s="353" t="s">
        <v>343</v>
      </c>
      <c r="G455" s="547"/>
      <c r="H455" s="537"/>
      <c r="I455" s="538"/>
    </row>
    <row r="456" spans="1:11">
      <c r="A456" s="333">
        <v>12</v>
      </c>
      <c r="B456" s="353" t="s">
        <v>59</v>
      </c>
      <c r="C456" s="353"/>
      <c r="D456" s="344"/>
      <c r="E456" s="196"/>
      <c r="F456" s="353"/>
      <c r="G456" s="547"/>
      <c r="H456" s="537"/>
      <c r="I456" s="538"/>
    </row>
    <row r="457" spans="1:11">
      <c r="A457" s="333">
        <v>13</v>
      </c>
      <c r="B457" s="353"/>
      <c r="C457" s="511" t="str">
        <f>'FR-16(7)(v)-1 Functional'!C457</f>
        <v>GENERAL DEPRECIATION</v>
      </c>
      <c r="D457" s="344" t="str">
        <f>'FR-16(7)(v)-1 Functional'!D457</f>
        <v>G229</v>
      </c>
      <c r="E457" s="196"/>
      <c r="F457" s="479">
        <f>'FR-16(7)(v)-1 Functional'!I457</f>
        <v>1968154</v>
      </c>
      <c r="G457" s="548">
        <f>F457-SUM(H457:I457)</f>
        <v>788482</v>
      </c>
      <c r="H457" s="539">
        <f>ROUND(F457*VLOOKUP(D457,Alloctable_Classified_Distribution,$H$10,FALSE),0)</f>
        <v>0</v>
      </c>
      <c r="I457" s="540">
        <f>ROUND(F457*VLOOKUP(D457,Alloctable_Classified_Distribution,$I$10,FALSE),0)</f>
        <v>1179672</v>
      </c>
      <c r="J457" s="347">
        <f>SUM(G457:I457)</f>
        <v>1968154</v>
      </c>
      <c r="K457" s="347">
        <f>F457-J457</f>
        <v>0</v>
      </c>
    </row>
    <row r="458" spans="1:11">
      <c r="A458" s="333">
        <v>14</v>
      </c>
      <c r="B458" s="353"/>
      <c r="C458" s="353" t="str">
        <f>'FR-16(7)(v)-1 Functional'!C458</f>
        <v xml:space="preserve">  TOTAL GENERAL DEPREC EXP.</v>
      </c>
      <c r="D458" s="344"/>
      <c r="E458" s="196"/>
      <c r="F458" s="348">
        <f t="shared" ref="F458:K458" si="131">SUM(F457:F457)</f>
        <v>1968154</v>
      </c>
      <c r="G458" s="549">
        <f t="shared" si="131"/>
        <v>788482</v>
      </c>
      <c r="H458" s="541">
        <f t="shared" si="131"/>
        <v>0</v>
      </c>
      <c r="I458" s="542">
        <f t="shared" si="131"/>
        <v>1179672</v>
      </c>
      <c r="J458" s="348">
        <f t="shared" si="131"/>
        <v>1968154</v>
      </c>
      <c r="K458" s="348">
        <f t="shared" si="131"/>
        <v>0</v>
      </c>
    </row>
    <row r="459" spans="1:11">
      <c r="A459" s="333">
        <v>15</v>
      </c>
      <c r="B459" s="353"/>
      <c r="C459" s="353"/>
      <c r="D459" s="344"/>
      <c r="E459" s="196"/>
      <c r="F459" s="353"/>
      <c r="G459" s="547"/>
      <c r="H459" s="537"/>
      <c r="I459" s="538"/>
    </row>
    <row r="460" spans="1:11">
      <c r="A460" s="333">
        <v>16</v>
      </c>
      <c r="B460" s="353" t="s">
        <v>60</v>
      </c>
      <c r="C460" s="353"/>
      <c r="D460" s="344"/>
      <c r="E460" s="196"/>
      <c r="F460" s="476"/>
      <c r="G460" s="548"/>
      <c r="H460" s="539"/>
      <c r="I460" s="540"/>
      <c r="J460" s="347"/>
      <c r="K460" s="347"/>
    </row>
    <row r="461" spans="1:11">
      <c r="A461" s="333">
        <v>17</v>
      </c>
      <c r="B461" s="353"/>
      <c r="C461" s="511" t="str">
        <f>'FR-16(7)(v)-1 Functional'!C461</f>
        <v>COMMON DEPRECIATION</v>
      </c>
      <c r="D461" s="344" t="str">
        <f>'FR-16(7)(v)-1 Functional'!D461</f>
        <v>C229</v>
      </c>
      <c r="E461" s="196"/>
      <c r="F461" s="479">
        <f>'FR-16(7)(v)-1 Functional'!I461</f>
        <v>114257</v>
      </c>
      <c r="G461" s="548">
        <f>F461-SUM(H461:I461)</f>
        <v>45774</v>
      </c>
      <c r="H461" s="539">
        <f>ROUND(F461*VLOOKUP(D461,Alloctable_Classified_Distribution,$H$10,FALSE),0)</f>
        <v>0</v>
      </c>
      <c r="I461" s="540">
        <f>ROUND(F461*VLOOKUP(D461,Alloctable_Classified_Distribution,$I$10,FALSE),0)</f>
        <v>68483</v>
      </c>
      <c r="J461" s="347">
        <f>SUM(G461:I461)</f>
        <v>114257</v>
      </c>
      <c r="K461" s="347">
        <f>F461-J461</f>
        <v>0</v>
      </c>
    </row>
    <row r="462" spans="1:11">
      <c r="A462" s="333">
        <v>18</v>
      </c>
      <c r="B462" s="353"/>
      <c r="C462" s="353" t="str">
        <f>'FR-16(7)(v)-1 Functional'!C462</f>
        <v xml:space="preserve">  TOTAL COM &amp; OTHER DEPREC EXP.</v>
      </c>
      <c r="D462" s="344"/>
      <c r="E462" s="196"/>
      <c r="F462" s="348">
        <f t="shared" ref="F462:K462" si="132">SUM(F461:F461)</f>
        <v>114257</v>
      </c>
      <c r="G462" s="549">
        <f t="shared" si="132"/>
        <v>45774</v>
      </c>
      <c r="H462" s="541">
        <f t="shared" si="132"/>
        <v>0</v>
      </c>
      <c r="I462" s="542">
        <f t="shared" si="132"/>
        <v>68483</v>
      </c>
      <c r="J462" s="348">
        <f t="shared" si="132"/>
        <v>114257</v>
      </c>
      <c r="K462" s="348">
        <f t="shared" si="132"/>
        <v>0</v>
      </c>
    </row>
    <row r="463" spans="1:11">
      <c r="A463" s="333">
        <v>19</v>
      </c>
      <c r="B463" s="353"/>
      <c r="C463" s="353"/>
      <c r="D463" s="344"/>
      <c r="E463" s="196"/>
      <c r="G463" s="547"/>
      <c r="H463" s="537"/>
      <c r="I463" s="538"/>
    </row>
    <row r="464" spans="1:11">
      <c r="A464" s="333">
        <v>20</v>
      </c>
      <c r="B464" s="353"/>
      <c r="C464" s="353"/>
      <c r="D464" s="344"/>
      <c r="E464" s="196"/>
      <c r="G464" s="547"/>
      <c r="H464" s="537"/>
      <c r="I464" s="538"/>
    </row>
    <row r="465" spans="1:12">
      <c r="A465" s="333">
        <v>21</v>
      </c>
      <c r="B465" s="353" t="s">
        <v>61</v>
      </c>
      <c r="C465" s="353"/>
      <c r="D465" s="344"/>
      <c r="E465" s="332" t="s">
        <v>343</v>
      </c>
      <c r="F465" s="347">
        <f t="shared" ref="F465:K465" si="133">F462+F458+F454+F450+F447</f>
        <v>14157287</v>
      </c>
      <c r="G465" s="550">
        <f t="shared" si="133"/>
        <v>7510696</v>
      </c>
      <c r="H465" s="543">
        <f t="shared" si="133"/>
        <v>0</v>
      </c>
      <c r="I465" s="544">
        <f t="shared" si="133"/>
        <v>6646591</v>
      </c>
      <c r="J465" s="347">
        <f t="shared" si="133"/>
        <v>14157287</v>
      </c>
      <c r="K465" s="347">
        <f t="shared" si="133"/>
        <v>0</v>
      </c>
    </row>
    <row r="466" spans="1:12">
      <c r="B466" s="343"/>
      <c r="C466" s="196"/>
      <c r="D466" s="344"/>
      <c r="E466" s="196"/>
      <c r="F466" s="196"/>
      <c r="G466" s="196"/>
      <c r="H466" s="196"/>
      <c r="I466" s="196"/>
      <c r="J466" s="196"/>
      <c r="K466" s="196"/>
    </row>
    <row r="467" spans="1:12">
      <c r="A467" s="343" t="str">
        <f>co_name</f>
        <v>DUKE ENERGY KENTUCKY, INC.</v>
      </c>
      <c r="C467" s="196"/>
      <c r="D467" s="344"/>
      <c r="E467" s="196"/>
      <c r="F467" s="196"/>
      <c r="G467" s="196"/>
      <c r="H467" s="196"/>
      <c r="I467" s="196"/>
      <c r="J467" s="196" t="str">
        <f>$J$1</f>
        <v>FR-16(7)(v)-4</v>
      </c>
      <c r="K467" s="196"/>
    </row>
    <row r="468" spans="1:12">
      <c r="A468" s="343" t="str">
        <f>$A$2</f>
        <v>DISTRIBUTION CLASSIFIED - GAS COST OF SERVICE</v>
      </c>
      <c r="C468" s="196"/>
      <c r="D468" s="344"/>
      <c r="E468" s="196"/>
      <c r="F468" s="196"/>
      <c r="G468" s="196"/>
      <c r="H468" s="196"/>
      <c r="I468" s="196"/>
      <c r="J468" s="196" t="str">
        <f>$J$2</f>
        <v>WITNESS RESPONSIBLE:</v>
      </c>
      <c r="K468" s="196"/>
    </row>
    <row r="469" spans="1:12">
      <c r="A469" s="343" t="str">
        <f>case_name</f>
        <v>CASE NO: 2018-00261</v>
      </c>
      <c r="C469" s="196"/>
      <c r="D469" s="344"/>
      <c r="E469" s="196"/>
      <c r="F469" s="196"/>
      <c r="G469" s="196"/>
      <c r="H469" s="196"/>
      <c r="I469" s="196"/>
      <c r="J469" s="196" t="str">
        <f>Witness</f>
        <v>JAMES E. ZIOLKOWSKI</v>
      </c>
      <c r="K469" s="196"/>
    </row>
    <row r="470" spans="1:12">
      <c r="A470" s="343" t="str">
        <f>data_filing</f>
        <v>DATA: 12 MONTH FORECASTED PERIOD</v>
      </c>
      <c r="C470" s="196"/>
      <c r="D470" s="344"/>
      <c r="E470" s="196"/>
      <c r="F470" s="196"/>
      <c r="G470" s="196"/>
      <c r="H470" s="196"/>
      <c r="I470" s="196"/>
      <c r="J470" s="196" t="str">
        <f>"PAGE "&amp;Pages-7&amp;" OF "&amp;Pages</f>
        <v>PAGE 11 OF 18</v>
      </c>
      <c r="K470" s="196"/>
    </row>
    <row r="471" spans="1:12">
      <c r="A471" s="343" t="str">
        <f>type</f>
        <v xml:space="preserve">TYPE OF FILING: "X" ORIGINAL   UPDATED    REVISED  </v>
      </c>
      <c r="C471" s="196"/>
      <c r="D471" s="344"/>
      <c r="E471" s="196"/>
      <c r="F471" s="196"/>
      <c r="G471" s="196"/>
      <c r="H471" s="196"/>
      <c r="I471" s="196"/>
      <c r="J471" s="196"/>
      <c r="K471" s="196"/>
    </row>
    <row r="472" spans="1:12">
      <c r="B472" s="343"/>
      <c r="C472" s="196"/>
      <c r="D472" s="344"/>
      <c r="E472" s="196"/>
      <c r="F472" s="196"/>
      <c r="G472" s="196"/>
      <c r="H472" s="196"/>
      <c r="I472" s="196"/>
      <c r="J472" s="196"/>
      <c r="K472" s="196"/>
    </row>
    <row r="473" spans="1:12">
      <c r="B473" s="343"/>
      <c r="C473" s="196"/>
      <c r="D473" s="344"/>
      <c r="E473" s="196"/>
      <c r="F473" s="196"/>
      <c r="G473" s="196"/>
      <c r="H473" s="196"/>
      <c r="I473" s="196"/>
      <c r="J473" s="196"/>
      <c r="K473" s="196"/>
    </row>
    <row r="474" spans="1:12">
      <c r="A474" s="344" t="s">
        <v>914</v>
      </c>
      <c r="B474" s="196"/>
      <c r="C474" s="196"/>
      <c r="D474" s="344"/>
      <c r="E474" s="196"/>
      <c r="F474" s="344" t="s">
        <v>229</v>
      </c>
      <c r="G474" s="545" t="s">
        <v>1005</v>
      </c>
      <c r="H474" s="533"/>
      <c r="I474" s="534"/>
      <c r="J474" s="344" t="s">
        <v>229</v>
      </c>
      <c r="K474" s="344" t="s">
        <v>342</v>
      </c>
    </row>
    <row r="475" spans="1:12">
      <c r="A475" s="346" t="s">
        <v>915</v>
      </c>
      <c r="B475" s="345" t="s">
        <v>62</v>
      </c>
      <c r="C475" s="345"/>
      <c r="D475" s="346" t="s">
        <v>337</v>
      </c>
      <c r="E475" s="345"/>
      <c r="F475" s="346" t="s">
        <v>846</v>
      </c>
      <c r="G475" s="546" t="s">
        <v>847</v>
      </c>
      <c r="H475" s="535" t="s">
        <v>848</v>
      </c>
      <c r="I475" s="536" t="s">
        <v>849</v>
      </c>
      <c r="J475" s="346" t="s">
        <v>341</v>
      </c>
      <c r="K475" s="346" t="s">
        <v>340</v>
      </c>
      <c r="L475" s="365"/>
    </row>
    <row r="476" spans="1:12">
      <c r="C476" s="578" t="s">
        <v>350</v>
      </c>
      <c r="D476" s="344"/>
      <c r="E476" s="196"/>
      <c r="F476" s="510"/>
      <c r="G476" s="800">
        <f>$G$10</f>
        <v>3</v>
      </c>
      <c r="H476" s="801">
        <f>$H$10</f>
        <v>4</v>
      </c>
      <c r="I476" s="802">
        <f>$I$10</f>
        <v>5</v>
      </c>
      <c r="J476" s="510"/>
      <c r="K476" s="510"/>
    </row>
    <row r="477" spans="1:12">
      <c r="A477" s="333">
        <v>1</v>
      </c>
      <c r="B477" s="332" t="s">
        <v>63</v>
      </c>
      <c r="D477" s="344"/>
      <c r="E477" s="196"/>
      <c r="G477" s="547"/>
      <c r="H477" s="537"/>
      <c r="I477" s="538"/>
    </row>
    <row r="478" spans="1:12">
      <c r="A478" s="333">
        <v>2</v>
      </c>
      <c r="B478" s="332" t="s">
        <v>64</v>
      </c>
      <c r="D478" s="344"/>
      <c r="E478" s="196"/>
      <c r="G478" s="547"/>
      <c r="H478" s="537"/>
      <c r="I478" s="538"/>
    </row>
    <row r="479" spans="1:12">
      <c r="A479" s="333">
        <v>3</v>
      </c>
      <c r="C479" s="332" t="str">
        <f>'FR-16(7)(v)-1 Functional'!C479</f>
        <v>REAL ESTATE &amp; PROPERTY TAX</v>
      </c>
      <c r="D479" s="344" t="str">
        <f>'FR-16(7)(v)-1 Functional'!D479</f>
        <v>NP29</v>
      </c>
      <c r="E479" s="196"/>
      <c r="F479" s="479">
        <f>'FR-16(7)(v)-1 Functional'!I479</f>
        <v>3363782</v>
      </c>
      <c r="G479" s="548">
        <f>F479-SUM($H$479:$I$479)</f>
        <v>1839955</v>
      </c>
      <c r="H479" s="539">
        <f>ROUND(F479*VLOOKUP(D479,Alloctable_Classified_Distribution,$H$10,FALSE),0)</f>
        <v>0</v>
      </c>
      <c r="I479" s="540">
        <f>ROUND(F479*VLOOKUP(D479,Alloctable_Classified_Distribution,$I$10,FALSE),0)</f>
        <v>1523827</v>
      </c>
      <c r="J479" s="347">
        <f>SUM($G$479:$I$479)</f>
        <v>3363782</v>
      </c>
      <c r="K479" s="347">
        <f>F479-$J$479</f>
        <v>0</v>
      </c>
    </row>
    <row r="480" spans="1:12">
      <c r="A480" s="333">
        <v>4</v>
      </c>
      <c r="C480" s="359" t="str">
        <f>'FR-16(7)(v)-1 Functional'!C480</f>
        <v>ANNUALIZE PROPERTY TAX</v>
      </c>
      <c r="D480" s="344" t="str">
        <f>'FR-16(7)(v)-1 Functional'!D480</f>
        <v>NP29</v>
      </c>
      <c r="E480" s="196" t="s">
        <v>343</v>
      </c>
      <c r="F480" s="479">
        <f>'FR-16(7)(v)-1 Functional'!I480</f>
        <v>0</v>
      </c>
      <c r="G480" s="548">
        <f>F480-SUM($H$480:$I$480)</f>
        <v>0</v>
      </c>
      <c r="H480" s="539">
        <f>ROUND(F480*VLOOKUP(D480,Alloctable_Classified_Distribution,$H$10,FALSE),0)</f>
        <v>0</v>
      </c>
      <c r="I480" s="540">
        <f>ROUND(F480*VLOOKUP(D480,Alloctable_Classified_Distribution,$I$10,FALSE),0)</f>
        <v>0</v>
      </c>
      <c r="J480" s="347">
        <f>SUM($G$480:$I$480)</f>
        <v>0</v>
      </c>
      <c r="K480" s="347">
        <f>F480-$J$480</f>
        <v>0</v>
      </c>
    </row>
    <row r="481" spans="1:11">
      <c r="A481" s="333">
        <v>5</v>
      </c>
      <c r="C481" s="332" t="str">
        <f>'FR-16(7)(v)-1 Functional'!C481</f>
        <v xml:space="preserve">  TOTAL REAL ESTATE &amp; PROPERTY TAX</v>
      </c>
      <c r="D481" s="344"/>
      <c r="E481" s="196"/>
      <c r="F481" s="348">
        <f>SUM(F479:F480)</f>
        <v>3363782</v>
      </c>
      <c r="G481" s="549">
        <f>SUM($G$479:$G$480)</f>
        <v>1839955</v>
      </c>
      <c r="H481" s="541">
        <f>SUM($H$479:$H$480)</f>
        <v>0</v>
      </c>
      <c r="I481" s="542">
        <f>SUM($I$479:$I$480)</f>
        <v>1523827</v>
      </c>
      <c r="J481" s="348">
        <f>SUM($J$479:$J$480)</f>
        <v>3363782</v>
      </c>
      <c r="K481" s="348">
        <f>SUM($K$479:$K$480)</f>
        <v>0</v>
      </c>
    </row>
    <row r="482" spans="1:11">
      <c r="A482" s="333">
        <v>6</v>
      </c>
      <c r="D482" s="344"/>
      <c r="E482" s="196"/>
      <c r="F482" s="353"/>
      <c r="G482" s="547"/>
      <c r="H482" s="537"/>
      <c r="I482" s="538"/>
    </row>
    <row r="483" spans="1:11">
      <c r="A483" s="333">
        <v>7</v>
      </c>
      <c r="B483" s="332" t="s">
        <v>65</v>
      </c>
      <c r="D483" s="344"/>
      <c r="E483" s="196"/>
      <c r="F483" s="353"/>
      <c r="G483" s="547"/>
      <c r="H483" s="537"/>
      <c r="I483" s="538"/>
    </row>
    <row r="484" spans="1:11">
      <c r="A484" s="333">
        <v>8</v>
      </c>
      <c r="C484" s="332" t="str">
        <f>'FR-16(7)(v)-1 Functional'!C484</f>
        <v>PAYROLL &amp; HIGHWAY</v>
      </c>
      <c r="D484" s="344" t="str">
        <f>'FR-16(7)(v)-1 Functional'!D484</f>
        <v>AG39</v>
      </c>
      <c r="E484" s="196"/>
      <c r="F484" s="479">
        <f>'FR-16(7)(v)-1 Functional'!I484</f>
        <v>635693</v>
      </c>
      <c r="G484" s="548">
        <f>F484-SUM($H$484:$I$484)</f>
        <v>254671</v>
      </c>
      <c r="H484" s="539">
        <f>ROUND(F484*VLOOKUP(D484,Alloctable_Classified_Distribution,$H$10,FALSE),0)</f>
        <v>0</v>
      </c>
      <c r="I484" s="540">
        <f>ROUND(F484*VLOOKUP(D484,Alloctable_Classified_Distribution,$I$10,FALSE),0)</f>
        <v>381022</v>
      </c>
      <c r="J484" s="347">
        <f>SUM($G$484:$I$484)</f>
        <v>635693</v>
      </c>
      <c r="K484" s="347">
        <f>F484-$J$484</f>
        <v>0</v>
      </c>
    </row>
    <row r="485" spans="1:11">
      <c r="A485" s="333">
        <v>9</v>
      </c>
      <c r="C485" s="332" t="str">
        <f>'FR-16(7)(v)-1 Functional'!C485</f>
        <v>UNEMPLOYMENT COMPENSATION</v>
      </c>
      <c r="D485" s="344" t="str">
        <f>'FR-16(7)(v)-1 Functional'!D485</f>
        <v>AG39</v>
      </c>
      <c r="E485" s="196"/>
      <c r="F485" s="479">
        <f>'FR-16(7)(v)-1 Functional'!I485</f>
        <v>0</v>
      </c>
      <c r="G485" s="548">
        <f>F485-SUM($H$485:$I$485)</f>
        <v>0</v>
      </c>
      <c r="H485" s="539">
        <f>ROUND(F485*VLOOKUP(D485,Alloctable_Classified_Distribution,$H$10,FALSE),0)</f>
        <v>0</v>
      </c>
      <c r="I485" s="540">
        <f>ROUND(F485*VLOOKUP(D485,Alloctable_Classified_Distribution,$I$10,FALSE),0)</f>
        <v>0</v>
      </c>
      <c r="J485" s="347">
        <f>SUM($G$485:$I$485)</f>
        <v>0</v>
      </c>
      <c r="K485" s="347">
        <f>F485-$J$485</f>
        <v>0</v>
      </c>
    </row>
    <row r="486" spans="1:11">
      <c r="A486" s="333">
        <v>10</v>
      </c>
      <c r="C486" s="332" t="str">
        <f>'FR-16(7)(v)-1 Functional'!C486</f>
        <v>OHIO EXCISE TAX</v>
      </c>
      <c r="D486" s="354" t="str">
        <f>'FR-16(7)(v)-1 Functional'!D486</f>
        <v>OM39</v>
      </c>
      <c r="E486" s="196"/>
      <c r="F486" s="479">
        <f>'FR-16(7)(v)-1 Functional'!I486</f>
        <v>0</v>
      </c>
      <c r="G486" s="548">
        <f>F486-SUM($H$486:$I$486)</f>
        <v>0</v>
      </c>
      <c r="H486" s="539">
        <f>ROUND(F486*VLOOKUP(D486,Alloctable_Classified_Distribution,$H$10,FALSE),0)</f>
        <v>0</v>
      </c>
      <c r="I486" s="540">
        <f>ROUND(F486*VLOOKUP(D486,Alloctable_Classified_Distribution,$I$10,FALSE),0)</f>
        <v>0</v>
      </c>
      <c r="J486" s="347">
        <f>SUM($G$486:$I$486)</f>
        <v>0</v>
      </c>
      <c r="K486" s="347">
        <f>F486-$J$486</f>
        <v>0</v>
      </c>
    </row>
    <row r="487" spans="1:11">
      <c r="A487" s="333">
        <v>11</v>
      </c>
      <c r="C487" s="359" t="str">
        <f>'FR-16(7)(v)-1 Functional'!C487</f>
        <v>STATE TAX RIDER</v>
      </c>
      <c r="D487" s="354" t="str">
        <f>'FR-16(7)(v)-1 Functional'!D487</f>
        <v>OM39</v>
      </c>
      <c r="E487" s="196"/>
      <c r="F487" s="479">
        <f>'FR-16(7)(v)-1 Functional'!I487</f>
        <v>0</v>
      </c>
      <c r="G487" s="548">
        <f>F487-SUM($H$487:$I$487)</f>
        <v>0</v>
      </c>
      <c r="H487" s="539">
        <f>ROUND(F487*VLOOKUP(D487,Alloctable_Classified_Distribution,$H$10,FALSE),0)</f>
        <v>0</v>
      </c>
      <c r="I487" s="540">
        <f>ROUND(F487*VLOOKUP(D487,Alloctable_Classified_Distribution,$I$10,FALSE),0)</f>
        <v>0</v>
      </c>
      <c r="J487" s="347">
        <f>SUM($G$487:$I$487)</f>
        <v>0</v>
      </c>
      <c r="K487" s="347">
        <f>F487-$J$487</f>
        <v>0</v>
      </c>
    </row>
    <row r="488" spans="1:11">
      <c r="A488" s="333">
        <v>12</v>
      </c>
      <c r="C488" s="332" t="str">
        <f>'FR-16(7)(v)-1 Functional'!C488</f>
        <v xml:space="preserve">  TOTAL MISCELLANEOUS TAXES</v>
      </c>
      <c r="D488" s="344"/>
      <c r="E488" s="196"/>
      <c r="F488" s="348">
        <f>SUM(F484:F487)</f>
        <v>635693</v>
      </c>
      <c r="G488" s="549">
        <f>SUM($G$484:$G$487)</f>
        <v>254671</v>
      </c>
      <c r="H488" s="541">
        <f>SUM($H$484:$H$487)</f>
        <v>0</v>
      </c>
      <c r="I488" s="542">
        <f>SUM($I$484:$I$487)</f>
        <v>381022</v>
      </c>
      <c r="J488" s="348">
        <f>SUM($J$484:$J$487)</f>
        <v>635693</v>
      </c>
      <c r="K488" s="348">
        <f>SUM($K$484:$K$487)</f>
        <v>0</v>
      </c>
    </row>
    <row r="489" spans="1:11">
      <c r="A489" s="333">
        <v>13</v>
      </c>
      <c r="D489" s="344"/>
      <c r="E489" s="196"/>
      <c r="F489" s="353"/>
      <c r="G489" s="547"/>
      <c r="H489" s="537"/>
      <c r="I489" s="538"/>
    </row>
    <row r="490" spans="1:11">
      <c r="A490" s="333">
        <v>14</v>
      </c>
      <c r="B490" s="332" t="s">
        <v>66</v>
      </c>
      <c r="D490" s="344"/>
      <c r="E490" s="196"/>
      <c r="F490" s="353"/>
      <c r="G490" s="547"/>
      <c r="H490" s="537"/>
      <c r="I490" s="538"/>
    </row>
    <row r="491" spans="1:11">
      <c r="A491" s="333">
        <v>15</v>
      </c>
      <c r="C491" s="332" t="str">
        <f>'FR-16(7)(v)-1 Functional'!C491</f>
        <v>PSC MAINT. EXP ON INCREASE</v>
      </c>
      <c r="D491" s="344" t="str">
        <f>'FR-16(7)(v)-1 Functional'!D491</f>
        <v>AG39</v>
      </c>
      <c r="E491" s="196"/>
      <c r="F491" s="479">
        <f>'FR-16(7)(v)-1 Functional'!I491</f>
        <v>18905</v>
      </c>
      <c r="G491" s="548">
        <f>F491-SUM($H$491:$I$491)</f>
        <v>7574</v>
      </c>
      <c r="H491" s="539">
        <f>ROUND(F491*VLOOKUP(D491,Alloctable_Classified_Distribution,$H$10,FALSE),0)</f>
        <v>0</v>
      </c>
      <c r="I491" s="540">
        <f>ROUND(F491*VLOOKUP(D491,Alloctable_Classified_Distribution,$I$10,FALSE),0)</f>
        <v>11331</v>
      </c>
      <c r="J491" s="347">
        <f>SUM($G$491:$I$491)</f>
        <v>18905</v>
      </c>
      <c r="K491" s="347">
        <f>F491-$J$491</f>
        <v>0</v>
      </c>
    </row>
    <row r="492" spans="1:11">
      <c r="A492" s="333">
        <v>16</v>
      </c>
      <c r="C492" s="359" t="str">
        <f>'FR-16(7)(v)-1 Functional'!C492</f>
        <v>RESERVED FOR FUTURE USE</v>
      </c>
      <c r="D492" s="344" t="str">
        <f>'FR-16(7)(v)-1 Functional'!D492</f>
        <v>AG39</v>
      </c>
      <c r="E492" s="196"/>
      <c r="F492" s="479">
        <f>'FR-16(7)(v)-1 Functional'!I492</f>
        <v>0</v>
      </c>
      <c r="G492" s="548">
        <f>F492-SUM($H$492:$I$492)</f>
        <v>0</v>
      </c>
      <c r="H492" s="539">
        <f>ROUND(F492*VLOOKUP(D492,Alloctable_Classified_Distribution,$H$10,FALSE),0)</f>
        <v>0</v>
      </c>
      <c r="I492" s="540">
        <f>ROUND(F492*VLOOKUP(D492,Alloctable_Classified_Distribution,$I$10,FALSE),0)</f>
        <v>0</v>
      </c>
      <c r="J492" s="347">
        <f>SUM($G$492:$I$492)</f>
        <v>0</v>
      </c>
      <c r="K492" s="347">
        <f>F492-$J$492</f>
        <v>0</v>
      </c>
    </row>
    <row r="493" spans="1:11">
      <c r="A493" s="333">
        <v>17</v>
      </c>
      <c r="C493" s="332" t="str">
        <f>'FR-16(7)(v)-1 Functional'!C493</f>
        <v xml:space="preserve">  TOTAL MISCELLANEOUS EXPENSES</v>
      </c>
      <c r="D493" s="344"/>
      <c r="E493" s="196"/>
      <c r="F493" s="480">
        <f>SUM(F491:F492)</f>
        <v>18905</v>
      </c>
      <c r="G493" s="549">
        <f>SUM($G$491:$G$492)</f>
        <v>7574</v>
      </c>
      <c r="H493" s="541">
        <f>SUM($H$491:$H$492)</f>
        <v>0</v>
      </c>
      <c r="I493" s="542">
        <f>SUM($I$491:$I$492)</f>
        <v>11331</v>
      </c>
      <c r="J493" s="348">
        <f>SUM($J$491:$J$492)</f>
        <v>18905</v>
      </c>
      <c r="K493" s="348">
        <f>SUM($K$491:$K$492)</f>
        <v>0</v>
      </c>
    </row>
    <row r="494" spans="1:11">
      <c r="A494" s="333">
        <v>18</v>
      </c>
      <c r="D494" s="344"/>
      <c r="E494" s="196"/>
      <c r="G494" s="547"/>
      <c r="H494" s="537"/>
      <c r="I494" s="538"/>
    </row>
    <row r="495" spans="1:11">
      <c r="A495" s="333">
        <v>19</v>
      </c>
      <c r="B495" s="332" t="s">
        <v>67</v>
      </c>
      <c r="D495" s="344"/>
      <c r="E495" s="196" t="s">
        <v>343</v>
      </c>
      <c r="F495" s="347">
        <f>F488+F481+F493</f>
        <v>4018380</v>
      </c>
      <c r="G495" s="548">
        <f>$G$488+$G$481+$G$493</f>
        <v>2102200</v>
      </c>
      <c r="H495" s="539">
        <f>$H$488+$H$481+$H$493</f>
        <v>0</v>
      </c>
      <c r="I495" s="540">
        <f>$I$488+$I$481+$I$493</f>
        <v>1916180</v>
      </c>
      <c r="J495" s="347">
        <f>$J$488+$J$481+$J$493</f>
        <v>4018380</v>
      </c>
      <c r="K495" s="347">
        <f>$K$488+$K$481+$K$493</f>
        <v>0</v>
      </c>
    </row>
    <row r="496" spans="1:11">
      <c r="A496" s="333">
        <v>20</v>
      </c>
      <c r="D496" s="344"/>
      <c r="E496" s="196"/>
      <c r="G496" s="547"/>
      <c r="H496" s="537"/>
      <c r="I496" s="538"/>
    </row>
    <row r="497" spans="1:11">
      <c r="A497" s="333">
        <v>21</v>
      </c>
      <c r="B497" s="332" t="s">
        <v>40</v>
      </c>
      <c r="D497" s="344"/>
      <c r="E497" s="196"/>
      <c r="G497" s="547"/>
      <c r="H497" s="537"/>
      <c r="I497" s="538"/>
    </row>
    <row r="498" spans="1:11">
      <c r="A498" s="333">
        <v>22</v>
      </c>
      <c r="C498" s="332" t="str">
        <f>'FR-16(7)(v)-1 Functional'!C498</f>
        <v>TOTAL O&amp;M EXPENSE</v>
      </c>
      <c r="D498" s="344"/>
      <c r="E498" s="196"/>
      <c r="F498" s="347">
        <f t="shared" ref="F498:K498" si="134">F433</f>
        <v>22475277</v>
      </c>
      <c r="G498" s="548">
        <f t="shared" si="134"/>
        <v>10068183</v>
      </c>
      <c r="H498" s="539">
        <f t="shared" si="134"/>
        <v>0</v>
      </c>
      <c r="I498" s="540">
        <f t="shared" si="134"/>
        <v>12407094</v>
      </c>
      <c r="J498" s="347">
        <f t="shared" si="134"/>
        <v>22475277</v>
      </c>
      <c r="K498" s="347">
        <f t="shared" si="134"/>
        <v>0</v>
      </c>
    </row>
    <row r="499" spans="1:11">
      <c r="A499" s="333">
        <v>23</v>
      </c>
      <c r="C499" s="332" t="str">
        <f>'FR-16(7)(v)-1 Functional'!C499</f>
        <v>TOTAL DEPRECIATION EXPENSE</v>
      </c>
      <c r="D499" s="344"/>
      <c r="E499" s="196"/>
      <c r="F499" s="347">
        <f t="shared" ref="F499:K499" si="135">F465</f>
        <v>14157287</v>
      </c>
      <c r="G499" s="548">
        <f t="shared" si="135"/>
        <v>7510696</v>
      </c>
      <c r="H499" s="539">
        <f t="shared" si="135"/>
        <v>0</v>
      </c>
      <c r="I499" s="540">
        <f t="shared" si="135"/>
        <v>6646591</v>
      </c>
      <c r="J499" s="347">
        <f t="shared" si="135"/>
        <v>14157287</v>
      </c>
      <c r="K499" s="347">
        <f t="shared" si="135"/>
        <v>0</v>
      </c>
    </row>
    <row r="500" spans="1:11">
      <c r="A500" s="333">
        <v>24</v>
      </c>
      <c r="C500" s="359" t="str">
        <f>'FR-16(7)(v)-1 Functional'!C500</f>
        <v>TOTAL OTHER TAX &amp; MISC EXPENSE</v>
      </c>
      <c r="D500" s="344"/>
      <c r="E500" s="196"/>
      <c r="F500" s="347">
        <f>F495</f>
        <v>4018380</v>
      </c>
      <c r="G500" s="548">
        <f>$G$495</f>
        <v>2102200</v>
      </c>
      <c r="H500" s="539">
        <f>$H$495</f>
        <v>0</v>
      </c>
      <c r="I500" s="540">
        <f>$I$495</f>
        <v>1916180</v>
      </c>
      <c r="J500" s="347">
        <f>$J$495</f>
        <v>4018380</v>
      </c>
      <c r="K500" s="347">
        <f>$K$495</f>
        <v>0</v>
      </c>
    </row>
    <row r="501" spans="1:11">
      <c r="A501" s="333">
        <v>25</v>
      </c>
      <c r="C501" s="332" t="str">
        <f>'FR-16(7)(v)-1 Functional'!C501</f>
        <v xml:space="preserve">  TOTAL OPER EXP EXCL INCOME &amp; REV TAX</v>
      </c>
      <c r="D501" s="344"/>
      <c r="E501" s="196"/>
      <c r="F501" s="348">
        <f>SUM(F498:F500)</f>
        <v>40650944</v>
      </c>
      <c r="G501" s="557">
        <f>SUM($G$498:$G$500)</f>
        <v>19681079</v>
      </c>
      <c r="H501" s="558">
        <f>SUM($H$498:$H$500)</f>
        <v>0</v>
      </c>
      <c r="I501" s="559">
        <f>SUM($I$498:$I$500)</f>
        <v>20969865</v>
      </c>
      <c r="J501" s="348">
        <f>SUM($J$498:$J$500)</f>
        <v>40650944</v>
      </c>
      <c r="K501" s="348">
        <f>SUM($K$498:$K$500)</f>
        <v>0</v>
      </c>
    </row>
    <row r="502" spans="1:11">
      <c r="B502" s="343"/>
      <c r="C502" s="196"/>
      <c r="D502" s="344"/>
      <c r="E502" s="196"/>
      <c r="F502" s="196"/>
      <c r="G502" s="196"/>
      <c r="H502" s="196"/>
      <c r="I502" s="196"/>
      <c r="J502" s="196"/>
      <c r="K502" s="196"/>
    </row>
    <row r="503" spans="1:11">
      <c r="A503" s="343" t="str">
        <f>co_name</f>
        <v>DUKE ENERGY KENTUCKY, INC.</v>
      </c>
      <c r="C503" s="196"/>
      <c r="D503" s="344"/>
      <c r="E503" s="196"/>
      <c r="F503" s="196"/>
      <c r="G503" s="196"/>
      <c r="H503" s="196"/>
      <c r="I503" s="196"/>
      <c r="J503" s="196" t="str">
        <f>$J$1</f>
        <v>FR-16(7)(v)-4</v>
      </c>
      <c r="K503" s="196"/>
    </row>
    <row r="504" spans="1:11">
      <c r="A504" s="343" t="str">
        <f>$A$2</f>
        <v>DISTRIBUTION CLASSIFIED - GAS COST OF SERVICE</v>
      </c>
      <c r="C504" s="196"/>
      <c r="D504" s="344"/>
      <c r="E504" s="196"/>
      <c r="F504" s="196"/>
      <c r="G504" s="196"/>
      <c r="H504" s="196"/>
      <c r="I504" s="196"/>
      <c r="J504" s="196" t="str">
        <f>$J$2</f>
        <v>WITNESS RESPONSIBLE:</v>
      </c>
      <c r="K504" s="196"/>
    </row>
    <row r="505" spans="1:11">
      <c r="A505" s="343" t="str">
        <f>case_name</f>
        <v>CASE NO: 2018-00261</v>
      </c>
      <c r="C505" s="196"/>
      <c r="D505" s="344"/>
      <c r="E505" s="196"/>
      <c r="F505" s="196"/>
      <c r="G505" s="196"/>
      <c r="H505" s="196"/>
      <c r="I505" s="196"/>
      <c r="J505" s="196" t="str">
        <f>Witness</f>
        <v>JAMES E. ZIOLKOWSKI</v>
      </c>
      <c r="K505" s="196"/>
    </row>
    <row r="506" spans="1:11">
      <c r="A506" s="343" t="str">
        <f>data_filing</f>
        <v>DATA: 12 MONTH FORECASTED PERIOD</v>
      </c>
      <c r="C506" s="196"/>
      <c r="D506" s="344"/>
      <c r="E506" s="196"/>
      <c r="F506" s="196"/>
      <c r="G506" s="196"/>
      <c r="H506" s="196"/>
      <c r="I506" s="196"/>
      <c r="J506" s="196" t="str">
        <f>"PAGE "&amp;Pages-6&amp;" OF "&amp;Pages</f>
        <v>PAGE 12 OF 18</v>
      </c>
      <c r="K506" s="196"/>
    </row>
    <row r="507" spans="1:11">
      <c r="A507" s="343" t="str">
        <f>type</f>
        <v xml:space="preserve">TYPE OF FILING: "X" ORIGINAL   UPDATED    REVISED  </v>
      </c>
      <c r="C507" s="196"/>
      <c r="D507" s="344"/>
      <c r="E507" s="196"/>
      <c r="F507" s="196"/>
      <c r="G507" s="196"/>
      <c r="H507" s="196"/>
      <c r="I507" s="196"/>
      <c r="J507" s="196"/>
      <c r="K507" s="196"/>
    </row>
    <row r="508" spans="1:11">
      <c r="B508" s="343"/>
      <c r="C508" s="196"/>
      <c r="D508" s="344"/>
      <c r="E508" s="196"/>
      <c r="F508" s="196"/>
      <c r="G508" s="196"/>
      <c r="H508" s="196"/>
      <c r="I508" s="196"/>
      <c r="J508" s="196"/>
      <c r="K508" s="196"/>
    </row>
    <row r="509" spans="1:11">
      <c r="B509" s="343"/>
      <c r="C509" s="196"/>
      <c r="D509" s="344"/>
      <c r="E509" s="196"/>
      <c r="F509" s="196"/>
      <c r="G509" s="196"/>
      <c r="H509" s="196"/>
      <c r="I509" s="196"/>
      <c r="J509" s="196"/>
      <c r="K509" s="196"/>
    </row>
    <row r="510" spans="1:11">
      <c r="A510" s="344" t="s">
        <v>914</v>
      </c>
      <c r="B510" s="196"/>
      <c r="C510" s="196"/>
      <c r="D510" s="344"/>
      <c r="E510" s="196"/>
      <c r="F510" s="344" t="s">
        <v>229</v>
      </c>
      <c r="G510" s="545" t="s">
        <v>1005</v>
      </c>
      <c r="H510" s="533"/>
      <c r="I510" s="534"/>
      <c r="J510" s="344" t="s">
        <v>229</v>
      </c>
      <c r="K510" s="344" t="s">
        <v>342</v>
      </c>
    </row>
    <row r="511" spans="1:11">
      <c r="A511" s="346" t="s">
        <v>915</v>
      </c>
      <c r="B511" s="345" t="str">
        <f>'FR-16(7)(v)-1 Functional'!B511</f>
        <v>FEDERAL INCOME TAX BASED ON RETURN</v>
      </c>
      <c r="C511" s="345"/>
      <c r="D511" s="346" t="s">
        <v>337</v>
      </c>
      <c r="E511" s="345"/>
      <c r="F511" s="346" t="s">
        <v>846</v>
      </c>
      <c r="G511" s="546" t="s">
        <v>847</v>
      </c>
      <c r="H511" s="535" t="s">
        <v>848</v>
      </c>
      <c r="I511" s="536" t="s">
        <v>849</v>
      </c>
      <c r="J511" s="346" t="s">
        <v>341</v>
      </c>
      <c r="K511" s="346" t="s">
        <v>340</v>
      </c>
    </row>
    <row r="512" spans="1:11">
      <c r="C512" s="578" t="s">
        <v>351</v>
      </c>
      <c r="D512" s="344"/>
      <c r="E512" s="196"/>
      <c r="G512" s="800">
        <f>$G$10</f>
        <v>3</v>
      </c>
      <c r="H512" s="801">
        <f>$H$10</f>
        <v>4</v>
      </c>
      <c r="I512" s="802">
        <f>$I$10</f>
        <v>5</v>
      </c>
    </row>
    <row r="513" spans="1:11">
      <c r="A513" s="333">
        <v>1</v>
      </c>
      <c r="B513" s="332" t="s">
        <v>69</v>
      </c>
      <c r="D513" s="344"/>
      <c r="E513" s="196"/>
      <c r="G513" s="547"/>
      <c r="H513" s="537"/>
      <c r="I513" s="538"/>
    </row>
    <row r="514" spans="1:11">
      <c r="A514" s="333">
        <v>2</v>
      </c>
      <c r="B514" s="332" t="s">
        <v>70</v>
      </c>
      <c r="D514" s="344"/>
      <c r="E514" s="196"/>
      <c r="F514" s="332" t="s">
        <v>343</v>
      </c>
      <c r="G514" s="547"/>
      <c r="H514" s="537"/>
      <c r="I514" s="538"/>
    </row>
    <row r="515" spans="1:11">
      <c r="A515" s="333">
        <v>3</v>
      </c>
      <c r="C515" s="359" t="str">
        <f>'FR-16(7)(v)-1 Functional'!C515</f>
        <v>AUTO PROC INTEREST DED</v>
      </c>
      <c r="D515" s="344" t="str">
        <f>'FR-16(7)(v)-1 Functional'!D515</f>
        <v>RB99</v>
      </c>
      <c r="E515" s="196"/>
      <c r="F515" s="479">
        <f>'FR-16(7)(v)-1 Functional'!I515</f>
        <v>6617213</v>
      </c>
      <c r="G515" s="548">
        <f>F515-SUM($H$515:$I$515)</f>
        <v>3667723</v>
      </c>
      <c r="H515" s="539">
        <f>ROUND(F515*VLOOKUP(D515,Alloctable_Classified_Distribution,$H$10,FALSE),0)</f>
        <v>0</v>
      </c>
      <c r="I515" s="540">
        <f>ROUND(F515*VLOOKUP(D515,Alloctable_Classified_Distribution,$I$10,FALSE),0)</f>
        <v>2949490</v>
      </c>
      <c r="J515" s="347">
        <f>SUM($G$515:$I$515)</f>
        <v>6617213</v>
      </c>
      <c r="K515" s="347">
        <f>F515-$J$515</f>
        <v>0</v>
      </c>
    </row>
    <row r="516" spans="1:11">
      <c r="A516" s="333">
        <v>4</v>
      </c>
      <c r="C516" s="332" t="str">
        <f>'FR-16(7)(v)-1 Functional'!C516</f>
        <v xml:space="preserve">  TOTAL INTEREST EXPENSE</v>
      </c>
      <c r="D516" s="344"/>
      <c r="E516" s="196"/>
      <c r="F516" s="348">
        <f>F515</f>
        <v>6617213</v>
      </c>
      <c r="G516" s="549">
        <f>$G$515</f>
        <v>3667723</v>
      </c>
      <c r="H516" s="541">
        <f>$H$515</f>
        <v>0</v>
      </c>
      <c r="I516" s="542">
        <f>$I$515</f>
        <v>2949490</v>
      </c>
      <c r="J516" s="348">
        <f>$J$515</f>
        <v>6617213</v>
      </c>
      <c r="K516" s="348">
        <f>$K$515</f>
        <v>0</v>
      </c>
    </row>
    <row r="517" spans="1:11">
      <c r="A517" s="333">
        <v>5</v>
      </c>
      <c r="D517" s="344"/>
      <c r="E517" s="196"/>
      <c r="F517" s="353"/>
      <c r="G517" s="547"/>
      <c r="H517" s="537"/>
      <c r="I517" s="538"/>
    </row>
    <row r="518" spans="1:11">
      <c r="A518" s="333">
        <v>6</v>
      </c>
      <c r="B518" s="332" t="s">
        <v>71</v>
      </c>
      <c r="D518" s="344"/>
      <c r="E518" s="196"/>
      <c r="F518" s="353"/>
      <c r="G518" s="547"/>
      <c r="H518" s="537"/>
      <c r="I518" s="538"/>
    </row>
    <row r="519" spans="1:11">
      <c r="A519" s="333">
        <v>7</v>
      </c>
      <c r="C519" s="332" t="str">
        <f>'FR-16(7)(v)-1 Functional'!C519</f>
        <v>DEPREC EXCESS TAX-BOOK</v>
      </c>
      <c r="D519" s="344" t="str">
        <f>'FR-16(7)(v)-1 Functional'!D519</f>
        <v>DE49</v>
      </c>
      <c r="E519" s="196"/>
      <c r="F519" s="479">
        <f>'FR-16(7)(v)-1 Functional'!I519</f>
        <v>6263546</v>
      </c>
      <c r="G519" s="548">
        <f>F519-SUM($H$519:$I$519)</f>
        <v>3322936</v>
      </c>
      <c r="H519" s="539">
        <f>ROUND(F519*VLOOKUP(D519,Alloctable_Classified_Distribution,$H$10,FALSE),0)</f>
        <v>0</v>
      </c>
      <c r="I519" s="540">
        <f>ROUND(F519*VLOOKUP(D519,Alloctable_Classified_Distribution,$I$10,FALSE),0)</f>
        <v>2940610</v>
      </c>
      <c r="J519" s="347">
        <f>SUM($G$519:$I$519)</f>
        <v>6263546</v>
      </c>
      <c r="K519" s="347">
        <f>F519-$J$519</f>
        <v>0</v>
      </c>
    </row>
    <row r="520" spans="1:11">
      <c r="A520" s="333">
        <v>8</v>
      </c>
      <c r="C520" s="332" t="str">
        <f>'FR-16(7)(v)-1 Functional'!C520</f>
        <v>PERMANENT DIFFERENCES</v>
      </c>
      <c r="D520" s="344" t="str">
        <f>'FR-16(7)(v)-1 Functional'!D520</f>
        <v>AG39</v>
      </c>
      <c r="E520" s="196"/>
      <c r="F520" s="479">
        <f>'FR-16(7)(v)-1 Functional'!I520</f>
        <v>-89352</v>
      </c>
      <c r="G520" s="548">
        <f>F520-SUM($H$520:$I$520)</f>
        <v>-35796</v>
      </c>
      <c r="H520" s="539">
        <f>ROUND(F520*VLOOKUP(D520,Alloctable_Classified_Distribution,$H$10,FALSE),0)</f>
        <v>0</v>
      </c>
      <c r="I520" s="540">
        <f>ROUND(F520*VLOOKUP(D520,Alloctable_Classified_Distribution,$I$10,FALSE),0)</f>
        <v>-53556</v>
      </c>
      <c r="J520" s="347">
        <f>SUM($G$520:$I$520)</f>
        <v>-89352</v>
      </c>
      <c r="K520" s="347">
        <f>F520-$J$520</f>
        <v>0</v>
      </c>
    </row>
    <row r="521" spans="1:11">
      <c r="A521" s="333">
        <v>9</v>
      </c>
      <c r="C521" s="359" t="str">
        <f>'FR-16(7)(v)-1 Functional'!C521</f>
        <v>TEMPORARY DIFFERENCES</v>
      </c>
      <c r="D521" s="344" t="str">
        <f>'FR-16(7)(v)-1 Functional'!D521</f>
        <v>DE49</v>
      </c>
      <c r="E521" s="196"/>
      <c r="F521" s="479">
        <f>'FR-16(7)(v)-1 Functional'!I521</f>
        <v>227201</v>
      </c>
      <c r="G521" s="548">
        <f>F521-SUM($H$521:$I$521)</f>
        <v>120535</v>
      </c>
      <c r="H521" s="539">
        <f>ROUND(F521*VLOOKUP(D521,Alloctable_Classified_Distribution,$H$10,FALSE),0)</f>
        <v>0</v>
      </c>
      <c r="I521" s="540">
        <f>ROUND(F521*VLOOKUP(D521,Alloctable_Classified_Distribution,$I$10,FALSE),0)</f>
        <v>106666</v>
      </c>
      <c r="J521" s="347">
        <f>SUM($G$521:$I$521)</f>
        <v>227201</v>
      </c>
      <c r="K521" s="347">
        <f>F521-$J$521</f>
        <v>0</v>
      </c>
    </row>
    <row r="522" spans="1:11">
      <c r="A522" s="333">
        <v>10</v>
      </c>
      <c r="C522" s="332" t="str">
        <f>'FR-16(7)(v)-1 Functional'!C522</f>
        <v xml:space="preserve">  TOTAL OTHER DEDUCTIONS</v>
      </c>
      <c r="D522" s="344"/>
      <c r="E522" s="196"/>
      <c r="F522" s="348">
        <f>SUM(F519:F521)</f>
        <v>6401395</v>
      </c>
      <c r="G522" s="549">
        <f>SUM($G$519:$G$521)</f>
        <v>3407675</v>
      </c>
      <c r="H522" s="541">
        <f>SUM($H$519:$H$521)</f>
        <v>0</v>
      </c>
      <c r="I522" s="542">
        <f>SUM($I$519:$I$521)</f>
        <v>2993720</v>
      </c>
      <c r="J522" s="348">
        <f>SUM($J$519:$J$521)</f>
        <v>6401395</v>
      </c>
      <c r="K522" s="348">
        <f>SUM($K$519:$K$521)</f>
        <v>0</v>
      </c>
    </row>
    <row r="523" spans="1:11">
      <c r="A523" s="333">
        <v>11</v>
      </c>
      <c r="D523" s="344"/>
      <c r="E523" s="196"/>
      <c r="F523" s="353"/>
      <c r="G523" s="547"/>
      <c r="H523" s="537"/>
      <c r="I523" s="538"/>
    </row>
    <row r="524" spans="1:11">
      <c r="A524" s="333">
        <v>12</v>
      </c>
      <c r="B524" s="332" t="s">
        <v>72</v>
      </c>
      <c r="D524" s="344"/>
      <c r="E524" s="196"/>
      <c r="F524" s="349">
        <f>F522+F516</f>
        <v>13018608</v>
      </c>
      <c r="G524" s="548">
        <f>$G$522+$G$516</f>
        <v>7075398</v>
      </c>
      <c r="H524" s="539">
        <f>$H$522+$H$516</f>
        <v>0</v>
      </c>
      <c r="I524" s="540">
        <f>$I$522+$I$516</f>
        <v>5943210</v>
      </c>
      <c r="J524" s="347">
        <f>$J$522+$J$516</f>
        <v>13018608</v>
      </c>
      <c r="K524" s="347">
        <f>$K$522+$K$516</f>
        <v>0</v>
      </c>
    </row>
    <row r="525" spans="1:11">
      <c r="A525" s="333">
        <v>13</v>
      </c>
      <c r="D525" s="344"/>
      <c r="E525" s="196"/>
      <c r="F525" s="353"/>
      <c r="G525" s="547"/>
      <c r="H525" s="537"/>
      <c r="I525" s="538"/>
    </row>
    <row r="526" spans="1:11">
      <c r="A526" s="333">
        <v>14</v>
      </c>
      <c r="B526" s="340" t="s">
        <v>544</v>
      </c>
      <c r="D526" s="344"/>
      <c r="E526" s="196"/>
      <c r="F526" s="353"/>
      <c r="G526" s="547"/>
      <c r="H526" s="537"/>
      <c r="I526" s="538"/>
    </row>
    <row r="527" spans="1:11">
      <c r="A527" s="333">
        <v>15</v>
      </c>
      <c r="C527" s="332" t="str">
        <f>'FR-16(7)(v)-1 Functional'!C527</f>
        <v>DEFERRED INCOME TAXES - NET</v>
      </c>
      <c r="D527" s="344" t="str">
        <f>'FR-16(7)(v)-1 Functional'!D527</f>
        <v>OM39</v>
      </c>
      <c r="E527" s="196"/>
      <c r="F527" s="479">
        <f>'FR-16(7)(v)-1 Functional'!I527</f>
        <v>474689</v>
      </c>
      <c r="G527" s="548">
        <f>F527-SUM($H$527:$I$527)</f>
        <v>212646</v>
      </c>
      <c r="H527" s="539">
        <f>ROUND(F527*VLOOKUP(D527,Alloctable_Classified_Distribution,$H$10,FALSE),0)</f>
        <v>0</v>
      </c>
      <c r="I527" s="540">
        <f>ROUND(F527*VLOOKUP(D527,Alloctable_Classified_Distribution,$I$10,FALSE),0)</f>
        <v>262043</v>
      </c>
      <c r="J527" s="347">
        <f>SUM($G$527:$I$527)</f>
        <v>474689</v>
      </c>
      <c r="K527" s="347">
        <f>F527-$J$527</f>
        <v>0</v>
      </c>
    </row>
    <row r="528" spans="1:11">
      <c r="A528" s="333">
        <v>16</v>
      </c>
      <c r="C528" s="332" t="str">
        <f>'FR-16(7)(v)-1 Functional'!C528</f>
        <v>AMORT OF DEFERRED MERGER COST</v>
      </c>
      <c r="D528" s="344" t="str">
        <f>'FR-16(7)(v)-1 Functional'!D528</f>
        <v>AG39</v>
      </c>
      <c r="E528" s="196"/>
      <c r="F528" s="479">
        <f>'FR-16(7)(v)-1 Functional'!I528</f>
        <v>0</v>
      </c>
      <c r="G528" s="548">
        <f>F528-SUM($H$528:$I$528)</f>
        <v>0</v>
      </c>
      <c r="H528" s="539">
        <f>ROUND(F528*VLOOKUP(D528,Alloctable_Classified_Distribution,$H$10,FALSE),0)</f>
        <v>0</v>
      </c>
      <c r="I528" s="540">
        <f>ROUND(F528*VLOOKUP(D528,Alloctable_Classified_Distribution,$I$10,FALSE),0)</f>
        <v>0</v>
      </c>
      <c r="J528" s="347">
        <f>SUM($G$528:$I$528)</f>
        <v>0</v>
      </c>
      <c r="K528" s="347">
        <f>F528-$J$528</f>
        <v>0</v>
      </c>
    </row>
    <row r="529" spans="1:11">
      <c r="A529" s="333">
        <v>17</v>
      </c>
      <c r="C529" s="618" t="str">
        <f>'FR-16(7)(v)-1 Functional'!C529</f>
        <v>DIT ADJUSTMENT - S/L DEPRECIATION</v>
      </c>
      <c r="D529" s="344" t="str">
        <f>'FR-16(7)(v)-1 Functional'!D529</f>
        <v>DE49</v>
      </c>
      <c r="E529" s="196"/>
      <c r="F529" s="479">
        <f>'FR-16(7)(v)-1 Functional'!I529</f>
        <v>0</v>
      </c>
      <c r="G529" s="548">
        <f>F529-SUM($H$529:$I$529)</f>
        <v>0</v>
      </c>
      <c r="H529" s="539">
        <f>ROUND(F529*VLOOKUP(D529,Alloctable_Classified_Distribution,$H$10,FALSE),0)</f>
        <v>0</v>
      </c>
      <c r="I529" s="540">
        <f>ROUND(F529*VLOOKUP(D529,Alloctable_Classified_Distribution,$I$10,FALSE),0)</f>
        <v>0</v>
      </c>
      <c r="J529" s="347">
        <f>SUM($G$529:$I$529)</f>
        <v>0</v>
      </c>
      <c r="K529" s="347">
        <f>F529-$J$529</f>
        <v>0</v>
      </c>
    </row>
    <row r="530" spans="1:11">
      <c r="A530" s="333">
        <v>18</v>
      </c>
      <c r="C530" s="332" t="str">
        <f>'FR-16(7)(v)-1 Functional'!C530</f>
        <v>DIT ADJUSTMENT - ARAM</v>
      </c>
      <c r="D530" s="344" t="str">
        <f>'FR-16(7)(v)-1 Functional'!D530</f>
        <v>K201</v>
      </c>
      <c r="E530" s="196"/>
      <c r="F530" s="479">
        <f>'FR-16(7)(v)-1 Functional'!I530</f>
        <v>0</v>
      </c>
      <c r="G530" s="548">
        <f>F530-SUM($H$530:$I$530)</f>
        <v>0</v>
      </c>
      <c r="H530" s="539">
        <f>ROUND(F530*VLOOKUP(D530,Alloctable_Classified_Distribution,$H$10,FALSE),0)</f>
        <v>0</v>
      </c>
      <c r="I530" s="540">
        <f>ROUND(F530*VLOOKUP(D530,Alloctable_Classified_Distribution,$I$10,FALSE),0)</f>
        <v>0</v>
      </c>
      <c r="J530" s="347">
        <f>SUM($G$530:$I$530)</f>
        <v>0</v>
      </c>
      <c r="K530" s="347">
        <f>F530-$J$530</f>
        <v>0</v>
      </c>
    </row>
    <row r="531" spans="1:11">
      <c r="A531" s="333">
        <v>19</v>
      </c>
      <c r="C531" s="359" t="s">
        <v>1495</v>
      </c>
      <c r="D531" s="344" t="str">
        <f>'FR-16(7)(v)-1 Functional'!D531</f>
        <v>AG39</v>
      </c>
      <c r="E531" s="196"/>
      <c r="F531" s="479">
        <f>'FR-16(7)(v)-1 Functional'!I531</f>
        <v>-525394</v>
      </c>
      <c r="G531" s="548">
        <f>F531-SUM($H$531:$I$531)</f>
        <v>-210483</v>
      </c>
      <c r="H531" s="539">
        <f>ROUND(F531*VLOOKUP(D531,Alloctable_Classified_Distribution,$H$10,FALSE),0)</f>
        <v>0</v>
      </c>
      <c r="I531" s="540">
        <f>ROUND(F531*VLOOKUP(D531,Alloctable_Classified_Distribution,$I$10,FALSE),0)</f>
        <v>-314911</v>
      </c>
      <c r="J531" s="347">
        <f>SUM($G$531:$I$531)</f>
        <v>-525394</v>
      </c>
      <c r="K531" s="347">
        <f>F531-$J$531</f>
        <v>0</v>
      </c>
    </row>
    <row r="532" spans="1:11">
      <c r="A532" s="333">
        <v>20</v>
      </c>
      <c r="C532" s="332" t="str">
        <f>'FR-16(7)(v)-1 Functional'!C532</f>
        <v xml:space="preserve">  TOTAL FED DEF IT (410 &amp; 411)</v>
      </c>
      <c r="D532" s="344"/>
      <c r="E532" s="196"/>
      <c r="F532" s="348">
        <f>SUM(F527:F531)</f>
        <v>-50705</v>
      </c>
      <c r="G532" s="549">
        <f>SUM($G$527:$G$531)</f>
        <v>2163</v>
      </c>
      <c r="H532" s="541">
        <f>SUM($H$527:$H$531)</f>
        <v>0</v>
      </c>
      <c r="I532" s="542">
        <f>SUM($I$527:$I$531)</f>
        <v>-52868</v>
      </c>
      <c r="J532" s="348">
        <f>SUM($J$527:$J$531)</f>
        <v>-50705</v>
      </c>
      <c r="K532" s="348">
        <f>SUM($K$527:$K$531)</f>
        <v>0</v>
      </c>
    </row>
    <row r="533" spans="1:11">
      <c r="A533" s="333">
        <v>21</v>
      </c>
      <c r="D533" s="344"/>
      <c r="E533" s="196"/>
      <c r="F533" s="353"/>
      <c r="G533" s="547"/>
      <c r="H533" s="537"/>
      <c r="I533" s="538"/>
    </row>
    <row r="534" spans="1:11">
      <c r="A534" s="333">
        <v>22</v>
      </c>
      <c r="B534" s="332" t="s">
        <v>419</v>
      </c>
      <c r="D534" s="344"/>
      <c r="E534" s="196"/>
      <c r="F534" s="353"/>
      <c r="G534" s="547"/>
      <c r="H534" s="537"/>
      <c r="I534" s="538"/>
    </row>
    <row r="535" spans="1:11">
      <c r="A535" s="333">
        <v>23</v>
      </c>
      <c r="C535" s="359" t="str">
        <f>'FR-16(7)(v)-1 Functional'!C535</f>
        <v>AMORTIZE ITC</v>
      </c>
      <c r="D535" s="344" t="str">
        <f>'FR-16(7)(v)-1 Functional'!D535</f>
        <v>NP29</v>
      </c>
      <c r="E535" s="196"/>
      <c r="F535" s="479">
        <f>'FR-16(7)(v)-1 Functional'!I535</f>
        <v>65569</v>
      </c>
      <c r="G535" s="548">
        <f>F535-SUM($H$535:$I$535)</f>
        <v>35866</v>
      </c>
      <c r="H535" s="539">
        <f>ROUND(F535*VLOOKUP(D535,Alloctable_Classified_Distribution,$H$10,FALSE),0)</f>
        <v>0</v>
      </c>
      <c r="I535" s="540">
        <f>ROUND(F535*VLOOKUP(D535,Alloctable_Classified_Distribution,$I$10,FALSE),0)</f>
        <v>29703</v>
      </c>
      <c r="J535" s="512">
        <f>SUM($G$535:$I$535)</f>
        <v>65569</v>
      </c>
      <c r="K535" s="512">
        <f>F535-$J$535</f>
        <v>0</v>
      </c>
    </row>
    <row r="536" spans="1:11">
      <c r="A536" s="333">
        <v>24</v>
      </c>
      <c r="C536" s="332" t="str">
        <f>'FR-16(7)(v)-1 Functional'!C536</f>
        <v xml:space="preserve">  TOTAL AMORTIZED ITC</v>
      </c>
      <c r="D536" s="344"/>
      <c r="E536" s="196"/>
      <c r="F536" s="348">
        <f>SUM(F535:F535)</f>
        <v>65569</v>
      </c>
      <c r="G536" s="549">
        <f>SUM($G$535:$G$535)</f>
        <v>35866</v>
      </c>
      <c r="H536" s="541">
        <f>SUM($H$535:$H$535)</f>
        <v>0</v>
      </c>
      <c r="I536" s="542">
        <f>SUM($I$535:$I$535)</f>
        <v>29703</v>
      </c>
      <c r="J536" s="348">
        <f>SUM($J$535:$J$535)</f>
        <v>65569</v>
      </c>
      <c r="K536" s="348">
        <f>SUM($K$535:$K$535)</f>
        <v>0</v>
      </c>
    </row>
    <row r="537" spans="1:11">
      <c r="A537" s="333">
        <v>25</v>
      </c>
      <c r="D537" s="344"/>
      <c r="E537" s="196"/>
      <c r="F537" s="510"/>
      <c r="G537" s="572"/>
      <c r="H537" s="573"/>
      <c r="I537" s="574"/>
      <c r="J537" s="510"/>
      <c r="K537" s="510"/>
    </row>
    <row r="538" spans="1:11" ht="15.75">
      <c r="A538" s="333">
        <v>26</v>
      </c>
      <c r="B538" s="332" t="s">
        <v>73</v>
      </c>
      <c r="D538" s="735"/>
      <c r="E538" s="1"/>
      <c r="F538" s="510"/>
      <c r="G538" s="572"/>
      <c r="H538" s="573"/>
      <c r="I538" s="574"/>
      <c r="J538" s="510"/>
      <c r="K538" s="510"/>
    </row>
    <row r="539" spans="1:11">
      <c r="A539" s="333">
        <v>27</v>
      </c>
      <c r="C539" s="332" t="str">
        <f>'FR-16(7)(v)-1 Functional'!C539</f>
        <v>PROV INVEST TAX CREDIT</v>
      </c>
      <c r="D539" s="344" t="s">
        <v>315</v>
      </c>
      <c r="F539" s="479">
        <v>0</v>
      </c>
      <c r="G539" s="548">
        <f>ROUND(F539*VLOOKUP(D539,Alloctable_Classified_Distribution,$G$10,FALSE),0)</f>
        <v>0</v>
      </c>
      <c r="H539" s="539">
        <f>ROUND(F539*VLOOKUP(D539,Alloctable_Classified_Distribution,$H$10,FALSE),0)</f>
        <v>0</v>
      </c>
      <c r="I539" s="540">
        <f>ROUND(F539*VLOOKUP(D539,Alloctable_Classified_Distribution,$I$10,FALSE),0)</f>
        <v>0</v>
      </c>
      <c r="J539" s="347">
        <f>SUM($G$539:$I$539)</f>
        <v>0</v>
      </c>
      <c r="K539" s="347">
        <f>F539-$J$539</f>
        <v>0</v>
      </c>
    </row>
    <row r="540" spans="1:11" ht="15.75">
      <c r="A540" s="333">
        <v>28</v>
      </c>
      <c r="C540" s="339" t="str">
        <f>'FR-16(7)(v)-1 Functional'!C540</f>
        <v xml:space="preserve">  TEST YEAR INV TAX CREDIT</v>
      </c>
      <c r="D540" s="735"/>
      <c r="E540" s="1"/>
      <c r="F540" s="348">
        <f>SUM(F539:F539)</f>
        <v>0</v>
      </c>
      <c r="G540" s="549">
        <f>SUM($G$539:$G$539)</f>
        <v>0</v>
      </c>
      <c r="H540" s="541">
        <f>SUM($H$539:$H$539)</f>
        <v>0</v>
      </c>
      <c r="I540" s="542">
        <f>SUM($I$539:$I$539)</f>
        <v>0</v>
      </c>
      <c r="J540" s="348">
        <f>SUM($J$539:$J$539)</f>
        <v>0</v>
      </c>
      <c r="K540" s="348">
        <f>SUM($K$539:$K$539)</f>
        <v>0</v>
      </c>
    </row>
    <row r="541" spans="1:11" ht="15.75">
      <c r="A541" s="333">
        <v>29</v>
      </c>
      <c r="B541" s="193"/>
      <c r="C541" s="193"/>
      <c r="D541" s="735"/>
      <c r="E541" s="1"/>
      <c r="F541" s="510"/>
      <c r="G541" s="572"/>
      <c r="H541" s="573"/>
      <c r="I541" s="574"/>
      <c r="J541" s="510"/>
      <c r="K541" s="510"/>
    </row>
    <row r="542" spans="1:11" ht="15.75">
      <c r="A542" s="333">
        <v>30</v>
      </c>
      <c r="B542" s="332" t="s">
        <v>40</v>
      </c>
      <c r="C542" s="193"/>
      <c r="D542" s="735"/>
      <c r="E542" s="1"/>
      <c r="F542" s="510"/>
      <c r="G542" s="572"/>
      <c r="H542" s="573"/>
      <c r="I542" s="574"/>
      <c r="J542" s="510"/>
      <c r="K542" s="510"/>
    </row>
    <row r="543" spans="1:11">
      <c r="A543" s="333">
        <v>31</v>
      </c>
      <c r="C543" s="332" t="str">
        <f>'FR-16(7)(v)-1 Functional'!C543</f>
        <v>TOTAL FED DEF IT (410 &amp; 411)</v>
      </c>
      <c r="D543" s="344"/>
      <c r="E543" s="196"/>
      <c r="F543" s="349">
        <f>F532</f>
        <v>-50705</v>
      </c>
      <c r="G543" s="548">
        <f>$G$532</f>
        <v>2163</v>
      </c>
      <c r="H543" s="539">
        <f>$H$532</f>
        <v>0</v>
      </c>
      <c r="I543" s="540">
        <f>$I$532</f>
        <v>-52868</v>
      </c>
      <c r="J543" s="347">
        <f>$J$532</f>
        <v>-50705</v>
      </c>
      <c r="K543" s="347">
        <f>$K$532</f>
        <v>0</v>
      </c>
    </row>
    <row r="544" spans="1:11">
      <c r="A544" s="333">
        <v>32</v>
      </c>
      <c r="C544" s="359" t="str">
        <f>'FR-16(7)(v)-1 Functional'!C544</f>
        <v>TOTAL AMORTIZED ITC</v>
      </c>
      <c r="D544" s="344"/>
      <c r="E544" s="196"/>
      <c r="F544" s="349">
        <f>-F536</f>
        <v>-65569</v>
      </c>
      <c r="G544" s="548">
        <f>-$G$536</f>
        <v>-35866</v>
      </c>
      <c r="H544" s="539">
        <f>-$H$536</f>
        <v>0</v>
      </c>
      <c r="I544" s="540">
        <f>-$I$536</f>
        <v>-29703</v>
      </c>
      <c r="J544" s="347">
        <f>-$J$536</f>
        <v>-65569</v>
      </c>
      <c r="K544" s="347">
        <f>-$K$536</f>
        <v>0</v>
      </c>
    </row>
    <row r="545" spans="1:11">
      <c r="A545" s="333">
        <v>33</v>
      </c>
      <c r="C545" s="332" t="str">
        <f>'FR-16(7)(v)-1 Functional'!C545</f>
        <v xml:space="preserve">  TOTAL FEDERAL TAX ADJUSTMENTS</v>
      </c>
      <c r="D545" s="344"/>
      <c r="E545" s="196"/>
      <c r="F545" s="348">
        <f>SUM(F543:F544)</f>
        <v>-116274</v>
      </c>
      <c r="G545" s="549">
        <f>SUM($G$543:$G$544)</f>
        <v>-33703</v>
      </c>
      <c r="H545" s="541">
        <f>SUM($H$543:$H$544)</f>
        <v>0</v>
      </c>
      <c r="I545" s="542">
        <f>SUM($I$543:$I$544)</f>
        <v>-82571</v>
      </c>
      <c r="J545" s="348">
        <f>SUM($J$543:$J$544)</f>
        <v>-116274</v>
      </c>
      <c r="K545" s="348">
        <f>SUM($K$543:$K$544)</f>
        <v>0</v>
      </c>
    </row>
    <row r="546" spans="1:11">
      <c r="A546" s="333">
        <v>34</v>
      </c>
      <c r="D546" s="344"/>
      <c r="E546" s="196"/>
      <c r="F546" s="353"/>
      <c r="G546" s="547"/>
      <c r="H546" s="537"/>
      <c r="I546" s="538"/>
    </row>
    <row r="547" spans="1:11">
      <c r="A547" s="333">
        <v>35</v>
      </c>
      <c r="B547" s="332" t="s">
        <v>74</v>
      </c>
      <c r="D547" s="344"/>
      <c r="E547" s="196"/>
      <c r="F547" s="353"/>
      <c r="G547" s="547"/>
      <c r="H547" s="537"/>
      <c r="I547" s="538"/>
    </row>
    <row r="548" spans="1:11">
      <c r="A548" s="333">
        <v>36</v>
      </c>
      <c r="C548" s="332" t="str">
        <f>'FR-16(7)(v)-1 Functional'!C548</f>
        <v>RETURN ON RATE BASE</v>
      </c>
      <c r="D548" s="344"/>
      <c r="E548" s="196"/>
      <c r="F548" s="349">
        <f t="shared" ref="F548:K548" si="136">F334</f>
        <v>22044288</v>
      </c>
      <c r="G548" s="548">
        <f t="shared" si="136"/>
        <v>12218452</v>
      </c>
      <c r="H548" s="539">
        <f t="shared" si="136"/>
        <v>0</v>
      </c>
      <c r="I548" s="540">
        <f t="shared" si="136"/>
        <v>9825836</v>
      </c>
      <c r="J548" s="347">
        <f t="shared" si="136"/>
        <v>22044288</v>
      </c>
      <c r="K548" s="347">
        <f t="shared" si="136"/>
        <v>0</v>
      </c>
    </row>
    <row r="549" spans="1:11">
      <c r="A549" s="333">
        <v>37</v>
      </c>
      <c r="C549" s="332" t="str">
        <f>'FR-16(7)(v)-1 Functional'!C549</f>
        <v>NET DEDUCTIONS AND ADDITIONS</v>
      </c>
      <c r="D549" s="344"/>
      <c r="E549" s="196"/>
      <c r="F549" s="349">
        <f>-F524</f>
        <v>-13018608</v>
      </c>
      <c r="G549" s="548">
        <f>-$G$524</f>
        <v>-7075398</v>
      </c>
      <c r="H549" s="539">
        <f>-$H$524</f>
        <v>0</v>
      </c>
      <c r="I549" s="540">
        <f>-$I$524</f>
        <v>-5943210</v>
      </c>
      <c r="J549" s="347">
        <f>-$J$524</f>
        <v>-13018608</v>
      </c>
      <c r="K549" s="347">
        <f>-$K$524</f>
        <v>0</v>
      </c>
    </row>
    <row r="550" spans="1:11">
      <c r="A550" s="333">
        <v>38</v>
      </c>
      <c r="C550" s="332" t="s">
        <v>1496</v>
      </c>
      <c r="D550" s="344"/>
      <c r="E550" s="196"/>
      <c r="F550" s="349">
        <f t="shared" ref="F550:K550" si="137">F591</f>
        <v>447641</v>
      </c>
      <c r="G550" s="548">
        <f t="shared" si="137"/>
        <v>244855</v>
      </c>
      <c r="H550" s="539">
        <f t="shared" si="137"/>
        <v>0</v>
      </c>
      <c r="I550" s="540">
        <f t="shared" si="137"/>
        <v>202786</v>
      </c>
      <c r="J550" s="347">
        <f t="shared" si="137"/>
        <v>447641</v>
      </c>
      <c r="K550" s="347">
        <f t="shared" si="137"/>
        <v>0</v>
      </c>
    </row>
    <row r="551" spans="1:11">
      <c r="A551" s="333">
        <v>39</v>
      </c>
      <c r="C551" s="359" t="str">
        <f>'FR-16(7)(v)-1 Functional'!C551</f>
        <v>TOTAL FEDERAL TAX ADJUSTMENTS</v>
      </c>
      <c r="D551" s="344"/>
      <c r="E551" s="196"/>
      <c r="F551" s="349">
        <f>F545</f>
        <v>-116274</v>
      </c>
      <c r="G551" s="548">
        <f>$G$545</f>
        <v>-33703</v>
      </c>
      <c r="H551" s="539">
        <f>$H$545</f>
        <v>0</v>
      </c>
      <c r="I551" s="540">
        <f>$I$545</f>
        <v>-82571</v>
      </c>
      <c r="J551" s="347">
        <f>$J$545</f>
        <v>-116274</v>
      </c>
      <c r="K551" s="347">
        <f>$K$545</f>
        <v>0</v>
      </c>
    </row>
    <row r="552" spans="1:11">
      <c r="A552" s="333">
        <v>40</v>
      </c>
      <c r="C552" s="332" t="str">
        <f>'FR-16(7)(v)-1 Functional'!C552</f>
        <v xml:space="preserve">  BASE FOR FIT COMPUATION</v>
      </c>
      <c r="D552" s="344"/>
      <c r="E552" s="196"/>
      <c r="F552" s="348">
        <f>SUM(F548:F551)</f>
        <v>9357047</v>
      </c>
      <c r="G552" s="549">
        <f>SUM($G$548:$G$551)</f>
        <v>5354206</v>
      </c>
      <c r="H552" s="541">
        <f>SUM($H$548:$H$551)</f>
        <v>0</v>
      </c>
      <c r="I552" s="542">
        <f>SUM($I$548:$I$551)</f>
        <v>4002841</v>
      </c>
      <c r="J552" s="348">
        <f>SUM($J$548:$J$551)</f>
        <v>9357047</v>
      </c>
      <c r="K552" s="348">
        <f>SUM($K$548:$K$551)</f>
        <v>0</v>
      </c>
    </row>
    <row r="553" spans="1:11">
      <c r="A553" s="333">
        <v>41</v>
      </c>
      <c r="D553" s="344"/>
      <c r="E553" s="196"/>
      <c r="F553" s="353"/>
      <c r="G553" s="547"/>
      <c r="H553" s="537"/>
      <c r="I553" s="538"/>
    </row>
    <row r="554" spans="1:11">
      <c r="A554" s="333">
        <v>42</v>
      </c>
      <c r="C554" s="332" t="str">
        <f>'FR-16(7)(v)-1 Functional'!C554</f>
        <v>FIT FACTOR K190/(1-K190)</v>
      </c>
      <c r="D554" s="344"/>
      <c r="E554" s="196"/>
      <c r="F554" s="356">
        <f>ROUND(F692/(1-F692),9)</f>
        <v>0.26582278500000001</v>
      </c>
      <c r="G554" s="566">
        <f>ROUND(G692/(1-G692),9)</f>
        <v>0.26582278500000001</v>
      </c>
      <c r="H554" s="567">
        <f>ROUND(H692/(1-H692),9)</f>
        <v>0.26582278500000001</v>
      </c>
      <c r="I554" s="568">
        <f>ROUND(I692/(1-I692),9)</f>
        <v>0.26582278500000001</v>
      </c>
      <c r="J554" s="350"/>
      <c r="K554" s="350">
        <f>ROUND(K692/(1-K692),9)</f>
        <v>0.26582278500000001</v>
      </c>
    </row>
    <row r="555" spans="1:11">
      <c r="A555" s="333">
        <v>43</v>
      </c>
      <c r="C555" s="332" t="str">
        <f>'FR-16(7)(v)-1 Functional'!C555</f>
        <v>PRELIM FED INCOME TAX</v>
      </c>
      <c r="D555" s="344"/>
      <c r="E555" s="196"/>
      <c r="F555" s="349">
        <f>ROUND(F554*F552,0)</f>
        <v>2487316</v>
      </c>
      <c r="G555" s="560">
        <f>ROUND($G$552*$G$554,0)</f>
        <v>1423270</v>
      </c>
      <c r="H555" s="561">
        <f>ROUND($H$552*$H$554,0)</f>
        <v>0</v>
      </c>
      <c r="I555" s="562">
        <f>ROUND($I$552*$I$554,0)</f>
        <v>1064046</v>
      </c>
      <c r="J555" s="347">
        <f>SUM($G$555:$I$555)</f>
        <v>2487316</v>
      </c>
      <c r="K555" s="347">
        <f>ROUND($K$552*$K$554,0)</f>
        <v>0</v>
      </c>
    </row>
    <row r="556" spans="1:11">
      <c r="A556" s="333">
        <v>44</v>
      </c>
      <c r="C556" s="359" t="str">
        <f>'FR-16(7)(v)-1 Functional'!C556</f>
        <v>TOTAL FEDERAL TAX ADJUSTMENTS</v>
      </c>
      <c r="D556" s="344"/>
      <c r="E556" s="196"/>
      <c r="F556" s="349">
        <f>F545</f>
        <v>-116274</v>
      </c>
      <c r="G556" s="548">
        <f>$G$545</f>
        <v>-33703</v>
      </c>
      <c r="H556" s="539">
        <f>$H$545</f>
        <v>0</v>
      </c>
      <c r="I556" s="540">
        <f>$I$545</f>
        <v>-82571</v>
      </c>
      <c r="J556" s="347">
        <f>$J$545</f>
        <v>-116274</v>
      </c>
      <c r="K556" s="347">
        <f>$K$545</f>
        <v>0</v>
      </c>
    </row>
    <row r="557" spans="1:11">
      <c r="A557" s="333">
        <v>45</v>
      </c>
      <c r="C557" s="353" t="str">
        <f>'FR-16(7)(v)-1 Functional'!C557</f>
        <v xml:space="preserve">  NET FED INCOME TAX ALLOWABLE</v>
      </c>
      <c r="D557" s="344"/>
      <c r="E557" s="196"/>
      <c r="F557" s="348">
        <f>SUM(F555:F556)</f>
        <v>2371042</v>
      </c>
      <c r="G557" s="549">
        <f>SUM($G$555:$G$556)</f>
        <v>1389567</v>
      </c>
      <c r="H557" s="541">
        <f>SUM($H$555:$H$556)</f>
        <v>0</v>
      </c>
      <c r="I557" s="542">
        <f>SUM($I$555:$I$556)</f>
        <v>981475</v>
      </c>
      <c r="J557" s="348">
        <f>SUM($J$555:$J$556)</f>
        <v>2371042</v>
      </c>
      <c r="K557" s="348">
        <f>SUM($K$555:$K$556)</f>
        <v>0</v>
      </c>
    </row>
    <row r="558" spans="1:11">
      <c r="A558" s="333">
        <v>46</v>
      </c>
      <c r="D558" s="344"/>
      <c r="E558" s="196"/>
      <c r="F558" s="353"/>
      <c r="G558" s="547"/>
      <c r="H558" s="537"/>
      <c r="I558" s="538"/>
    </row>
    <row r="559" spans="1:11">
      <c r="A559" s="333">
        <v>47</v>
      </c>
      <c r="B559" s="332" t="s">
        <v>68</v>
      </c>
      <c r="D559" s="344"/>
      <c r="E559" s="196"/>
      <c r="F559" s="353"/>
      <c r="G559" s="547"/>
      <c r="H559" s="537"/>
      <c r="I559" s="538"/>
    </row>
    <row r="560" spans="1:11">
      <c r="A560" s="333">
        <v>48</v>
      </c>
      <c r="B560" s="332" t="s">
        <v>75</v>
      </c>
      <c r="D560" s="344"/>
      <c r="E560" s="196"/>
      <c r="F560" s="353"/>
      <c r="G560" s="547"/>
      <c r="H560" s="537"/>
      <c r="I560" s="538"/>
    </row>
    <row r="561" spans="1:11">
      <c r="A561" s="333">
        <v>49</v>
      </c>
      <c r="C561" s="332" t="str">
        <f>'FR-16(7)(v)-1 Functional'!C561</f>
        <v>PRELIM FEDERAL INCOME TAX</v>
      </c>
      <c r="D561" s="344"/>
      <c r="E561" s="196"/>
      <c r="F561" s="349">
        <f>F555</f>
        <v>2487316</v>
      </c>
      <c r="G561" s="548">
        <f>$G$555</f>
        <v>1423270</v>
      </c>
      <c r="H561" s="539">
        <f>$H$555</f>
        <v>0</v>
      </c>
      <c r="I561" s="540">
        <f>$I$555</f>
        <v>1064046</v>
      </c>
      <c r="J561" s="347">
        <f>$J$555</f>
        <v>2487316</v>
      </c>
      <c r="K561" s="347">
        <f>$K$555</f>
        <v>0</v>
      </c>
    </row>
    <row r="562" spans="1:11">
      <c r="A562" s="333">
        <v>50</v>
      </c>
      <c r="C562" s="359" t="str">
        <f>'FR-16(7)(v)-1 Functional'!C562</f>
        <v>TEST YEAR INV TAX CREDIT</v>
      </c>
      <c r="D562" s="344"/>
      <c r="E562" s="196"/>
      <c r="F562" s="347">
        <f>-F540</f>
        <v>0</v>
      </c>
      <c r="G562" s="550">
        <f>-$G$540</f>
        <v>0</v>
      </c>
      <c r="H562" s="543">
        <f>-$H$540</f>
        <v>0</v>
      </c>
      <c r="I562" s="544">
        <f>-$I$540</f>
        <v>0</v>
      </c>
      <c r="J562" s="347">
        <f>-$J$540</f>
        <v>0</v>
      </c>
      <c r="K562" s="347">
        <f>-$K$540</f>
        <v>0</v>
      </c>
    </row>
    <row r="563" spans="1:11">
      <c r="A563" s="333">
        <v>51</v>
      </c>
      <c r="C563" s="332" t="str">
        <f>'FR-16(7)(v)-1 Functional'!C563</f>
        <v xml:space="preserve">  NET FED INCOME TAX PAYABLE</v>
      </c>
      <c r="D563" s="344"/>
      <c r="E563" s="196"/>
      <c r="F563" s="348">
        <f>SUM(F560:F562)</f>
        <v>2487316</v>
      </c>
      <c r="G563" s="549">
        <f>SUM($G$560:$G$562)</f>
        <v>1423270</v>
      </c>
      <c r="H563" s="541">
        <f>SUM($H$560:$H$562)</f>
        <v>0</v>
      </c>
      <c r="I563" s="542">
        <f>SUM($I$560:$I$562)</f>
        <v>1064046</v>
      </c>
      <c r="J563" s="348">
        <f>SUM($J$560:$J$562)</f>
        <v>2487316</v>
      </c>
      <c r="K563" s="348">
        <f>SUM($K$560:$K$562)</f>
        <v>0</v>
      </c>
    </row>
    <row r="564" spans="1:11">
      <c r="A564" s="333">
        <v>52</v>
      </c>
      <c r="D564" s="344"/>
      <c r="E564" s="196"/>
      <c r="G564" s="547"/>
      <c r="H564" s="537"/>
      <c r="I564" s="538"/>
    </row>
    <row r="565" spans="1:11">
      <c r="A565" s="333">
        <v>53</v>
      </c>
      <c r="B565" s="332" t="s">
        <v>76</v>
      </c>
      <c r="D565" s="344"/>
      <c r="E565" s="196"/>
      <c r="F565" s="332">
        <f>ROUND((F693*(1-F692))+((1-F693)*(1-F692)*F694)+F692,5)</f>
        <v>0.24925</v>
      </c>
      <c r="G565" s="569">
        <f>ROUND((G693*(1-G692))+((1-G693)*(1-G692)*G694)+G692,5)</f>
        <v>0.24925</v>
      </c>
      <c r="H565" s="570">
        <f>ROUND((H693*(1-H692))+((1-H693)*(1-H692)*H694)+H692,5)</f>
        <v>0.24925</v>
      </c>
      <c r="I565" s="571">
        <f>ROUND((I693*(1-I692))+((1-I693)*(1-I692)*I694)+I692,5)</f>
        <v>0.24925</v>
      </c>
      <c r="K565" s="332">
        <f>ROUND((K693*(1-K692))+((1-K693)*(1-K692)*K694)+K692,5)</f>
        <v>0.24925</v>
      </c>
    </row>
    <row r="566" spans="1:11">
      <c r="B566" s="343"/>
      <c r="C566" s="196"/>
      <c r="D566" s="344"/>
      <c r="E566" s="196"/>
      <c r="F566" s="196"/>
      <c r="G566" s="196"/>
      <c r="H566" s="196"/>
      <c r="I566" s="196"/>
      <c r="J566" s="196"/>
      <c r="K566" s="196"/>
    </row>
    <row r="567" spans="1:11">
      <c r="A567" s="343" t="str">
        <f>co_name</f>
        <v>DUKE ENERGY KENTUCKY, INC.</v>
      </c>
      <c r="C567" s="196"/>
      <c r="D567" s="344"/>
      <c r="E567" s="196"/>
      <c r="F567" s="196"/>
      <c r="G567" s="196"/>
      <c r="H567" s="196"/>
      <c r="I567" s="196"/>
      <c r="J567" s="196" t="str">
        <f>$J$1</f>
        <v>FR-16(7)(v)-4</v>
      </c>
      <c r="K567" s="196"/>
    </row>
    <row r="568" spans="1:11">
      <c r="A568" s="343" t="str">
        <f>$A$2</f>
        <v>DISTRIBUTION CLASSIFIED - GAS COST OF SERVICE</v>
      </c>
      <c r="C568" s="196"/>
      <c r="D568" s="344"/>
      <c r="E568" s="196"/>
      <c r="F568" s="196"/>
      <c r="G568" s="196"/>
      <c r="H568" s="196"/>
      <c r="I568" s="196"/>
      <c r="J568" s="196" t="str">
        <f>$J$2</f>
        <v>WITNESS RESPONSIBLE:</v>
      </c>
      <c r="K568" s="196"/>
    </row>
    <row r="569" spans="1:11">
      <c r="A569" s="343" t="str">
        <f>case_name</f>
        <v>CASE NO: 2018-00261</v>
      </c>
      <c r="C569" s="196"/>
      <c r="D569" s="344"/>
      <c r="E569" s="196"/>
      <c r="F569" s="196"/>
      <c r="G569" s="196"/>
      <c r="H569" s="196"/>
      <c r="I569" s="196"/>
      <c r="J569" s="196" t="str">
        <f>Witness</f>
        <v>JAMES E. ZIOLKOWSKI</v>
      </c>
      <c r="K569" s="196"/>
    </row>
    <row r="570" spans="1:11">
      <c r="A570" s="343" t="str">
        <f>data_filing</f>
        <v>DATA: 12 MONTH FORECASTED PERIOD</v>
      </c>
      <c r="C570" s="196"/>
      <c r="D570" s="344"/>
      <c r="E570" s="196"/>
      <c r="F570" s="196"/>
      <c r="G570" s="196"/>
      <c r="H570" s="196"/>
      <c r="I570" s="196"/>
      <c r="J570" s="196" t="str">
        <f>"PAGE "&amp;Pages-5&amp;" OF "&amp;Pages</f>
        <v>PAGE 13 OF 18</v>
      </c>
      <c r="K570" s="196"/>
    </row>
    <row r="571" spans="1:11">
      <c r="A571" s="343" t="str">
        <f>type</f>
        <v xml:space="preserve">TYPE OF FILING: "X" ORIGINAL   UPDATED    REVISED  </v>
      </c>
      <c r="C571" s="196"/>
      <c r="D571" s="344"/>
      <c r="E571" s="196"/>
      <c r="F571" s="196"/>
      <c r="G571" s="196"/>
      <c r="H571" s="196"/>
      <c r="I571" s="196"/>
      <c r="J571" s="196"/>
      <c r="K571" s="196"/>
    </row>
    <row r="574" spans="1:11">
      <c r="A574" s="344" t="s">
        <v>914</v>
      </c>
      <c r="B574" s="1392"/>
      <c r="C574" s="1091"/>
      <c r="D574" s="1091"/>
      <c r="E574" s="342"/>
      <c r="F574" s="354" t="s">
        <v>229</v>
      </c>
      <c r="G574" s="545" t="s">
        <v>1005</v>
      </c>
      <c r="H574" s="533"/>
      <c r="I574" s="534"/>
      <c r="J574" s="344" t="s">
        <v>229</v>
      </c>
      <c r="K574" s="344" t="s">
        <v>342</v>
      </c>
    </row>
    <row r="575" spans="1:11">
      <c r="A575" s="346" t="s">
        <v>915</v>
      </c>
      <c r="B575" s="1394" t="s">
        <v>1453</v>
      </c>
      <c r="C575" s="1395"/>
      <c r="D575" s="1396" t="s">
        <v>1454</v>
      </c>
      <c r="E575" s="1397"/>
      <c r="F575" s="355" t="str">
        <f>$F$9</f>
        <v>DISTRIBUTION</v>
      </c>
      <c r="G575" s="546" t="s">
        <v>847</v>
      </c>
      <c r="H575" s="535" t="s">
        <v>848</v>
      </c>
      <c r="I575" s="536" t="s">
        <v>849</v>
      </c>
      <c r="J575" s="346" t="s">
        <v>341</v>
      </c>
      <c r="K575" s="346" t="s">
        <v>340</v>
      </c>
    </row>
    <row r="576" spans="1:11" ht="15">
      <c r="A576" s="1398"/>
      <c r="B576" s="1399"/>
      <c r="C576" s="1400" t="s">
        <v>1455</v>
      </c>
      <c r="D576" s="1401"/>
      <c r="E576" s="342"/>
      <c r="F576" s="353"/>
      <c r="G576" s="1447">
        <f>$G$10</f>
        <v>3</v>
      </c>
      <c r="H576" s="1448">
        <f>$H$10</f>
        <v>4</v>
      </c>
      <c r="I576" s="1449">
        <f>$I$10</f>
        <v>5</v>
      </c>
    </row>
    <row r="577" spans="1:11">
      <c r="A577" s="968">
        <v>1</v>
      </c>
      <c r="B577" s="1405" t="s">
        <v>1456</v>
      </c>
      <c r="C577" s="1392"/>
      <c r="D577" s="1392"/>
      <c r="E577" s="342"/>
      <c r="F577" s="342"/>
      <c r="G577" s="1450"/>
      <c r="H577" s="1451"/>
      <c r="I577" s="1452"/>
      <c r="J577" s="196"/>
      <c r="K577" s="196"/>
    </row>
    <row r="578" spans="1:11">
      <c r="A578" s="968">
        <v>2</v>
      </c>
      <c r="B578" s="1409" t="s">
        <v>1457</v>
      </c>
      <c r="C578" s="1392"/>
      <c r="D578" s="1410" t="s">
        <v>315</v>
      </c>
      <c r="E578" s="342"/>
      <c r="F578" s="479">
        <f>'FR-16(7)(v)-1 Functional'!I578</f>
        <v>5639276</v>
      </c>
      <c r="G578" s="548">
        <f>ROUND(F578*VLOOKUP(D578,Alloctable_Classified_Distribution,$G$10,FALSE),0)</f>
        <v>3084628</v>
      </c>
      <c r="H578" s="539">
        <f>ROUND(F578*VLOOKUP(D578,Alloctable_Classified_Distribution,$H$10,FALSE),0)</f>
        <v>0</v>
      </c>
      <c r="I578" s="540">
        <f>ROUND(F578*VLOOKUP(D578,Alloctable_Classified_Distribution,$I$10,FALSE),0)</f>
        <v>2554648</v>
      </c>
      <c r="J578" s="347">
        <f>SUM(G578:I578)</f>
        <v>5639276</v>
      </c>
      <c r="K578" s="347">
        <f>F578-J578</f>
        <v>0</v>
      </c>
    </row>
    <row r="579" spans="1:11">
      <c r="A579" s="968">
        <v>3</v>
      </c>
      <c r="B579" s="1409" t="s">
        <v>1171</v>
      </c>
      <c r="C579" s="1411"/>
      <c r="D579" s="1410" t="s">
        <v>315</v>
      </c>
      <c r="E579" s="342"/>
      <c r="F579" s="1412"/>
      <c r="G579" s="550">
        <f>ROUND(F579*VLOOKUP(D579,Alloctable_Classified_Distribution,$G$10,FALSE),0)</f>
        <v>0</v>
      </c>
      <c r="H579" s="543">
        <f>ROUND(F579*VLOOKUP(D579,Alloctable_Classified_Distribution,$H$10,FALSE),0)</f>
        <v>0</v>
      </c>
      <c r="I579" s="544">
        <f>ROUND(F579*VLOOKUP(D579,Alloctable_Classified_Distribution,$I$10,FALSE),0)</f>
        <v>0</v>
      </c>
      <c r="J579" s="502">
        <f>SUM(G579:I579)</f>
        <v>0</v>
      </c>
      <c r="K579" s="502">
        <f>F579-J579</f>
        <v>0</v>
      </c>
    </row>
    <row r="580" spans="1:11">
      <c r="A580" s="968">
        <v>4</v>
      </c>
      <c r="B580" s="1413" t="s">
        <v>1458</v>
      </c>
      <c r="C580" s="1392"/>
      <c r="D580" s="1414"/>
      <c r="E580" s="342"/>
      <c r="F580" s="1291">
        <f t="shared" ref="F580:K580" si="138">SUM(F578:F579)</f>
        <v>5639276</v>
      </c>
      <c r="G580" s="1453">
        <f t="shared" si="138"/>
        <v>3084628</v>
      </c>
      <c r="H580" s="1454">
        <f t="shared" si="138"/>
        <v>0</v>
      </c>
      <c r="I580" s="1455">
        <f t="shared" si="138"/>
        <v>2554648</v>
      </c>
      <c r="J580" s="335">
        <f t="shared" si="138"/>
        <v>5639276</v>
      </c>
      <c r="K580" s="335">
        <f t="shared" si="138"/>
        <v>0</v>
      </c>
    </row>
    <row r="581" spans="1:11" ht="15">
      <c r="A581" s="968">
        <v>5</v>
      </c>
      <c r="B581" s="1398"/>
      <c r="C581" s="1401"/>
      <c r="D581" s="1415"/>
      <c r="E581" s="342"/>
      <c r="F581" s="353"/>
      <c r="G581" s="547"/>
      <c r="H581" s="537"/>
      <c r="I581" s="538"/>
    </row>
    <row r="582" spans="1:11">
      <c r="A582" s="968">
        <v>6</v>
      </c>
      <c r="B582" s="1416" t="s">
        <v>1459</v>
      </c>
      <c r="C582" s="1392"/>
      <c r="D582" s="1414"/>
      <c r="E582" s="342"/>
      <c r="F582" s="353"/>
      <c r="G582" s="547"/>
      <c r="H582" s="537"/>
      <c r="I582" s="538"/>
    </row>
    <row r="583" spans="1:11">
      <c r="A583" s="968">
        <v>7</v>
      </c>
      <c r="B583" s="1417" t="s">
        <v>1460</v>
      </c>
      <c r="C583" s="1392"/>
      <c r="D583" s="1414"/>
      <c r="E583" s="342"/>
      <c r="F583" s="353"/>
      <c r="G583" s="547"/>
      <c r="H583" s="537"/>
      <c r="I583" s="538"/>
    </row>
    <row r="584" spans="1:11">
      <c r="A584" s="968">
        <v>8</v>
      </c>
      <c r="B584" s="1418" t="s">
        <v>1461</v>
      </c>
      <c r="C584" s="1411"/>
      <c r="D584" s="1410" t="s">
        <v>315</v>
      </c>
      <c r="E584" s="342"/>
      <c r="F584" s="1471">
        <f>'FR-16(7)(v)-1 Functional'!I584</f>
        <v>447641</v>
      </c>
      <c r="G584" s="550">
        <f>F584-SUM(H584:I584)</f>
        <v>244855</v>
      </c>
      <c r="H584" s="543">
        <f>ROUND(F584*VLOOKUP(D584,Alloctable_Classified_Distribution,$H$10,FALSE),0)</f>
        <v>0</v>
      </c>
      <c r="I584" s="544">
        <f>ROUND(F584*VLOOKUP(D584,Alloctable_Classified_Distribution,$I$10,FALSE),0)</f>
        <v>202786</v>
      </c>
      <c r="J584" s="502">
        <f>SUM(G584:I584)</f>
        <v>447641</v>
      </c>
      <c r="K584" s="502">
        <f>F584-J584</f>
        <v>0</v>
      </c>
    </row>
    <row r="585" spans="1:11">
      <c r="A585" s="968">
        <v>9</v>
      </c>
      <c r="B585" s="1413" t="s">
        <v>1463</v>
      </c>
      <c r="C585" s="1392"/>
      <c r="D585" s="1414"/>
      <c r="E585" s="342"/>
      <c r="F585" s="1291">
        <f t="shared" ref="F585:K585" si="139">SUM(F584)</f>
        <v>447641</v>
      </c>
      <c r="G585" s="1453">
        <f t="shared" si="139"/>
        <v>244855</v>
      </c>
      <c r="H585" s="1454">
        <f t="shared" si="139"/>
        <v>0</v>
      </c>
      <c r="I585" s="1455">
        <f t="shared" si="139"/>
        <v>202786</v>
      </c>
      <c r="J585" s="335">
        <f t="shared" si="139"/>
        <v>447641</v>
      </c>
      <c r="K585" s="335">
        <f t="shared" si="139"/>
        <v>0</v>
      </c>
    </row>
    <row r="586" spans="1:11">
      <c r="A586" s="968">
        <v>10</v>
      </c>
      <c r="B586" s="1090"/>
      <c r="C586" s="1392"/>
      <c r="D586" s="1414"/>
      <c r="E586" s="342"/>
      <c r="F586" s="353"/>
      <c r="G586" s="547"/>
      <c r="H586" s="537"/>
      <c r="I586" s="538"/>
    </row>
    <row r="587" spans="1:11">
      <c r="A587" s="968">
        <v>11</v>
      </c>
      <c r="B587" s="1419" t="s">
        <v>1464</v>
      </c>
      <c r="C587" s="1420"/>
      <c r="D587" s="1421"/>
      <c r="E587" s="342"/>
      <c r="F587" s="353"/>
      <c r="G587" s="547"/>
      <c r="H587" s="537"/>
      <c r="I587" s="538"/>
    </row>
    <row r="588" spans="1:11">
      <c r="A588" s="968">
        <v>12</v>
      </c>
      <c r="B588" s="1409" t="s">
        <v>1465</v>
      </c>
      <c r="C588" s="1411"/>
      <c r="D588" s="1410" t="s">
        <v>315</v>
      </c>
      <c r="E588" s="342"/>
      <c r="F588" s="1471">
        <f>'FR-16(7)(v)-1 Functional'!F588</f>
        <v>0</v>
      </c>
      <c r="G588" s="550">
        <f>ROUND(F588*VLOOKUP(D588,Alloctable_Classified_Distribution,$G$10,FALSE),0)</f>
        <v>0</v>
      </c>
      <c r="H588" s="543">
        <f>ROUND(F588*VLOOKUP(D588,Alloctable_Classified_Distribution,$H$10,FALSE),0)</f>
        <v>0</v>
      </c>
      <c r="I588" s="544">
        <f>ROUND(F588*VLOOKUP(D588,Alloctable_Classified_Distribution,$I$10,FALSE),0)</f>
        <v>0</v>
      </c>
      <c r="J588" s="502">
        <f>SUM(G588:I588)</f>
        <v>0</v>
      </c>
      <c r="K588" s="502">
        <f>F588-J588</f>
        <v>0</v>
      </c>
    </row>
    <row r="589" spans="1:11">
      <c r="A589" s="968">
        <v>13</v>
      </c>
      <c r="B589" s="1413" t="s">
        <v>1466</v>
      </c>
      <c r="C589" s="1392"/>
      <c r="D589" s="1414"/>
      <c r="E589" s="342"/>
      <c r="F589" s="1291">
        <f t="shared" ref="F589:K589" si="140">SUM(F588)</f>
        <v>0</v>
      </c>
      <c r="G589" s="1453">
        <f t="shared" si="140"/>
        <v>0</v>
      </c>
      <c r="H589" s="1454">
        <f t="shared" si="140"/>
        <v>0</v>
      </c>
      <c r="I589" s="1455">
        <f t="shared" si="140"/>
        <v>0</v>
      </c>
      <c r="J589" s="335">
        <f t="shared" si="140"/>
        <v>0</v>
      </c>
      <c r="K589" s="335">
        <f t="shared" si="140"/>
        <v>0</v>
      </c>
    </row>
    <row r="590" spans="1:11">
      <c r="A590" s="968">
        <v>14</v>
      </c>
      <c r="B590" s="1392"/>
      <c r="C590" s="1392"/>
      <c r="D590" s="1414"/>
      <c r="E590" s="342"/>
      <c r="F590" s="353"/>
      <c r="G590" s="547"/>
      <c r="H590" s="537"/>
      <c r="I590" s="538"/>
    </row>
    <row r="591" spans="1:11">
      <c r="A591" s="968">
        <v>15</v>
      </c>
      <c r="B591" s="1392" t="s">
        <v>1467</v>
      </c>
      <c r="C591" s="1392"/>
      <c r="D591" s="1414"/>
      <c r="E591" s="342"/>
      <c r="F591" s="1291">
        <f>F589+F585</f>
        <v>447641</v>
      </c>
      <c r="G591" s="1453">
        <f t="shared" ref="G591:K591" si="141">G589+G585</f>
        <v>244855</v>
      </c>
      <c r="H591" s="1454">
        <f t="shared" si="141"/>
        <v>0</v>
      </c>
      <c r="I591" s="1455">
        <f t="shared" si="141"/>
        <v>202786</v>
      </c>
      <c r="J591" s="335">
        <f t="shared" si="141"/>
        <v>447641</v>
      </c>
      <c r="K591" s="335">
        <f t="shared" si="141"/>
        <v>0</v>
      </c>
    </row>
    <row r="592" spans="1:11">
      <c r="A592" s="968">
        <v>16</v>
      </c>
      <c r="B592" s="1392"/>
      <c r="C592" s="1392"/>
      <c r="D592" s="1414"/>
      <c r="E592" s="342"/>
      <c r="F592" s="353"/>
      <c r="G592" s="547"/>
      <c r="H592" s="537"/>
      <c r="I592" s="538"/>
    </row>
    <row r="593" spans="1:11">
      <c r="A593" s="968">
        <v>17</v>
      </c>
      <c r="B593" s="1422" t="s">
        <v>68</v>
      </c>
      <c r="C593" s="1423"/>
      <c r="D593" s="968"/>
      <c r="E593" s="342"/>
      <c r="F593" s="353"/>
      <c r="G593" s="547"/>
      <c r="H593" s="537"/>
      <c r="I593" s="538"/>
    </row>
    <row r="594" spans="1:11">
      <c r="A594" s="968">
        <v>18</v>
      </c>
      <c r="B594" s="1417" t="s">
        <v>1468</v>
      </c>
      <c r="C594" s="1392"/>
      <c r="D594" s="1414"/>
      <c r="E594" s="342"/>
      <c r="F594" s="353"/>
      <c r="G594" s="547"/>
      <c r="H594" s="537"/>
      <c r="I594" s="538"/>
    </row>
    <row r="595" spans="1:11">
      <c r="A595" s="968">
        <v>19</v>
      </c>
      <c r="B595" s="1392" t="s">
        <v>43</v>
      </c>
      <c r="C595" s="1392"/>
      <c r="D595" s="1414"/>
      <c r="E595" s="342"/>
      <c r="F595" s="1291">
        <f>F334</f>
        <v>22044288</v>
      </c>
      <c r="G595" s="1453">
        <f>G334</f>
        <v>12218452</v>
      </c>
      <c r="H595" s="1454">
        <f>H334</f>
        <v>0</v>
      </c>
      <c r="I595" s="1455">
        <f>I334</f>
        <v>9825836</v>
      </c>
      <c r="J595" s="1291">
        <f>J334</f>
        <v>22044288</v>
      </c>
      <c r="K595" s="1291">
        <f t="shared" ref="K595" si="142">K316</f>
        <v>0</v>
      </c>
    </row>
    <row r="596" spans="1:11">
      <c r="A596" s="968">
        <v>20</v>
      </c>
      <c r="B596" s="1392" t="s">
        <v>199</v>
      </c>
      <c r="C596" s="1392"/>
      <c r="D596" s="1414"/>
      <c r="E596" s="342"/>
      <c r="F596" s="1291">
        <f t="shared" ref="F596:K596" si="143">F557</f>
        <v>2371042</v>
      </c>
      <c r="G596" s="1453">
        <f t="shared" si="143"/>
        <v>1389567</v>
      </c>
      <c r="H596" s="1454">
        <f t="shared" si="143"/>
        <v>0</v>
      </c>
      <c r="I596" s="1455">
        <f t="shared" si="143"/>
        <v>981475</v>
      </c>
      <c r="J596" s="335">
        <f t="shared" si="143"/>
        <v>2371042</v>
      </c>
      <c r="K596" s="335">
        <f t="shared" si="143"/>
        <v>0</v>
      </c>
    </row>
    <row r="597" spans="1:11">
      <c r="A597" s="968">
        <v>21</v>
      </c>
      <c r="B597" s="1392" t="s">
        <v>1469</v>
      </c>
      <c r="C597" s="1392"/>
      <c r="D597" s="1414"/>
      <c r="E597" s="342"/>
      <c r="F597" s="1291">
        <f>-F524</f>
        <v>-13018608</v>
      </c>
      <c r="G597" s="1453">
        <f t="shared" ref="G597:K597" si="144">-G524</f>
        <v>-7075398</v>
      </c>
      <c r="H597" s="1454">
        <f t="shared" si="144"/>
        <v>0</v>
      </c>
      <c r="I597" s="1455">
        <f t="shared" si="144"/>
        <v>-5943210</v>
      </c>
      <c r="J597" s="335">
        <f t="shared" si="144"/>
        <v>-13018608</v>
      </c>
      <c r="K597" s="335">
        <f t="shared" si="144"/>
        <v>0</v>
      </c>
    </row>
    <row r="598" spans="1:11">
      <c r="A598" s="968">
        <v>22</v>
      </c>
      <c r="B598" s="1392" t="s">
        <v>1470</v>
      </c>
      <c r="C598" s="1392"/>
      <c r="D598" s="1414"/>
      <c r="E598" s="342"/>
      <c r="F598" s="1291">
        <f t="shared" ref="F598:K598" si="145">-F580</f>
        <v>-5639276</v>
      </c>
      <c r="G598" s="1453">
        <f t="shared" si="145"/>
        <v>-3084628</v>
      </c>
      <c r="H598" s="1454">
        <f t="shared" si="145"/>
        <v>0</v>
      </c>
      <c r="I598" s="1455">
        <f t="shared" si="145"/>
        <v>-2554648</v>
      </c>
      <c r="J598" s="335">
        <f t="shared" si="145"/>
        <v>-5639276</v>
      </c>
      <c r="K598" s="335">
        <f t="shared" si="145"/>
        <v>0</v>
      </c>
    </row>
    <row r="599" spans="1:11">
      <c r="A599" s="968">
        <v>23</v>
      </c>
      <c r="B599" s="1411" t="s">
        <v>1471</v>
      </c>
      <c r="C599" s="1411"/>
      <c r="D599" s="1414"/>
      <c r="E599" s="342"/>
      <c r="F599" s="1424">
        <f t="shared" ref="F599:K599" si="146">F591</f>
        <v>447641</v>
      </c>
      <c r="G599" s="1456">
        <f t="shared" si="146"/>
        <v>244855</v>
      </c>
      <c r="H599" s="1457">
        <f t="shared" si="146"/>
        <v>0</v>
      </c>
      <c r="I599" s="1458">
        <f t="shared" si="146"/>
        <v>202786</v>
      </c>
      <c r="J599" s="1428">
        <f t="shared" si="146"/>
        <v>447641</v>
      </c>
      <c r="K599" s="1428">
        <f t="shared" si="146"/>
        <v>0</v>
      </c>
    </row>
    <row r="600" spans="1:11">
      <c r="A600" s="968">
        <v>24</v>
      </c>
      <c r="B600" s="1090" t="s">
        <v>1472</v>
      </c>
      <c r="C600" s="1392"/>
      <c r="D600" s="1414"/>
      <c r="E600" s="342"/>
      <c r="F600" s="1291">
        <f t="shared" ref="F600:K600" si="147">SUM(F595:F599)</f>
        <v>6205087</v>
      </c>
      <c r="G600" s="1453">
        <f t="shared" si="147"/>
        <v>3692848</v>
      </c>
      <c r="H600" s="1454">
        <f t="shared" si="147"/>
        <v>0</v>
      </c>
      <c r="I600" s="1455">
        <f t="shared" si="147"/>
        <v>2512239</v>
      </c>
      <c r="J600" s="335">
        <f t="shared" si="147"/>
        <v>6205087</v>
      </c>
      <c r="K600" s="335">
        <f t="shared" si="147"/>
        <v>0</v>
      </c>
    </row>
    <row r="601" spans="1:11">
      <c r="A601" s="968">
        <v>25</v>
      </c>
      <c r="B601" s="1392"/>
      <c r="C601" s="1392"/>
      <c r="D601" s="1414"/>
      <c r="E601" s="342"/>
      <c r="F601" s="353"/>
      <c r="G601" s="547"/>
      <c r="H601" s="537"/>
      <c r="I601" s="538"/>
    </row>
    <row r="602" spans="1:11">
      <c r="A602" s="968">
        <v>26</v>
      </c>
      <c r="B602" s="1392" t="s">
        <v>1473</v>
      </c>
      <c r="C602" s="1392"/>
      <c r="D602" s="1414"/>
      <c r="E602" s="342"/>
      <c r="F602" s="1429">
        <f>ROUND(SIT/(1-SIT),8)</f>
        <v>5.2282660000000002E-2</v>
      </c>
      <c r="G602" s="1459">
        <f t="shared" ref="G602:K602" si="148">ROUND(SIT/(1-SIT),8)</f>
        <v>5.2282660000000002E-2</v>
      </c>
      <c r="H602" s="1460">
        <f t="shared" si="148"/>
        <v>5.2282660000000002E-2</v>
      </c>
      <c r="I602" s="1461">
        <f t="shared" si="148"/>
        <v>5.2282660000000002E-2</v>
      </c>
      <c r="J602" s="1429">
        <f t="shared" si="148"/>
        <v>5.2282660000000002E-2</v>
      </c>
      <c r="K602" s="1429">
        <f t="shared" si="148"/>
        <v>5.2282660000000002E-2</v>
      </c>
    </row>
    <row r="603" spans="1:11">
      <c r="A603" s="968">
        <v>27</v>
      </c>
      <c r="B603" s="1392" t="s">
        <v>1474</v>
      </c>
      <c r="C603" s="1392"/>
      <c r="D603" s="1433" t="s">
        <v>1475</v>
      </c>
      <c r="E603" s="342"/>
      <c r="F603" s="1434">
        <f>ROUND(F600*F602,0)</f>
        <v>324418</v>
      </c>
      <c r="G603" s="1454">
        <f>ROUND(G600*G602,0)</f>
        <v>193072</v>
      </c>
      <c r="H603" s="1454">
        <f>ROUND(H600*H602,0)</f>
        <v>0</v>
      </c>
      <c r="I603" s="1455">
        <f>ROUND(I600*I602,0)</f>
        <v>131347</v>
      </c>
      <c r="J603" s="347">
        <f>SUM(G603:I603)</f>
        <v>324419</v>
      </c>
      <c r="K603" s="347">
        <f>F603-J603</f>
        <v>-1</v>
      </c>
    </row>
    <row r="604" spans="1:11">
      <c r="A604" s="968">
        <v>28</v>
      </c>
      <c r="B604" s="1411" t="s">
        <v>1476</v>
      </c>
      <c r="C604" s="1411"/>
      <c r="D604" s="1414"/>
      <c r="E604" s="1435"/>
      <c r="F604" s="1434">
        <f>F591</f>
        <v>447641</v>
      </c>
      <c r="G604" s="1462">
        <f>G591</f>
        <v>244855</v>
      </c>
      <c r="H604" s="1463">
        <f>H591</f>
        <v>0</v>
      </c>
      <c r="I604" s="1464">
        <f>I591</f>
        <v>202786</v>
      </c>
      <c r="J604" s="347">
        <f>SUM(G604:I604)</f>
        <v>447641</v>
      </c>
      <c r="K604" s="347">
        <f>F604-J604</f>
        <v>0</v>
      </c>
    </row>
    <row r="605" spans="1:11">
      <c r="A605" s="968">
        <v>29</v>
      </c>
      <c r="B605" s="1090" t="s">
        <v>1477</v>
      </c>
      <c r="C605" s="1392"/>
      <c r="D605" s="1414"/>
      <c r="E605" s="342"/>
      <c r="F605" s="1439">
        <f t="shared" ref="F605:K605" si="149">F604+F603</f>
        <v>772059</v>
      </c>
      <c r="G605" s="1465">
        <f t="shared" si="149"/>
        <v>437927</v>
      </c>
      <c r="H605" s="1466">
        <f t="shared" si="149"/>
        <v>0</v>
      </c>
      <c r="I605" s="1467">
        <f t="shared" si="149"/>
        <v>334133</v>
      </c>
      <c r="J605" s="1439">
        <f t="shared" si="149"/>
        <v>772060</v>
      </c>
      <c r="K605" s="1439">
        <f t="shared" si="149"/>
        <v>-1</v>
      </c>
    </row>
    <row r="606" spans="1:11">
      <c r="A606" s="968">
        <v>30</v>
      </c>
      <c r="B606" s="1392"/>
      <c r="C606" s="1392"/>
      <c r="D606" s="1414"/>
      <c r="E606" s="342"/>
      <c r="F606" s="353"/>
      <c r="G606" s="547"/>
      <c r="H606" s="537"/>
      <c r="I606" s="538"/>
    </row>
    <row r="607" spans="1:11">
      <c r="A607" s="968">
        <v>31</v>
      </c>
      <c r="B607" s="1392" t="s">
        <v>1478</v>
      </c>
      <c r="C607" s="1392"/>
      <c r="D607" s="1414"/>
      <c r="E607" s="342"/>
      <c r="F607" s="353"/>
      <c r="G607" s="547"/>
      <c r="H607" s="537"/>
      <c r="I607" s="538"/>
    </row>
    <row r="608" spans="1:11">
      <c r="A608" s="968">
        <v>32</v>
      </c>
      <c r="B608" s="1392" t="s">
        <v>1474</v>
      </c>
      <c r="C608" s="1392"/>
      <c r="D608" s="1414"/>
      <c r="E608" s="342"/>
      <c r="F608" s="1434">
        <f t="shared" ref="F608:K608" si="150">F603</f>
        <v>324418</v>
      </c>
      <c r="G608" s="1462">
        <f t="shared" si="150"/>
        <v>193072</v>
      </c>
      <c r="H608" s="1463">
        <f t="shared" si="150"/>
        <v>0</v>
      </c>
      <c r="I608" s="1464">
        <f t="shared" si="150"/>
        <v>131347</v>
      </c>
      <c r="J608" s="1434">
        <f t="shared" si="150"/>
        <v>324419</v>
      </c>
      <c r="K608" s="1434">
        <f t="shared" si="150"/>
        <v>-1</v>
      </c>
    </row>
    <row r="609" spans="1:11">
      <c r="A609" s="968">
        <v>33</v>
      </c>
      <c r="B609" s="1411" t="s">
        <v>1464</v>
      </c>
      <c r="C609" s="1411"/>
      <c r="D609" s="1414"/>
      <c r="E609" s="342"/>
      <c r="F609" s="1434">
        <f t="shared" ref="F609:K609" si="151">F589</f>
        <v>0</v>
      </c>
      <c r="G609" s="1462">
        <f t="shared" si="151"/>
        <v>0</v>
      </c>
      <c r="H609" s="1463">
        <f t="shared" si="151"/>
        <v>0</v>
      </c>
      <c r="I609" s="1464">
        <f t="shared" si="151"/>
        <v>0</v>
      </c>
      <c r="J609" s="1434">
        <f t="shared" si="151"/>
        <v>0</v>
      </c>
      <c r="K609" s="1434">
        <f t="shared" si="151"/>
        <v>0</v>
      </c>
    </row>
    <row r="610" spans="1:11">
      <c r="A610" s="968">
        <v>34</v>
      </c>
      <c r="B610" s="1090" t="s">
        <v>1479</v>
      </c>
      <c r="C610" s="1392"/>
      <c r="D610" s="1414"/>
      <c r="E610" s="342"/>
      <c r="F610" s="1439">
        <f t="shared" ref="F610:K610" si="152">F608+F609</f>
        <v>324418</v>
      </c>
      <c r="G610" s="1465">
        <f t="shared" si="152"/>
        <v>193072</v>
      </c>
      <c r="H610" s="1466">
        <f t="shared" si="152"/>
        <v>0</v>
      </c>
      <c r="I610" s="1467">
        <f t="shared" si="152"/>
        <v>131347</v>
      </c>
      <c r="J610" s="1439">
        <f t="shared" si="152"/>
        <v>324419</v>
      </c>
      <c r="K610" s="1439">
        <f t="shared" si="152"/>
        <v>-1</v>
      </c>
    </row>
    <row r="611" spans="1:11">
      <c r="A611" s="968">
        <v>35</v>
      </c>
      <c r="B611" s="1392"/>
      <c r="C611" s="1392"/>
      <c r="D611" s="1392"/>
      <c r="E611" s="342"/>
      <c r="F611" s="1434"/>
      <c r="G611" s="1462"/>
      <c r="H611" s="1463"/>
      <c r="I611" s="1464"/>
      <c r="J611" s="1434"/>
      <c r="K611" s="1434"/>
    </row>
    <row r="612" spans="1:11">
      <c r="A612" s="968">
        <v>36</v>
      </c>
      <c r="B612" s="1392" t="s">
        <v>76</v>
      </c>
      <c r="C612" s="1392"/>
      <c r="D612" s="1392"/>
      <c r="E612" s="342"/>
      <c r="F612" s="1443">
        <f t="shared" ref="F612:K612" si="153">(SIT*(1-FIT))+((1-SIT)*(1-FIT)*RevTax)+FIT</f>
        <v>0.24925115</v>
      </c>
      <c r="G612" s="1468">
        <f t="shared" si="153"/>
        <v>0.24925115</v>
      </c>
      <c r="H612" s="1469">
        <f t="shared" si="153"/>
        <v>0.24925115</v>
      </c>
      <c r="I612" s="1470">
        <f t="shared" si="153"/>
        <v>0.24925115</v>
      </c>
      <c r="J612" s="1443">
        <f t="shared" si="153"/>
        <v>0.24925115</v>
      </c>
      <c r="K612" s="1443">
        <f t="shared" si="153"/>
        <v>0.24925115</v>
      </c>
    </row>
    <row r="614" spans="1:11">
      <c r="A614" s="343" t="str">
        <f>co_name</f>
        <v>DUKE ENERGY KENTUCKY, INC.</v>
      </c>
      <c r="C614" s="196"/>
      <c r="D614" s="344"/>
      <c r="E614" s="196"/>
      <c r="F614" s="196"/>
      <c r="G614" s="196"/>
      <c r="H614" s="196"/>
      <c r="I614" s="196"/>
      <c r="J614" s="196" t="str">
        <f>$J$1</f>
        <v>FR-16(7)(v)-4</v>
      </c>
      <c r="K614" s="196"/>
    </row>
    <row r="615" spans="1:11">
      <c r="A615" s="343" t="str">
        <f>$A$2</f>
        <v>DISTRIBUTION CLASSIFIED - GAS COST OF SERVICE</v>
      </c>
      <c r="C615" s="196"/>
      <c r="D615" s="344"/>
      <c r="E615" s="196"/>
      <c r="F615" s="196"/>
      <c r="G615" s="196"/>
      <c r="H615" s="196"/>
      <c r="I615" s="196"/>
      <c r="J615" s="196" t="str">
        <f>$J$2</f>
        <v>WITNESS RESPONSIBLE:</v>
      </c>
      <c r="K615" s="196"/>
    </row>
    <row r="616" spans="1:11">
      <c r="A616" s="343" t="str">
        <f>case_name</f>
        <v>CASE NO: 2018-00261</v>
      </c>
      <c r="C616" s="196"/>
      <c r="D616" s="344"/>
      <c r="E616" s="196"/>
      <c r="F616" s="196"/>
      <c r="G616" s="196"/>
      <c r="H616" s="196"/>
      <c r="I616" s="196"/>
      <c r="J616" s="196" t="str">
        <f>Witness</f>
        <v>JAMES E. ZIOLKOWSKI</v>
      </c>
      <c r="K616" s="196"/>
    </row>
    <row r="617" spans="1:11">
      <c r="A617" s="343" t="str">
        <f>data_filing</f>
        <v>DATA: 12 MONTH FORECASTED PERIOD</v>
      </c>
      <c r="C617" s="196"/>
      <c r="D617" s="344"/>
      <c r="E617" s="196"/>
      <c r="F617" s="196"/>
      <c r="G617" s="196"/>
      <c r="H617" s="196"/>
      <c r="I617" s="196"/>
      <c r="J617" s="196" t="str">
        <f>"PAGE "&amp;Pages-4&amp;" OF "&amp;Pages</f>
        <v>PAGE 14 OF 18</v>
      </c>
      <c r="K617" s="196"/>
    </row>
    <row r="618" spans="1:11">
      <c r="A618" s="343" t="str">
        <f>type</f>
        <v xml:space="preserve">TYPE OF FILING: "X" ORIGINAL   UPDATED    REVISED  </v>
      </c>
      <c r="C618" s="196"/>
      <c r="D618" s="344"/>
      <c r="E618" s="196"/>
      <c r="F618" s="196"/>
      <c r="G618" s="196"/>
      <c r="H618" s="196"/>
      <c r="I618" s="196"/>
      <c r="J618" s="196"/>
      <c r="K618" s="196"/>
    </row>
    <row r="619" spans="1:11">
      <c r="B619" s="343"/>
      <c r="C619" s="196"/>
      <c r="D619" s="344"/>
      <c r="E619" s="196"/>
      <c r="F619" s="196"/>
      <c r="G619" s="196"/>
      <c r="H619" s="196"/>
      <c r="I619" s="196"/>
      <c r="J619" s="196"/>
      <c r="K619" s="196"/>
    </row>
    <row r="620" spans="1:11">
      <c r="B620" s="343"/>
      <c r="C620" s="196"/>
      <c r="D620" s="344"/>
      <c r="E620" s="196"/>
      <c r="F620" s="196"/>
      <c r="G620" s="196"/>
      <c r="H620" s="196"/>
      <c r="I620" s="196"/>
      <c r="J620" s="196"/>
      <c r="K620" s="196"/>
    </row>
    <row r="621" spans="1:11">
      <c r="A621" s="344" t="s">
        <v>914</v>
      </c>
      <c r="B621" s="196"/>
      <c r="C621" s="196"/>
      <c r="D621" s="344"/>
      <c r="E621" s="196"/>
      <c r="F621" s="344" t="s">
        <v>229</v>
      </c>
      <c r="G621" s="545" t="s">
        <v>1005</v>
      </c>
      <c r="H621" s="533"/>
      <c r="I621" s="534"/>
      <c r="J621" s="344" t="s">
        <v>229</v>
      </c>
      <c r="K621" s="344" t="s">
        <v>342</v>
      </c>
    </row>
    <row r="622" spans="1:11">
      <c r="A622" s="346" t="s">
        <v>915</v>
      </c>
      <c r="B622" s="345" t="s">
        <v>77</v>
      </c>
      <c r="C622" s="345"/>
      <c r="D622" s="346" t="s">
        <v>337</v>
      </c>
      <c r="E622" s="345"/>
      <c r="F622" s="346" t="s">
        <v>846</v>
      </c>
      <c r="G622" s="546" t="s">
        <v>847</v>
      </c>
      <c r="H622" s="535" t="s">
        <v>848</v>
      </c>
      <c r="I622" s="536" t="s">
        <v>849</v>
      </c>
      <c r="J622" s="346" t="s">
        <v>341</v>
      </c>
      <c r="K622" s="346" t="s">
        <v>340</v>
      </c>
    </row>
    <row r="623" spans="1:11">
      <c r="C623" s="578" t="s">
        <v>352</v>
      </c>
      <c r="D623" s="344"/>
      <c r="E623" s="196"/>
      <c r="G623" s="800">
        <f>$G$10</f>
        <v>3</v>
      </c>
      <c r="H623" s="801">
        <f>$H$10</f>
        <v>4</v>
      </c>
      <c r="I623" s="802">
        <f>$I$10</f>
        <v>5</v>
      </c>
    </row>
    <row r="624" spans="1:11">
      <c r="A624" s="333">
        <v>1</v>
      </c>
      <c r="B624" s="332" t="s">
        <v>78</v>
      </c>
      <c r="D624" s="344"/>
      <c r="E624" s="196"/>
      <c r="G624" s="547"/>
      <c r="H624" s="537"/>
      <c r="I624" s="538"/>
    </row>
    <row r="625" spans="1:11">
      <c r="A625" s="333">
        <v>2</v>
      </c>
      <c r="C625" s="332" t="str">
        <f>'FR-16(7)(v)-1 Functional'!C625</f>
        <v>MISC SERVICE REVENUE</v>
      </c>
      <c r="D625" s="344" t="str">
        <f>'FR-16(7)(v)-1 Functional'!D625</f>
        <v>K401</v>
      </c>
      <c r="E625" s="196"/>
      <c r="F625" s="479">
        <f>'FR-16(7)(v)-1 Functional'!I625</f>
        <v>50100</v>
      </c>
      <c r="G625" s="548">
        <f>ROUND(F625*VLOOKUP(D625,Alloctable_Classified_Distribution,$G$10,FALSE),0)</f>
        <v>0</v>
      </c>
      <c r="H625" s="539">
        <f>ROUND(F625*VLOOKUP(D625,Alloctable_Classified_Distribution,$H$10,FALSE),0)</f>
        <v>0</v>
      </c>
      <c r="I625" s="540">
        <f>ROUND(F625*VLOOKUP(D625,Alloctable_Classified_Distribution,$I$10,FALSE),0)</f>
        <v>50100</v>
      </c>
      <c r="J625" s="347">
        <f>SUM($G$625:$I$625)</f>
        <v>50100</v>
      </c>
      <c r="K625" s="347">
        <f>F625-$J$625</f>
        <v>0</v>
      </c>
    </row>
    <row r="626" spans="1:11">
      <c r="A626" s="333">
        <v>3</v>
      </c>
      <c r="C626" s="332" t="str">
        <f>'FR-16(7)(v)-1 Functional'!C626</f>
        <v>INTERDEPARTMENTAL</v>
      </c>
      <c r="D626" s="344" t="str">
        <f>'FR-16(7)(v)-1 Functional'!D626</f>
        <v>AG39</v>
      </c>
      <c r="E626" s="196"/>
      <c r="F626" s="479">
        <f>'FR-16(7)(v)-1 Functional'!I626</f>
        <v>24895</v>
      </c>
      <c r="G626" s="548">
        <f>ROUND(F626*VLOOKUP(D626,Alloctable_Classified_Distribution,$G$10,FALSE),0)</f>
        <v>9973</v>
      </c>
      <c r="H626" s="539">
        <f>ROUND(F626*VLOOKUP(D626,Alloctable_Classified_Distribution,$H$10,FALSE),0)</f>
        <v>0</v>
      </c>
      <c r="I626" s="540">
        <f>ROUND(F626*VLOOKUP(D626,Alloctable_Classified_Distribution,$I$10,FALSE),0)</f>
        <v>14922</v>
      </c>
      <c r="J626" s="347">
        <f>SUM($G$626:$I$626)</f>
        <v>24895</v>
      </c>
      <c r="K626" s="347">
        <f>F626-$J$626</f>
        <v>0</v>
      </c>
    </row>
    <row r="627" spans="1:11">
      <c r="A627" s="333">
        <v>4</v>
      </c>
      <c r="C627" s="332" t="str">
        <f>'FR-16(7)(v)-1 Functional'!C627</f>
        <v>OTH MISC REVENUE</v>
      </c>
      <c r="D627" s="344" t="str">
        <f>'FR-16(7)(v)-1 Functional'!D627</f>
        <v>K401</v>
      </c>
      <c r="E627" s="196"/>
      <c r="F627" s="479">
        <f>'FR-16(7)(v)-1 Functional'!I627</f>
        <v>1896</v>
      </c>
      <c r="G627" s="548">
        <f>ROUND(F627*VLOOKUP(D627,Alloctable_Classified_Distribution,$G$10,FALSE),0)</f>
        <v>0</v>
      </c>
      <c r="H627" s="539">
        <f>ROUND(F627*VLOOKUP(D627,Alloctable_Classified_Distribution,$H$10,FALSE),0)</f>
        <v>0</v>
      </c>
      <c r="I627" s="540">
        <f>ROUND(F627*VLOOKUP(D627,Alloctable_Classified_Distribution,$I$10,FALSE),0)</f>
        <v>1896</v>
      </c>
      <c r="J627" s="347">
        <f>SUM($G$627:$I$627)</f>
        <v>1896</v>
      </c>
      <c r="K627" s="347">
        <f>F627-$J$627</f>
        <v>0</v>
      </c>
    </row>
    <row r="628" spans="1:11">
      <c r="A628" s="333">
        <v>5</v>
      </c>
      <c r="C628" s="332" t="str">
        <f>'FR-16(7)(v)-1 Functional'!C628</f>
        <v>RENTS</v>
      </c>
      <c r="D628" s="344" t="str">
        <f>'FR-16(7)(v)-1 Functional'!D628</f>
        <v>D249</v>
      </c>
      <c r="E628" s="196"/>
      <c r="F628" s="479">
        <f>'FR-16(7)(v)-1 Functional'!I628</f>
        <v>14496</v>
      </c>
      <c r="G628" s="548">
        <f>ROUND(F628*VLOOKUP(D628,Alloctable_Classified_Distribution,$G$10,FALSE),0)</f>
        <v>8015</v>
      </c>
      <c r="H628" s="539">
        <f>ROUND(F628*VLOOKUP(D628,Alloctable_Classified_Distribution,$H$10,FALSE),0)</f>
        <v>0</v>
      </c>
      <c r="I628" s="540">
        <f>ROUND(F628*VLOOKUP(D628,Alloctable_Classified_Distribution,$I$10,FALSE),0)</f>
        <v>6481</v>
      </c>
      <c r="J628" s="347">
        <f>SUM($G$628:$I$628)</f>
        <v>14496</v>
      </c>
      <c r="K628" s="347">
        <f>F628-$J$628</f>
        <v>0</v>
      </c>
    </row>
    <row r="629" spans="1:11">
      <c r="A629" s="333">
        <v>6</v>
      </c>
      <c r="C629" s="359" t="str">
        <f>'FR-16(7)(v)-1 Functional'!C629</f>
        <v>IT TRANSPORT SPECIAL CONTRACTS</v>
      </c>
      <c r="D629" s="344" t="str">
        <f>'FR-16(7)(v)-1 Functional'!D629</f>
        <v>AG39</v>
      </c>
      <c r="E629" s="196"/>
      <c r="F629" s="479">
        <f>'FR-16(7)(v)-1 Functional'!I629</f>
        <v>0</v>
      </c>
      <c r="G629" s="548">
        <f>ROUND(F629*VLOOKUP(D629,Alloctable_Classified_Distribution,$G$10,FALSE),0)</f>
        <v>0</v>
      </c>
      <c r="H629" s="539">
        <f>ROUND(F629*VLOOKUP(D629,Alloctable_Classified_Distribution,$H$10,FALSE),0)</f>
        <v>0</v>
      </c>
      <c r="I629" s="540">
        <f>ROUND(F629*VLOOKUP(D629,Alloctable_Classified_Distribution,$I$10,FALSE),0)</f>
        <v>0</v>
      </c>
      <c r="J629" s="347">
        <f>SUM($G$629:$I$629)</f>
        <v>0</v>
      </c>
      <c r="K629" s="347">
        <f>F629-$J$629</f>
        <v>0</v>
      </c>
    </row>
    <row r="630" spans="1:11">
      <c r="A630" s="333">
        <v>7</v>
      </c>
      <c r="C630" s="332" t="str">
        <f>'FR-16(7)(v)-1 Functional'!C630</f>
        <v xml:space="preserve">  TOTAL OTHER OPERATING REVS</v>
      </c>
      <c r="D630" s="344"/>
      <c r="E630" s="196"/>
      <c r="F630" s="348">
        <f>SUM(F625:F629)</f>
        <v>91387</v>
      </c>
      <c r="G630" s="549">
        <f>SUM($G$625:$G$629)</f>
        <v>17988</v>
      </c>
      <c r="H630" s="541">
        <f>SUM($H$625:$H$629)</f>
        <v>0</v>
      </c>
      <c r="I630" s="542">
        <f>SUM($I$625:$I$629)</f>
        <v>73399</v>
      </c>
      <c r="J630" s="348">
        <f>SUM($J$625:$J$629)</f>
        <v>91387</v>
      </c>
      <c r="K630" s="348">
        <f>SUM($K$625:$K$629)</f>
        <v>0</v>
      </c>
    </row>
    <row r="631" spans="1:11">
      <c r="A631" s="333">
        <v>8</v>
      </c>
      <c r="D631" s="344"/>
      <c r="E631" s="196"/>
      <c r="G631" s="547"/>
      <c r="H631" s="537"/>
      <c r="I631" s="538"/>
    </row>
    <row r="632" spans="1:11">
      <c r="A632" s="333">
        <v>9</v>
      </c>
      <c r="B632" s="332" t="s">
        <v>77</v>
      </c>
      <c r="D632" s="344"/>
      <c r="E632" s="196"/>
      <c r="G632" s="547"/>
      <c r="H632" s="537"/>
      <c r="I632" s="538"/>
    </row>
    <row r="633" spans="1:11">
      <c r="A633" s="333">
        <v>10</v>
      </c>
      <c r="C633" s="332" t="str">
        <f>'FR-16(7)(v)-1 Functional'!C633</f>
        <v>TOTAL OP EXP EXC INC &amp; REV TAX</v>
      </c>
      <c r="D633" s="344"/>
      <c r="E633" s="196"/>
      <c r="F633" s="347">
        <f>F501</f>
        <v>40650944</v>
      </c>
      <c r="G633" s="548">
        <f>$G$501</f>
        <v>19681079</v>
      </c>
      <c r="H633" s="539">
        <f>$H$501</f>
        <v>0</v>
      </c>
      <c r="I633" s="540">
        <f>$I$501</f>
        <v>20969865</v>
      </c>
      <c r="J633" s="347">
        <f>$J$501</f>
        <v>40650944</v>
      </c>
      <c r="K633" s="347">
        <f>$K$501</f>
        <v>0</v>
      </c>
    </row>
    <row r="634" spans="1:11">
      <c r="A634" s="333">
        <v>11</v>
      </c>
      <c r="C634" s="332" t="str">
        <f>'FR-16(7)(v)-1 Functional'!C634</f>
        <v>RETURN ON RATE BASE</v>
      </c>
      <c r="D634" s="344"/>
      <c r="E634" s="196"/>
      <c r="F634" s="347">
        <f t="shared" ref="F634:K634" si="154">F334</f>
        <v>22044288</v>
      </c>
      <c r="G634" s="548">
        <f t="shared" si="154"/>
        <v>12218452</v>
      </c>
      <c r="H634" s="539">
        <f t="shared" si="154"/>
        <v>0</v>
      </c>
      <c r="I634" s="540">
        <f t="shared" si="154"/>
        <v>9825836</v>
      </c>
      <c r="J634" s="347">
        <f t="shared" si="154"/>
        <v>22044288</v>
      </c>
      <c r="K634" s="347">
        <f t="shared" si="154"/>
        <v>0</v>
      </c>
    </row>
    <row r="635" spans="1:11">
      <c r="A635" s="333">
        <v>12</v>
      </c>
      <c r="C635" s="332" t="str">
        <f>'FR-16(7)(v)-1 Functional'!C635</f>
        <v>NET FED INCOME TAX ALLOWABLE</v>
      </c>
      <c r="D635" s="344"/>
      <c r="E635" s="196"/>
      <c r="F635" s="347">
        <f>F557</f>
        <v>2371042</v>
      </c>
      <c r="G635" s="548">
        <f>$G$557</f>
        <v>1389567</v>
      </c>
      <c r="H635" s="539">
        <f>$H$557</f>
        <v>0</v>
      </c>
      <c r="I635" s="540">
        <f>$I$557</f>
        <v>981475</v>
      </c>
      <c r="J635" s="347">
        <f>$J$557</f>
        <v>2371042</v>
      </c>
      <c r="K635" s="347">
        <f>$K$557</f>
        <v>0</v>
      </c>
    </row>
    <row r="636" spans="1:11">
      <c r="A636" s="333">
        <v>13</v>
      </c>
      <c r="C636" s="359" t="str">
        <f>'FR-16(7)(v)-1 Functional'!C636</f>
        <v>TOTAL OTHER OPERATING REVENUES</v>
      </c>
      <c r="D636" s="344"/>
      <c r="E636" s="196"/>
      <c r="F636" s="347">
        <f>-F630</f>
        <v>-91387</v>
      </c>
      <c r="G636" s="548">
        <f>-$G$630</f>
        <v>-17988</v>
      </c>
      <c r="H636" s="539">
        <f>-$H$630</f>
        <v>0</v>
      </c>
      <c r="I636" s="540">
        <f>-$I$630</f>
        <v>-73399</v>
      </c>
      <c r="J636" s="347">
        <f>-$J$630</f>
        <v>-91387</v>
      </c>
      <c r="K636" s="347">
        <f>-$K$630</f>
        <v>0</v>
      </c>
    </row>
    <row r="637" spans="1:11">
      <c r="A637" s="333">
        <v>14</v>
      </c>
      <c r="C637" s="332" t="str">
        <f>'FR-16(7)(v)-1 Functional'!C637</f>
        <v xml:space="preserve">  SUBTOTAL B</v>
      </c>
      <c r="D637" s="344"/>
      <c r="E637" s="196"/>
      <c r="F637" s="348">
        <f>SUM(F632:F636)</f>
        <v>64974887</v>
      </c>
      <c r="G637" s="549">
        <f>SUM($G$632:$G$636)</f>
        <v>33271110</v>
      </c>
      <c r="H637" s="541">
        <f>SUM($H$632:$H$636)</f>
        <v>0</v>
      </c>
      <c r="I637" s="542">
        <f>SUM($I$632:$I$636)</f>
        <v>31703777</v>
      </c>
      <c r="J637" s="348">
        <f>SUM($J$632:$J$636)</f>
        <v>64974887</v>
      </c>
      <c r="K637" s="348">
        <f>$J$637-F637</f>
        <v>0</v>
      </c>
    </row>
    <row r="638" spans="1:11">
      <c r="A638" s="333">
        <v>15</v>
      </c>
      <c r="D638" s="344"/>
      <c r="E638" s="196"/>
      <c r="G638" s="547"/>
      <c r="H638" s="537"/>
      <c r="I638" s="538"/>
    </row>
    <row r="639" spans="1:11">
      <c r="A639" s="333">
        <v>16</v>
      </c>
      <c r="C639" s="332" t="str">
        <f>'FR-16(7)(v)-1 Functional'!C639</f>
        <v>TOTAL OTHER OPERATING REVENUES</v>
      </c>
      <c r="D639" s="344"/>
      <c r="E639" s="196"/>
      <c r="F639" s="347">
        <f>-F636</f>
        <v>91387</v>
      </c>
      <c r="G639" s="548">
        <f>-$G$636</f>
        <v>17988</v>
      </c>
      <c r="H639" s="539">
        <f>-$H$636</f>
        <v>0</v>
      </c>
      <c r="I639" s="540">
        <f>-$I$636</f>
        <v>73399</v>
      </c>
      <c r="J639" s="347">
        <f>-$J$636</f>
        <v>91387</v>
      </c>
      <c r="K639" s="347">
        <f>-$K$636</f>
        <v>0</v>
      </c>
    </row>
    <row r="640" spans="1:11">
      <c r="A640" s="333">
        <v>17</v>
      </c>
      <c r="C640" s="359" t="str">
        <f>'FR-16(7)(v)-1 Functional'!C640</f>
        <v>LESS: REVS EXCL FROM REV TAX CALC</v>
      </c>
      <c r="D640" s="344"/>
      <c r="E640" s="196"/>
      <c r="F640" s="349">
        <f>'FR-16(7)(v)-3 PROD Comm Alloc'!F855</f>
        <v>0</v>
      </c>
      <c r="G640" s="548">
        <f>G855</f>
        <v>0</v>
      </c>
      <c r="H640" s="539">
        <f>H855</f>
        <v>0</v>
      </c>
      <c r="I640" s="540">
        <f>I855</f>
        <v>0</v>
      </c>
      <c r="J640" s="347">
        <f>SUM(G640:I640)</f>
        <v>0</v>
      </c>
      <c r="K640" s="347">
        <f>'FR-16(7)(v)-3 PROD Comm Alloc'!L855</f>
        <v>0</v>
      </c>
    </row>
    <row r="641" spans="1:11">
      <c r="A641" s="333">
        <v>18</v>
      </c>
      <c r="C641" s="332" t="str">
        <f>'FR-16(7)(v)-1 Functional'!C641</f>
        <v>OTHER OPERATING REVS TO BE TAXED</v>
      </c>
      <c r="D641" s="344"/>
      <c r="E641" s="196"/>
      <c r="F641" s="348">
        <f>F639-F640</f>
        <v>91387</v>
      </c>
      <c r="G641" s="549">
        <f>$G$639-G640</f>
        <v>17988</v>
      </c>
      <c r="H641" s="541">
        <f>$H$639-H640</f>
        <v>0</v>
      </c>
      <c r="I641" s="542">
        <f>$I$639-I640</f>
        <v>73399</v>
      </c>
      <c r="J641" s="348">
        <f>$J$639-J640</f>
        <v>91387</v>
      </c>
      <c r="K641" s="348">
        <f>$K$639-K640</f>
        <v>0</v>
      </c>
    </row>
    <row r="642" spans="1:11">
      <c r="A642" s="333">
        <v>19</v>
      </c>
      <c r="D642" s="344"/>
      <c r="E642" s="196"/>
      <c r="G642" s="547"/>
      <c r="H642" s="537"/>
      <c r="I642" s="538"/>
    </row>
    <row r="643" spans="1:11">
      <c r="A643" s="333">
        <v>20</v>
      </c>
      <c r="C643" s="332" t="str">
        <f>'FR-16(7)(v)-1 Functional'!C643</f>
        <v>REVENUE TAX FACTOR</v>
      </c>
      <c r="D643" s="344"/>
      <c r="E643" s="196"/>
      <c r="F643" s="350">
        <f t="shared" ref="F643:K643" si="155">ROUND(F694/(1-F694),8)</f>
        <v>0</v>
      </c>
      <c r="G643" s="566">
        <f t="shared" si="155"/>
        <v>0</v>
      </c>
      <c r="H643" s="567">
        <f t="shared" si="155"/>
        <v>0</v>
      </c>
      <c r="I643" s="568">
        <f t="shared" si="155"/>
        <v>0</v>
      </c>
      <c r="J643" s="350">
        <f t="shared" si="155"/>
        <v>0</v>
      </c>
      <c r="K643" s="350">
        <f t="shared" si="155"/>
        <v>0</v>
      </c>
    </row>
    <row r="644" spans="1:11">
      <c r="A644" s="333">
        <v>21</v>
      </c>
      <c r="C644" s="332" t="str">
        <f>'FR-16(7)(v)-1 Functional'!C644</f>
        <v>REVENUE TAX ON OTHER OPER. REVS</v>
      </c>
      <c r="D644" s="344"/>
      <c r="E644" s="196"/>
      <c r="F644" s="347">
        <f>ROUND(F643*F641,0)</f>
        <v>0</v>
      </c>
      <c r="G644" s="548">
        <f>ROUND(G643*G641,0)</f>
        <v>0</v>
      </c>
      <c r="H644" s="539">
        <f>ROUND(H643*H641,0)</f>
        <v>0</v>
      </c>
      <c r="I644" s="540">
        <f>ROUND(I643*I641,0)</f>
        <v>0</v>
      </c>
      <c r="J644" s="347">
        <f>SUM(G644:I644)</f>
        <v>0</v>
      </c>
      <c r="K644" s="347">
        <f>ROUND(K643*K641,0)</f>
        <v>0</v>
      </c>
    </row>
    <row r="645" spans="1:11">
      <c r="A645" s="333">
        <v>22</v>
      </c>
      <c r="C645" s="332" t="str">
        <f>'FR-16(7)(v)-1 Functional'!C645</f>
        <v>REVENUE TAX ON COST OF SERVICE</v>
      </c>
      <c r="D645" s="344"/>
      <c r="E645" s="196"/>
      <c r="F645" s="512">
        <f>ROUND(F643*F637,0)</f>
        <v>0</v>
      </c>
      <c r="G645" s="548">
        <f>ROUND(G643*$G$637,0)</f>
        <v>0</v>
      </c>
      <c r="H645" s="539">
        <f>ROUND(H643*$H$637,0)</f>
        <v>0</v>
      </c>
      <c r="I645" s="540">
        <f>ROUND(I643*$I$637,0)</f>
        <v>0</v>
      </c>
      <c r="J645" s="512">
        <f>SUM(G645:I645)</f>
        <v>0</v>
      </c>
      <c r="K645" s="512">
        <f>ROUND(K643*$K$637,0)</f>
        <v>0</v>
      </c>
    </row>
    <row r="646" spans="1:11">
      <c r="A646" s="333">
        <v>23</v>
      </c>
      <c r="C646" s="359" t="str">
        <f>'FR-16(7)(v)-1 Functional'!C646</f>
        <v>TOTAL REVENUE TAX</v>
      </c>
      <c r="D646" s="344"/>
      <c r="E646" s="196"/>
      <c r="F646" s="510">
        <f t="shared" ref="F646:K646" si="156">F645+F644</f>
        <v>0</v>
      </c>
      <c r="G646" s="572">
        <f t="shared" si="156"/>
        <v>0</v>
      </c>
      <c r="H646" s="573">
        <f t="shared" si="156"/>
        <v>0</v>
      </c>
      <c r="I646" s="574">
        <f t="shared" si="156"/>
        <v>0</v>
      </c>
      <c r="J646" s="510">
        <f t="shared" si="156"/>
        <v>0</v>
      </c>
      <c r="K646" s="510">
        <f t="shared" si="156"/>
        <v>0</v>
      </c>
    </row>
    <row r="647" spans="1:11">
      <c r="A647" s="333">
        <v>24</v>
      </c>
      <c r="C647" s="332" t="str">
        <f>'FR-16(7)(v)-1 Functional'!C647</f>
        <v xml:space="preserve">  TOTAL GAS COST OF SERVICE</v>
      </c>
      <c r="D647" s="344"/>
      <c r="E647" s="196"/>
      <c r="F647" s="348">
        <f>F646+F637</f>
        <v>64974887</v>
      </c>
      <c r="G647" s="549">
        <f>G646+$G$637</f>
        <v>33271110</v>
      </c>
      <c r="H647" s="541">
        <f>H646+$H$637</f>
        <v>0</v>
      </c>
      <c r="I647" s="542">
        <f>I646+$I$637</f>
        <v>31703777</v>
      </c>
      <c r="J647" s="348">
        <f>J646+$J$637</f>
        <v>64974887</v>
      </c>
      <c r="K647" s="348">
        <f>K646+$K$637</f>
        <v>0</v>
      </c>
    </row>
    <row r="648" spans="1:11">
      <c r="A648" s="333">
        <v>25</v>
      </c>
      <c r="D648" s="344"/>
      <c r="E648" s="196"/>
      <c r="G648" s="547"/>
      <c r="H648" s="537"/>
      <c r="I648" s="538"/>
    </row>
    <row r="649" spans="1:11">
      <c r="A649" s="333">
        <v>26</v>
      </c>
      <c r="B649" s="332" t="s">
        <v>850</v>
      </c>
      <c r="D649" s="344"/>
      <c r="E649" s="196"/>
      <c r="F649" s="349">
        <f>F745</f>
        <v>58965089</v>
      </c>
      <c r="G649" s="548">
        <f>G745</f>
        <v>30193663</v>
      </c>
      <c r="H649" s="539">
        <f>H745</f>
        <v>0</v>
      </c>
      <c r="I649" s="540">
        <f>I745</f>
        <v>28771426</v>
      </c>
      <c r="J649" s="347">
        <f>K745</f>
        <v>0</v>
      </c>
      <c r="K649" s="347">
        <f>L745</f>
        <v>0</v>
      </c>
    </row>
    <row r="650" spans="1:11">
      <c r="A650" s="333">
        <v>27</v>
      </c>
      <c r="B650" s="332" t="s">
        <v>79</v>
      </c>
      <c r="D650" s="344"/>
      <c r="E650" s="196"/>
      <c r="F650" s="347">
        <f t="shared" ref="F650:K650" si="157">-F647</f>
        <v>-64974887</v>
      </c>
      <c r="G650" s="548">
        <f t="shared" si="157"/>
        <v>-33271110</v>
      </c>
      <c r="H650" s="539">
        <f t="shared" si="157"/>
        <v>0</v>
      </c>
      <c r="I650" s="540">
        <f t="shared" si="157"/>
        <v>-31703777</v>
      </c>
      <c r="J650" s="347">
        <f t="shared" si="157"/>
        <v>-64974887</v>
      </c>
      <c r="K650" s="347">
        <f t="shared" si="157"/>
        <v>0</v>
      </c>
    </row>
    <row r="651" spans="1:11">
      <c r="A651" s="333">
        <v>28</v>
      </c>
      <c r="B651" s="332" t="s">
        <v>80</v>
      </c>
      <c r="D651" s="344"/>
      <c r="E651" s="196"/>
      <c r="F651" s="347">
        <f>F650+F649</f>
        <v>-6009798</v>
      </c>
      <c r="G651" s="548">
        <f>G650+G649</f>
        <v>-3077447</v>
      </c>
      <c r="H651" s="539">
        <f>H650+H649</f>
        <v>0</v>
      </c>
      <c r="I651" s="540">
        <f>I650+I649</f>
        <v>-2932351</v>
      </c>
      <c r="J651" s="347">
        <f>SUM(G651:I651)</f>
        <v>-6009798</v>
      </c>
      <c r="K651" s="347">
        <f>K650+K649</f>
        <v>0</v>
      </c>
    </row>
    <row r="652" spans="1:11">
      <c r="A652" s="333">
        <v>29</v>
      </c>
      <c r="B652" s="332" t="s">
        <v>76</v>
      </c>
      <c r="D652" s="344"/>
      <c r="E652" s="196"/>
      <c r="F652" s="350">
        <f>F565</f>
        <v>0.24925</v>
      </c>
      <c r="G652" s="566">
        <f>$G$565</f>
        <v>0.24925</v>
      </c>
      <c r="H652" s="567">
        <f>$H$565</f>
        <v>0.24925</v>
      </c>
      <c r="I652" s="568">
        <f>$I$565</f>
        <v>0.24925</v>
      </c>
      <c r="J652" s="350">
        <f>$K$565</f>
        <v>0.24925</v>
      </c>
      <c r="K652" s="350">
        <f>$K$565</f>
        <v>0.24925</v>
      </c>
    </row>
    <row r="653" spans="1:11">
      <c r="A653" s="333">
        <v>30</v>
      </c>
      <c r="B653" s="332" t="s">
        <v>81</v>
      </c>
      <c r="D653" s="344"/>
      <c r="E653" s="196"/>
      <c r="F653" s="347">
        <f>ROUND(F652*F651,0)</f>
        <v>-1497942</v>
      </c>
      <c r="G653" s="548">
        <f>ROUND(G652*G651,0)</f>
        <v>-767054</v>
      </c>
      <c r="H653" s="539">
        <f>ROUND(H652*H651,0)</f>
        <v>0</v>
      </c>
      <c r="I653" s="540">
        <f>ROUND(I652*I651,0)</f>
        <v>-730888</v>
      </c>
      <c r="J653" s="347">
        <f>SUM(G653:I653)</f>
        <v>-1497942</v>
      </c>
      <c r="K653" s="347">
        <f>ROUND(K652*K651,0)</f>
        <v>0</v>
      </c>
    </row>
    <row r="654" spans="1:11">
      <c r="A654" s="333">
        <v>31</v>
      </c>
      <c r="B654" s="332" t="s">
        <v>82</v>
      </c>
      <c r="D654" s="344"/>
      <c r="E654" s="196"/>
      <c r="F654" s="347">
        <f>F651-F653</f>
        <v>-4511856</v>
      </c>
      <c r="G654" s="550">
        <f>G651-G653</f>
        <v>-2310393</v>
      </c>
      <c r="H654" s="543">
        <f>H651-H653</f>
        <v>0</v>
      </c>
      <c r="I654" s="544">
        <f>I651-I653</f>
        <v>-2201463</v>
      </c>
      <c r="J654" s="347">
        <f>SUM(G654:I654)</f>
        <v>-4511856</v>
      </c>
      <c r="K654" s="347">
        <f>K651-K653</f>
        <v>0</v>
      </c>
    </row>
    <row r="655" spans="1:11">
      <c r="A655" s="532"/>
      <c r="B655" s="584"/>
      <c r="C655" s="584"/>
      <c r="D655" s="736"/>
      <c r="E655" s="584"/>
      <c r="F655" s="532"/>
      <c r="G655" s="532"/>
      <c r="H655" s="532"/>
      <c r="I655" s="532"/>
      <c r="J655" s="532"/>
      <c r="K655" s="532"/>
    </row>
    <row r="656" spans="1:11">
      <c r="A656" s="343" t="str">
        <f>co_name</f>
        <v>DUKE ENERGY KENTUCKY, INC.</v>
      </c>
      <c r="C656" s="196"/>
      <c r="D656" s="344"/>
      <c r="E656" s="196"/>
      <c r="F656" s="196"/>
      <c r="G656" s="196"/>
      <c r="H656" s="196"/>
      <c r="I656" s="196"/>
      <c r="J656" s="196" t="str">
        <f>$J$1</f>
        <v>FR-16(7)(v)-4</v>
      </c>
      <c r="K656" s="196"/>
    </row>
    <row r="657" spans="1:11">
      <c r="A657" s="343" t="str">
        <f>$A$2</f>
        <v>DISTRIBUTION CLASSIFIED - GAS COST OF SERVICE</v>
      </c>
      <c r="C657" s="196"/>
      <c r="D657" s="344"/>
      <c r="E657" s="196"/>
      <c r="F657" s="196"/>
      <c r="G657" s="196"/>
      <c r="H657" s="196"/>
      <c r="I657" s="196"/>
      <c r="J657" s="196" t="str">
        <f>$J$2</f>
        <v>WITNESS RESPONSIBLE:</v>
      </c>
      <c r="K657" s="196"/>
    </row>
    <row r="658" spans="1:11">
      <c r="A658" s="343" t="str">
        <f>case_name</f>
        <v>CASE NO: 2018-00261</v>
      </c>
      <c r="C658" s="196"/>
      <c r="D658" s="344"/>
      <c r="E658" s="196"/>
      <c r="F658" s="196"/>
      <c r="G658" s="196"/>
      <c r="H658" s="196"/>
      <c r="I658" s="196"/>
      <c r="J658" s="196" t="str">
        <f>Witness</f>
        <v>JAMES E. ZIOLKOWSKI</v>
      </c>
      <c r="K658" s="196"/>
    </row>
    <row r="659" spans="1:11">
      <c r="A659" s="343" t="str">
        <f>data_filing</f>
        <v>DATA: 12 MONTH FORECASTED PERIOD</v>
      </c>
      <c r="C659" s="196"/>
      <c r="D659" s="344"/>
      <c r="E659" s="196"/>
      <c r="F659" s="196"/>
      <c r="G659" s="196"/>
      <c r="H659" s="196"/>
      <c r="I659" s="196"/>
      <c r="J659" s="196" t="str">
        <f>"PAGE "&amp;Pages-3&amp;" OF "&amp;Pages</f>
        <v>PAGE 15 OF 18</v>
      </c>
      <c r="K659" s="196"/>
    </row>
    <row r="660" spans="1:11">
      <c r="A660" s="343" t="str">
        <f>type</f>
        <v xml:space="preserve">TYPE OF FILING: "X" ORIGINAL   UPDATED    REVISED  </v>
      </c>
      <c r="C660" s="196"/>
      <c r="D660" s="344"/>
      <c r="E660" s="196"/>
      <c r="F660" s="196"/>
      <c r="G660" s="196"/>
      <c r="H660" s="196"/>
      <c r="I660" s="196"/>
      <c r="J660" s="196"/>
      <c r="K660" s="196"/>
    </row>
    <row r="661" spans="1:11">
      <c r="B661" s="343"/>
      <c r="C661" s="196"/>
      <c r="D661" s="344"/>
      <c r="E661" s="196"/>
      <c r="F661" s="196"/>
      <c r="G661" s="196"/>
      <c r="H661" s="196"/>
      <c r="I661" s="196"/>
      <c r="J661" s="196"/>
      <c r="K661" s="196"/>
    </row>
    <row r="662" spans="1:11">
      <c r="B662" s="343"/>
      <c r="C662" s="196"/>
      <c r="D662" s="344"/>
      <c r="E662" s="196"/>
      <c r="F662" s="196"/>
      <c r="G662" s="196"/>
      <c r="H662" s="196"/>
      <c r="I662" s="196"/>
      <c r="J662" s="196"/>
      <c r="K662" s="196"/>
    </row>
    <row r="663" spans="1:11">
      <c r="A663" s="344" t="s">
        <v>914</v>
      </c>
      <c r="B663" s="196"/>
      <c r="C663" s="196"/>
      <c r="D663" s="344"/>
      <c r="E663" s="196"/>
      <c r="F663" s="344" t="s">
        <v>229</v>
      </c>
      <c r="G663" s="545" t="s">
        <v>1005</v>
      </c>
      <c r="H663" s="533"/>
      <c r="I663" s="534"/>
      <c r="J663" s="344" t="s">
        <v>229</v>
      </c>
      <c r="K663" s="344" t="s">
        <v>342</v>
      </c>
    </row>
    <row r="664" spans="1:11">
      <c r="A664" s="346" t="s">
        <v>915</v>
      </c>
      <c r="B664" s="345" t="s">
        <v>83</v>
      </c>
      <c r="C664" s="345"/>
      <c r="D664" s="346" t="s">
        <v>337</v>
      </c>
      <c r="E664" s="345"/>
      <c r="F664" s="346" t="s">
        <v>846</v>
      </c>
      <c r="G664" s="546" t="s">
        <v>847</v>
      </c>
      <c r="H664" s="535" t="s">
        <v>848</v>
      </c>
      <c r="I664" s="536" t="s">
        <v>849</v>
      </c>
      <c r="J664" s="346" t="s">
        <v>341</v>
      </c>
      <c r="K664" s="346" t="s">
        <v>340</v>
      </c>
    </row>
    <row r="665" spans="1:11">
      <c r="C665" s="578" t="s">
        <v>353</v>
      </c>
      <c r="D665" s="344"/>
      <c r="E665" s="196"/>
      <c r="G665" s="824">
        <f>$G$10</f>
        <v>3</v>
      </c>
      <c r="H665" s="824">
        <f>$H$10</f>
        <v>4</v>
      </c>
      <c r="I665" s="824">
        <f>$I$10</f>
        <v>5</v>
      </c>
    </row>
    <row r="666" spans="1:11">
      <c r="A666" s="333">
        <v>1</v>
      </c>
      <c r="B666" s="332" t="s">
        <v>84</v>
      </c>
      <c r="D666" s="344"/>
      <c r="E666" s="196"/>
    </row>
    <row r="667" spans="1:11">
      <c r="A667" s="333">
        <v>2</v>
      </c>
      <c r="B667" s="332" t="s">
        <v>85</v>
      </c>
      <c r="D667" s="344"/>
      <c r="E667" s="196"/>
      <c r="G667" s="519" t="s">
        <v>339</v>
      </c>
    </row>
    <row r="668" spans="1:11">
      <c r="A668" s="333">
        <v>3</v>
      </c>
      <c r="C668" s="332" t="str">
        <f>'FR-16(7)(v)-1 Functional'!C668</f>
        <v>LONG TERM DEBT</v>
      </c>
      <c r="D668" s="344"/>
      <c r="E668" s="196"/>
      <c r="F668" s="479">
        <f>'FR-16(7)(v)-1 Functional'!$F$668</f>
        <v>518128763</v>
      </c>
      <c r="G668" s="350">
        <f>IF($F$673=0,0,ROUND(F668/$F$673,5))</f>
        <v>0.42338999999999999</v>
      </c>
    </row>
    <row r="669" spans="1:11">
      <c r="A669" s="333">
        <v>4</v>
      </c>
      <c r="C669" s="332" t="str">
        <f>'FR-16(7)(v)-1 Functional'!C669</f>
        <v>PREFERRED STOCK</v>
      </c>
      <c r="D669" s="344"/>
      <c r="E669" s="196"/>
      <c r="F669" s="479">
        <f>'FR-16(7)(v)-1 Functional'!$F$669</f>
        <v>0</v>
      </c>
      <c r="G669" s="350">
        <f>IF($F$673=0,0,ROUND(F669/$F$673,5))</f>
        <v>0</v>
      </c>
    </row>
    <row r="670" spans="1:11">
      <c r="A670" s="333">
        <v>5</v>
      </c>
      <c r="C670" s="332" t="str">
        <f>'FR-16(7)(v)-1 Functional'!C670</f>
        <v>COMMON STOCK</v>
      </c>
      <c r="D670" s="344"/>
      <c r="E670" s="196"/>
      <c r="F670" s="479">
        <f>'FR-16(7)(v)-1 Functional'!$F$670</f>
        <v>621113054</v>
      </c>
      <c r="G670" s="350">
        <f>1-G668-G669-G671-G672</f>
        <v>0.50755000000000006</v>
      </c>
    </row>
    <row r="671" spans="1:11">
      <c r="A671" s="333">
        <v>6</v>
      </c>
      <c r="C671" s="332" t="str">
        <f>'FR-16(7)(v)-1 Functional'!C671</f>
        <v>SHORT TERM DEBT</v>
      </c>
      <c r="D671" s="344"/>
      <c r="E671" s="196"/>
      <c r="F671" s="479">
        <f>'FR-16(7)(v)-1 Functional'!$F$671</f>
        <v>84508435</v>
      </c>
      <c r="G671" s="350">
        <f>IF($F$673=0,0,ROUND(F671/$F$673,5))</f>
        <v>6.9059999999999996E-2</v>
      </c>
    </row>
    <row r="672" spans="1:11">
      <c r="A672" s="333">
        <v>7</v>
      </c>
      <c r="C672" s="332" t="str">
        <f>'FR-16(7)(v)-1 Functional'!C672</f>
        <v>UNAMORTIZED DISCOUNT</v>
      </c>
      <c r="D672" s="344"/>
      <c r="E672" s="196"/>
      <c r="F672" s="479">
        <f>'FR-16(7)(v)-1 Functional'!$F$672</f>
        <v>0</v>
      </c>
      <c r="G672" s="350">
        <f>IF($F$673=0,0,ROUND(F672/$F$673,5))</f>
        <v>0</v>
      </c>
    </row>
    <row r="673" spans="1:9">
      <c r="A673" s="333">
        <v>8</v>
      </c>
      <c r="C673" s="332" t="str">
        <f>'FR-16(7)(v)-1 Functional'!C673</f>
        <v xml:space="preserve">  TOTAL</v>
      </c>
      <c r="D673" s="344"/>
      <c r="E673" s="196"/>
      <c r="F673" s="480">
        <f>SUM(F667:F672)</f>
        <v>1223750252</v>
      </c>
      <c r="G673" s="521">
        <f>SUM(G668:G672)</f>
        <v>1</v>
      </c>
    </row>
    <row r="674" spans="1:9">
      <c r="A674" s="333">
        <v>9</v>
      </c>
      <c r="D674" s="344"/>
      <c r="E674" s="196"/>
    </row>
    <row r="675" spans="1:9">
      <c r="A675" s="333">
        <v>10</v>
      </c>
      <c r="B675" s="332" t="s">
        <v>86</v>
      </c>
      <c r="D675" s="344"/>
      <c r="E675" s="196"/>
    </row>
    <row r="676" spans="1:9">
      <c r="A676" s="333">
        <v>11</v>
      </c>
      <c r="C676" s="332" t="str">
        <f>'FR-16(7)(v)-1 Functional'!C676</f>
        <v>LONG TERM DEBT</v>
      </c>
      <c r="D676" s="344"/>
      <c r="E676" s="196"/>
      <c r="F676" s="586">
        <f>'FR-16(7)(v)-1 Functional'!$F$676</f>
        <v>4.3979999999999998E-2</v>
      </c>
      <c r="G676" s="522"/>
      <c r="H676" s="522"/>
      <c r="I676" s="522"/>
    </row>
    <row r="677" spans="1:9">
      <c r="A677" s="333">
        <v>12</v>
      </c>
      <c r="C677" s="332" t="str">
        <f>'FR-16(7)(v)-1 Functional'!C677</f>
        <v>PREFERRED STOCK</v>
      </c>
      <c r="D677" s="344"/>
      <c r="E677" s="196"/>
      <c r="F677" s="586">
        <f>'FR-16(7)(v)-1 Functional'!$F$677</f>
        <v>0</v>
      </c>
      <c r="G677" s="522"/>
      <c r="H677" s="522"/>
      <c r="I677" s="522"/>
    </row>
    <row r="678" spans="1:9">
      <c r="A678" s="333">
        <v>13</v>
      </c>
      <c r="C678" s="332" t="str">
        <f>'FR-16(7)(v)-1 Functional'!C678</f>
        <v>COMMON STOCK</v>
      </c>
      <c r="D678" s="344"/>
      <c r="E678" s="196"/>
      <c r="F678" s="586">
        <f>'FR-16(7)(v)-1 Functional'!$F$678</f>
        <v>9.9000000000000005E-2</v>
      </c>
      <c r="G678" s="522"/>
      <c r="H678" s="522"/>
      <c r="I678" s="522"/>
    </row>
    <row r="679" spans="1:9">
      <c r="A679" s="333">
        <v>14</v>
      </c>
      <c r="C679" s="332" t="str">
        <f>'FR-16(7)(v)-1 Functional'!C679</f>
        <v>SHORT TERM DEBT</v>
      </c>
      <c r="D679" s="344"/>
      <c r="E679" s="196"/>
      <c r="F679" s="586">
        <f>'FR-16(7)(v)-1 Functional'!$F$679</f>
        <v>4.2500000000000003E-2</v>
      </c>
      <c r="G679" s="522"/>
      <c r="H679" s="522"/>
      <c r="I679" s="522"/>
    </row>
    <row r="680" spans="1:9">
      <c r="A680" s="333">
        <v>15</v>
      </c>
      <c r="C680" s="332" t="str">
        <f>'FR-16(7)(v)-1 Functional'!C680</f>
        <v>UNAMORTIZED DISCOUNT</v>
      </c>
      <c r="D680" s="344"/>
      <c r="E680" s="196"/>
      <c r="F680" s="586">
        <f>'FR-16(7)(v)-1 Functional'!$F$680</f>
        <v>0</v>
      </c>
      <c r="G680" s="522"/>
      <c r="H680" s="522"/>
      <c r="I680" s="522"/>
    </row>
    <row r="681" spans="1:9">
      <c r="A681" s="333">
        <v>16</v>
      </c>
      <c r="D681" s="344"/>
      <c r="E681" s="196"/>
    </row>
    <row r="682" spans="1:9">
      <c r="A682" s="333">
        <v>17</v>
      </c>
      <c r="B682" s="332" t="s">
        <v>87</v>
      </c>
      <c r="D682" s="344"/>
      <c r="E682" s="196"/>
    </row>
    <row r="683" spans="1:9">
      <c r="A683" s="333">
        <v>18</v>
      </c>
      <c r="C683" s="332" t="str">
        <f>'FR-16(7)(v)-1 Functional'!C683</f>
        <v>LONG TERM DEBT</v>
      </c>
      <c r="D683" s="344"/>
      <c r="E683" s="196"/>
      <c r="F683" s="350">
        <f>ROUND(G668*F676,5)</f>
        <v>1.8620000000000001E-2</v>
      </c>
      <c r="G683" s="520"/>
      <c r="H683" s="520"/>
      <c r="I683" s="520"/>
    </row>
    <row r="684" spans="1:9">
      <c r="A684" s="333">
        <v>19</v>
      </c>
      <c r="C684" s="332" t="str">
        <f>'FR-16(7)(v)-1 Functional'!C684</f>
        <v>PREFERRED STOCK</v>
      </c>
      <c r="D684" s="344"/>
      <c r="E684" s="196"/>
      <c r="F684" s="350">
        <f>ROUND(G669*F677,5)</f>
        <v>0</v>
      </c>
      <c r="G684" s="520"/>
      <c r="H684" s="520"/>
      <c r="I684" s="520"/>
    </row>
    <row r="685" spans="1:9">
      <c r="A685" s="333">
        <v>20</v>
      </c>
      <c r="C685" s="332" t="str">
        <f>'FR-16(7)(v)-1 Functional'!C685</f>
        <v>COMMON STOCK</v>
      </c>
      <c r="D685" s="344"/>
      <c r="E685" s="196"/>
      <c r="F685" s="350">
        <f>ROUND(G670*F678,5)</f>
        <v>5.0250000000000003E-2</v>
      </c>
      <c r="G685" s="520"/>
      <c r="H685" s="520"/>
      <c r="I685" s="520"/>
    </row>
    <row r="686" spans="1:9">
      <c r="A686" s="333">
        <v>21</v>
      </c>
      <c r="C686" s="332" t="str">
        <f>'FR-16(7)(v)-1 Functional'!C686</f>
        <v>SHORT TERM DEBT</v>
      </c>
      <c r="D686" s="344"/>
      <c r="E686" s="196"/>
      <c r="F686" s="350">
        <f>ROUND(G671*F679,5)</f>
        <v>2.9399999999999999E-3</v>
      </c>
      <c r="G686" s="520"/>
      <c r="H686" s="520"/>
      <c r="I686" s="520"/>
    </row>
    <row r="687" spans="1:9">
      <c r="A687" s="333">
        <v>22</v>
      </c>
      <c r="C687" s="332" t="str">
        <f>'FR-16(7)(v)-1 Functional'!C687</f>
        <v>UNAMORTIZED DISCOUNT</v>
      </c>
      <c r="D687" s="344"/>
      <c r="E687" s="196"/>
      <c r="F687" s="350">
        <f>ROUND(G672*F680,5)</f>
        <v>0</v>
      </c>
      <c r="G687" s="520"/>
      <c r="H687" s="520"/>
      <c r="I687" s="520"/>
    </row>
    <row r="688" spans="1:9">
      <c r="A688" s="333">
        <v>23</v>
      </c>
      <c r="C688" s="332" t="str">
        <f>'FR-16(7)(v)-1 Functional'!C688</f>
        <v xml:space="preserve">  TOT RATE OF RETURN ALLOWABLE</v>
      </c>
      <c r="D688" s="344"/>
      <c r="E688" s="196"/>
      <c r="F688" s="1487">
        <f>SUM(F683:F687)</f>
        <v>7.1809999999999999E-2</v>
      </c>
      <c r="G688" s="524"/>
      <c r="H688" s="524"/>
      <c r="I688" s="524"/>
    </row>
    <row r="689" spans="1:15">
      <c r="A689" s="333">
        <v>24</v>
      </c>
      <c r="D689" s="344"/>
      <c r="E689" s="196"/>
    </row>
    <row r="690" spans="1:15">
      <c r="A690" s="333">
        <v>25</v>
      </c>
      <c r="B690" s="332" t="s">
        <v>88</v>
      </c>
      <c r="D690" s="344"/>
      <c r="E690" s="196"/>
      <c r="F690" s="365"/>
    </row>
    <row r="691" spans="1:15">
      <c r="A691" s="333">
        <v>26</v>
      </c>
      <c r="C691" s="332" t="str">
        <f>'FR-16(7)(v)-1 Functional'!C691</f>
        <v>SHORT TERM DEBT COST</v>
      </c>
      <c r="D691" s="344"/>
      <c r="E691" s="196"/>
      <c r="F691" s="766">
        <v>0</v>
      </c>
      <c r="G691" s="525">
        <f>$F$691</f>
        <v>0</v>
      </c>
      <c r="H691" s="525">
        <f>$F$691</f>
        <v>0</v>
      </c>
      <c r="I691" s="525">
        <f>$F$691</f>
        <v>0</v>
      </c>
      <c r="J691" s="525">
        <f>$F$691</f>
        <v>0</v>
      </c>
      <c r="K691" s="525">
        <f>$F$691</f>
        <v>0</v>
      </c>
    </row>
    <row r="692" spans="1:15">
      <c r="A692" s="333">
        <v>27</v>
      </c>
      <c r="C692" s="332" t="str">
        <f>'FR-16(7)(v)-1 Functional'!C692</f>
        <v>FEDERAL INCOME TAX RATE</v>
      </c>
      <c r="D692" s="344"/>
      <c r="E692" s="196"/>
      <c r="F692" s="525">
        <f t="shared" ref="F692:K692" si="158">FIT</f>
        <v>0.21</v>
      </c>
      <c r="G692" s="525">
        <f t="shared" si="158"/>
        <v>0.21</v>
      </c>
      <c r="H692" s="525">
        <f t="shared" si="158"/>
        <v>0.21</v>
      </c>
      <c r="I692" s="525">
        <f t="shared" si="158"/>
        <v>0.21</v>
      </c>
      <c r="J692" s="525">
        <f t="shared" si="158"/>
        <v>0.21</v>
      </c>
      <c r="K692" s="525">
        <f t="shared" si="158"/>
        <v>0.21</v>
      </c>
    </row>
    <row r="693" spans="1:15">
      <c r="A693" s="333">
        <v>28</v>
      </c>
      <c r="C693" s="332" t="str">
        <f>'FR-16(7)(v)-1 Functional'!C693</f>
        <v>STATE INCOME TAX RATE</v>
      </c>
      <c r="D693" s="344"/>
      <c r="E693" s="196"/>
      <c r="F693" s="525">
        <f t="shared" ref="F693:K693" si="159">SIT</f>
        <v>4.9685000000000007E-2</v>
      </c>
      <c r="G693" s="525">
        <f t="shared" si="159"/>
        <v>4.9685000000000007E-2</v>
      </c>
      <c r="H693" s="525">
        <f t="shared" si="159"/>
        <v>4.9685000000000007E-2</v>
      </c>
      <c r="I693" s="525">
        <f t="shared" si="159"/>
        <v>4.9685000000000007E-2</v>
      </c>
      <c r="J693" s="525">
        <f t="shared" si="159"/>
        <v>4.9685000000000007E-2</v>
      </c>
      <c r="K693" s="525">
        <f t="shared" si="159"/>
        <v>4.9685000000000007E-2</v>
      </c>
    </row>
    <row r="694" spans="1:15">
      <c r="A694" s="333">
        <v>29</v>
      </c>
      <c r="C694" s="332" t="str">
        <f>'FR-16(7)(v)-1 Functional'!C694</f>
        <v>REVENUE TAX RATE</v>
      </c>
      <c r="D694" s="344"/>
      <c r="E694" s="196"/>
      <c r="F694" s="522">
        <v>0</v>
      </c>
      <c r="G694" s="525">
        <f>RevTax</f>
        <v>0</v>
      </c>
      <c r="H694" s="525">
        <f>RevTax</f>
        <v>0</v>
      </c>
      <c r="I694" s="525">
        <f>RevTax</f>
        <v>0</v>
      </c>
      <c r="J694" s="525">
        <f>RevTax</f>
        <v>0</v>
      </c>
      <c r="K694" s="525">
        <f>RevTax</f>
        <v>0</v>
      </c>
    </row>
    <row r="696" spans="1:15">
      <c r="A696" s="343" t="str">
        <f>co_name</f>
        <v>DUKE ENERGY KENTUCKY, INC.</v>
      </c>
      <c r="C696" s="196"/>
      <c r="D696" s="344"/>
      <c r="E696" s="196"/>
      <c r="F696" s="196"/>
      <c r="G696" s="196"/>
      <c r="H696" s="196"/>
      <c r="I696" s="196"/>
      <c r="J696" s="196" t="str">
        <f>$J$1</f>
        <v>FR-16(7)(v)-4</v>
      </c>
      <c r="K696" s="196"/>
    </row>
    <row r="697" spans="1:15">
      <c r="A697" s="343" t="str">
        <f>$A$2</f>
        <v>DISTRIBUTION CLASSIFIED - GAS COST OF SERVICE</v>
      </c>
      <c r="C697" s="196"/>
      <c r="D697" s="344"/>
      <c r="E697" s="196"/>
      <c r="F697" s="196"/>
      <c r="G697" s="196"/>
      <c r="H697" s="196"/>
      <c r="I697" s="196"/>
      <c r="J697" s="196" t="str">
        <f>$J$2</f>
        <v>WITNESS RESPONSIBLE:</v>
      </c>
      <c r="K697" s="196"/>
    </row>
    <row r="698" spans="1:15">
      <c r="A698" s="343" t="str">
        <f>case_name</f>
        <v>CASE NO: 2018-00261</v>
      </c>
      <c r="C698" s="196"/>
      <c r="D698" s="344"/>
      <c r="E698" s="196"/>
      <c r="F698" s="196"/>
      <c r="G698" s="196"/>
      <c r="H698" s="196"/>
      <c r="I698" s="196"/>
      <c r="J698" s="196" t="str">
        <f>Witness</f>
        <v>JAMES E. ZIOLKOWSKI</v>
      </c>
      <c r="K698" s="196"/>
    </row>
    <row r="699" spans="1:15">
      <c r="A699" s="343" t="str">
        <f>data_filing</f>
        <v>DATA: 12 MONTH FORECASTED PERIOD</v>
      </c>
      <c r="C699" s="196"/>
      <c r="D699" s="344"/>
      <c r="E699" s="196"/>
      <c r="F699" s="196"/>
      <c r="G699" s="196"/>
      <c r="H699" s="196"/>
      <c r="I699" s="196"/>
      <c r="J699" s="196" t="str">
        <f>"PAGE "&amp;Pages-2&amp;" OF "&amp;Pages</f>
        <v>PAGE 16 OF 18</v>
      </c>
      <c r="K699" s="196"/>
    </row>
    <row r="700" spans="1:15">
      <c r="A700" s="343" t="str">
        <f>type</f>
        <v xml:space="preserve">TYPE OF FILING: "X" ORIGINAL   UPDATED    REVISED  </v>
      </c>
      <c r="C700" s="196"/>
      <c r="D700" s="344"/>
      <c r="E700" s="196"/>
      <c r="F700" s="196"/>
      <c r="G700" s="196"/>
      <c r="H700" s="196"/>
      <c r="I700" s="196"/>
      <c r="J700" s="196"/>
      <c r="K700" s="196"/>
    </row>
    <row r="702" spans="1:15" ht="13.5" thickBot="1"/>
    <row r="703" spans="1:15">
      <c r="A703" s="344" t="s">
        <v>914</v>
      </c>
      <c r="B703" s="196"/>
      <c r="C703" s="196"/>
      <c r="D703" s="344"/>
      <c r="E703" s="344"/>
      <c r="F703" s="589" t="s">
        <v>229</v>
      </c>
      <c r="G703" s="671" t="s">
        <v>1005</v>
      </c>
      <c r="H703" s="672"/>
      <c r="I703" s="673"/>
      <c r="J703" s="344" t="s">
        <v>229</v>
      </c>
      <c r="K703" s="344" t="s">
        <v>342</v>
      </c>
      <c r="O703" s="751" t="s">
        <v>1005</v>
      </c>
    </row>
    <row r="704" spans="1:15">
      <c r="A704" s="346" t="s">
        <v>915</v>
      </c>
      <c r="B704" s="590" t="s">
        <v>89</v>
      </c>
      <c r="C704" s="345"/>
      <c r="D704" s="591" t="s">
        <v>1011</v>
      </c>
      <c r="E704" s="826" t="s">
        <v>337</v>
      </c>
      <c r="F704" s="355" t="s">
        <v>846</v>
      </c>
      <c r="G704" s="674" t="s">
        <v>847</v>
      </c>
      <c r="H704" s="675" t="s">
        <v>848</v>
      </c>
      <c r="I704" s="676" t="s">
        <v>849</v>
      </c>
      <c r="J704" s="346" t="s">
        <v>341</v>
      </c>
      <c r="K704" s="346" t="s">
        <v>340</v>
      </c>
      <c r="O704" s="752" t="s">
        <v>1008</v>
      </c>
    </row>
    <row r="705" spans="1:15">
      <c r="A705" s="196"/>
      <c r="B705" s="594"/>
      <c r="C705" s="845" t="s">
        <v>561</v>
      </c>
      <c r="D705" s="718"/>
      <c r="E705" s="786">
        <v>1</v>
      </c>
      <c r="F705" s="786">
        <v>2</v>
      </c>
      <c r="G705" s="823">
        <f>$G$10</f>
        <v>3</v>
      </c>
      <c r="H705" s="824">
        <f>$H$10</f>
        <v>4</v>
      </c>
      <c r="I705" s="825">
        <f>$I$10</f>
        <v>5</v>
      </c>
      <c r="O705" s="753"/>
    </row>
    <row r="706" spans="1:15">
      <c r="A706" s="344">
        <v>1</v>
      </c>
      <c r="B706" s="597" t="s">
        <v>90</v>
      </c>
      <c r="C706" s="490"/>
      <c r="D706" s="712"/>
      <c r="E706" s="712"/>
      <c r="F706" s="510"/>
      <c r="G706" s="677"/>
      <c r="H706" s="678"/>
      <c r="I706" s="679"/>
      <c r="O706" s="754"/>
    </row>
    <row r="707" spans="1:15">
      <c r="A707" s="344">
        <v>2</v>
      </c>
      <c r="C707" s="598" t="s">
        <v>221</v>
      </c>
      <c r="D707" s="723" t="s">
        <v>1012</v>
      </c>
      <c r="E707" s="713"/>
      <c r="F707" s="479">
        <f>'Alloc Factors Summary'!$D$16</f>
        <v>10485450</v>
      </c>
      <c r="G707" s="680">
        <f>'Alloc Factors Summary'!D16</f>
        <v>10485450</v>
      </c>
      <c r="H707" s="681">
        <v>0</v>
      </c>
      <c r="I707" s="682">
        <v>0</v>
      </c>
      <c r="J707" s="738">
        <f>SUM(G707:I707)</f>
        <v>10485450</v>
      </c>
      <c r="K707" s="501">
        <f>F707-J707</f>
        <v>0</v>
      </c>
      <c r="O707" s="753"/>
    </row>
    <row r="708" spans="1:15">
      <c r="A708" s="344">
        <v>3</v>
      </c>
      <c r="B708" s="196"/>
      <c r="C708" s="497" t="s">
        <v>355</v>
      </c>
      <c r="D708" s="589"/>
      <c r="E708" s="714" t="str">
        <f>'FR-16(7)(v)-1 Functional'!$E$708</f>
        <v>K201</v>
      </c>
      <c r="F708" s="649">
        <v>1</v>
      </c>
      <c r="G708" s="683">
        <f>ROUND(G707/(G707+H707+I707),5)</f>
        <v>1</v>
      </c>
      <c r="H708" s="684">
        <f>ROUND(H707/(G707+H707+I707),5)</f>
        <v>0</v>
      </c>
      <c r="I708" s="685">
        <f>ROUND(I707/(G707+H707+I707),5)</f>
        <v>0</v>
      </c>
      <c r="J708" s="739">
        <f t="shared" ref="J708:J742" si="160">SUM(G708:I708)</f>
        <v>1</v>
      </c>
      <c r="K708" s="737">
        <f t="shared" ref="K708:K742" si="161">F708-J708</f>
        <v>0</v>
      </c>
      <c r="O708" s="755">
        <f>SUM(G708:I708)</f>
        <v>1</v>
      </c>
    </row>
    <row r="709" spans="1:15">
      <c r="A709" s="344">
        <v>4</v>
      </c>
      <c r="C709" s="598" t="s">
        <v>862</v>
      </c>
      <c r="D709" s="723" t="s">
        <v>1012</v>
      </c>
      <c r="E709" s="729"/>
      <c r="F709" s="604">
        <v>100</v>
      </c>
      <c r="G709" s="750">
        <f>ROUND('Alloc Factors Summary'!$D$25*100,3)</f>
        <v>100</v>
      </c>
      <c r="H709" s="681">
        <v>0</v>
      </c>
      <c r="I709" s="682">
        <v>0</v>
      </c>
      <c r="J709" s="740">
        <f t="shared" si="160"/>
        <v>100</v>
      </c>
      <c r="K709" s="743">
        <f t="shared" si="161"/>
        <v>0</v>
      </c>
      <c r="O709" s="754"/>
    </row>
    <row r="710" spans="1:15">
      <c r="A710" s="344">
        <v>5</v>
      </c>
      <c r="B710" s="196"/>
      <c r="C710" s="497" t="s">
        <v>355</v>
      </c>
      <c r="D710" s="589"/>
      <c r="E710" s="714" t="str">
        <f>'FR-16(7)(v)-1 Functional'!$E$710</f>
        <v>K203</v>
      </c>
      <c r="F710" s="649">
        <v>1</v>
      </c>
      <c r="G710" s="683">
        <f>ROUND(G709/(G709+H709+I709),5)</f>
        <v>1</v>
      </c>
      <c r="H710" s="684">
        <f>ROUND(H709/(G709+H709+I709),5)</f>
        <v>0</v>
      </c>
      <c r="I710" s="685">
        <f>ROUND(I709/(G709+H709+I709),5)</f>
        <v>0</v>
      </c>
      <c r="J710" s="739">
        <f t="shared" si="160"/>
        <v>1</v>
      </c>
      <c r="K710" s="737">
        <f t="shared" si="161"/>
        <v>0</v>
      </c>
      <c r="O710" s="755">
        <f>SUM(G710:I710)</f>
        <v>1</v>
      </c>
    </row>
    <row r="711" spans="1:15">
      <c r="A711" s="344">
        <v>6</v>
      </c>
      <c r="C711" s="598" t="s">
        <v>863</v>
      </c>
      <c r="D711" s="723" t="s">
        <v>1012</v>
      </c>
      <c r="E711" s="729"/>
      <c r="F711" s="604">
        <v>100</v>
      </c>
      <c r="G711" s="750">
        <f>ROUND('Alloc Factors Summary'!$E25*100,3)</f>
        <v>100</v>
      </c>
      <c r="H711" s="681">
        <v>0</v>
      </c>
      <c r="I711" s="682">
        <v>0</v>
      </c>
      <c r="J711" s="740">
        <f t="shared" si="160"/>
        <v>100</v>
      </c>
      <c r="K711" s="743">
        <f t="shared" si="161"/>
        <v>0</v>
      </c>
      <c r="O711" s="754"/>
    </row>
    <row r="712" spans="1:15">
      <c r="A712" s="344">
        <v>7</v>
      </c>
      <c r="B712" s="196"/>
      <c r="C712" s="497" t="s">
        <v>355</v>
      </c>
      <c r="D712" s="589"/>
      <c r="E712" s="714" t="str">
        <f>'FR-16(7)(v)-1 Functional'!$E$712</f>
        <v>K205</v>
      </c>
      <c r="F712" s="649">
        <v>1</v>
      </c>
      <c r="G712" s="683">
        <f>ROUND(G711/(G711+H711+I711),5)</f>
        <v>1</v>
      </c>
      <c r="H712" s="684">
        <f>ROUND(H711/(G711+H711+I711),5)</f>
        <v>0</v>
      </c>
      <c r="I712" s="685">
        <f>ROUND(I711/(G711+H711+I711),5)</f>
        <v>0</v>
      </c>
      <c r="J712" s="739">
        <f t="shared" si="160"/>
        <v>1</v>
      </c>
      <c r="K712" s="737">
        <f t="shared" si="161"/>
        <v>0</v>
      </c>
      <c r="O712" s="755">
        <f>SUM(G712:I712)</f>
        <v>1</v>
      </c>
    </row>
    <row r="713" spans="1:15">
      <c r="A713" s="344">
        <v>8</v>
      </c>
      <c r="B713" s="196"/>
      <c r="C713" s="598" t="s">
        <v>406</v>
      </c>
      <c r="D713" s="723" t="s">
        <v>1012</v>
      </c>
      <c r="E713" s="729"/>
      <c r="F713" s="479">
        <f>'Alloc Factors Summary'!$D$34</f>
        <v>12030761</v>
      </c>
      <c r="G713" s="686">
        <v>0</v>
      </c>
      <c r="H713" s="687">
        <f>'Alloc Factors Summary'!$D34</f>
        <v>12030761</v>
      </c>
      <c r="I713" s="682">
        <v>0</v>
      </c>
      <c r="J713" s="738">
        <f t="shared" si="160"/>
        <v>12030761</v>
      </c>
      <c r="K713" s="501">
        <f t="shared" si="161"/>
        <v>0</v>
      </c>
      <c r="O713" s="753"/>
    </row>
    <row r="714" spans="1:15">
      <c r="A714" s="344">
        <v>9</v>
      </c>
      <c r="B714" s="196"/>
      <c r="C714" s="497" t="s">
        <v>355</v>
      </c>
      <c r="D714" s="589"/>
      <c r="E714" s="714" t="str">
        <f>'FR-16(7)(v)-1 Functional'!$E$714</f>
        <v>K300</v>
      </c>
      <c r="F714" s="649">
        <v>1</v>
      </c>
      <c r="G714" s="683">
        <f>ROUND(G713/(G713+H713+I713),5)</f>
        <v>0</v>
      </c>
      <c r="H714" s="684">
        <f>ROUND(H713/(G713+H713+I713),5)</f>
        <v>1</v>
      </c>
      <c r="I714" s="685">
        <f>ROUND(I713/(G713+H713+I713),5)</f>
        <v>0</v>
      </c>
      <c r="J714" s="739">
        <f t="shared" si="160"/>
        <v>1</v>
      </c>
      <c r="K714" s="737">
        <f t="shared" si="161"/>
        <v>0</v>
      </c>
      <c r="O714" s="755">
        <f>SUM(G714:I714)</f>
        <v>1</v>
      </c>
    </row>
    <row r="715" spans="1:15">
      <c r="A715" s="344">
        <v>10</v>
      </c>
      <c r="C715" s="598" t="s">
        <v>375</v>
      </c>
      <c r="D715" s="723" t="s">
        <v>1012</v>
      </c>
      <c r="E715" s="729"/>
      <c r="F715" s="479">
        <f>'Alloc Factors Summary'!$D$43</f>
        <v>10485450</v>
      </c>
      <c r="G715" s="686">
        <v>0</v>
      </c>
      <c r="H715" s="687">
        <f>'Alloc Factors Summary'!D43</f>
        <v>10485450</v>
      </c>
      <c r="I715" s="682">
        <v>0</v>
      </c>
      <c r="J715" s="738">
        <f t="shared" si="160"/>
        <v>10485450</v>
      </c>
      <c r="K715" s="501">
        <f t="shared" si="161"/>
        <v>0</v>
      </c>
      <c r="O715" s="754"/>
    </row>
    <row r="716" spans="1:15">
      <c r="A716" s="344">
        <v>11</v>
      </c>
      <c r="B716" s="196"/>
      <c r="C716" s="497" t="s">
        <v>355</v>
      </c>
      <c r="D716" s="589"/>
      <c r="E716" s="714" t="str">
        <f>'FR-16(7)(v)-1 Functional'!$E$716</f>
        <v>K301</v>
      </c>
      <c r="F716" s="649">
        <v>1</v>
      </c>
      <c r="G716" s="683">
        <f>ROUND(G715/(G715+H715+I715),5)</f>
        <v>0</v>
      </c>
      <c r="H716" s="684">
        <f>ROUND(H715/(G715+H715+I715),5)</f>
        <v>1</v>
      </c>
      <c r="I716" s="685">
        <f>ROUND(I715/(G715+H715+I715),5)</f>
        <v>0</v>
      </c>
      <c r="J716" s="739">
        <f t="shared" si="160"/>
        <v>1</v>
      </c>
      <c r="K716" s="737">
        <f t="shared" si="161"/>
        <v>0</v>
      </c>
      <c r="O716" s="755">
        <f>SUM(G716:I716)</f>
        <v>1</v>
      </c>
    </row>
    <row r="717" spans="1:15">
      <c r="A717" s="344">
        <v>12</v>
      </c>
      <c r="C717" s="598" t="s">
        <v>222</v>
      </c>
      <c r="D717" s="723" t="s">
        <v>1012</v>
      </c>
      <c r="E717" s="729"/>
      <c r="F717" s="479">
        <f>'Alloc Factors Summary'!$D$64</f>
        <v>98442</v>
      </c>
      <c r="G717" s="686">
        <v>0</v>
      </c>
      <c r="H717" s="681">
        <v>0</v>
      </c>
      <c r="I717" s="688">
        <f>'Alloc Factors Summary'!D64</f>
        <v>98442</v>
      </c>
      <c r="J717" s="740">
        <f t="shared" si="160"/>
        <v>98442</v>
      </c>
      <c r="K717" s="743">
        <f t="shared" si="161"/>
        <v>0</v>
      </c>
      <c r="O717" s="754"/>
    </row>
    <row r="718" spans="1:15">
      <c r="A718" s="344">
        <v>13</v>
      </c>
      <c r="B718" s="196"/>
      <c r="C718" s="497" t="s">
        <v>355</v>
      </c>
      <c r="D718" s="589"/>
      <c r="E718" s="714" t="str">
        <f>'FR-16(7)(v)-1 Functional'!$E$718</f>
        <v>K401</v>
      </c>
      <c r="F718" s="649">
        <v>1</v>
      </c>
      <c r="G718" s="683">
        <f>ROUND(G717/(G717+H717+I717),5)</f>
        <v>0</v>
      </c>
      <c r="H718" s="684">
        <f>ROUND(H717/(G717+H717+I717),5)</f>
        <v>0</v>
      </c>
      <c r="I718" s="685">
        <f>ROUND(I717/(G717+H717+I717),5)</f>
        <v>1</v>
      </c>
      <c r="J718" s="739">
        <f t="shared" si="160"/>
        <v>1</v>
      </c>
      <c r="K718" s="737">
        <f t="shared" si="161"/>
        <v>0</v>
      </c>
      <c r="O718" s="755">
        <f>SUM(G718:I718)</f>
        <v>1</v>
      </c>
    </row>
    <row r="719" spans="1:15">
      <c r="A719" s="344">
        <v>14</v>
      </c>
      <c r="C719" s="598" t="s">
        <v>223</v>
      </c>
      <c r="D719" s="723" t="s">
        <v>1012</v>
      </c>
      <c r="E719" s="729"/>
      <c r="F719" s="479">
        <f>'Alloc Factors Summary'!$F$76</f>
        <v>104676</v>
      </c>
      <c r="G719" s="686">
        <v>0</v>
      </c>
      <c r="H719" s="681">
        <v>0</v>
      </c>
      <c r="I719" s="688">
        <f>'Alloc Factors Summary'!F76</f>
        <v>104676</v>
      </c>
      <c r="J719" s="740">
        <f t="shared" si="160"/>
        <v>104676</v>
      </c>
      <c r="K719" s="743">
        <f t="shared" si="161"/>
        <v>0</v>
      </c>
      <c r="O719" s="754"/>
    </row>
    <row r="720" spans="1:15">
      <c r="A720" s="344">
        <v>15</v>
      </c>
      <c r="B720" s="196"/>
      <c r="C720" s="497" t="s">
        <v>355</v>
      </c>
      <c r="D720" s="589"/>
      <c r="E720" s="714" t="str">
        <f>'FR-16(7)(v)-1 Functional'!$E$720</f>
        <v>K403</v>
      </c>
      <c r="F720" s="649">
        <v>1</v>
      </c>
      <c r="G720" s="683">
        <f>ROUND(G719/(G719+H719+I719),5)</f>
        <v>0</v>
      </c>
      <c r="H720" s="684">
        <f>ROUND(H719/(G719+H719+I719),5)</f>
        <v>0</v>
      </c>
      <c r="I720" s="685">
        <f>ROUND(I719/(G719+H719+I719),5)</f>
        <v>1</v>
      </c>
      <c r="J720" s="739">
        <f t="shared" si="160"/>
        <v>1</v>
      </c>
      <c r="K720" s="737">
        <f t="shared" si="161"/>
        <v>0</v>
      </c>
      <c r="O720" s="755">
        <f>SUM(G720:I720)</f>
        <v>1</v>
      </c>
    </row>
    <row r="721" spans="1:15">
      <c r="A721" s="344">
        <v>16</v>
      </c>
      <c r="C721" s="598" t="s">
        <v>385</v>
      </c>
      <c r="D721" s="723" t="s">
        <v>1012</v>
      </c>
      <c r="E721" s="729"/>
      <c r="F721" s="479">
        <f>'Alloc Factors Summary'!$G$88</f>
        <v>3624077</v>
      </c>
      <c r="G721" s="686">
        <v>0</v>
      </c>
      <c r="H721" s="681">
        <v>0</v>
      </c>
      <c r="I721" s="688">
        <f>'Alloc Factors Summary'!G88</f>
        <v>3624077</v>
      </c>
      <c r="J721" s="740">
        <f t="shared" si="160"/>
        <v>3624077</v>
      </c>
      <c r="K721" s="743">
        <f t="shared" si="161"/>
        <v>0</v>
      </c>
      <c r="O721" s="754"/>
    </row>
    <row r="722" spans="1:15">
      <c r="A722" s="344">
        <v>17</v>
      </c>
      <c r="B722" s="196"/>
      <c r="C722" s="497" t="s">
        <v>355</v>
      </c>
      <c r="D722" s="589"/>
      <c r="E722" s="714" t="str">
        <f>'FR-16(7)(v)-1 Functional'!$E$722</f>
        <v>K405</v>
      </c>
      <c r="F722" s="649">
        <v>1</v>
      </c>
      <c r="G722" s="683">
        <f>ROUND(G721/(G721+H721+I721),5)</f>
        <v>0</v>
      </c>
      <c r="H722" s="684">
        <f>ROUND(H721/(G721+H721+I721),5)</f>
        <v>0</v>
      </c>
      <c r="I722" s="685">
        <f>ROUND(I721/(G721+H721+I721),5)</f>
        <v>1</v>
      </c>
      <c r="J722" s="739">
        <f t="shared" si="160"/>
        <v>1</v>
      </c>
      <c r="K722" s="737">
        <f t="shared" si="161"/>
        <v>0</v>
      </c>
      <c r="O722" s="755">
        <f>SUM(G722:I722)</f>
        <v>1</v>
      </c>
    </row>
    <row r="723" spans="1:15">
      <c r="A723" s="344">
        <v>18</v>
      </c>
      <c r="C723" s="598" t="s">
        <v>373</v>
      </c>
      <c r="D723" s="723" t="s">
        <v>1012</v>
      </c>
      <c r="E723" s="729"/>
      <c r="F723" s="479">
        <f>'Alloc Factors Summary'!$D$98</f>
        <v>3920</v>
      </c>
      <c r="G723" s="686">
        <v>0</v>
      </c>
      <c r="H723" s="681">
        <v>0</v>
      </c>
      <c r="I723" s="688">
        <f>'Alloc Factors Summary'!D98</f>
        <v>3920</v>
      </c>
      <c r="J723" s="740">
        <f t="shared" si="160"/>
        <v>3920</v>
      </c>
      <c r="K723" s="743">
        <f t="shared" si="161"/>
        <v>0</v>
      </c>
      <c r="O723" s="754"/>
    </row>
    <row r="724" spans="1:15">
      <c r="A724" s="344">
        <v>19</v>
      </c>
      <c r="B724" s="196"/>
      <c r="C724" s="497" t="s">
        <v>355</v>
      </c>
      <c r="D724" s="589"/>
      <c r="E724" s="714" t="str">
        <f>'FR-16(7)(v)-1 Functional'!$E$724</f>
        <v>K406</v>
      </c>
      <c r="F724" s="649">
        <v>1</v>
      </c>
      <c r="G724" s="683">
        <f>ROUND(G723/(G723+H723+I723),5)</f>
        <v>0</v>
      </c>
      <c r="H724" s="684">
        <f>ROUND(H723/(G723+H723+I723),5)</f>
        <v>0</v>
      </c>
      <c r="I724" s="685">
        <f>ROUND(I723/(G723+H723+I723),5)</f>
        <v>1</v>
      </c>
      <c r="J724" s="739">
        <f t="shared" si="160"/>
        <v>1</v>
      </c>
      <c r="K724" s="737">
        <f t="shared" si="161"/>
        <v>0</v>
      </c>
      <c r="O724" s="755">
        <f>SUM(G724:I724)</f>
        <v>1</v>
      </c>
    </row>
    <row r="725" spans="1:15">
      <c r="A725" s="344">
        <v>20</v>
      </c>
      <c r="C725" s="598" t="s">
        <v>1035</v>
      </c>
      <c r="D725" s="723" t="s">
        <v>1012</v>
      </c>
      <c r="E725" s="729"/>
      <c r="F725" s="479">
        <f>'Alloc Factors Summary'!$G$108</f>
        <v>140653.00000000003</v>
      </c>
      <c r="G725" s="686">
        <v>0</v>
      </c>
      <c r="H725" s="681">
        <v>0</v>
      </c>
      <c r="I725" s="688">
        <f>'Alloc Factors Summary'!G108</f>
        <v>140653.00000000003</v>
      </c>
      <c r="J725" s="740">
        <f t="shared" si="160"/>
        <v>140653.00000000003</v>
      </c>
      <c r="K725" s="743">
        <f t="shared" si="161"/>
        <v>0</v>
      </c>
      <c r="O725" s="754"/>
    </row>
    <row r="726" spans="1:15">
      <c r="A726" s="344">
        <v>21</v>
      </c>
      <c r="B726" s="196"/>
      <c r="C726" s="497" t="s">
        <v>355</v>
      </c>
      <c r="D726" s="589"/>
      <c r="E726" s="714" t="str">
        <f>'FR-16(7)(v)-1 Functional'!$E$726</f>
        <v>K407</v>
      </c>
      <c r="F726" s="649">
        <v>1</v>
      </c>
      <c r="G726" s="683">
        <f>ROUND(G725/(G725+H725+I725),5)</f>
        <v>0</v>
      </c>
      <c r="H726" s="684">
        <f>ROUND(H725/(G725+H725+I725),5)</f>
        <v>0</v>
      </c>
      <c r="I726" s="685">
        <f>ROUND(I725/(G725+H725+I725),5)</f>
        <v>1</v>
      </c>
      <c r="J726" s="739">
        <f t="shared" si="160"/>
        <v>1</v>
      </c>
      <c r="K726" s="737">
        <f t="shared" si="161"/>
        <v>0</v>
      </c>
      <c r="O726" s="755">
        <f>SUM(G726:I726)</f>
        <v>1</v>
      </c>
    </row>
    <row r="727" spans="1:15">
      <c r="A727" s="344">
        <v>22</v>
      </c>
      <c r="C727" s="598" t="s">
        <v>1036</v>
      </c>
      <c r="D727" s="723" t="s">
        <v>1012</v>
      </c>
      <c r="E727" s="729"/>
      <c r="F727" s="479">
        <f>'Alloc Factors Summary'!$F$118</f>
        <v>7322</v>
      </c>
      <c r="G727" s="686">
        <v>0</v>
      </c>
      <c r="H727" s="681">
        <v>0</v>
      </c>
      <c r="I727" s="688">
        <f>'Alloc Factors Summary'!F118</f>
        <v>7322</v>
      </c>
      <c r="J727" s="740">
        <f t="shared" si="160"/>
        <v>7322</v>
      </c>
      <c r="K727" s="743">
        <f t="shared" si="161"/>
        <v>0</v>
      </c>
      <c r="O727" s="754"/>
    </row>
    <row r="728" spans="1:15">
      <c r="A728" s="344">
        <v>23</v>
      </c>
      <c r="B728" s="196"/>
      <c r="C728" s="497" t="s">
        <v>355</v>
      </c>
      <c r="D728" s="589"/>
      <c r="E728" s="714" t="str">
        <f>'FR-16(7)(v)-1 Functional'!$E$728</f>
        <v>K408</v>
      </c>
      <c r="F728" s="649">
        <v>1</v>
      </c>
      <c r="G728" s="683">
        <f>ROUND(G727/(G727+H727+I727),5)</f>
        <v>0</v>
      </c>
      <c r="H728" s="684">
        <f>ROUND(H727/(G727+H727+I727),5)</f>
        <v>0</v>
      </c>
      <c r="I728" s="685">
        <f>ROUND(I727/(G727+H727+I727),5)</f>
        <v>1</v>
      </c>
      <c r="J728" s="739">
        <f t="shared" si="160"/>
        <v>1</v>
      </c>
      <c r="K728" s="737">
        <f t="shared" si="161"/>
        <v>0</v>
      </c>
      <c r="O728" s="755">
        <f>SUM(G728:I728)</f>
        <v>1</v>
      </c>
    </row>
    <row r="729" spans="1:15">
      <c r="A729" s="344">
        <v>24</v>
      </c>
      <c r="C729" s="598" t="s">
        <v>224</v>
      </c>
      <c r="D729" s="723" t="s">
        <v>1012</v>
      </c>
      <c r="E729" s="729"/>
      <c r="F729" s="479">
        <f>'Alloc Factors Summary'!$D$141</f>
        <v>22926071</v>
      </c>
      <c r="G729" s="686">
        <v>0</v>
      </c>
      <c r="H729" s="681">
        <v>0</v>
      </c>
      <c r="I729" s="688">
        <f>'Alloc Factors Summary'!D141</f>
        <v>22926071</v>
      </c>
      <c r="J729" s="740">
        <f t="shared" si="160"/>
        <v>22926071</v>
      </c>
      <c r="K729" s="743">
        <f t="shared" si="161"/>
        <v>0</v>
      </c>
      <c r="O729" s="754"/>
    </row>
    <row r="730" spans="1:15">
      <c r="A730" s="344">
        <v>25</v>
      </c>
      <c r="B730" s="196"/>
      <c r="C730" s="497" t="s">
        <v>355</v>
      </c>
      <c r="D730" s="589"/>
      <c r="E730" s="714" t="str">
        <f>'FR-16(7)(v)-1 Functional'!$E$730</f>
        <v>K413</v>
      </c>
      <c r="F730" s="649">
        <v>1</v>
      </c>
      <c r="G730" s="683">
        <f>ROUND(G729/(G729+H729+I729),5)</f>
        <v>0</v>
      </c>
      <c r="H730" s="684">
        <f>ROUND(H729/(G729+H729+I729),5)</f>
        <v>0</v>
      </c>
      <c r="I730" s="685">
        <f>ROUND(I729/(G729+H729+I729),5)</f>
        <v>1</v>
      </c>
      <c r="J730" s="739">
        <f t="shared" si="160"/>
        <v>1</v>
      </c>
      <c r="K730" s="737">
        <f t="shared" si="161"/>
        <v>0</v>
      </c>
      <c r="O730" s="755">
        <f>SUM(G730:I730)</f>
        <v>1</v>
      </c>
    </row>
    <row r="731" spans="1:15">
      <c r="A731" s="344">
        <v>26</v>
      </c>
      <c r="C731" s="669" t="s">
        <v>1014</v>
      </c>
      <c r="D731" s="723" t="s">
        <v>1012</v>
      </c>
      <c r="E731" s="729"/>
      <c r="F731" s="609">
        <f>ROUND('Alloc Factors Summary'!H171*100,0)</f>
        <v>100</v>
      </c>
      <c r="G731" s="680">
        <f>ROUND('WP FR-16(7)(v)-Mains (Plastic)'!H39*100,0)</f>
        <v>84</v>
      </c>
      <c r="H731" s="681">
        <v>0</v>
      </c>
      <c r="I731" s="688">
        <f>ROUND('WP FR-16(7)(v)-Mains (Plastic)'!H37*100,0)</f>
        <v>16</v>
      </c>
      <c r="J731" s="740">
        <f t="shared" si="160"/>
        <v>100</v>
      </c>
      <c r="K731" s="743">
        <f t="shared" si="161"/>
        <v>0</v>
      </c>
      <c r="O731" s="754"/>
    </row>
    <row r="732" spans="1:15">
      <c r="A732" s="344">
        <v>27</v>
      </c>
      <c r="B732" s="196"/>
      <c r="C732" s="497" t="s">
        <v>355</v>
      </c>
      <c r="D732" s="589"/>
      <c r="E732" s="714" t="str">
        <f>'FR-16(7)(v)-1 Functional'!$E$732</f>
        <v>K415</v>
      </c>
      <c r="F732" s="649">
        <v>1</v>
      </c>
      <c r="G732" s="683">
        <f>ROUND(G731/(G731+H731+I731),5)</f>
        <v>0.84</v>
      </c>
      <c r="H732" s="684">
        <f>ROUND(H731/(G731+H731+I731),5)</f>
        <v>0</v>
      </c>
      <c r="I732" s="685">
        <f>ROUND(I731/(G731+H731+I731),5)</f>
        <v>0.16</v>
      </c>
      <c r="J732" s="739">
        <f t="shared" si="160"/>
        <v>1</v>
      </c>
      <c r="K732" s="737">
        <f t="shared" si="161"/>
        <v>0</v>
      </c>
      <c r="O732" s="755">
        <f>SUM(G732:I732)</f>
        <v>1</v>
      </c>
    </row>
    <row r="733" spans="1:15">
      <c r="A733" s="344">
        <v>28</v>
      </c>
      <c r="C733" s="598" t="s">
        <v>376</v>
      </c>
      <c r="D733" s="723" t="s">
        <v>1012</v>
      </c>
      <c r="E733" s="729"/>
      <c r="F733" s="479">
        <f>'Alloc Factors Summary'!$D$151</f>
        <v>138304</v>
      </c>
      <c r="G733" s="686">
        <v>0</v>
      </c>
      <c r="H733" s="681">
        <v>0</v>
      </c>
      <c r="I733" s="688">
        <f>'Alloc Factors Summary'!D151</f>
        <v>138304</v>
      </c>
      <c r="J733" s="740">
        <f t="shared" si="160"/>
        <v>138304</v>
      </c>
      <c r="K733" s="743">
        <f t="shared" si="161"/>
        <v>0</v>
      </c>
      <c r="O733" s="754"/>
    </row>
    <row r="734" spans="1:15">
      <c r="A734" s="344">
        <v>29</v>
      </c>
      <c r="B734" s="196"/>
      <c r="C734" s="497" t="s">
        <v>355</v>
      </c>
      <c r="D734" s="589"/>
      <c r="E734" s="714" t="str">
        <f>'FR-16(7)(v)-1 Functional'!$E$734</f>
        <v>K417</v>
      </c>
      <c r="F734" s="649">
        <v>1</v>
      </c>
      <c r="G734" s="683">
        <f>ROUND(G733/(G733+H733+I733),5)</f>
        <v>0</v>
      </c>
      <c r="H734" s="684">
        <f>ROUND(H733/(G733+H733+I733),5)</f>
        <v>0</v>
      </c>
      <c r="I734" s="685">
        <f>ROUND(I733/(G733+H733+I733),5)</f>
        <v>1</v>
      </c>
      <c r="J734" s="739">
        <f t="shared" si="160"/>
        <v>1</v>
      </c>
      <c r="K734" s="737">
        <f t="shared" si="161"/>
        <v>0</v>
      </c>
      <c r="O734" s="755">
        <f>SUM(G734:I734)</f>
        <v>1</v>
      </c>
    </row>
    <row r="735" spans="1:15">
      <c r="A735" s="344">
        <v>30</v>
      </c>
      <c r="B735" s="491"/>
      <c r="C735" s="598" t="s">
        <v>226</v>
      </c>
      <c r="D735" s="723" t="s">
        <v>1012</v>
      </c>
      <c r="E735" s="745"/>
      <c r="F735" s="349">
        <f>'Alloc Factors Summary'!$D$62+'Alloc Factors Summary'!$D$63</f>
        <v>117</v>
      </c>
      <c r="G735" s="686">
        <v>0</v>
      </c>
      <c r="H735" s="681">
        <v>0</v>
      </c>
      <c r="I735" s="682">
        <f>F735</f>
        <v>117</v>
      </c>
      <c r="J735" s="740">
        <f t="shared" si="160"/>
        <v>117</v>
      </c>
      <c r="K735" s="743">
        <f t="shared" si="161"/>
        <v>0</v>
      </c>
      <c r="O735" s="756"/>
    </row>
    <row r="736" spans="1:15">
      <c r="A736" s="344">
        <v>31</v>
      </c>
      <c r="B736" s="196"/>
      <c r="C736" s="497" t="str">
        <f>C734</f>
        <v>RATIO TO TOTAL GAS</v>
      </c>
      <c r="D736" s="589"/>
      <c r="E736" s="714" t="str">
        <f>'FR-16(7)(v)-1 Functional'!$E$736</f>
        <v>K431</v>
      </c>
      <c r="F736" s="350">
        <v>1</v>
      </c>
      <c r="G736" s="683">
        <f>ROUND(G735/(G735+H735+I735),5)</f>
        <v>0</v>
      </c>
      <c r="H736" s="684">
        <f>ROUND(H735/(G735+H735+I735),5)</f>
        <v>0</v>
      </c>
      <c r="I736" s="685">
        <f>ROUND(I735/(G735+H735+I735),5)</f>
        <v>1</v>
      </c>
      <c r="J736" s="739">
        <f t="shared" si="160"/>
        <v>1</v>
      </c>
      <c r="K736" s="737">
        <f t="shared" si="161"/>
        <v>0</v>
      </c>
      <c r="O736" s="755">
        <f>SUM(G736:I736)</f>
        <v>1</v>
      </c>
    </row>
    <row r="737" spans="1:15">
      <c r="A737" s="344">
        <v>32</v>
      </c>
      <c r="C737" s="608" t="s">
        <v>407</v>
      </c>
      <c r="D737" s="723" t="s">
        <v>1012</v>
      </c>
      <c r="E737" s="729"/>
      <c r="F737" s="479">
        <f>'Alloc Factors Summary'!$D$159</f>
        <v>3688683</v>
      </c>
      <c r="G737" s="680">
        <f>'Alloc Factors Summary'!D159</f>
        <v>3688683</v>
      </c>
      <c r="H737" s="681">
        <v>0</v>
      </c>
      <c r="I737" s="682">
        <v>0</v>
      </c>
      <c r="J737" s="740">
        <f t="shared" si="160"/>
        <v>3688683</v>
      </c>
      <c r="K737" s="743">
        <f t="shared" si="161"/>
        <v>0</v>
      </c>
      <c r="O737" s="757"/>
    </row>
    <row r="738" spans="1:15">
      <c r="A738" s="344">
        <v>33</v>
      </c>
      <c r="B738" s="196"/>
      <c r="C738" s="497" t="s">
        <v>355</v>
      </c>
      <c r="D738" s="589"/>
      <c r="E738" s="714" t="str">
        <f>'FR-16(7)(v)-1 Functional'!$E$738</f>
        <v>K595</v>
      </c>
      <c r="F738" s="649">
        <v>1</v>
      </c>
      <c r="G738" s="683">
        <f>ROUND(G737/(G737+H737+I737),5)</f>
        <v>1</v>
      </c>
      <c r="H738" s="684">
        <f>ROUND(H737/(G737+H737+I737),5)</f>
        <v>0</v>
      </c>
      <c r="I738" s="685">
        <f>ROUND(I737/(G737+H737+I737),5)</f>
        <v>0</v>
      </c>
      <c r="J738" s="739">
        <f t="shared" si="160"/>
        <v>1</v>
      </c>
      <c r="K738" s="737">
        <f t="shared" si="161"/>
        <v>0</v>
      </c>
      <c r="O738" s="755">
        <f>SUM(G738:I738)</f>
        <v>1</v>
      </c>
    </row>
    <row r="739" spans="1:15">
      <c r="A739" s="344">
        <v>34</v>
      </c>
      <c r="B739" s="599"/>
      <c r="C739" s="598" t="s">
        <v>225</v>
      </c>
      <c r="D739" s="723" t="s">
        <v>1012</v>
      </c>
      <c r="E739" s="729"/>
      <c r="F739" s="476">
        <v>1</v>
      </c>
      <c r="G739" s="689">
        <v>1</v>
      </c>
      <c r="H739" s="681">
        <v>0</v>
      </c>
      <c r="I739" s="682">
        <v>0</v>
      </c>
      <c r="J739" s="740">
        <f t="shared" si="160"/>
        <v>1</v>
      </c>
      <c r="K739" s="743">
        <f t="shared" si="161"/>
        <v>0</v>
      </c>
      <c r="O739" s="757"/>
    </row>
    <row r="740" spans="1:15">
      <c r="A740" s="344">
        <v>35</v>
      </c>
      <c r="B740" s="196"/>
      <c r="C740" s="497" t="s">
        <v>355</v>
      </c>
      <c r="D740" s="589"/>
      <c r="E740" s="714" t="str">
        <f>'FR-16(7)(v)-1 Functional'!$E$740</f>
        <v>K597</v>
      </c>
      <c r="F740" s="649">
        <v>1</v>
      </c>
      <c r="G740" s="683">
        <f>ROUND(G739/(G739+H739+I739),5)</f>
        <v>1</v>
      </c>
      <c r="H740" s="684">
        <f>ROUND(H739/(G739+H739+I739),5)</f>
        <v>0</v>
      </c>
      <c r="I740" s="685">
        <f>ROUND(I739/(G739+H739+I739),5)</f>
        <v>0</v>
      </c>
      <c r="J740" s="739">
        <f t="shared" si="160"/>
        <v>1</v>
      </c>
      <c r="K740" s="737">
        <f t="shared" si="161"/>
        <v>0</v>
      </c>
      <c r="O740" s="755">
        <f>SUM(G740:I740)</f>
        <v>1</v>
      </c>
    </row>
    <row r="741" spans="1:15">
      <c r="A741" s="344">
        <v>36</v>
      </c>
      <c r="C741" s="598" t="s">
        <v>433</v>
      </c>
      <c r="D741" s="627"/>
      <c r="E741" s="746"/>
      <c r="F741" s="494">
        <v>1</v>
      </c>
      <c r="G741" s="689">
        <v>1</v>
      </c>
      <c r="H741" s="681">
        <v>0</v>
      </c>
      <c r="I741" s="682">
        <v>0</v>
      </c>
      <c r="J741" s="740">
        <f t="shared" si="160"/>
        <v>1</v>
      </c>
      <c r="K741" s="743">
        <f t="shared" si="161"/>
        <v>0</v>
      </c>
      <c r="O741" s="754"/>
    </row>
    <row r="742" spans="1:15">
      <c r="A742" s="344">
        <v>37</v>
      </c>
      <c r="C742" s="497" t="s">
        <v>355</v>
      </c>
      <c r="D742" s="589"/>
      <c r="E742" s="714" t="str">
        <f>'FR-16(7)(v)-1 Functional'!$E$742</f>
        <v>K903</v>
      </c>
      <c r="F742" s="648">
        <v>1</v>
      </c>
      <c r="G742" s="683">
        <f>ROUND(G741/(G741+H741+I741),5)</f>
        <v>1</v>
      </c>
      <c r="H742" s="684">
        <f>ROUND(H741/(G741+H741+I741),5)</f>
        <v>0</v>
      </c>
      <c r="I742" s="685">
        <f>ROUND(I741/(G741+H741+I741),5)</f>
        <v>0</v>
      </c>
      <c r="J742" s="739">
        <f t="shared" si="160"/>
        <v>1</v>
      </c>
      <c r="K742" s="737">
        <f t="shared" si="161"/>
        <v>0</v>
      </c>
      <c r="O742" s="755">
        <f>SUM(G742:I742)</f>
        <v>1</v>
      </c>
    </row>
    <row r="743" spans="1:15">
      <c r="A743" s="344">
        <v>38</v>
      </c>
      <c r="B743" s="365"/>
      <c r="C743" s="365"/>
      <c r="D743" s="724"/>
      <c r="E743" s="333"/>
      <c r="G743" s="690"/>
      <c r="H743" s="691"/>
      <c r="I743" s="692"/>
      <c r="J743" s="741"/>
      <c r="K743" s="532"/>
      <c r="O743" s="758"/>
    </row>
    <row r="744" spans="1:15">
      <c r="A744" s="344">
        <v>39</v>
      </c>
      <c r="C744" s="598" t="s">
        <v>108</v>
      </c>
      <c r="D744" s="344" t="str">
        <f>'FR-16(7)(v)-1 Functional'!$D$744</f>
        <v>CS09</v>
      </c>
      <c r="E744" s="714" t="str">
        <f>'FR-16(7)(v)-1 Functional'!$E$744</f>
        <v>R600</v>
      </c>
      <c r="F744" s="479">
        <f>'FR-16(7)(v)-1 Functional'!I744</f>
        <v>58965089</v>
      </c>
      <c r="G744" s="696">
        <f>ROUND(F744*VLOOKUP(D744,Alloctable_Classified_Distribution,$G$10,FALSE),0)</f>
        <v>30193663</v>
      </c>
      <c r="H744" s="697">
        <f>ROUND(F744*VLOOKUP(D744,Alloctable_Classified_Distribution,$H$10,FALSE),0)</f>
        <v>0</v>
      </c>
      <c r="I744" s="698">
        <f>ROUND(F744*VLOOKUP(D744,Alloctable_Classified_Distribution,$I$10,FALSE),0)</f>
        <v>28771426</v>
      </c>
      <c r="J744" s="742">
        <f>SUM(G744:I744)</f>
        <v>58965089</v>
      </c>
      <c r="K744" s="670">
        <f>F744-J744</f>
        <v>0</v>
      </c>
      <c r="M744" s="659" t="s">
        <v>1204</v>
      </c>
      <c r="O744" s="754"/>
    </row>
    <row r="745" spans="1:15">
      <c r="A745" s="344">
        <v>40</v>
      </c>
      <c r="C745" s="598" t="s">
        <v>850</v>
      </c>
      <c r="D745" s="344" t="str">
        <f>'FR-16(7)(v)-1 Functional'!$D$745</f>
        <v>CS09</v>
      </c>
      <c r="E745" s="714" t="str">
        <f>'FR-16(7)(v)-1 Functional'!$E$745</f>
        <v>R602</v>
      </c>
      <c r="F745" s="479">
        <f>'FR-16(7)(v)-1 Functional'!I745</f>
        <v>58965089</v>
      </c>
      <c r="G745" s="699">
        <f>ROUND(F745*VLOOKUP(D745,Alloctable_Classified_Distribution,$G$10,FALSE),0)</f>
        <v>30193663</v>
      </c>
      <c r="H745" s="700">
        <f>ROUND(F745*VLOOKUP(D745,Alloctable_Classified_Distribution,$H$10,FALSE),0)</f>
        <v>0</v>
      </c>
      <c r="I745" s="701">
        <f>ROUND(F745*VLOOKUP(D745,Alloctable_Classified_Distribution,$I$10,FALSE),0)</f>
        <v>28771426</v>
      </c>
      <c r="J745" s="742">
        <f>SUM(G745:I745)</f>
        <v>58965089</v>
      </c>
      <c r="K745" s="670">
        <f>F745-J745</f>
        <v>0</v>
      </c>
      <c r="M745" s="659" t="s">
        <v>1205</v>
      </c>
      <c r="O745" s="755"/>
    </row>
    <row r="746" spans="1:15">
      <c r="E746" s="333"/>
      <c r="O746" s="755"/>
    </row>
    <row r="747" spans="1:15">
      <c r="A747" s="343" t="str">
        <f>co_name</f>
        <v>DUKE ENERGY KENTUCKY, INC.</v>
      </c>
      <c r="C747" s="196"/>
      <c r="D747" s="344"/>
      <c r="E747" s="196"/>
      <c r="F747" s="196"/>
      <c r="G747" s="196"/>
      <c r="H747" s="196"/>
      <c r="I747" s="196"/>
      <c r="J747" s="196" t="str">
        <f>$J$1</f>
        <v>FR-16(7)(v)-4</v>
      </c>
      <c r="K747" s="196"/>
      <c r="O747" s="754"/>
    </row>
    <row r="748" spans="1:15">
      <c r="A748" s="343" t="str">
        <f>$A$2</f>
        <v>DISTRIBUTION CLASSIFIED - GAS COST OF SERVICE</v>
      </c>
      <c r="C748" s="196"/>
      <c r="D748" s="344"/>
      <c r="E748" s="196"/>
      <c r="F748" s="196"/>
      <c r="G748" s="196"/>
      <c r="H748" s="196"/>
      <c r="I748" s="196"/>
      <c r="J748" s="196" t="str">
        <f>$J$2</f>
        <v>WITNESS RESPONSIBLE:</v>
      </c>
      <c r="K748" s="196"/>
      <c r="O748" s="754"/>
    </row>
    <row r="749" spans="1:15">
      <c r="A749" s="343" t="str">
        <f>case_name</f>
        <v>CASE NO: 2018-00261</v>
      </c>
      <c r="C749" s="196"/>
      <c r="D749" s="344"/>
      <c r="E749" s="196"/>
      <c r="F749" s="196"/>
      <c r="G749" s="196"/>
      <c r="H749" s="196"/>
      <c r="I749" s="196"/>
      <c r="J749" s="196" t="str">
        <f>Witness</f>
        <v>JAMES E. ZIOLKOWSKI</v>
      </c>
      <c r="K749" s="196"/>
      <c r="O749" s="754"/>
    </row>
    <row r="750" spans="1:15">
      <c r="A750" s="343" t="str">
        <f>data_filing</f>
        <v>DATA: 12 MONTH FORECASTED PERIOD</v>
      </c>
      <c r="C750" s="196"/>
      <c r="D750" s="344"/>
      <c r="E750" s="196"/>
      <c r="F750" s="196"/>
      <c r="G750" s="196"/>
      <c r="H750" s="196"/>
      <c r="I750" s="196"/>
      <c r="J750" s="196" t="str">
        <f>"PAGE "&amp;Pages-1&amp;" OF "&amp;Pages</f>
        <v>PAGE 17 OF 18</v>
      </c>
      <c r="K750" s="196"/>
      <c r="O750" s="754"/>
    </row>
    <row r="751" spans="1:15">
      <c r="A751" s="343" t="str">
        <f>type</f>
        <v xml:space="preserve">TYPE OF FILING: "X" ORIGINAL   UPDATED    REVISED  </v>
      </c>
      <c r="C751" s="196"/>
      <c r="D751" s="344"/>
      <c r="E751" s="196"/>
      <c r="F751" s="196"/>
      <c r="G751" s="196"/>
      <c r="H751" s="196"/>
      <c r="I751" s="196"/>
      <c r="J751" s="196"/>
      <c r="K751" s="196"/>
      <c r="O751" s="754"/>
    </row>
    <row r="752" spans="1:15">
      <c r="B752" s="196"/>
      <c r="E752" s="333"/>
      <c r="G752" s="532"/>
      <c r="H752" s="532"/>
      <c r="I752" s="532"/>
      <c r="O752" s="754"/>
    </row>
    <row r="753" spans="1:15">
      <c r="B753" s="196"/>
      <c r="E753" s="333"/>
      <c r="G753" s="532"/>
      <c r="H753" s="532"/>
      <c r="I753" s="532"/>
      <c r="O753" s="754"/>
    </row>
    <row r="754" spans="1:15">
      <c r="A754" s="344" t="s">
        <v>914</v>
      </c>
      <c r="B754" s="196"/>
      <c r="C754" s="196"/>
      <c r="D754" s="344"/>
      <c r="E754" s="344"/>
      <c r="F754" s="589" t="s">
        <v>229</v>
      </c>
      <c r="G754" s="545" t="s">
        <v>1005</v>
      </c>
      <c r="H754" s="533"/>
      <c r="I754" s="534"/>
      <c r="J754" s="344" t="s">
        <v>229</v>
      </c>
      <c r="K754" s="344" t="s">
        <v>342</v>
      </c>
      <c r="O754" s="753"/>
    </row>
    <row r="755" spans="1:15">
      <c r="A755" s="346" t="s">
        <v>915</v>
      </c>
      <c r="B755" s="590" t="s">
        <v>89</v>
      </c>
      <c r="C755" s="345"/>
      <c r="D755" s="591" t="s">
        <v>1011</v>
      </c>
      <c r="E755" s="591" t="s">
        <v>337</v>
      </c>
      <c r="F755" s="346" t="s">
        <v>846</v>
      </c>
      <c r="G755" s="658" t="s">
        <v>847</v>
      </c>
      <c r="H755" s="655" t="s">
        <v>848</v>
      </c>
      <c r="I755" s="656" t="s">
        <v>849</v>
      </c>
      <c r="J755" s="346" t="s">
        <v>341</v>
      </c>
      <c r="K755" s="346" t="s">
        <v>340</v>
      </c>
      <c r="O755" s="753"/>
    </row>
    <row r="756" spans="1:15">
      <c r="C756" s="846" t="s">
        <v>562</v>
      </c>
      <c r="E756" s="633">
        <v>1</v>
      </c>
      <c r="F756" s="633">
        <v>2</v>
      </c>
      <c r="G756" s="800">
        <f>$G$10</f>
        <v>3</v>
      </c>
      <c r="H756" s="801">
        <f>$H$10</f>
        <v>4</v>
      </c>
      <c r="I756" s="802">
        <f>$I$10</f>
        <v>5</v>
      </c>
      <c r="O756" s="754"/>
    </row>
    <row r="757" spans="1:15">
      <c r="A757" s="344">
        <v>1</v>
      </c>
      <c r="B757" s="605"/>
      <c r="C757" s="660" t="s">
        <v>1022</v>
      </c>
      <c r="D757" s="725" t="s">
        <v>1013</v>
      </c>
      <c r="E757" s="716"/>
      <c r="F757" s="347">
        <f>F771</f>
        <v>285936571</v>
      </c>
      <c r="G757" s="696">
        <f>G771</f>
        <v>148411114</v>
      </c>
      <c r="H757" s="697">
        <f>H771</f>
        <v>0</v>
      </c>
      <c r="I757" s="698">
        <f>I771</f>
        <v>137525457</v>
      </c>
      <c r="J757" s="742">
        <f t="shared" ref="J757:J762" si="162">SUM(G757:I757)</f>
        <v>285936571</v>
      </c>
      <c r="K757" s="670">
        <f t="shared" ref="K757:K762" si="163">F757-J757</f>
        <v>0</v>
      </c>
      <c r="O757" s="757"/>
    </row>
    <row r="758" spans="1:15">
      <c r="A758" s="344">
        <v>2</v>
      </c>
      <c r="B758" s="196"/>
      <c r="C758" s="497" t="s">
        <v>355</v>
      </c>
      <c r="D758" s="589"/>
      <c r="E758" s="714" t="str">
        <f>'FR-16(7)(v)-1 Functional'!$E$758</f>
        <v>K667</v>
      </c>
      <c r="F758" s="648">
        <v>1</v>
      </c>
      <c r="G758" s="683">
        <f>ROUND(G757/(G757+H757+I757),5)</f>
        <v>0.51903999999999995</v>
      </c>
      <c r="H758" s="684">
        <f>ROUND(H757/(G757+H757+I757),5)</f>
        <v>0</v>
      </c>
      <c r="I758" s="685">
        <f>ROUND(I757/(G757+H757+I757),5)</f>
        <v>0.48096</v>
      </c>
      <c r="J758" s="737">
        <f t="shared" si="162"/>
        <v>1</v>
      </c>
      <c r="K758" s="737">
        <f t="shared" si="163"/>
        <v>0</v>
      </c>
      <c r="O758" s="755">
        <f>SUM(G758:I758)</f>
        <v>1</v>
      </c>
    </row>
    <row r="759" spans="1:15">
      <c r="A759" s="344">
        <v>3</v>
      </c>
      <c r="B759" s="605"/>
      <c r="C759" s="660" t="s">
        <v>1031</v>
      </c>
      <c r="D759" s="725" t="s">
        <v>1013</v>
      </c>
      <c r="E759" s="729"/>
      <c r="F759" s="347">
        <f>F778</f>
        <v>33539867</v>
      </c>
      <c r="G759" s="696">
        <f>G778</f>
        <v>0</v>
      </c>
      <c r="H759" s="697">
        <f>H778</f>
        <v>0</v>
      </c>
      <c r="I759" s="698">
        <f>I778</f>
        <v>33539867</v>
      </c>
      <c r="J759" s="670">
        <f t="shared" si="162"/>
        <v>33539867</v>
      </c>
      <c r="K759" s="670">
        <f t="shared" si="163"/>
        <v>0</v>
      </c>
      <c r="O759" s="754"/>
    </row>
    <row r="760" spans="1:15">
      <c r="A760" s="344">
        <v>4</v>
      </c>
      <c r="B760" s="196"/>
      <c r="C760" s="497" t="s">
        <v>355</v>
      </c>
      <c r="D760" s="589"/>
      <c r="E760" s="714" t="str">
        <f>'FR-16(7)(v)-1 Functional'!$E$760</f>
        <v>K697</v>
      </c>
      <c r="F760" s="648">
        <v>1</v>
      </c>
      <c r="G760" s="683">
        <f>ROUND(G759/(G759+H759+I759),5)</f>
        <v>0</v>
      </c>
      <c r="H760" s="684">
        <f>ROUND(H759/(G759+H759+I759),5)</f>
        <v>0</v>
      </c>
      <c r="I760" s="685">
        <f>ROUND(I759/(G759+H759+I759),5)</f>
        <v>1</v>
      </c>
      <c r="J760" s="737">
        <f t="shared" si="162"/>
        <v>1</v>
      </c>
      <c r="K760" s="737">
        <f t="shared" si="163"/>
        <v>0</v>
      </c>
      <c r="O760" s="755">
        <f>SUM(G760:I760)</f>
        <v>1</v>
      </c>
    </row>
    <row r="761" spans="1:15">
      <c r="A761" s="344">
        <v>5</v>
      </c>
      <c r="B761" s="606"/>
      <c r="C761" s="660" t="s">
        <v>108</v>
      </c>
      <c r="D761" s="725" t="s">
        <v>1013</v>
      </c>
      <c r="E761" s="729"/>
      <c r="F761" s="347">
        <f>F744</f>
        <v>58965089</v>
      </c>
      <c r="G761" s="696">
        <f>G744</f>
        <v>30193663</v>
      </c>
      <c r="H761" s="697">
        <f>H744</f>
        <v>0</v>
      </c>
      <c r="I761" s="698">
        <f>I744</f>
        <v>28771426</v>
      </c>
      <c r="J761" s="670">
        <f t="shared" si="162"/>
        <v>58965089</v>
      </c>
      <c r="K761" s="670">
        <f t="shared" si="163"/>
        <v>0</v>
      </c>
      <c r="O761" s="754"/>
    </row>
    <row r="762" spans="1:15">
      <c r="A762" s="344">
        <v>6</v>
      </c>
      <c r="B762" s="196"/>
      <c r="C762" s="497" t="s">
        <v>355</v>
      </c>
      <c r="D762" s="589"/>
      <c r="E762" s="714" t="str">
        <f>'FR-16(7)(v)-1 Functional'!$E$762</f>
        <v>K901</v>
      </c>
      <c r="F762" s="648">
        <v>1</v>
      </c>
      <c r="G762" s="683">
        <f>ROUND(G761/(G761+H761+I761),5)</f>
        <v>0.51205999999999996</v>
      </c>
      <c r="H762" s="684">
        <f>ROUND(H761/(G761+H761+I761),5)</f>
        <v>0</v>
      </c>
      <c r="I762" s="685">
        <f>1-SUM(G762:H762)</f>
        <v>0.48794000000000004</v>
      </c>
      <c r="J762" s="737">
        <f t="shared" si="162"/>
        <v>1</v>
      </c>
      <c r="K762" s="737">
        <f t="shared" si="163"/>
        <v>0</v>
      </c>
      <c r="O762" s="755">
        <f>SUM(G762:I762)</f>
        <v>1</v>
      </c>
    </row>
    <row r="763" spans="1:15">
      <c r="A763" s="344">
        <v>7</v>
      </c>
      <c r="C763" s="660" t="s">
        <v>850</v>
      </c>
      <c r="D763" s="725" t="s">
        <v>1013</v>
      </c>
      <c r="E763" s="729"/>
      <c r="F763" s="347">
        <f>F745</f>
        <v>58965089</v>
      </c>
      <c r="G763" s="696">
        <f>G745</f>
        <v>30193663</v>
      </c>
      <c r="H763" s="697">
        <f>H745</f>
        <v>0</v>
      </c>
      <c r="I763" s="698">
        <f>I745</f>
        <v>28771426</v>
      </c>
      <c r="J763" s="670">
        <f>SUM(G763:I763)</f>
        <v>58965089</v>
      </c>
      <c r="K763" s="670">
        <f>F763-J763</f>
        <v>0</v>
      </c>
      <c r="O763" s="758"/>
    </row>
    <row r="764" spans="1:15">
      <c r="A764" s="344">
        <v>8</v>
      </c>
      <c r="C764" s="497" t="s">
        <v>355</v>
      </c>
      <c r="D764" s="589"/>
      <c r="E764" s="714" t="s">
        <v>1201</v>
      </c>
      <c r="F764" s="648">
        <v>1</v>
      </c>
      <c r="G764" s="683">
        <f>ROUND(G763/(G763+H763+I763),5)</f>
        <v>0.51205999999999996</v>
      </c>
      <c r="H764" s="684">
        <f>ROUND(H763/(G763+H763+I763),5)</f>
        <v>0</v>
      </c>
      <c r="I764" s="685">
        <f>1-SUM(G764:H764)</f>
        <v>0.48794000000000004</v>
      </c>
      <c r="J764" s="737">
        <f>SUM(G764:I764)</f>
        <v>1</v>
      </c>
      <c r="K764" s="737">
        <f>F764-J764</f>
        <v>0</v>
      </c>
      <c r="O764" s="758"/>
    </row>
    <row r="765" spans="1:15">
      <c r="A765" s="344">
        <v>9</v>
      </c>
      <c r="E765" s="746"/>
      <c r="G765" s="690"/>
      <c r="H765" s="691"/>
      <c r="I765" s="692"/>
      <c r="J765" s="532"/>
      <c r="K765" s="532"/>
      <c r="O765" s="758"/>
    </row>
    <row r="766" spans="1:15">
      <c r="A766" s="344">
        <v>10</v>
      </c>
      <c r="B766" s="708" t="s">
        <v>92</v>
      </c>
      <c r="C766" s="709"/>
      <c r="D766" s="726"/>
      <c r="E766" s="729"/>
      <c r="F766" s="621"/>
      <c r="G766" s="693"/>
      <c r="H766" s="694"/>
      <c r="I766" s="695"/>
      <c r="J766" s="744"/>
      <c r="K766" s="744"/>
      <c r="O766" s="759"/>
    </row>
    <row r="767" spans="1:15">
      <c r="A767" s="344">
        <v>11</v>
      </c>
      <c r="B767" s="659"/>
      <c r="C767" s="660" t="s">
        <v>1025</v>
      </c>
      <c r="D767" s="725"/>
      <c r="E767" s="729"/>
      <c r="F767" s="347">
        <f>'FR-16(7)(v)-1 Functional'!$F$71</f>
        <v>283446655</v>
      </c>
      <c r="G767" s="696">
        <f t="shared" ref="G767:I768" si="164">G71</f>
        <v>238095190</v>
      </c>
      <c r="H767" s="697">
        <f t="shared" si="164"/>
        <v>0</v>
      </c>
      <c r="I767" s="698">
        <f t="shared" si="164"/>
        <v>45351465</v>
      </c>
      <c r="J767" s="670">
        <f>SUM(G767:I767)</f>
        <v>283446655</v>
      </c>
      <c r="K767" s="670">
        <f>F767-J767</f>
        <v>0</v>
      </c>
      <c r="O767" s="759"/>
    </row>
    <row r="768" spans="1:15">
      <c r="A768" s="344">
        <v>12</v>
      </c>
      <c r="B768" s="659"/>
      <c r="C768" s="660" t="s">
        <v>1026</v>
      </c>
      <c r="D768" s="725"/>
      <c r="E768" s="713"/>
      <c r="F768" s="347">
        <f>'FR-16(7)(v)-1 Functional'!$F$72</f>
        <v>163028490</v>
      </c>
      <c r="G768" s="696">
        <f t="shared" si="164"/>
        <v>0</v>
      </c>
      <c r="H768" s="697">
        <f t="shared" si="164"/>
        <v>0</v>
      </c>
      <c r="I768" s="698">
        <f t="shared" si="164"/>
        <v>163028490</v>
      </c>
      <c r="J768" s="670">
        <f>SUM(G768:I768)</f>
        <v>163028490</v>
      </c>
      <c r="K768" s="670">
        <f>F768-J768</f>
        <v>0</v>
      </c>
      <c r="O768" s="759"/>
    </row>
    <row r="769" spans="1:15">
      <c r="A769" s="344">
        <v>13</v>
      </c>
      <c r="B769" s="659"/>
      <c r="C769" s="660" t="s">
        <v>1023</v>
      </c>
      <c r="D769" s="725"/>
      <c r="E769" s="713"/>
      <c r="F769" s="347">
        <f>-'FR-16(7)(v)-1 Functional'!$F$125</f>
        <v>-106766757</v>
      </c>
      <c r="G769" s="696">
        <f t="shared" ref="G769:I770" si="165">-G125</f>
        <v>-89684076</v>
      </c>
      <c r="H769" s="697">
        <f t="shared" si="165"/>
        <v>0</v>
      </c>
      <c r="I769" s="698">
        <f t="shared" si="165"/>
        <v>-17082681</v>
      </c>
      <c r="J769" s="670">
        <f>SUM(G769:I769)</f>
        <v>-106766757</v>
      </c>
      <c r="K769" s="670">
        <f>F769-J769</f>
        <v>0</v>
      </c>
      <c r="O769" s="759"/>
    </row>
    <row r="770" spans="1:15">
      <c r="A770" s="344">
        <v>14</v>
      </c>
      <c r="B770" s="659"/>
      <c r="C770" s="660" t="s">
        <v>1024</v>
      </c>
      <c r="D770" s="725"/>
      <c r="E770" s="717"/>
      <c r="F770" s="502">
        <f>-'FR-16(7)(v)-1 Functional'!$F$126</f>
        <v>-53771817</v>
      </c>
      <c r="G770" s="699">
        <f t="shared" si="165"/>
        <v>0</v>
      </c>
      <c r="H770" s="700">
        <f t="shared" si="165"/>
        <v>0</v>
      </c>
      <c r="I770" s="701">
        <f t="shared" si="165"/>
        <v>-53771817</v>
      </c>
      <c r="J770" s="626">
        <f>SUM(G770:I770)</f>
        <v>-53771817</v>
      </c>
      <c r="K770" s="626">
        <f>F770-J770</f>
        <v>0</v>
      </c>
      <c r="O770" s="759"/>
    </row>
    <row r="771" spans="1:15">
      <c r="A771" s="344">
        <v>15</v>
      </c>
      <c r="B771" s="659"/>
      <c r="C771" s="710" t="s">
        <v>1033</v>
      </c>
      <c r="D771" s="725"/>
      <c r="E771" s="713"/>
      <c r="F771" s="347">
        <f>SUM(F767:F770)</f>
        <v>285936571</v>
      </c>
      <c r="G771" s="696">
        <f>SUM(G767:G770)</f>
        <v>148411114</v>
      </c>
      <c r="H771" s="697">
        <f>SUM(H767:H770)</f>
        <v>0</v>
      </c>
      <c r="I771" s="698">
        <f>SUM(I767:I770)</f>
        <v>137525457</v>
      </c>
      <c r="J771" s="670">
        <f>SUM(G771:I771)</f>
        <v>285936571</v>
      </c>
      <c r="K771" s="670">
        <f>F771-J771</f>
        <v>0</v>
      </c>
      <c r="O771" s="759"/>
    </row>
    <row r="772" spans="1:15">
      <c r="A772" s="344">
        <v>16</v>
      </c>
      <c r="B772" s="659"/>
      <c r="C772" s="659"/>
      <c r="D772" s="713"/>
      <c r="E772" s="713"/>
      <c r="G772" s="690"/>
      <c r="H772" s="691"/>
      <c r="I772" s="692"/>
      <c r="J772" s="532"/>
      <c r="K772" s="532"/>
      <c r="O772" s="759"/>
    </row>
    <row r="773" spans="1:15">
      <c r="A773" s="344">
        <v>17</v>
      </c>
      <c r="B773" s="711" t="s">
        <v>93</v>
      </c>
      <c r="C773" s="616"/>
      <c r="D773" s="713"/>
      <c r="E773" s="713"/>
      <c r="G773" s="690"/>
      <c r="H773" s="691"/>
      <c r="I773" s="692"/>
      <c r="J773" s="532"/>
      <c r="K773" s="532"/>
      <c r="O773" s="759"/>
    </row>
    <row r="774" spans="1:15">
      <c r="A774" s="344">
        <v>18</v>
      </c>
      <c r="B774" s="659"/>
      <c r="C774" s="660" t="s">
        <v>1027</v>
      </c>
      <c r="D774" s="713"/>
      <c r="E774" s="713"/>
      <c r="F774" s="347">
        <f>'FR-16(7)(v)-1 Functional'!$F$73</f>
        <v>23257250</v>
      </c>
      <c r="G774" s="696">
        <f>G73</f>
        <v>0</v>
      </c>
      <c r="H774" s="697">
        <f>H73</f>
        <v>0</v>
      </c>
      <c r="I774" s="698">
        <f>I73</f>
        <v>23257250</v>
      </c>
      <c r="J774" s="670">
        <f>SUM(G774:I774)</f>
        <v>23257250</v>
      </c>
      <c r="K774" s="670">
        <f>F774-J774</f>
        <v>0</v>
      </c>
      <c r="O774" s="759"/>
    </row>
    <row r="775" spans="1:15">
      <c r="A775" s="344">
        <v>19</v>
      </c>
      <c r="B775" s="659"/>
      <c r="C775" s="660" t="s">
        <v>1028</v>
      </c>
      <c r="D775" s="713"/>
      <c r="E775" s="713"/>
      <c r="F775" s="347">
        <f>'FR-16(7)(v)-1 Functional'!$F$75</f>
        <v>12497082</v>
      </c>
      <c r="G775" s="696">
        <f>G75</f>
        <v>0</v>
      </c>
      <c r="H775" s="697">
        <f>H75</f>
        <v>0</v>
      </c>
      <c r="I775" s="698">
        <f>I75</f>
        <v>12497082</v>
      </c>
      <c r="J775" s="670">
        <f>SUM(G775:I775)</f>
        <v>12497082</v>
      </c>
      <c r="K775" s="670">
        <f>F775-J775</f>
        <v>0</v>
      </c>
      <c r="O775" s="759"/>
    </row>
    <row r="776" spans="1:15">
      <c r="A776" s="344">
        <v>20</v>
      </c>
      <c r="B776" s="659"/>
      <c r="C776" s="660" t="s">
        <v>1029</v>
      </c>
      <c r="D776" s="713"/>
      <c r="E776" s="713"/>
      <c r="F776" s="347">
        <f>-'FR-16(7)(v)-1 Functional'!$F$127</f>
        <v>2918585</v>
      </c>
      <c r="G776" s="696">
        <f>-G127</f>
        <v>0</v>
      </c>
      <c r="H776" s="697">
        <f>-H127</f>
        <v>0</v>
      </c>
      <c r="I776" s="698">
        <f>-I127</f>
        <v>2918585</v>
      </c>
      <c r="J776" s="670">
        <f>SUM(G776:I776)</f>
        <v>2918585</v>
      </c>
      <c r="K776" s="670">
        <f>F776-J776</f>
        <v>0</v>
      </c>
      <c r="O776" s="759"/>
    </row>
    <row r="777" spans="1:15">
      <c r="A777" s="344">
        <v>21</v>
      </c>
      <c r="B777" s="659"/>
      <c r="C777" s="660" t="s">
        <v>1030</v>
      </c>
      <c r="D777" s="713"/>
      <c r="E777" s="713"/>
      <c r="F777" s="502">
        <f>-'FR-16(7)(v)-1 Functional'!$F$129</f>
        <v>-5133050</v>
      </c>
      <c r="G777" s="699">
        <f>-G129</f>
        <v>0</v>
      </c>
      <c r="H777" s="700">
        <f>-H129</f>
        <v>0</v>
      </c>
      <c r="I777" s="701">
        <f>-I129</f>
        <v>-5133050</v>
      </c>
      <c r="J777" s="626">
        <f>SUM(G777:I777)</f>
        <v>-5133050</v>
      </c>
      <c r="K777" s="626">
        <f>F777-J777</f>
        <v>0</v>
      </c>
      <c r="O777" s="759"/>
    </row>
    <row r="778" spans="1:15">
      <c r="A778" s="344">
        <v>22</v>
      </c>
      <c r="B778" s="659"/>
      <c r="C778" s="710" t="s">
        <v>1034</v>
      </c>
      <c r="D778" s="713"/>
      <c r="E778" s="713"/>
      <c r="F778" s="347">
        <f>SUM(F774:F777)</f>
        <v>33539867</v>
      </c>
      <c r="G778" s="696">
        <f>SUM(G774:G777)</f>
        <v>0</v>
      </c>
      <c r="H778" s="697">
        <f>SUM(H774:H777)</f>
        <v>0</v>
      </c>
      <c r="I778" s="698">
        <f>SUM(I774:I777)</f>
        <v>33539867</v>
      </c>
      <c r="J778" s="670">
        <f>SUM(G778:I778)</f>
        <v>33539867</v>
      </c>
      <c r="K778" s="670">
        <f>F778-J778</f>
        <v>0</v>
      </c>
      <c r="O778" s="759"/>
    </row>
    <row r="779" spans="1:15">
      <c r="A779" s="344">
        <v>23</v>
      </c>
      <c r="E779" s="333"/>
      <c r="G779" s="690"/>
      <c r="H779" s="691"/>
      <c r="I779" s="692"/>
      <c r="O779" s="758"/>
    </row>
    <row r="780" spans="1:15">
      <c r="A780" s="344">
        <v>24</v>
      </c>
      <c r="B780" s="631" t="s">
        <v>94</v>
      </c>
      <c r="C780" s="196"/>
      <c r="D780" s="718"/>
      <c r="E780" s="718"/>
      <c r="F780" s="632"/>
      <c r="G780" s="706"/>
      <c r="H780" s="702"/>
      <c r="I780" s="703"/>
      <c r="O780" s="753"/>
    </row>
    <row r="781" spans="1:15">
      <c r="A781" s="344">
        <v>25</v>
      </c>
      <c r="B781" s="597" t="s">
        <v>95</v>
      </c>
      <c r="C781" s="634"/>
      <c r="D781" s="719"/>
      <c r="E781" s="719"/>
      <c r="F781" s="510"/>
      <c r="G781" s="677"/>
      <c r="H781" s="678"/>
      <c r="I781" s="679"/>
      <c r="O781" s="753"/>
    </row>
    <row r="782" spans="1:15">
      <c r="A782" s="344">
        <v>26</v>
      </c>
      <c r="B782" s="196"/>
      <c r="C782" s="587" t="s">
        <v>230</v>
      </c>
      <c r="D782" s="725" t="s">
        <v>1013</v>
      </c>
      <c r="E782" s="714" t="str">
        <f>'FR-16(7)(v)-1 Functional'!$E$782</f>
        <v>P129</v>
      </c>
      <c r="F782" s="648">
        <v>1</v>
      </c>
      <c r="G782" s="683">
        <f>ROUND(IF($F$59=0,0,$G$59/$F$59),5)</f>
        <v>0</v>
      </c>
      <c r="H782" s="684">
        <f>ROUND(IF($F$59=0,0,$H$59/$F$59),5)</f>
        <v>0</v>
      </c>
      <c r="I782" s="685">
        <f>ROUND(IF($F$59=0,0,$I$59/$F$59),5)</f>
        <v>0</v>
      </c>
      <c r="J782" s="737">
        <f t="shared" ref="J782:J789" si="166">SUM(G782:I782)</f>
        <v>0</v>
      </c>
      <c r="K782" s="737">
        <f t="shared" ref="K782:K789" si="167">F782-J782</f>
        <v>1</v>
      </c>
      <c r="O782" s="755">
        <f t="shared" ref="O782:O789" si="168">SUM(G782:I782)</f>
        <v>0</v>
      </c>
    </row>
    <row r="783" spans="1:15">
      <c r="A783" s="344">
        <v>27</v>
      </c>
      <c r="B783" s="196"/>
      <c r="C783" s="587" t="s">
        <v>231</v>
      </c>
      <c r="D783" s="725" t="s">
        <v>1013</v>
      </c>
      <c r="E783" s="714" t="str">
        <f>'FR-16(7)(v)-1 Functional'!$E$783</f>
        <v>D149</v>
      </c>
      <c r="F783" s="648">
        <v>1</v>
      </c>
      <c r="G783" s="683">
        <f>ROUND(IF($F$78=0,0,G78/$F$78),5)</f>
        <v>0.55488999999999999</v>
      </c>
      <c r="H783" s="684">
        <f>ROUND(IF($F$78=0,0,H78/$F$78),5)</f>
        <v>0</v>
      </c>
      <c r="I783" s="685">
        <f t="shared" ref="I783:I789" si="169">1-SUM(G783:H783)</f>
        <v>0.44511000000000001</v>
      </c>
      <c r="J783" s="737">
        <f t="shared" si="166"/>
        <v>1</v>
      </c>
      <c r="K783" s="737">
        <f t="shared" si="167"/>
        <v>0</v>
      </c>
      <c r="O783" s="755">
        <f t="shared" si="168"/>
        <v>1</v>
      </c>
    </row>
    <row r="784" spans="1:15">
      <c r="A784" s="344">
        <v>28</v>
      </c>
      <c r="B784" s="196"/>
      <c r="C784" s="587" t="s">
        <v>232</v>
      </c>
      <c r="D784" s="725" t="s">
        <v>1013</v>
      </c>
      <c r="E784" s="714" t="str">
        <f>'FR-16(7)(v)-1 Functional'!$E$784</f>
        <v>PD29</v>
      </c>
      <c r="F784" s="648">
        <v>1</v>
      </c>
      <c r="G784" s="683">
        <f>ROUND(IF($F$81=0,0,G81/$F$81),5)</f>
        <v>0.55488999999999999</v>
      </c>
      <c r="H784" s="684">
        <f>ROUND(IF($F$81=0,0,H81/$F$81),5)</f>
        <v>0</v>
      </c>
      <c r="I784" s="685">
        <f t="shared" si="169"/>
        <v>0.44511000000000001</v>
      </c>
      <c r="J784" s="737">
        <f t="shared" si="166"/>
        <v>1</v>
      </c>
      <c r="K784" s="737">
        <f t="shared" si="167"/>
        <v>0</v>
      </c>
      <c r="O784" s="755">
        <f t="shared" si="168"/>
        <v>1</v>
      </c>
    </row>
    <row r="785" spans="1:15">
      <c r="A785" s="344">
        <v>29</v>
      </c>
      <c r="B785" s="196"/>
      <c r="C785" s="587" t="s">
        <v>233</v>
      </c>
      <c r="D785" s="725" t="s">
        <v>1013</v>
      </c>
      <c r="E785" s="714" t="str">
        <f>'FR-16(7)(v)-1 Functional'!$E$785</f>
        <v>G129</v>
      </c>
      <c r="F785" s="648">
        <v>1</v>
      </c>
      <c r="G785" s="683">
        <f>ROUND(IF($F$90=0,0,G90/$F$90),5)</f>
        <v>0.40061999999999998</v>
      </c>
      <c r="H785" s="684">
        <f>ROUND(IF($F$90=0,0,H90/$F$90),5)</f>
        <v>0</v>
      </c>
      <c r="I785" s="685">
        <f t="shared" si="169"/>
        <v>0.59938000000000002</v>
      </c>
      <c r="J785" s="737">
        <f t="shared" si="166"/>
        <v>1</v>
      </c>
      <c r="K785" s="737">
        <f t="shared" si="167"/>
        <v>0</v>
      </c>
      <c r="O785" s="755">
        <f t="shared" si="168"/>
        <v>1</v>
      </c>
    </row>
    <row r="786" spans="1:15">
      <c r="A786" s="344">
        <v>30</v>
      </c>
      <c r="B786" s="196"/>
      <c r="C786" s="587" t="s">
        <v>234</v>
      </c>
      <c r="D786" s="725" t="s">
        <v>1013</v>
      </c>
      <c r="E786" s="714" t="str">
        <f>'FR-16(7)(v)-1 Functional'!$E$786</f>
        <v>C129</v>
      </c>
      <c r="F786" s="648">
        <v>1</v>
      </c>
      <c r="G786" s="683">
        <f>ROUND(IF($F$99=0,0,G99/$F$99),5)</f>
        <v>0.40061999999999998</v>
      </c>
      <c r="H786" s="684">
        <f>ROUND(IF($F$99=0,0,H99/$F$99),5)</f>
        <v>0</v>
      </c>
      <c r="I786" s="685">
        <f t="shared" si="169"/>
        <v>0.59938000000000002</v>
      </c>
      <c r="J786" s="737">
        <f t="shared" si="166"/>
        <v>1</v>
      </c>
      <c r="K786" s="737">
        <f t="shared" si="167"/>
        <v>0</v>
      </c>
      <c r="O786" s="755">
        <f t="shared" si="168"/>
        <v>1</v>
      </c>
    </row>
    <row r="787" spans="1:15">
      <c r="A787" s="344">
        <v>31</v>
      </c>
      <c r="B787" s="196"/>
      <c r="C787" s="587" t="s">
        <v>235</v>
      </c>
      <c r="D787" s="725" t="s">
        <v>1013</v>
      </c>
      <c r="E787" s="714" t="str">
        <f>'FR-16(7)(v)-1 Functional'!$E$787</f>
        <v>GP19</v>
      </c>
      <c r="F787" s="648">
        <v>1</v>
      </c>
      <c r="G787" s="683">
        <f>ROUND(IF($F$101=0,0,G101/$F$101),5)</f>
        <v>0.54601999999999995</v>
      </c>
      <c r="H787" s="684">
        <f>ROUND(IF($F$101=0,0,H101/$F$101),5)</f>
        <v>0</v>
      </c>
      <c r="I787" s="685">
        <f t="shared" si="169"/>
        <v>0.45398000000000005</v>
      </c>
      <c r="J787" s="737">
        <f t="shared" si="166"/>
        <v>1</v>
      </c>
      <c r="K787" s="737">
        <f t="shared" si="167"/>
        <v>0</v>
      </c>
      <c r="O787" s="755">
        <f t="shared" si="168"/>
        <v>1</v>
      </c>
    </row>
    <row r="788" spans="1:15">
      <c r="A788" s="344">
        <v>32</v>
      </c>
      <c r="B788" s="196"/>
      <c r="C788" s="587" t="s">
        <v>236</v>
      </c>
      <c r="D788" s="725" t="s">
        <v>1013</v>
      </c>
      <c r="E788" s="714" t="str">
        <f>'FR-16(7)(v)-1 Functional'!$E$788</f>
        <v>D199</v>
      </c>
      <c r="F788" s="648">
        <v>1</v>
      </c>
      <c r="G788" s="683">
        <f>ROUND(IF($F$131=0,0,G131/$F$131),5)</f>
        <v>0.55945</v>
      </c>
      <c r="H788" s="684">
        <f>ROUND(IF($F$131=0,0,H131/$F$131),5)</f>
        <v>0</v>
      </c>
      <c r="I788" s="685">
        <f t="shared" si="169"/>
        <v>0.44055</v>
      </c>
      <c r="J788" s="737">
        <f t="shared" si="166"/>
        <v>1</v>
      </c>
      <c r="K788" s="737">
        <f t="shared" si="167"/>
        <v>0</v>
      </c>
      <c r="O788" s="755">
        <f t="shared" si="168"/>
        <v>1</v>
      </c>
    </row>
    <row r="789" spans="1:15">
      <c r="A789" s="344">
        <v>33</v>
      </c>
      <c r="B789" s="196"/>
      <c r="C789" s="587" t="s">
        <v>237</v>
      </c>
      <c r="D789" s="725" t="s">
        <v>1013</v>
      </c>
      <c r="E789" s="714" t="str">
        <f>'FR-16(7)(v)-1 Functional'!$E$789</f>
        <v>DR19</v>
      </c>
      <c r="F789" s="648">
        <v>1</v>
      </c>
      <c r="G789" s="683">
        <f>ROUND(IF($F$151=0,0,G151/$F$151),5)</f>
        <v>0.54391</v>
      </c>
      <c r="H789" s="684">
        <f>ROUND(IF($F$151=0,0,H151/$F$151),5)</f>
        <v>0</v>
      </c>
      <c r="I789" s="685">
        <f t="shared" si="169"/>
        <v>0.45609</v>
      </c>
      <c r="J789" s="737">
        <f t="shared" si="166"/>
        <v>1</v>
      </c>
      <c r="K789" s="737">
        <f t="shared" si="167"/>
        <v>0</v>
      </c>
      <c r="O789" s="755">
        <f t="shared" si="168"/>
        <v>1</v>
      </c>
    </row>
    <row r="790" spans="1:15">
      <c r="A790" s="344">
        <v>34</v>
      </c>
      <c r="B790" s="196"/>
      <c r="C790" s="196"/>
      <c r="D790" s="344"/>
      <c r="E790" s="729"/>
      <c r="F790" s="648"/>
      <c r="G790" s="683"/>
      <c r="H790" s="684"/>
      <c r="I790" s="685"/>
      <c r="J790" s="737"/>
      <c r="K790" s="737"/>
      <c r="O790" s="753"/>
    </row>
    <row r="791" spans="1:15">
      <c r="A791" s="344">
        <v>35</v>
      </c>
      <c r="B791" s="587" t="s">
        <v>96</v>
      </c>
      <c r="C791" s="196"/>
      <c r="D791" s="344"/>
      <c r="E791" s="729"/>
      <c r="F791" s="648"/>
      <c r="G791" s="683"/>
      <c r="H791" s="684"/>
      <c r="I791" s="685"/>
      <c r="J791" s="737"/>
      <c r="K791" s="737"/>
      <c r="O791" s="753"/>
    </row>
    <row r="792" spans="1:15">
      <c r="A792" s="344">
        <v>36</v>
      </c>
      <c r="B792" s="196"/>
      <c r="C792" s="587" t="s">
        <v>238</v>
      </c>
      <c r="D792" s="725" t="s">
        <v>1013</v>
      </c>
      <c r="E792" s="714" t="str">
        <f>'FR-16(7)(v)-1 Functional'!$E$792</f>
        <v>P229</v>
      </c>
      <c r="F792" s="648">
        <v>1</v>
      </c>
      <c r="G792" s="683">
        <f>ROUND(IF($F$166=0,0,G166/$F$166),5)</f>
        <v>0</v>
      </c>
      <c r="H792" s="684">
        <f>ROUND(IF($F$166=0,0,H166/$F$166),5)</f>
        <v>0</v>
      </c>
      <c r="I792" s="685">
        <f>ROUND(IF($F$166=0,0,I166/$F$166),5)</f>
        <v>0</v>
      </c>
      <c r="J792" s="737">
        <f>SUM(G792:I792)</f>
        <v>0</v>
      </c>
      <c r="K792" s="737">
        <f>F792-J792</f>
        <v>1</v>
      </c>
      <c r="O792" s="755">
        <f>SUM(G792:I792)</f>
        <v>0</v>
      </c>
    </row>
    <row r="793" spans="1:15">
      <c r="A793" s="344">
        <v>37</v>
      </c>
      <c r="B793" s="196"/>
      <c r="C793" s="587" t="s">
        <v>239</v>
      </c>
      <c r="D793" s="725" t="s">
        <v>1013</v>
      </c>
      <c r="E793" s="714" t="str">
        <f>'FR-16(7)(v)-1 Functional'!$E$793</f>
        <v>D249</v>
      </c>
      <c r="F793" s="648">
        <v>1</v>
      </c>
      <c r="G793" s="683">
        <f>ROUND(IF($F$176=0,0,G176/$F$176),5)</f>
        <v>0.55291999999999997</v>
      </c>
      <c r="H793" s="684">
        <f>ROUND(IF($F$176=0,0,H176/$F$176),5)</f>
        <v>0</v>
      </c>
      <c r="I793" s="685">
        <f>1-SUM(G793:H793)</f>
        <v>0.44708000000000003</v>
      </c>
      <c r="J793" s="737">
        <f>SUM(G793:I793)</f>
        <v>1</v>
      </c>
      <c r="K793" s="737">
        <f>F793-J793</f>
        <v>0</v>
      </c>
      <c r="O793" s="755">
        <f>SUM(G793:I793)</f>
        <v>1</v>
      </c>
    </row>
    <row r="794" spans="1:15">
      <c r="A794" s="344">
        <v>38</v>
      </c>
      <c r="B794" s="196"/>
      <c r="C794" s="587" t="s">
        <v>240</v>
      </c>
      <c r="D794" s="725" t="s">
        <v>1013</v>
      </c>
      <c r="E794" s="714" t="str">
        <f>'FR-16(7)(v)-1 Functional'!$E$794</f>
        <v>G229</v>
      </c>
      <c r="F794" s="648">
        <v>1</v>
      </c>
      <c r="G794" s="683">
        <f>ROUND(IF($F$184=0,0,G184/$F$184),5)</f>
        <v>0.40061999999999998</v>
      </c>
      <c r="H794" s="684">
        <f>ROUND(IF($F$184=0,0,H184/$F$184),5)</f>
        <v>0</v>
      </c>
      <c r="I794" s="685">
        <f>1-SUM(G794:H794)</f>
        <v>0.59938000000000002</v>
      </c>
      <c r="J794" s="737">
        <f>SUM(G794:I794)</f>
        <v>1</v>
      </c>
      <c r="K794" s="737">
        <f>F794-J794</f>
        <v>0</v>
      </c>
      <c r="O794" s="755">
        <f>SUM(G794:I794)</f>
        <v>1</v>
      </c>
    </row>
    <row r="795" spans="1:15">
      <c r="A795" s="344">
        <v>39</v>
      </c>
      <c r="B795" s="196"/>
      <c r="C795" s="587" t="s">
        <v>241</v>
      </c>
      <c r="D795" s="725" t="s">
        <v>1013</v>
      </c>
      <c r="E795" s="714" t="str">
        <f>'FR-16(7)(v)-1 Functional'!$E$795</f>
        <v>C229</v>
      </c>
      <c r="F795" s="648">
        <v>1</v>
      </c>
      <c r="G795" s="683">
        <f>ROUND(IF($F$189=0,0,G189/$F$189),5)</f>
        <v>0.40061999999999998</v>
      </c>
      <c r="H795" s="684">
        <f>ROUND(IF($F$189=0,0,H189/$F$189),5)</f>
        <v>0</v>
      </c>
      <c r="I795" s="685">
        <f>1-SUM(G795:H795)</f>
        <v>0.59938000000000002</v>
      </c>
      <c r="J795" s="737">
        <f>SUM(G795:I795)</f>
        <v>1</v>
      </c>
      <c r="K795" s="737">
        <f>F795-J795</f>
        <v>0</v>
      </c>
      <c r="O795" s="755">
        <f>SUM(G795:I795)</f>
        <v>1</v>
      </c>
    </row>
    <row r="796" spans="1:15">
      <c r="A796" s="344">
        <v>40</v>
      </c>
      <c r="B796" s="196"/>
      <c r="C796" s="587" t="s">
        <v>242</v>
      </c>
      <c r="D796" s="725" t="s">
        <v>1013</v>
      </c>
      <c r="E796" s="714" t="str">
        <f>'FR-16(7)(v)-1 Functional'!$E$796</f>
        <v>NP29</v>
      </c>
      <c r="F796" s="648">
        <v>1</v>
      </c>
      <c r="G796" s="683">
        <f>ROUND(IF($F$191=0,0,G191/$F$191),5)</f>
        <v>0.54698999999999998</v>
      </c>
      <c r="H796" s="684">
        <f>ROUND(IF($F$191=0,0,H191/$F$191),5)</f>
        <v>0</v>
      </c>
      <c r="I796" s="685">
        <f>1-SUM(G796:H796)</f>
        <v>0.45301000000000002</v>
      </c>
      <c r="J796" s="737">
        <f>SUM(G796:I796)</f>
        <v>1</v>
      </c>
      <c r="K796" s="737">
        <f>F796-J796</f>
        <v>0</v>
      </c>
      <c r="O796" s="753"/>
    </row>
    <row r="797" spans="1:15">
      <c r="A797" s="344">
        <v>41</v>
      </c>
      <c r="B797" s="196"/>
      <c r="C797" s="587"/>
      <c r="D797" s="714"/>
      <c r="E797" s="734"/>
      <c r="F797" s="350"/>
      <c r="G797" s="683"/>
      <c r="H797" s="684"/>
      <c r="I797" s="685"/>
      <c r="J797" s="737"/>
      <c r="K797" s="737"/>
      <c r="O797" s="753"/>
    </row>
    <row r="798" spans="1:15">
      <c r="A798" s="344">
        <v>42</v>
      </c>
      <c r="B798" s="587" t="s">
        <v>32</v>
      </c>
      <c r="C798" s="196"/>
      <c r="D798" s="344"/>
      <c r="E798" s="729"/>
      <c r="F798" s="350"/>
      <c r="G798" s="683"/>
      <c r="H798" s="684"/>
      <c r="I798" s="685"/>
      <c r="J798" s="737"/>
      <c r="K798" s="737"/>
      <c r="O798" s="753"/>
    </row>
    <row r="799" spans="1:15">
      <c r="A799" s="344">
        <v>43</v>
      </c>
      <c r="B799" s="196"/>
      <c r="C799" s="587" t="s">
        <v>243</v>
      </c>
      <c r="D799" s="725" t="s">
        <v>1013</v>
      </c>
      <c r="E799" s="714" t="str">
        <f>'FR-16(7)(v)-1 Functional'!$E$799</f>
        <v>W669</v>
      </c>
      <c r="F799" s="648">
        <v>1</v>
      </c>
      <c r="G799" s="683">
        <f>ROUND(IF($F$304=0,0,G304/$F$304),5)</f>
        <v>0.54698999999999998</v>
      </c>
      <c r="H799" s="684">
        <f>ROUND(IF($F$304=0,0,H304/$F$304),5)</f>
        <v>0</v>
      </c>
      <c r="I799" s="685">
        <f>ROUND(IF($F$304=0,0,I304/$F$304),5)</f>
        <v>0.45301000000000002</v>
      </c>
      <c r="J799" s="737">
        <f>SUM(G799:I799)</f>
        <v>1</v>
      </c>
      <c r="K799" s="737">
        <f>F799-J799</f>
        <v>0</v>
      </c>
      <c r="O799" s="755">
        <f>SUM(G799:I799)</f>
        <v>1</v>
      </c>
    </row>
    <row r="800" spans="1:15">
      <c r="A800" s="344">
        <v>44</v>
      </c>
      <c r="B800" s="196"/>
      <c r="C800" s="587" t="s">
        <v>244</v>
      </c>
      <c r="D800" s="725" t="s">
        <v>1013</v>
      </c>
      <c r="E800" s="714" t="str">
        <f>'FR-16(7)(v)-1 Functional'!$E$800</f>
        <v>W689</v>
      </c>
      <c r="F800" s="648">
        <v>1</v>
      </c>
      <c r="G800" s="683">
        <f>ROUND(IF($F$310=0,0,G310/$F$310),5)</f>
        <v>0.44796000000000002</v>
      </c>
      <c r="H800" s="684">
        <f>ROUND(IF($F$310=0,0,H310/$F$310),5)</f>
        <v>0</v>
      </c>
      <c r="I800" s="685">
        <f>ROUND(IF($F$310=0,0,I310/$F$310),5)</f>
        <v>0.55203999999999998</v>
      </c>
      <c r="J800" s="737">
        <f>SUM(G800:I800)</f>
        <v>1</v>
      </c>
      <c r="K800" s="737">
        <f>F800-J800</f>
        <v>0</v>
      </c>
      <c r="O800" s="755">
        <f>SUM(G800:I800)</f>
        <v>1</v>
      </c>
    </row>
    <row r="801" spans="1:15">
      <c r="A801" s="344">
        <v>45</v>
      </c>
      <c r="B801" s="196"/>
      <c r="C801" s="587" t="s">
        <v>245</v>
      </c>
      <c r="D801" s="725" t="s">
        <v>1013</v>
      </c>
      <c r="E801" s="714" t="str">
        <f>'FR-16(7)(v)-1 Functional'!$E$801</f>
        <v>W729</v>
      </c>
      <c r="F801" s="648">
        <v>1</v>
      </c>
      <c r="G801" s="683">
        <f>ROUND(IF($F$313=0,0,G313/$F$313),5)</f>
        <v>0.44796999999999998</v>
      </c>
      <c r="H801" s="684">
        <f>ROUND(IF($F$313=0,0,H313/$F$313),5)</f>
        <v>0</v>
      </c>
      <c r="I801" s="685">
        <f>ROUND(IF($F$313=0,0,I313/$F$313),5)</f>
        <v>0.55203000000000002</v>
      </c>
      <c r="J801" s="737">
        <f>SUM(G801:I801)</f>
        <v>1</v>
      </c>
      <c r="K801" s="737">
        <f>F801-J801</f>
        <v>0</v>
      </c>
      <c r="O801" s="755">
        <f>SUM(G801:I801)</f>
        <v>1</v>
      </c>
    </row>
    <row r="802" spans="1:15">
      <c r="A802" s="344">
        <v>46</v>
      </c>
      <c r="B802" s="196"/>
      <c r="C802" s="587" t="s">
        <v>246</v>
      </c>
      <c r="D802" s="725" t="s">
        <v>1013</v>
      </c>
      <c r="E802" s="714" t="str">
        <f>'FR-16(7)(v)-1 Functional'!$E$802</f>
        <v>W749</v>
      </c>
      <c r="F802" s="648">
        <v>1</v>
      </c>
      <c r="G802" s="683">
        <f>ROUND(IF($F$319=0,0,G319/$F$319),5)</f>
        <v>0</v>
      </c>
      <c r="H802" s="684">
        <f>ROUND(IF($F$319=0,0,H319/$F$319),5)</f>
        <v>0</v>
      </c>
      <c r="I802" s="685">
        <f>ROUND(IF($F$319=0,0,I319/$F$319),5)</f>
        <v>0</v>
      </c>
      <c r="J802" s="737">
        <f>SUM(G802:I802)</f>
        <v>0</v>
      </c>
      <c r="K802" s="737">
        <f>F802-J802</f>
        <v>1</v>
      </c>
      <c r="O802" s="755">
        <f>SUM(G802:I802)</f>
        <v>0</v>
      </c>
    </row>
    <row r="803" spans="1:15">
      <c r="A803" s="344">
        <v>47</v>
      </c>
      <c r="B803" s="196"/>
      <c r="C803" s="587" t="s">
        <v>247</v>
      </c>
      <c r="D803" s="725" t="s">
        <v>1013</v>
      </c>
      <c r="E803" s="714" t="str">
        <f>'FR-16(7)(v)-1 Functional'!$E$803</f>
        <v>WC79</v>
      </c>
      <c r="F803" s="648">
        <v>1</v>
      </c>
      <c r="G803" s="707">
        <f>ROUND(IF($F$321=0,0,G321/$F$321),5)</f>
        <v>0.47635</v>
      </c>
      <c r="H803" s="704">
        <f>ROUND(IF($F$321=0,0,H321/$F$321),5)</f>
        <v>0</v>
      </c>
      <c r="I803" s="705">
        <f>ROUND(IF($F$321=0,0,I321/$F$321),5)</f>
        <v>0.52364999999999995</v>
      </c>
      <c r="J803" s="737">
        <f>SUM(G803:I803)</f>
        <v>1</v>
      </c>
      <c r="K803" s="737">
        <f>F803-J803</f>
        <v>0</v>
      </c>
      <c r="O803" s="755">
        <f>SUM(G803:I803)</f>
        <v>1</v>
      </c>
    </row>
    <row r="804" spans="1:15">
      <c r="A804" s="344"/>
      <c r="B804" s="196"/>
      <c r="C804" s="196"/>
      <c r="D804" s="344"/>
      <c r="E804" s="729"/>
      <c r="F804" s="648"/>
      <c r="G804" s="737"/>
      <c r="H804" s="737"/>
      <c r="I804" s="737"/>
      <c r="J804" s="737"/>
      <c r="K804" s="737"/>
      <c r="O804" s="753"/>
    </row>
    <row r="805" spans="1:15">
      <c r="A805" s="343" t="str">
        <f>co_name</f>
        <v>DUKE ENERGY KENTUCKY, INC.</v>
      </c>
      <c r="C805" s="196"/>
      <c r="D805" s="344"/>
      <c r="E805" s="196"/>
      <c r="F805" s="196"/>
      <c r="G805" s="196"/>
      <c r="H805" s="196"/>
      <c r="I805" s="196"/>
      <c r="J805" s="196" t="str">
        <f>$J$1</f>
        <v>FR-16(7)(v)-4</v>
      </c>
      <c r="K805" s="196"/>
      <c r="O805" s="754"/>
    </row>
    <row r="806" spans="1:15">
      <c r="A806" s="343" t="str">
        <f>$A$2</f>
        <v>DISTRIBUTION CLASSIFIED - GAS COST OF SERVICE</v>
      </c>
      <c r="C806" s="196"/>
      <c r="D806" s="344"/>
      <c r="E806" s="196"/>
      <c r="F806" s="196"/>
      <c r="G806" s="196"/>
      <c r="H806" s="196"/>
      <c r="I806" s="196"/>
      <c r="J806" s="196" t="str">
        <f>$J$2</f>
        <v>WITNESS RESPONSIBLE:</v>
      </c>
      <c r="K806" s="196"/>
      <c r="O806" s="754"/>
    </row>
    <row r="807" spans="1:15">
      <c r="A807" s="343" t="str">
        <f>case_name</f>
        <v>CASE NO: 2018-00261</v>
      </c>
      <c r="C807" s="196"/>
      <c r="D807" s="344"/>
      <c r="E807" s="196"/>
      <c r="F807" s="196"/>
      <c r="G807" s="196"/>
      <c r="H807" s="196"/>
      <c r="I807" s="196"/>
      <c r="J807" s="196" t="str">
        <f>Witness</f>
        <v>JAMES E. ZIOLKOWSKI</v>
      </c>
      <c r="K807" s="196"/>
      <c r="O807" s="754"/>
    </row>
    <row r="808" spans="1:15">
      <c r="A808" s="343" t="str">
        <f>data_filing</f>
        <v>DATA: 12 MONTH FORECASTED PERIOD</v>
      </c>
      <c r="C808" s="196"/>
      <c r="D808" s="344"/>
      <c r="E808" s="196"/>
      <c r="F808" s="196"/>
      <c r="G808" s="196"/>
      <c r="H808" s="196"/>
      <c r="I808" s="196"/>
      <c r="J808" s="196" t="str">
        <f>"PAGE "&amp;Pages&amp;" OF "&amp;Pages</f>
        <v>PAGE 18 OF 18</v>
      </c>
      <c r="K808" s="196"/>
      <c r="O808" s="754"/>
    </row>
    <row r="809" spans="1:15">
      <c r="A809" s="343" t="str">
        <f>type</f>
        <v xml:space="preserve">TYPE OF FILING: "X" ORIGINAL   UPDATED    REVISED  </v>
      </c>
      <c r="C809" s="196"/>
      <c r="D809" s="344"/>
      <c r="E809" s="196"/>
      <c r="F809" s="196"/>
      <c r="G809" s="196"/>
      <c r="H809" s="196"/>
      <c r="I809" s="196"/>
      <c r="J809" s="196"/>
      <c r="K809" s="196"/>
      <c r="O809" s="754"/>
    </row>
    <row r="810" spans="1:15">
      <c r="B810" s="196"/>
      <c r="E810" s="333"/>
      <c r="G810" s="532"/>
      <c r="H810" s="532"/>
      <c r="I810" s="532"/>
      <c r="O810" s="754"/>
    </row>
    <row r="811" spans="1:15">
      <c r="B811" s="196"/>
      <c r="E811" s="333"/>
      <c r="G811" s="532"/>
      <c r="H811" s="532"/>
      <c r="I811" s="532"/>
      <c r="O811" s="754"/>
    </row>
    <row r="812" spans="1:15">
      <c r="A812" s="344" t="s">
        <v>914</v>
      </c>
      <c r="B812" s="196"/>
      <c r="C812" s="196"/>
      <c r="D812" s="344"/>
      <c r="E812" s="344"/>
      <c r="F812" s="589" t="s">
        <v>229</v>
      </c>
      <c r="G812" s="545" t="s">
        <v>1005</v>
      </c>
      <c r="H812" s="533"/>
      <c r="I812" s="534"/>
      <c r="J812" s="344" t="s">
        <v>229</v>
      </c>
      <c r="K812" s="344" t="s">
        <v>342</v>
      </c>
      <c r="O812" s="753"/>
    </row>
    <row r="813" spans="1:15">
      <c r="A813" s="346" t="s">
        <v>915</v>
      </c>
      <c r="B813" s="590" t="s">
        <v>89</v>
      </c>
      <c r="C813" s="345"/>
      <c r="D813" s="591" t="s">
        <v>1011</v>
      </c>
      <c r="E813" s="591" t="s">
        <v>337</v>
      </c>
      <c r="F813" s="346" t="s">
        <v>846</v>
      </c>
      <c r="G813" s="658" t="s">
        <v>847</v>
      </c>
      <c r="H813" s="655" t="s">
        <v>848</v>
      </c>
      <c r="I813" s="656" t="s">
        <v>849</v>
      </c>
      <c r="J813" s="346" t="s">
        <v>341</v>
      </c>
      <c r="K813" s="346" t="s">
        <v>340</v>
      </c>
      <c r="O813" s="753"/>
    </row>
    <row r="814" spans="1:15">
      <c r="C814" s="846" t="s">
        <v>1055</v>
      </c>
      <c r="E814" s="633">
        <v>1</v>
      </c>
      <c r="F814" s="633">
        <v>2</v>
      </c>
      <c r="G814" s="800">
        <f>$G$10</f>
        <v>3</v>
      </c>
      <c r="H814" s="801">
        <f>$H$10</f>
        <v>4</v>
      </c>
      <c r="I814" s="802">
        <f>$I$10</f>
        <v>5</v>
      </c>
      <c r="O814" s="754"/>
    </row>
    <row r="815" spans="1:15">
      <c r="A815" s="344">
        <v>1</v>
      </c>
      <c r="B815" s="587" t="s">
        <v>25</v>
      </c>
      <c r="C815" s="196"/>
      <c r="D815" s="344"/>
      <c r="E815" s="729"/>
      <c r="F815" s="648"/>
      <c r="G815" s="566"/>
      <c r="H815" s="567"/>
      <c r="I815" s="568"/>
      <c r="J815" s="737"/>
      <c r="K815" s="737"/>
      <c r="O815" s="753"/>
    </row>
    <row r="816" spans="1:15">
      <c r="A816" s="344">
        <v>2</v>
      </c>
      <c r="B816" s="196"/>
      <c r="C816" s="587" t="s">
        <v>248</v>
      </c>
      <c r="D816" s="725" t="s">
        <v>1013</v>
      </c>
      <c r="E816" s="714" t="str">
        <f>'FR-16(7)(v)-1 Functional'!$E$816</f>
        <v>RB29</v>
      </c>
      <c r="F816" s="648">
        <v>1</v>
      </c>
      <c r="G816" s="566">
        <f>ROUND(IF($F$296=0,0,G296/$F$296),5)</f>
        <v>0.55528999999999995</v>
      </c>
      <c r="H816" s="567">
        <f>ROUND(IF($F$296=0,0,H296/$F$296),5)</f>
        <v>0</v>
      </c>
      <c r="I816" s="568">
        <f>ROUND(IF($F$296=0,0,I296/$F$296),5)</f>
        <v>0.44470999999999999</v>
      </c>
      <c r="J816" s="737">
        <f>SUM(G816:I816)</f>
        <v>1</v>
      </c>
      <c r="K816" s="737">
        <f>F816-J816</f>
        <v>0</v>
      </c>
      <c r="O816" s="755">
        <f>SUM(G816:I816)</f>
        <v>1</v>
      </c>
    </row>
    <row r="817" spans="1:15">
      <c r="A817" s="344">
        <v>3</v>
      </c>
      <c r="B817" s="196"/>
      <c r="C817" s="587" t="s">
        <v>249</v>
      </c>
      <c r="D817" s="725" t="s">
        <v>1013</v>
      </c>
      <c r="E817" s="714" t="str">
        <f>'FR-16(7)(v)-1 Functional'!$E$817</f>
        <v>RB99</v>
      </c>
      <c r="F817" s="648">
        <v>1</v>
      </c>
      <c r="G817" s="566">
        <f>ROUND(IF($F$331=0,0,G331/$F$331),5)</f>
        <v>0.55427000000000004</v>
      </c>
      <c r="H817" s="567">
        <f>ROUND(IF($F$331=0,0,H331/$F$331),5)</f>
        <v>0</v>
      </c>
      <c r="I817" s="568">
        <f>ROUND(IF($F$331=0,0,I331/$F$331),5)</f>
        <v>0.44573000000000002</v>
      </c>
      <c r="J817" s="737">
        <f>SUM(G817:I817)</f>
        <v>1</v>
      </c>
      <c r="K817" s="737">
        <f>F817-J817</f>
        <v>0</v>
      </c>
      <c r="O817" s="755">
        <f>SUM(G817:I817)</f>
        <v>1</v>
      </c>
    </row>
    <row r="818" spans="1:15">
      <c r="A818" s="344">
        <v>4</v>
      </c>
      <c r="B818" s="196"/>
      <c r="C818" s="587" t="s">
        <v>383</v>
      </c>
      <c r="D818" s="725" t="s">
        <v>1013</v>
      </c>
      <c r="E818" s="714" t="str">
        <f>'FR-16(7)(v)-1 Functional'!$E$818</f>
        <v>CW29</v>
      </c>
      <c r="F818" s="648">
        <v>0</v>
      </c>
      <c r="G818" s="811">
        <v>0</v>
      </c>
      <c r="H818" s="812">
        <v>0</v>
      </c>
      <c r="I818" s="813">
        <v>0</v>
      </c>
      <c r="J818" s="651">
        <f>SUM(G818:I818)</f>
        <v>0</v>
      </c>
      <c r="K818" s="651">
        <f>F818-J818</f>
        <v>0</v>
      </c>
      <c r="O818" s="755">
        <f>SUM(G818:I818)</f>
        <v>0</v>
      </c>
    </row>
    <row r="819" spans="1:15">
      <c r="A819" s="344">
        <v>5</v>
      </c>
      <c r="B819" s="635"/>
      <c r="C819" s="368"/>
      <c r="D819" s="585"/>
      <c r="E819" s="749"/>
      <c r="F819" s="650"/>
      <c r="G819" s="814"/>
      <c r="H819" s="815"/>
      <c r="I819" s="816"/>
      <c r="J819" s="637"/>
      <c r="K819" s="637"/>
      <c r="O819" s="753"/>
    </row>
    <row r="820" spans="1:15">
      <c r="A820" s="344">
        <v>6</v>
      </c>
      <c r="B820" s="597" t="s">
        <v>1021</v>
      </c>
      <c r="C820" s="634"/>
      <c r="D820" s="719"/>
      <c r="E820" s="745"/>
      <c r="F820" s="651"/>
      <c r="G820" s="817"/>
      <c r="H820" s="818"/>
      <c r="I820" s="819"/>
      <c r="J820" s="641"/>
      <c r="K820" s="641"/>
      <c r="O820" s="753"/>
    </row>
    <row r="821" spans="1:15">
      <c r="A821" s="344">
        <v>7</v>
      </c>
      <c r="B821" s="196"/>
      <c r="C821" s="587" t="s">
        <v>1016</v>
      </c>
      <c r="D821" s="725" t="s">
        <v>1013</v>
      </c>
      <c r="E821" s="714" t="str">
        <f>'FR-16(7)(v)-1 Functional'!$E$821</f>
        <v>P349</v>
      </c>
      <c r="F821" s="648">
        <v>1</v>
      </c>
      <c r="G821" s="566">
        <f>ROUND(IF($F$350=0,0,G350/$F$350),5)</f>
        <v>0</v>
      </c>
      <c r="H821" s="567">
        <f>ROUND(IF($F$350=0,0,H350/$F$350),5)</f>
        <v>0</v>
      </c>
      <c r="I821" s="568">
        <f>ROUND(IF($F$350=0,0,I350/$F$350),5)</f>
        <v>0</v>
      </c>
      <c r="J821" s="737">
        <f t="shared" ref="J821:J828" si="170">SUM(G821:I821)</f>
        <v>0</v>
      </c>
      <c r="K821" s="737">
        <f t="shared" ref="K821:K828" si="171">F821-J821</f>
        <v>1</v>
      </c>
      <c r="O821" s="755">
        <f>SUM(G821:I821)</f>
        <v>0</v>
      </c>
    </row>
    <row r="822" spans="1:15">
      <c r="A822" s="344">
        <v>8</v>
      </c>
      <c r="B822" s="196"/>
      <c r="C822" s="587" t="s">
        <v>264</v>
      </c>
      <c r="D822" s="725" t="s">
        <v>1013</v>
      </c>
      <c r="E822" s="714" t="str">
        <f>'FR-16(7)(v)-1 Functional'!$E$822</f>
        <v>P459</v>
      </c>
      <c r="F822" s="648">
        <v>1</v>
      </c>
      <c r="G822" s="566">
        <f>ROUND(IF($F$360=0,0,G360/$F$360),5)</f>
        <v>0</v>
      </c>
      <c r="H822" s="567">
        <f>ROUND(IF($F$360=0,0,H360/$F$360),5)</f>
        <v>0</v>
      </c>
      <c r="I822" s="568">
        <f>ROUND(IF($F$360=0,0,I360/$F$360),5)</f>
        <v>0</v>
      </c>
      <c r="J822" s="737">
        <f t="shared" si="170"/>
        <v>0</v>
      </c>
      <c r="K822" s="737">
        <f t="shared" si="171"/>
        <v>1</v>
      </c>
      <c r="O822" s="755">
        <f>SUM(G822:I822)</f>
        <v>0</v>
      </c>
    </row>
    <row r="823" spans="1:15">
      <c r="A823" s="344">
        <v>9</v>
      </c>
      <c r="B823" s="196"/>
      <c r="C823" s="587" t="s">
        <v>250</v>
      </c>
      <c r="D823" s="725" t="s">
        <v>1013</v>
      </c>
      <c r="E823" s="714" t="str">
        <f>'FR-16(7)(v)-1 Functional'!$E$823</f>
        <v>D349</v>
      </c>
      <c r="F823" s="648">
        <v>1</v>
      </c>
      <c r="G823" s="566">
        <f>ROUND(IF($F$378=0,0,G378/$F$378),5)</f>
        <v>0.58469000000000004</v>
      </c>
      <c r="H823" s="567">
        <f>ROUND(IF($F$378=0,0,H378/$F$378),5)</f>
        <v>0</v>
      </c>
      <c r="I823" s="568">
        <f>1-SUM(G823:H823)</f>
        <v>0.41530999999999996</v>
      </c>
      <c r="J823" s="737">
        <f t="shared" si="170"/>
        <v>1</v>
      </c>
      <c r="K823" s="737">
        <f t="shared" si="171"/>
        <v>0</v>
      </c>
      <c r="O823" s="755">
        <f>SUM(G823:I823)</f>
        <v>1</v>
      </c>
    </row>
    <row r="824" spans="1:15">
      <c r="A824" s="344">
        <v>10</v>
      </c>
      <c r="B824" s="196"/>
      <c r="C824" s="587" t="s">
        <v>251</v>
      </c>
      <c r="D824" s="725" t="s">
        <v>1013</v>
      </c>
      <c r="E824" s="714" t="str">
        <f>'FR-16(7)(v)-1 Functional'!$E$824</f>
        <v>CA19</v>
      </c>
      <c r="F824" s="648">
        <v>1</v>
      </c>
      <c r="G824" s="566">
        <f>ROUND(IF($F$389=0,0,G389/$F$389),5)</f>
        <v>0</v>
      </c>
      <c r="H824" s="567">
        <f>ROUND(IF($F$389=0,0,H389/$F$389),5)</f>
        <v>0</v>
      </c>
      <c r="I824" s="568">
        <f>1-SUM(G824:H824)</f>
        <v>1</v>
      </c>
      <c r="J824" s="737">
        <f t="shared" si="170"/>
        <v>1</v>
      </c>
      <c r="K824" s="737">
        <f t="shared" si="171"/>
        <v>0</v>
      </c>
      <c r="O824" s="755">
        <f>SUM(G824:I824)</f>
        <v>1</v>
      </c>
    </row>
    <row r="825" spans="1:15">
      <c r="A825" s="344">
        <v>11</v>
      </c>
      <c r="B825" s="196"/>
      <c r="C825" s="587" t="s">
        <v>1019</v>
      </c>
      <c r="D825" s="725" t="s">
        <v>1013</v>
      </c>
      <c r="E825" s="714" t="str">
        <f>'FR-16(7)(v)-1 Functional'!$E$825</f>
        <v>CS19</v>
      </c>
      <c r="F825" s="648">
        <v>1</v>
      </c>
      <c r="G825" s="566">
        <f>ROUND(IF($F$403=0,0,G403/$F$403),5)</f>
        <v>0</v>
      </c>
      <c r="H825" s="567">
        <f>ROUND(IF($F$403=0,0,H403/$F$403),5)</f>
        <v>0</v>
      </c>
      <c r="I825" s="568">
        <f>1-SUM(G825:H825)</f>
        <v>1</v>
      </c>
      <c r="J825" s="737">
        <f t="shared" si="170"/>
        <v>1</v>
      </c>
      <c r="K825" s="737">
        <f t="shared" si="171"/>
        <v>0</v>
      </c>
      <c r="O825" s="755"/>
    </row>
    <row r="826" spans="1:15">
      <c r="A826" s="344">
        <v>12</v>
      </c>
      <c r="B826" s="196"/>
      <c r="C826" s="587" t="s">
        <v>252</v>
      </c>
      <c r="D826" s="725" t="s">
        <v>1013</v>
      </c>
      <c r="E826" s="714" t="str">
        <f>'FR-16(7)(v)-1 Functional'!$E$826</f>
        <v>SE19</v>
      </c>
      <c r="F826" s="648">
        <v>1</v>
      </c>
      <c r="G826" s="566">
        <f>ROUND(IF($F$407=0,0,G407/$F$407),5)</f>
        <v>0</v>
      </c>
      <c r="H826" s="567">
        <f>ROUND(IF($F$407=0,0,H407/$F$407),5)</f>
        <v>0</v>
      </c>
      <c r="I826" s="568">
        <f>ROUND(IF($F$407=0,0,I407/$F$407),5)</f>
        <v>1</v>
      </c>
      <c r="J826" s="737">
        <f t="shared" si="170"/>
        <v>1</v>
      </c>
      <c r="K826" s="737">
        <f t="shared" si="171"/>
        <v>0</v>
      </c>
      <c r="O826" s="755">
        <f>SUM(G826:I826)</f>
        <v>1</v>
      </c>
    </row>
    <row r="827" spans="1:15">
      <c r="A827" s="344">
        <v>13</v>
      </c>
      <c r="B827" s="196"/>
      <c r="C827" s="587" t="s">
        <v>253</v>
      </c>
      <c r="D827" s="725" t="s">
        <v>1013</v>
      </c>
      <c r="E827" s="714" t="str">
        <f>'FR-16(7)(v)-1 Functional'!$E$827</f>
        <v>AG39</v>
      </c>
      <c r="F827" s="648">
        <v>1</v>
      </c>
      <c r="G827" s="566">
        <f>ROUND(IF($F$416=0,0,G416/$F$416),5)</f>
        <v>0.40061999999999998</v>
      </c>
      <c r="H827" s="567">
        <f>ROUND(IF($F$416=0,0,H416/$F$416),5)</f>
        <v>0</v>
      </c>
      <c r="I827" s="568">
        <f>1-SUM(G827:H827)</f>
        <v>0.59938000000000002</v>
      </c>
      <c r="J827" s="737">
        <f t="shared" si="170"/>
        <v>1</v>
      </c>
      <c r="K827" s="737">
        <f t="shared" si="171"/>
        <v>0</v>
      </c>
      <c r="O827" s="755">
        <f>SUM(G827:I827)</f>
        <v>1</v>
      </c>
    </row>
    <row r="828" spans="1:15">
      <c r="A828" s="344">
        <v>14</v>
      </c>
      <c r="B828" s="196"/>
      <c r="C828" s="587" t="s">
        <v>254</v>
      </c>
      <c r="D828" s="725" t="s">
        <v>1013</v>
      </c>
      <c r="E828" s="714" t="str">
        <f>'FR-16(7)(v)-1 Functional'!$E$828</f>
        <v>OM39</v>
      </c>
      <c r="F828" s="648">
        <v>1</v>
      </c>
      <c r="G828" s="566">
        <f>ROUND(IF($F$433=0,0,G433/$F$433),5)</f>
        <v>0.44796999999999998</v>
      </c>
      <c r="H828" s="567">
        <f>ROUND(IF($F$433=0,0,H433/$F$433),5)</f>
        <v>0</v>
      </c>
      <c r="I828" s="568">
        <f>1-SUM(G828:H828)</f>
        <v>0.55203000000000002</v>
      </c>
      <c r="J828" s="737">
        <f t="shared" si="170"/>
        <v>1</v>
      </c>
      <c r="K828" s="737">
        <f t="shared" si="171"/>
        <v>0</v>
      </c>
      <c r="O828" s="755">
        <f>SUM(G828:I828)</f>
        <v>1</v>
      </c>
    </row>
    <row r="829" spans="1:15">
      <c r="A829" s="344">
        <v>15</v>
      </c>
      <c r="B829" s="196"/>
      <c r="C829" s="196"/>
      <c r="D829" s="344"/>
      <c r="E829" s="729"/>
      <c r="F829" s="648"/>
      <c r="G829" s="566"/>
      <c r="H829" s="567"/>
      <c r="I829" s="568"/>
      <c r="J829" s="737"/>
      <c r="K829" s="737"/>
      <c r="O829" s="753"/>
    </row>
    <row r="830" spans="1:15">
      <c r="A830" s="344">
        <v>16</v>
      </c>
      <c r="B830" s="587" t="s">
        <v>97</v>
      </c>
      <c r="C830" s="196"/>
      <c r="D830" s="344"/>
      <c r="E830" s="729"/>
      <c r="F830" s="648"/>
      <c r="G830" s="566"/>
      <c r="H830" s="567"/>
      <c r="I830" s="568"/>
      <c r="J830" s="737"/>
      <c r="K830" s="737"/>
      <c r="O830" s="753"/>
    </row>
    <row r="831" spans="1:15">
      <c r="A831" s="344">
        <v>17</v>
      </c>
      <c r="B831" s="196"/>
      <c r="C831" s="587" t="s">
        <v>255</v>
      </c>
      <c r="D831" s="725" t="s">
        <v>1013</v>
      </c>
      <c r="E831" s="714" t="str">
        <f>'FR-16(7)(v)-1 Functional'!$E$831</f>
        <v>P489</v>
      </c>
      <c r="F831" s="648">
        <v>1</v>
      </c>
      <c r="G831" s="566">
        <f>ROUND(IF($F$447=0,0,G447/$F$447),5)</f>
        <v>0</v>
      </c>
      <c r="H831" s="567">
        <f>ROUND(IF($F$447=0,0,H447/$F$447),5)</f>
        <v>0</v>
      </c>
      <c r="I831" s="568">
        <f>ROUND(IF($F$447=0,0,I447/$F$447),5)</f>
        <v>0</v>
      </c>
      <c r="J831" s="737">
        <f>SUM(G831:I831)</f>
        <v>0</v>
      </c>
      <c r="K831" s="737">
        <f>F831-J831</f>
        <v>1</v>
      </c>
      <c r="O831" s="755">
        <f>SUM(G831:I831)</f>
        <v>0</v>
      </c>
    </row>
    <row r="832" spans="1:15">
      <c r="A832" s="344">
        <v>18</v>
      </c>
      <c r="B832" s="196"/>
      <c r="C832" s="587" t="s">
        <v>256</v>
      </c>
      <c r="D832" s="725" t="s">
        <v>1013</v>
      </c>
      <c r="E832" s="714" t="str">
        <f>'FR-16(7)(v)-1 Functional'!$E$832</f>
        <v>D489</v>
      </c>
      <c r="F832" s="648">
        <v>1</v>
      </c>
      <c r="G832" s="566">
        <f>ROUND(IF($F$454=0,0,G454/$F$454),5)</f>
        <v>0.55291999999999997</v>
      </c>
      <c r="H832" s="567">
        <f>ROUND(IF($F$454=0,0,H454/$F$454),5)</f>
        <v>0</v>
      </c>
      <c r="I832" s="568">
        <f>1-SUM(G832:H832)</f>
        <v>0.44708000000000003</v>
      </c>
      <c r="J832" s="737">
        <f>SUM(G832:I832)</f>
        <v>1</v>
      </c>
      <c r="K832" s="737">
        <f>F832-J832</f>
        <v>0</v>
      </c>
      <c r="O832" s="755">
        <f>SUM(G832:I832)</f>
        <v>1</v>
      </c>
    </row>
    <row r="833" spans="1:15">
      <c r="A833" s="344">
        <v>19</v>
      </c>
      <c r="B833" s="196"/>
      <c r="C833" s="587" t="s">
        <v>257</v>
      </c>
      <c r="D833" s="725" t="s">
        <v>1013</v>
      </c>
      <c r="E833" s="714" t="str">
        <f>'FR-16(7)(v)-1 Functional'!$E$833</f>
        <v>G489</v>
      </c>
      <c r="F833" s="648">
        <v>1</v>
      </c>
      <c r="G833" s="566">
        <f>ROUND(IF($F$458=0,0,G458/$F$458),5)</f>
        <v>0.40061999999999998</v>
      </c>
      <c r="H833" s="567">
        <f>ROUND(IF($F$458=0,0,H458/$F$458),5)</f>
        <v>0</v>
      </c>
      <c r="I833" s="568">
        <f>1-SUM(G833:H833)</f>
        <v>0.59938000000000002</v>
      </c>
      <c r="J833" s="737">
        <f>SUM(G833:I833)</f>
        <v>1</v>
      </c>
      <c r="K833" s="737">
        <f>F833-J833</f>
        <v>0</v>
      </c>
      <c r="O833" s="755">
        <f>SUM(G833:I833)</f>
        <v>1</v>
      </c>
    </row>
    <row r="834" spans="1:15">
      <c r="A834" s="344">
        <v>20</v>
      </c>
      <c r="B834" s="196"/>
      <c r="C834" s="587" t="s">
        <v>258</v>
      </c>
      <c r="D834" s="725" t="s">
        <v>1013</v>
      </c>
      <c r="E834" s="714" t="str">
        <f>'FR-16(7)(v)-1 Functional'!$E$834</f>
        <v>C489</v>
      </c>
      <c r="F834" s="648">
        <v>1</v>
      </c>
      <c r="G834" s="566">
        <f>ROUND(IF($F$462=0,0,G462/$F$462),5)</f>
        <v>0.40061999999999998</v>
      </c>
      <c r="H834" s="567">
        <f>ROUND(IF($F$462=0,0,H462/$F$462),5)</f>
        <v>0</v>
      </c>
      <c r="I834" s="568">
        <f>1-SUM(G834:H834)</f>
        <v>0.59938000000000002</v>
      </c>
      <c r="J834" s="737">
        <f>SUM(G834:I834)</f>
        <v>1</v>
      </c>
      <c r="K834" s="737">
        <f>F834-J834</f>
        <v>0</v>
      </c>
      <c r="O834" s="755">
        <f>SUM(G834:I834)</f>
        <v>1</v>
      </c>
    </row>
    <row r="835" spans="1:15">
      <c r="A835" s="344">
        <v>21</v>
      </c>
      <c r="B835" s="196"/>
      <c r="C835" s="587" t="s">
        <v>259</v>
      </c>
      <c r="D835" s="725" t="s">
        <v>1013</v>
      </c>
      <c r="E835" s="714" t="str">
        <f>'FR-16(7)(v)-1 Functional'!$E$835</f>
        <v>DE49</v>
      </c>
      <c r="F835" s="648">
        <v>1</v>
      </c>
      <c r="G835" s="566">
        <f>ROUND(IF($F$465=0,0,G465/$F$465),5)</f>
        <v>0.53051999999999999</v>
      </c>
      <c r="H835" s="567">
        <f>ROUND(IF($F$465=0,0,H465/$F$465),5)</f>
        <v>0</v>
      </c>
      <c r="I835" s="568">
        <f>1-SUM(G835:H835)</f>
        <v>0.46948000000000001</v>
      </c>
      <c r="J835" s="737">
        <f>SUM(G835:I835)</f>
        <v>1</v>
      </c>
      <c r="K835" s="737">
        <f>F835-J835</f>
        <v>0</v>
      </c>
      <c r="O835" s="755">
        <f>SUM(G835:I835)</f>
        <v>1</v>
      </c>
    </row>
    <row r="836" spans="1:15">
      <c r="A836" s="344">
        <v>22</v>
      </c>
      <c r="B836" s="196"/>
      <c r="C836" s="196"/>
      <c r="D836" s="344"/>
      <c r="E836" s="729"/>
      <c r="F836" s="652"/>
      <c r="G836" s="547"/>
      <c r="H836" s="537"/>
      <c r="I836" s="538"/>
      <c r="J836" s="532"/>
      <c r="K836" s="532"/>
      <c r="O836" s="753"/>
    </row>
    <row r="837" spans="1:15">
      <c r="A837" s="344">
        <v>23</v>
      </c>
      <c r="B837" s="587" t="s">
        <v>62</v>
      </c>
      <c r="C837" s="196"/>
      <c r="D837" s="344"/>
      <c r="E837" s="729"/>
      <c r="F837" s="493"/>
      <c r="G837" s="548"/>
      <c r="H837" s="539"/>
      <c r="I837" s="540"/>
      <c r="J837" s="670"/>
      <c r="K837" s="670"/>
      <c r="O837" s="753"/>
    </row>
    <row r="838" spans="1:15">
      <c r="A838" s="344">
        <v>24</v>
      </c>
      <c r="B838" s="196"/>
      <c r="C838" s="587" t="s">
        <v>260</v>
      </c>
      <c r="D838" s="725" t="s">
        <v>1013</v>
      </c>
      <c r="E838" s="714" t="str">
        <f>'FR-16(7)(v)-1 Functional'!$E$838</f>
        <v>L529</v>
      </c>
      <c r="F838" s="648">
        <v>1</v>
      </c>
      <c r="G838" s="566">
        <f>ROUND(IF($F$481=0,0,$G$481/$F$481),5)</f>
        <v>0.54698999999999998</v>
      </c>
      <c r="H838" s="567">
        <f>ROUND(IF($F$481=0,0,$H$481/$F$481),5)</f>
        <v>0</v>
      </c>
      <c r="I838" s="568">
        <f>1-SUM(G838:H838)</f>
        <v>0.45301000000000002</v>
      </c>
      <c r="J838" s="737">
        <f>SUM(G838:I838)</f>
        <v>1</v>
      </c>
      <c r="K838" s="737">
        <f>F838-J838</f>
        <v>0</v>
      </c>
      <c r="O838" s="755">
        <f>SUM(G838:I838)</f>
        <v>1</v>
      </c>
    </row>
    <row r="839" spans="1:15">
      <c r="A839" s="344">
        <v>25</v>
      </c>
      <c r="B839" s="196"/>
      <c r="C839" s="587" t="s">
        <v>261</v>
      </c>
      <c r="D839" s="725" t="s">
        <v>1013</v>
      </c>
      <c r="E839" s="714" t="str">
        <f>'FR-16(7)(v)-1 Functional'!$E$839</f>
        <v>L589</v>
      </c>
      <c r="F839" s="648">
        <v>1</v>
      </c>
      <c r="G839" s="566">
        <f>ROUND(IF($F$488=0,0,$G$488/$F$488),5)</f>
        <v>0.40061999999999998</v>
      </c>
      <c r="H839" s="567">
        <f>ROUND(IF($F$488=0,0,$H$488/$F$488),5)</f>
        <v>0</v>
      </c>
      <c r="I839" s="568">
        <f>1-SUM(G839:H839)</f>
        <v>0.59938000000000002</v>
      </c>
      <c r="J839" s="737">
        <f>SUM(G839:I839)</f>
        <v>1</v>
      </c>
      <c r="K839" s="737">
        <f>F839-J839</f>
        <v>0</v>
      </c>
      <c r="O839" s="755">
        <f>SUM(G839:I839)</f>
        <v>1</v>
      </c>
    </row>
    <row r="840" spans="1:15">
      <c r="A840" s="344">
        <v>26</v>
      </c>
      <c r="B840" s="196"/>
      <c r="C840" s="587" t="s">
        <v>262</v>
      </c>
      <c r="D840" s="725" t="s">
        <v>1013</v>
      </c>
      <c r="E840" s="714" t="str">
        <f>'FR-16(7)(v)-1 Functional'!$E$840</f>
        <v>L599</v>
      </c>
      <c r="F840" s="648">
        <v>1</v>
      </c>
      <c r="G840" s="566">
        <f>ROUND(IF($F$500=0,0,$G$500/$F$500),5)</f>
        <v>0.52315</v>
      </c>
      <c r="H840" s="567">
        <f>ROUND(IF($F$500=0,0,$H$500/$F$500),5)</f>
        <v>0</v>
      </c>
      <c r="I840" s="568">
        <f>1-SUM(G840:H840)</f>
        <v>0.47685</v>
      </c>
      <c r="J840" s="737">
        <f>SUM(G840:I840)</f>
        <v>1</v>
      </c>
      <c r="K840" s="737">
        <f>F840-J840</f>
        <v>0</v>
      </c>
      <c r="O840" s="755">
        <f>SUM(G840:I840)</f>
        <v>1</v>
      </c>
    </row>
    <row r="841" spans="1:15">
      <c r="A841" s="344">
        <v>27</v>
      </c>
      <c r="B841" s="196"/>
      <c r="C841" s="587" t="s">
        <v>263</v>
      </c>
      <c r="D841" s="725" t="s">
        <v>1013</v>
      </c>
      <c r="E841" s="714" t="str">
        <f>'FR-16(7)(v)-1 Functional'!$E$841</f>
        <v>OP69</v>
      </c>
      <c r="F841" s="648">
        <v>1</v>
      </c>
      <c r="G841" s="566">
        <f>ROUND(IF($F$501=0,0,$G$501/$F$501),5)</f>
        <v>0.48415000000000002</v>
      </c>
      <c r="H841" s="567">
        <f>ROUND(IF($F$501=0,0,$H$501/$F$501),5)</f>
        <v>0</v>
      </c>
      <c r="I841" s="568">
        <f>1-SUM(G841:H841)</f>
        <v>0.51584999999999992</v>
      </c>
      <c r="J841" s="737">
        <f>SUM(G841:I841)</f>
        <v>1</v>
      </c>
      <c r="K841" s="737">
        <f>F841-J841</f>
        <v>0</v>
      </c>
      <c r="O841" s="755">
        <f>SUM(G841:I841)</f>
        <v>1</v>
      </c>
    </row>
    <row r="842" spans="1:15">
      <c r="A842" s="344">
        <v>28</v>
      </c>
      <c r="B842" s="196"/>
      <c r="C842" s="196"/>
      <c r="D842" s="344"/>
      <c r="E842" s="729"/>
      <c r="F842" s="648"/>
      <c r="G842" s="566"/>
      <c r="H842" s="567"/>
      <c r="I842" s="568"/>
      <c r="J842" s="737"/>
      <c r="K842" s="737"/>
      <c r="O842" s="753"/>
    </row>
    <row r="843" spans="1:15">
      <c r="A843" s="344">
        <v>29</v>
      </c>
      <c r="B843" s="587" t="s">
        <v>1176</v>
      </c>
      <c r="C843" s="196"/>
      <c r="D843" s="344"/>
      <c r="E843" s="729"/>
      <c r="F843" s="648"/>
      <c r="G843" s="566"/>
      <c r="H843" s="567"/>
      <c r="I843" s="568"/>
      <c r="J843" s="737"/>
      <c r="K843" s="737"/>
      <c r="O843" s="753"/>
    </row>
    <row r="844" spans="1:15" ht="13.5" thickBot="1">
      <c r="A844" s="344">
        <v>30</v>
      </c>
      <c r="B844" s="196"/>
      <c r="C844" s="587" t="s">
        <v>1041</v>
      </c>
      <c r="D844" s="725" t="s">
        <v>1013</v>
      </c>
      <c r="E844" s="714" t="str">
        <f>'FR-16(7)(v)-1 Functional'!$E$844</f>
        <v>CS09</v>
      </c>
      <c r="F844" s="648">
        <v>1</v>
      </c>
      <c r="G844" s="575">
        <f>ROUND(IF($F$647=0,0,G647/$F$647),5)</f>
        <v>0.51205999999999996</v>
      </c>
      <c r="H844" s="576">
        <f>ROUND(IF($F$647=0,0,H647/$F$647),5)</f>
        <v>0</v>
      </c>
      <c r="I844" s="577">
        <f>1-SUM(G844:H844)</f>
        <v>0.48794000000000004</v>
      </c>
      <c r="J844" s="739">
        <f>SUM(G844:I844)</f>
        <v>1</v>
      </c>
      <c r="K844" s="737">
        <f>F844-J844</f>
        <v>0</v>
      </c>
      <c r="O844" s="760">
        <f>SUM(G844:I844)</f>
        <v>1</v>
      </c>
    </row>
    <row r="848" spans="1:15">
      <c r="A848" s="344">
        <v>1</v>
      </c>
      <c r="B848" s="617" t="s">
        <v>91</v>
      </c>
      <c r="C848" s="618"/>
      <c r="D848" s="727"/>
      <c r="E848" s="720"/>
      <c r="F848" s="350"/>
      <c r="G848" s="347"/>
      <c r="J848" s="353"/>
      <c r="K848" s="353"/>
    </row>
    <row r="849" spans="1:11">
      <c r="A849" s="344">
        <v>2</v>
      </c>
      <c r="B849" s="619"/>
      <c r="C849" s="620" t="s">
        <v>227</v>
      </c>
      <c r="D849" s="728"/>
      <c r="E849" s="714" t="str">
        <f>'FR-16(7)(v)-1 Functional'!$E$849</f>
        <v>K597</v>
      </c>
      <c r="F849" s="477">
        <f>ROUND(0.06889*0,0)</f>
        <v>0</v>
      </c>
      <c r="G849" s="615">
        <f t="shared" ref="G849:G854" si="172">ROUND(F849*VLOOKUP(E849,Alloctable_Classified_Distribution,$H$10,FALSE),0)</f>
        <v>0</v>
      </c>
      <c r="H849" s="615">
        <f t="shared" ref="H849:H854" si="173">ROUND(F849*VLOOKUP(E849,Alloctable_Classified_Distribution,$H$10,FALSE),0)</f>
        <v>0</v>
      </c>
      <c r="I849" s="615">
        <f t="shared" ref="I849:I854" si="174">ROUND(F849*VLOOKUP(E849,Alloctable_Classified_Distribution,$I$10,FALSE),0)</f>
        <v>0</v>
      </c>
      <c r="J849" s="737">
        <f t="shared" ref="J849:J854" si="175">SUM(G849:I849)</f>
        <v>0</v>
      </c>
      <c r="K849" s="737">
        <f t="shared" ref="K849:K854" si="176">F849-J849</f>
        <v>0</v>
      </c>
    </row>
    <row r="850" spans="1:11">
      <c r="A850" s="344">
        <v>3</v>
      </c>
      <c r="B850" s="618"/>
      <c r="C850" s="293" t="s">
        <v>228</v>
      </c>
      <c r="D850" s="722"/>
      <c r="E850" s="714" t="str">
        <f>'FR-16(7)(v)-1 Functional'!$E$850</f>
        <v>AG39</v>
      </c>
      <c r="F850" s="494">
        <v>0</v>
      </c>
      <c r="G850" s="615">
        <f t="shared" si="172"/>
        <v>0</v>
      </c>
      <c r="H850" s="615">
        <f t="shared" si="173"/>
        <v>0</v>
      </c>
      <c r="I850" s="615">
        <f t="shared" si="174"/>
        <v>0</v>
      </c>
      <c r="J850" s="737">
        <f t="shared" si="175"/>
        <v>0</v>
      </c>
      <c r="K850" s="737">
        <f t="shared" si="176"/>
        <v>0</v>
      </c>
    </row>
    <row r="851" spans="1:11">
      <c r="A851" s="344">
        <v>4</v>
      </c>
      <c r="B851" s="618"/>
      <c r="C851" s="293" t="s">
        <v>428</v>
      </c>
      <c r="D851" s="722"/>
      <c r="E851" s="714" t="str">
        <f>'FR-16(7)(v)-1 Functional'!$E$851</f>
        <v>AG39</v>
      </c>
      <c r="F851" s="494">
        <v>0</v>
      </c>
      <c r="G851" s="615">
        <f t="shared" si="172"/>
        <v>0</v>
      </c>
      <c r="H851" s="615">
        <f t="shared" si="173"/>
        <v>0</v>
      </c>
      <c r="I851" s="615">
        <f t="shared" si="174"/>
        <v>0</v>
      </c>
      <c r="J851" s="737">
        <f t="shared" si="175"/>
        <v>0</v>
      </c>
      <c r="K851" s="737">
        <f t="shared" si="176"/>
        <v>0</v>
      </c>
    </row>
    <row r="852" spans="1:11">
      <c r="A852" s="344">
        <v>5</v>
      </c>
      <c r="B852" s="618"/>
      <c r="C852" s="293" t="s">
        <v>423</v>
      </c>
      <c r="D852" s="722" t="s">
        <v>343</v>
      </c>
      <c r="E852" s="714" t="str">
        <f>'FR-16(7)(v)-1 Functional'!$E$852</f>
        <v>K301</v>
      </c>
      <c r="F852" s="494">
        <v>0</v>
      </c>
      <c r="G852" s="615">
        <f t="shared" si="172"/>
        <v>0</v>
      </c>
      <c r="H852" s="615">
        <f t="shared" si="173"/>
        <v>0</v>
      </c>
      <c r="I852" s="615">
        <f t="shared" si="174"/>
        <v>0</v>
      </c>
      <c r="J852" s="737">
        <f t="shared" si="175"/>
        <v>0</v>
      </c>
      <c r="K852" s="737">
        <f t="shared" si="176"/>
        <v>0</v>
      </c>
    </row>
    <row r="853" spans="1:11">
      <c r="A853" s="344">
        <v>6</v>
      </c>
      <c r="B853" s="618"/>
      <c r="C853" s="293" t="s">
        <v>409</v>
      </c>
      <c r="D853" s="722"/>
      <c r="E853" s="714" t="str">
        <f>'FR-16(7)(v)-1 Functional'!$E$853</f>
        <v>K415</v>
      </c>
      <c r="F853" s="494">
        <v>0</v>
      </c>
      <c r="G853" s="615">
        <f t="shared" si="172"/>
        <v>0</v>
      </c>
      <c r="H853" s="615">
        <f t="shared" si="173"/>
        <v>0</v>
      </c>
      <c r="I853" s="615">
        <f t="shared" si="174"/>
        <v>0</v>
      </c>
      <c r="J853" s="737">
        <f t="shared" si="175"/>
        <v>0</v>
      </c>
      <c r="K853" s="737">
        <f t="shared" si="176"/>
        <v>0</v>
      </c>
    </row>
    <row r="854" spans="1:11">
      <c r="A854" s="344">
        <v>7</v>
      </c>
      <c r="B854" s="618"/>
      <c r="C854" s="293" t="s">
        <v>424</v>
      </c>
      <c r="D854" s="722" t="s">
        <v>343</v>
      </c>
      <c r="E854" s="714" t="str">
        <f>'FR-16(7)(v)-1 Functional'!$E$854</f>
        <v>NP29</v>
      </c>
      <c r="F854" s="494">
        <v>0</v>
      </c>
      <c r="G854" s="615">
        <f t="shared" si="172"/>
        <v>0</v>
      </c>
      <c r="H854" s="615">
        <f t="shared" si="173"/>
        <v>0</v>
      </c>
      <c r="I854" s="615">
        <f t="shared" si="174"/>
        <v>0</v>
      </c>
      <c r="J854" s="737">
        <f t="shared" si="175"/>
        <v>0</v>
      </c>
      <c r="K854" s="737">
        <f t="shared" si="176"/>
        <v>0</v>
      </c>
    </row>
    <row r="855" spans="1:11">
      <c r="A855" s="344">
        <v>8</v>
      </c>
      <c r="C855" s="488" t="s">
        <v>229</v>
      </c>
      <c r="D855" s="589" t="s">
        <v>285</v>
      </c>
      <c r="E855" s="333"/>
      <c r="F855" s="348">
        <f t="shared" ref="F855:K855" si="177">SUM(F849:F854)</f>
        <v>0</v>
      </c>
      <c r="G855" s="348">
        <f t="shared" si="177"/>
        <v>0</v>
      </c>
      <c r="H855" s="348">
        <f t="shared" si="177"/>
        <v>0</v>
      </c>
      <c r="I855" s="348">
        <f t="shared" si="177"/>
        <v>0</v>
      </c>
      <c r="J855" s="348">
        <f t="shared" si="177"/>
        <v>0</v>
      </c>
      <c r="K855" s="348">
        <f t="shared" si="177"/>
        <v>0</v>
      </c>
    </row>
    <row r="861" spans="1:11" ht="20.25">
      <c r="A861" s="1192" t="s">
        <v>1215</v>
      </c>
    </row>
    <row r="863" spans="1:11">
      <c r="A863" s="344" t="s">
        <v>914</v>
      </c>
      <c r="B863" s="196"/>
      <c r="C863" s="196"/>
      <c r="D863" s="344"/>
      <c r="E863" s="196"/>
      <c r="F863" s="344" t="s">
        <v>229</v>
      </c>
      <c r="G863" s="545" t="s">
        <v>1005</v>
      </c>
      <c r="H863" s="533"/>
      <c r="I863" s="534"/>
      <c r="J863" s="344" t="s">
        <v>229</v>
      </c>
      <c r="K863" s="344" t="s">
        <v>342</v>
      </c>
    </row>
    <row r="864" spans="1:11">
      <c r="A864" s="346" t="s">
        <v>915</v>
      </c>
      <c r="B864" s="345" t="s">
        <v>99</v>
      </c>
      <c r="C864" s="345"/>
      <c r="D864" s="346" t="s">
        <v>337</v>
      </c>
      <c r="E864" s="345"/>
      <c r="F864" s="346" t="s">
        <v>846</v>
      </c>
      <c r="G864" s="546" t="s">
        <v>847</v>
      </c>
      <c r="H864" s="535" t="s">
        <v>848</v>
      </c>
      <c r="I864" s="536" t="s">
        <v>849</v>
      </c>
      <c r="J864" s="346" t="s">
        <v>341</v>
      </c>
      <c r="K864" s="346" t="s">
        <v>340</v>
      </c>
    </row>
    <row r="865" spans="1:11">
      <c r="B865" s="196"/>
      <c r="C865" s="578" t="s">
        <v>4</v>
      </c>
      <c r="D865" s="344"/>
      <c r="E865" s="196"/>
      <c r="G865" s="800">
        <f>$G$10</f>
        <v>3</v>
      </c>
      <c r="H865" s="801">
        <f>$H$10</f>
        <v>4</v>
      </c>
      <c r="I865" s="802">
        <f>$I$10</f>
        <v>5</v>
      </c>
    </row>
    <row r="866" spans="1:11">
      <c r="A866" s="333">
        <v>1</v>
      </c>
      <c r="B866" s="332" t="s">
        <v>100</v>
      </c>
      <c r="D866" s="344"/>
      <c r="E866" s="196"/>
      <c r="G866" s="547"/>
      <c r="H866" s="537"/>
      <c r="I866" s="538"/>
    </row>
    <row r="867" spans="1:11">
      <c r="A867" s="333">
        <v>2</v>
      </c>
      <c r="C867" s="332" t="str">
        <f>'FR-16(7)(v)-1 Functional'!C867</f>
        <v>TOTAL GAS COST OF SERVICE</v>
      </c>
      <c r="D867" s="344"/>
      <c r="E867" s="196"/>
      <c r="F867" s="347">
        <f t="shared" ref="F867:K867" si="178">F647</f>
        <v>64974887</v>
      </c>
      <c r="G867" s="548">
        <f t="shared" si="178"/>
        <v>33271110</v>
      </c>
      <c r="H867" s="539">
        <f t="shared" si="178"/>
        <v>0</v>
      </c>
      <c r="I867" s="540">
        <f t="shared" si="178"/>
        <v>31703777</v>
      </c>
      <c r="J867" s="347">
        <f t="shared" si="178"/>
        <v>64974887</v>
      </c>
      <c r="K867" s="347">
        <f t="shared" si="178"/>
        <v>0</v>
      </c>
    </row>
    <row r="868" spans="1:11">
      <c r="A868" s="333">
        <v>3</v>
      </c>
      <c r="C868" s="359" t="str">
        <f>'FR-16(7)(v)-1 Functional'!C868</f>
        <v>TOTAL OTHER OPERATING REVENUES</v>
      </c>
      <c r="D868" s="344"/>
      <c r="E868" s="196"/>
      <c r="F868" s="347">
        <f>F630</f>
        <v>91387</v>
      </c>
      <c r="G868" s="548">
        <f>$G$630</f>
        <v>17988</v>
      </c>
      <c r="H868" s="539">
        <f>$H$630</f>
        <v>0</v>
      </c>
      <c r="I868" s="540">
        <f>$I$630</f>
        <v>73399</v>
      </c>
      <c r="J868" s="347">
        <f>$J$630</f>
        <v>91387</v>
      </c>
      <c r="K868" s="347">
        <f>$K$630</f>
        <v>0</v>
      </c>
    </row>
    <row r="869" spans="1:11">
      <c r="A869" s="333">
        <v>4</v>
      </c>
      <c r="C869" s="332" t="str">
        <f>'FR-16(7)(v)-1 Functional'!C869</f>
        <v xml:space="preserve">  TOTAL GAS REVENUE</v>
      </c>
      <c r="D869" s="344"/>
      <c r="E869" s="196"/>
      <c r="F869" s="348">
        <f t="shared" ref="F869:K869" si="179">SUM(F866:F868)</f>
        <v>65066274</v>
      </c>
      <c r="G869" s="549">
        <f t="shared" si="179"/>
        <v>33289098</v>
      </c>
      <c r="H869" s="541">
        <f t="shared" si="179"/>
        <v>0</v>
      </c>
      <c r="I869" s="542">
        <f t="shared" si="179"/>
        <v>31777176</v>
      </c>
      <c r="J869" s="348">
        <f t="shared" si="179"/>
        <v>65066274</v>
      </c>
      <c r="K869" s="348">
        <f t="shared" si="179"/>
        <v>0</v>
      </c>
    </row>
    <row r="870" spans="1:11">
      <c r="A870" s="333">
        <v>5</v>
      </c>
      <c r="C870" s="332" t="str">
        <f>'FR-16(7)(v)-1 Functional'!C870</f>
        <v>TOTAL OP EXP EX INC &amp; REV TAX</v>
      </c>
      <c r="D870" s="344"/>
      <c r="E870" s="196"/>
      <c r="F870" s="347">
        <f>-F501</f>
        <v>-40650944</v>
      </c>
      <c r="G870" s="548">
        <f>-$G$501</f>
        <v>-19681079</v>
      </c>
      <c r="H870" s="539">
        <f>-$H$501</f>
        <v>0</v>
      </c>
      <c r="I870" s="540">
        <f>-$I$501</f>
        <v>-20969865</v>
      </c>
      <c r="J870" s="512">
        <f>-$J$501</f>
        <v>-40650944</v>
      </c>
      <c r="K870" s="347">
        <f>-$K$501</f>
        <v>0</v>
      </c>
    </row>
    <row r="871" spans="1:11">
      <c r="A871" s="333">
        <v>6</v>
      </c>
      <c r="C871" s="359" t="str">
        <f>'FR-16(7)(v)-1 Functional'!C871</f>
        <v>FIRM SERVICE REVENUE TAX</v>
      </c>
      <c r="D871" s="344"/>
      <c r="E871" s="196"/>
      <c r="F871" s="347">
        <f>-ROUND(F694*F867,0)</f>
        <v>0</v>
      </c>
      <c r="G871" s="548">
        <f>-ROUND(G694*G867,0)</f>
        <v>0</v>
      </c>
      <c r="H871" s="539">
        <f>-ROUND(H694*H867,0)</f>
        <v>0</v>
      </c>
      <c r="I871" s="540">
        <f>-ROUND(I694*I867,0)</f>
        <v>0</v>
      </c>
      <c r="J871" s="510">
        <f>SUM(G871:I871)</f>
        <v>0</v>
      </c>
      <c r="K871" s="347">
        <f>-ROUND('FR-16(7)(v)-1 Functional'!K694*K867,0)</f>
        <v>0</v>
      </c>
    </row>
    <row r="872" spans="1:11">
      <c r="A872" s="333">
        <v>7</v>
      </c>
      <c r="C872" s="332" t="str">
        <f>'FR-16(7)(v)-1 Functional'!C872</f>
        <v xml:space="preserve">  NET INCOME</v>
      </c>
      <c r="D872" s="344"/>
      <c r="E872" s="196"/>
      <c r="F872" s="348">
        <f>SUM(F869:F871)</f>
        <v>24415330</v>
      </c>
      <c r="G872" s="549">
        <f>SUM(G869:G871)</f>
        <v>13608019</v>
      </c>
      <c r="H872" s="541">
        <f>SUM(H869:H871)</f>
        <v>0</v>
      </c>
      <c r="I872" s="542">
        <f>SUM(I869:I871)</f>
        <v>10807311</v>
      </c>
      <c r="J872" s="348">
        <f>SUM(G872:I872)</f>
        <v>24415330</v>
      </c>
      <c r="K872" s="348">
        <f>SUM(K869:K871)</f>
        <v>0</v>
      </c>
    </row>
    <row r="873" spans="1:11">
      <c r="A873" s="333">
        <v>8</v>
      </c>
      <c r="D873" s="344"/>
      <c r="E873" s="196"/>
      <c r="G873" s="547"/>
      <c r="H873" s="537"/>
      <c r="I873" s="538"/>
    </row>
    <row r="874" spans="1:11">
      <c r="A874" s="333">
        <v>9</v>
      </c>
      <c r="B874" s="332" t="s">
        <v>101</v>
      </c>
      <c r="D874" s="344"/>
      <c r="E874" s="196"/>
      <c r="G874" s="547"/>
      <c r="H874" s="537"/>
      <c r="I874" s="538"/>
    </row>
    <row r="875" spans="1:11">
      <c r="A875" s="333">
        <v>10</v>
      </c>
      <c r="C875" s="332" t="str">
        <f>'FR-16(7)(v)-1 Functional'!C875</f>
        <v>TOTAL INTEREST EXPENSE</v>
      </c>
      <c r="D875" s="344"/>
      <c r="E875" s="196"/>
      <c r="F875" s="347">
        <f>-F516</f>
        <v>-6617213</v>
      </c>
      <c r="G875" s="548">
        <f>-$G$516</f>
        <v>-3667723</v>
      </c>
      <c r="H875" s="539">
        <f>-$H$516</f>
        <v>0</v>
      </c>
      <c r="I875" s="540">
        <f>-$I$516</f>
        <v>-2949490</v>
      </c>
      <c r="J875" s="347">
        <f>-$J$516</f>
        <v>-6617213</v>
      </c>
      <c r="K875" s="347">
        <f>-$K$516</f>
        <v>0</v>
      </c>
    </row>
    <row r="876" spans="1:11">
      <c r="A876" s="333">
        <v>11</v>
      </c>
      <c r="C876" s="359" t="str">
        <f>'FR-16(7)(v)-1 Functional'!C876</f>
        <v>TOTAL OTHER DEDUCTIONS</v>
      </c>
      <c r="D876" s="344"/>
      <c r="E876" s="196"/>
      <c r="F876" s="347">
        <f>-F522</f>
        <v>-6401395</v>
      </c>
      <c r="G876" s="548">
        <f>-$G$522</f>
        <v>-3407675</v>
      </c>
      <c r="H876" s="539">
        <f>-$H$522</f>
        <v>0</v>
      </c>
      <c r="I876" s="540">
        <f>-$I$522</f>
        <v>-2993720</v>
      </c>
      <c r="J876" s="347">
        <f>-$J$522</f>
        <v>-6401395</v>
      </c>
      <c r="K876" s="347">
        <f>-$K$522</f>
        <v>0</v>
      </c>
    </row>
    <row r="877" spans="1:11">
      <c r="A877" s="333">
        <v>12</v>
      </c>
      <c r="C877" s="332" t="str">
        <f>'FR-16(7)(v)-1 Functional'!C877</f>
        <v xml:space="preserve">  PRELIMINARY TAXABLE INCOME</v>
      </c>
      <c r="D877" s="344"/>
      <c r="E877" s="196"/>
      <c r="F877" s="348">
        <f>SUM(F874:F876)+F872</f>
        <v>11396722</v>
      </c>
      <c r="G877" s="549">
        <f>SUM(G874:G876)+G872</f>
        <v>6532621</v>
      </c>
      <c r="H877" s="541">
        <f>SUM(H874:H876)+H872</f>
        <v>0</v>
      </c>
      <c r="I877" s="542">
        <f>SUM(I874:I876)+I872</f>
        <v>4864101</v>
      </c>
      <c r="J877" s="348">
        <f>SUM(G877:I877)</f>
        <v>11396722</v>
      </c>
      <c r="K877" s="348">
        <f>SUM(K874:K876)+K872</f>
        <v>0</v>
      </c>
    </row>
    <row r="878" spans="1:11">
      <c r="A878" s="333">
        <v>13</v>
      </c>
      <c r="D878" s="344"/>
      <c r="E878" s="196"/>
      <c r="G878" s="547"/>
      <c r="H878" s="537"/>
      <c r="I878" s="538"/>
    </row>
    <row r="879" spans="1:11">
      <c r="A879" s="333">
        <v>14</v>
      </c>
      <c r="B879" s="332" t="s">
        <v>99</v>
      </c>
      <c r="D879" s="344"/>
      <c r="E879" s="196"/>
      <c r="G879" s="547"/>
      <c r="H879" s="537"/>
      <c r="I879" s="538"/>
    </row>
    <row r="880" spans="1:11">
      <c r="A880" s="333">
        <v>15</v>
      </c>
      <c r="B880" s="332" t="s">
        <v>74</v>
      </c>
      <c r="D880" s="344"/>
      <c r="E880" s="196"/>
      <c r="G880" s="547"/>
      <c r="H880" s="537"/>
      <c r="I880" s="538"/>
    </row>
    <row r="881" spans="1:11">
      <c r="A881" s="333">
        <v>16</v>
      </c>
      <c r="C881" s="332" t="str">
        <f>'FR-16(7)(v)-1 Functional'!C881</f>
        <v>PRELIMINARY TAXABLE INCOME</v>
      </c>
      <c r="D881" s="344"/>
      <c r="E881" s="196"/>
      <c r="F881" s="347">
        <f t="shared" ref="F881:K881" si="180">F877</f>
        <v>11396722</v>
      </c>
      <c r="G881" s="548">
        <f t="shared" si="180"/>
        <v>6532621</v>
      </c>
      <c r="H881" s="539">
        <f t="shared" si="180"/>
        <v>0</v>
      </c>
      <c r="I881" s="540">
        <f t="shared" si="180"/>
        <v>4864101</v>
      </c>
      <c r="J881" s="347">
        <f t="shared" si="180"/>
        <v>11396722</v>
      </c>
      <c r="K881" s="347">
        <f t="shared" si="180"/>
        <v>0</v>
      </c>
    </row>
    <row r="882" spans="1:11">
      <c r="A882" s="333">
        <v>17</v>
      </c>
      <c r="C882" s="332" t="str">
        <f>'FR-16(7)(v)-1 Functional'!C882</f>
        <v xml:space="preserve">  NET FEDERAL TAXABLE INCOME</v>
      </c>
      <c r="D882" s="344"/>
      <c r="E882" s="196"/>
      <c r="F882" s="347">
        <f t="shared" ref="F882:K882" si="181">SUM(F881:F881)</f>
        <v>11396722</v>
      </c>
      <c r="G882" s="548">
        <f t="shared" si="181"/>
        <v>6532621</v>
      </c>
      <c r="H882" s="539">
        <f t="shared" si="181"/>
        <v>0</v>
      </c>
      <c r="I882" s="540">
        <f t="shared" si="181"/>
        <v>4864101</v>
      </c>
      <c r="J882" s="347">
        <f t="shared" si="181"/>
        <v>11396722</v>
      </c>
      <c r="K882" s="347">
        <f t="shared" si="181"/>
        <v>0</v>
      </c>
    </row>
    <row r="883" spans="1:11">
      <c r="A883" s="333">
        <v>18</v>
      </c>
      <c r="C883" s="332" t="str">
        <f>'FR-16(7)(v)-1 Functional'!C883</f>
        <v xml:space="preserve">  FEDERAL INCOME TAX RATE</v>
      </c>
      <c r="D883" s="344"/>
      <c r="E883" s="196"/>
      <c r="F883" s="350">
        <f>F692</f>
        <v>0.21</v>
      </c>
      <c r="G883" s="566">
        <f>G692</f>
        <v>0.21</v>
      </c>
      <c r="H883" s="567">
        <f>H692</f>
        <v>0.21</v>
      </c>
      <c r="I883" s="568">
        <f>I692</f>
        <v>0.21</v>
      </c>
      <c r="J883" s="350"/>
      <c r="K883" s="350">
        <f>'FR-16(7)(v)-1 Functional'!K692</f>
        <v>0.21</v>
      </c>
    </row>
    <row r="884" spans="1:11">
      <c r="A884" s="333">
        <v>19</v>
      </c>
      <c r="C884" s="332" t="str">
        <f>'FR-16(7)(v)-1 Functional'!C884</f>
        <v>PRELIMINARY FIT = FI01 * K190</v>
      </c>
      <c r="D884" s="344"/>
      <c r="E884" s="196"/>
      <c r="F884" s="347">
        <f>ROUND(F883*F882,0)</f>
        <v>2393312</v>
      </c>
      <c r="G884" s="548">
        <f>ROUND(G883*G882,0)</f>
        <v>1371850</v>
      </c>
      <c r="H884" s="539">
        <f>ROUND(H883*H882,0)</f>
        <v>0</v>
      </c>
      <c r="I884" s="540">
        <f>ROUND(I883*I882,0)</f>
        <v>1021461</v>
      </c>
      <c r="J884" s="347">
        <f>SUM(G884:I884)</f>
        <v>2393311</v>
      </c>
      <c r="K884" s="347">
        <f>ROUND(K883*K882,0)</f>
        <v>0</v>
      </c>
    </row>
    <row r="885" spans="1:11">
      <c r="A885" s="333">
        <v>20</v>
      </c>
      <c r="C885" s="332" t="str">
        <f>'FR-16(7)(v)-1 Functional'!C885</f>
        <v>TOTAL FED DEF IT (410 &amp; 411)</v>
      </c>
      <c r="D885" s="344"/>
      <c r="E885" s="196"/>
      <c r="F885" s="347">
        <f>F532</f>
        <v>-50705</v>
      </c>
      <c r="G885" s="548">
        <f>$G$532</f>
        <v>2163</v>
      </c>
      <c r="H885" s="539">
        <f>$H$532</f>
        <v>0</v>
      </c>
      <c r="I885" s="540">
        <f>$I$532</f>
        <v>-52868</v>
      </c>
      <c r="J885" s="347">
        <f>$J$532</f>
        <v>-50705</v>
      </c>
      <c r="K885" s="347">
        <f>$K$532</f>
        <v>0</v>
      </c>
    </row>
    <row r="886" spans="1:11">
      <c r="A886" s="333">
        <v>21</v>
      </c>
      <c r="C886" s="359" t="str">
        <f>'FR-16(7)(v)-1 Functional'!C886</f>
        <v>TOTAL AMORTIZED ITC</v>
      </c>
      <c r="D886" s="344"/>
      <c r="E886" s="196"/>
      <c r="F886" s="347">
        <f>-F536</f>
        <v>-65569</v>
      </c>
      <c r="G886" s="548">
        <f>-$G$536</f>
        <v>-35866</v>
      </c>
      <c r="H886" s="539">
        <f>-$H$536</f>
        <v>0</v>
      </c>
      <c r="I886" s="540">
        <f>-$I$536</f>
        <v>-29703</v>
      </c>
      <c r="J886" s="347">
        <f>-$J$536</f>
        <v>-65569</v>
      </c>
      <c r="K886" s="347">
        <f>-$K$536</f>
        <v>0</v>
      </c>
    </row>
    <row r="887" spans="1:11">
      <c r="A887" s="333">
        <v>22</v>
      </c>
      <c r="C887" s="332" t="str">
        <f>'FR-16(7)(v)-1 Functional'!C887</f>
        <v xml:space="preserve">  NET FED INC TAX ALLOWABLE</v>
      </c>
      <c r="D887" s="344"/>
      <c r="E887" s="196"/>
      <c r="F887" s="348">
        <f t="shared" ref="F887:K887" si="182">SUM(F884:F886)</f>
        <v>2277038</v>
      </c>
      <c r="G887" s="549">
        <f t="shared" si="182"/>
        <v>1338147</v>
      </c>
      <c r="H887" s="541">
        <f t="shared" si="182"/>
        <v>0</v>
      </c>
      <c r="I887" s="542">
        <f t="shared" si="182"/>
        <v>938890</v>
      </c>
      <c r="J887" s="348">
        <f t="shared" si="182"/>
        <v>2277037</v>
      </c>
      <c r="K887" s="348">
        <f t="shared" si="182"/>
        <v>0</v>
      </c>
    </row>
    <row r="888" spans="1:11">
      <c r="A888" s="333">
        <v>23</v>
      </c>
      <c r="D888" s="344"/>
      <c r="E888" s="196"/>
      <c r="G888" s="547"/>
      <c r="H888" s="537"/>
      <c r="I888" s="538"/>
    </row>
    <row r="889" spans="1:11">
      <c r="A889" s="333">
        <v>24</v>
      </c>
      <c r="B889" s="332" t="s">
        <v>75</v>
      </c>
      <c r="D889" s="344"/>
      <c r="E889" s="196"/>
      <c r="G889" s="547"/>
      <c r="H889" s="537"/>
      <c r="I889" s="538"/>
    </row>
    <row r="890" spans="1:11">
      <c r="A890" s="333">
        <v>25</v>
      </c>
      <c r="C890" s="332" t="str">
        <f>'FR-16(7)(v)-1 Functional'!C890</f>
        <v>PRELIM FIT</v>
      </c>
      <c r="D890" s="344"/>
      <c r="E890" s="196"/>
      <c r="F890" s="347">
        <f t="shared" ref="F890:K890" si="183">F884</f>
        <v>2393312</v>
      </c>
      <c r="G890" s="548">
        <f t="shared" si="183"/>
        <v>1371850</v>
      </c>
      <c r="H890" s="539">
        <f t="shared" si="183"/>
        <v>0</v>
      </c>
      <c r="I890" s="540">
        <f t="shared" si="183"/>
        <v>1021461</v>
      </c>
      <c r="J890" s="347">
        <f t="shared" si="183"/>
        <v>2393311</v>
      </c>
      <c r="K890" s="347">
        <f t="shared" si="183"/>
        <v>0</v>
      </c>
    </row>
    <row r="891" spans="1:11">
      <c r="A891" s="333">
        <v>26</v>
      </c>
      <c r="C891" s="359" t="str">
        <f>'FR-16(7)(v)-1 Functional'!C891</f>
        <v>TEST YEAR INV TAX CREDIT</v>
      </c>
      <c r="D891" s="344"/>
      <c r="E891" s="196"/>
      <c r="F891" s="347">
        <f>-F540</f>
        <v>0</v>
      </c>
      <c r="G891" s="550">
        <f>-$G$540</f>
        <v>0</v>
      </c>
      <c r="H891" s="543">
        <f>-$H$540</f>
        <v>0</v>
      </c>
      <c r="I891" s="544">
        <f>-$I$540</f>
        <v>0</v>
      </c>
      <c r="J891" s="347">
        <f>-$J$540</f>
        <v>0</v>
      </c>
      <c r="K891" s="347">
        <f>-$K$540</f>
        <v>0</v>
      </c>
    </row>
    <row r="892" spans="1:11">
      <c r="A892" s="333">
        <v>27</v>
      </c>
      <c r="C892" s="332" t="str">
        <f>'FR-16(7)(v)-1 Functional'!C892</f>
        <v xml:space="preserve">  FED INC TAX PAYABLE</v>
      </c>
      <c r="D892" s="344"/>
      <c r="E892" s="196"/>
      <c r="F892" s="348">
        <f t="shared" ref="F892:K892" si="184">SUM(F889:F891)</f>
        <v>2393312</v>
      </c>
      <c r="G892" s="549">
        <f t="shared" si="184"/>
        <v>1371850</v>
      </c>
      <c r="H892" s="541">
        <f t="shared" si="184"/>
        <v>0</v>
      </c>
      <c r="I892" s="542">
        <f t="shared" si="184"/>
        <v>1021461</v>
      </c>
      <c r="J892" s="348">
        <f t="shared" si="184"/>
        <v>2393311</v>
      </c>
      <c r="K892" s="348">
        <f t="shared" si="184"/>
        <v>0</v>
      </c>
    </row>
    <row r="893" spans="1:11">
      <c r="A893" s="333">
        <v>28</v>
      </c>
      <c r="D893" s="344"/>
      <c r="E893" s="196"/>
      <c r="G893" s="547"/>
      <c r="H893" s="537"/>
      <c r="I893" s="538"/>
    </row>
    <row r="894" spans="1:11">
      <c r="A894" s="333">
        <v>29</v>
      </c>
      <c r="B894" s="332" t="s">
        <v>40</v>
      </c>
      <c r="D894" s="344"/>
      <c r="E894" s="196"/>
      <c r="G894" s="547"/>
      <c r="H894" s="537"/>
      <c r="I894" s="538"/>
    </row>
    <row r="895" spans="1:11">
      <c r="A895" s="333">
        <v>30</v>
      </c>
      <c r="C895" s="332" t="str">
        <f>'FR-16(7)(v)-1 Functional'!C895</f>
        <v>NET INCOME</v>
      </c>
      <c r="D895" s="344"/>
      <c r="E895" s="196"/>
      <c r="F895" s="347">
        <f t="shared" ref="F895:K895" si="185">F872</f>
        <v>24415330</v>
      </c>
      <c r="G895" s="548">
        <f t="shared" si="185"/>
        <v>13608019</v>
      </c>
      <c r="H895" s="539">
        <f t="shared" si="185"/>
        <v>0</v>
      </c>
      <c r="I895" s="540">
        <f t="shared" si="185"/>
        <v>10807311</v>
      </c>
      <c r="J895" s="347">
        <f t="shared" si="185"/>
        <v>24415330</v>
      </c>
      <c r="K895" s="347">
        <f t="shared" si="185"/>
        <v>0</v>
      </c>
    </row>
    <row r="896" spans="1:11">
      <c r="A896" s="333">
        <v>31</v>
      </c>
      <c r="C896" s="359" t="str">
        <f>'FR-16(7)(v)-1 Functional'!C896</f>
        <v>NET FED INC TAX ALLOWABLE</v>
      </c>
      <c r="D896" s="344"/>
      <c r="E896" s="196"/>
      <c r="F896" s="347">
        <f t="shared" ref="F896:K896" si="186">-F887</f>
        <v>-2277038</v>
      </c>
      <c r="G896" s="548">
        <f t="shared" si="186"/>
        <v>-1338147</v>
      </c>
      <c r="H896" s="539">
        <f t="shared" si="186"/>
        <v>0</v>
      </c>
      <c r="I896" s="540">
        <f t="shared" si="186"/>
        <v>-938890</v>
      </c>
      <c r="J896" s="347">
        <f t="shared" si="186"/>
        <v>-2277037</v>
      </c>
      <c r="K896" s="347">
        <f t="shared" si="186"/>
        <v>0</v>
      </c>
    </row>
    <row r="897" spans="1:11">
      <c r="A897" s="333">
        <v>32</v>
      </c>
      <c r="C897" s="332" t="str">
        <f>'FR-16(7)(v)-1 Functional'!C897</f>
        <v xml:space="preserve">  OVERALL RETURN EARNED</v>
      </c>
      <c r="D897" s="344"/>
      <c r="E897" s="196"/>
      <c r="F897" s="348">
        <f t="shared" ref="F897:K897" si="187">SUM(F894:F896)</f>
        <v>22138292</v>
      </c>
      <c r="G897" s="549">
        <f t="shared" si="187"/>
        <v>12269872</v>
      </c>
      <c r="H897" s="541">
        <f t="shared" si="187"/>
        <v>0</v>
      </c>
      <c r="I897" s="542">
        <f t="shared" si="187"/>
        <v>9868421</v>
      </c>
      <c r="J897" s="348">
        <f t="shared" si="187"/>
        <v>22138293</v>
      </c>
      <c r="K897" s="348">
        <f t="shared" si="187"/>
        <v>0</v>
      </c>
    </row>
    <row r="898" spans="1:11">
      <c r="A898" s="333">
        <v>33</v>
      </c>
      <c r="D898" s="344"/>
      <c r="E898" s="196"/>
      <c r="G898" s="547"/>
      <c r="H898" s="537"/>
      <c r="I898" s="538"/>
    </row>
    <row r="899" spans="1:11">
      <c r="A899" s="333">
        <v>34</v>
      </c>
      <c r="C899" s="332" t="str">
        <f>'FR-16(7)(v)-1 Functional'!C899</f>
        <v xml:space="preserve">  RATE OF RETURN EARNED</v>
      </c>
      <c r="D899" s="344"/>
      <c r="E899" s="196"/>
      <c r="F899" s="350">
        <f t="shared" ref="F899:K899" si="188">IF(F331=0,0,ROUND(F897/F331,5))</f>
        <v>7.2120000000000004E-2</v>
      </c>
      <c r="G899" s="575">
        <f t="shared" si="188"/>
        <v>7.2109999999999994E-2</v>
      </c>
      <c r="H899" s="576">
        <f t="shared" si="188"/>
        <v>0</v>
      </c>
      <c r="I899" s="577">
        <f t="shared" si="188"/>
        <v>7.2120000000000004E-2</v>
      </c>
      <c r="J899" s="350">
        <f t="shared" si="188"/>
        <v>7.2120000000000004E-2</v>
      </c>
      <c r="K899" s="350">
        <f t="shared" si="188"/>
        <v>0</v>
      </c>
    </row>
  </sheetData>
  <conditionalFormatting sqref="O766:O778 O708:O742 O744:O762 O780:O844">
    <cfRule type="cellIs" dxfId="3" priority="1" operator="notEqual">
      <formula>1</formula>
    </cfRule>
  </conditionalFormatting>
  <pageMargins left="1" right="1" top="1" bottom="1" header="1" footer="0.5"/>
  <pageSetup scale="66" orientation="landscape" blackAndWhite="1" r:id="rId1"/>
  <headerFooter alignWithMargins="0"/>
  <rowBreaks count="15" manualBreakCount="15">
    <brk id="44" max="10" man="1"/>
    <brk id="101" max="10" man="1"/>
    <brk id="151" max="10" man="1"/>
    <brk id="191" max="10" man="1"/>
    <brk id="238" max="10" man="1"/>
    <brk id="283" max="10" man="1"/>
    <brk id="334" max="10" man="1"/>
    <brk id="389" max="10" man="1"/>
    <brk id="433" max="10" man="1"/>
    <brk id="465" max="10" man="1"/>
    <brk id="501" max="10" man="1"/>
    <brk id="565" max="10" man="1"/>
    <brk id="655" max="10" man="1"/>
    <brk id="694" max="10" man="1"/>
    <brk id="746" max="10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rgb="FF7030A0"/>
    <pageSetUpPr fitToPage="1"/>
  </sheetPr>
  <dimension ref="A1:Q900"/>
  <sheetViews>
    <sheetView zoomScale="80" zoomScaleNormal="80" zoomScaleSheetLayoutView="80" workbookViewId="0">
      <selection activeCell="K751" sqref="K751"/>
    </sheetView>
  </sheetViews>
  <sheetFormatPr defaultColWidth="8.77734375" defaultRowHeight="12.75"/>
  <cols>
    <col min="1" max="1" width="6.44140625" style="332" customWidth="1"/>
    <col min="2" max="2" width="3.5546875" style="332" customWidth="1"/>
    <col min="3" max="3" width="39.21875" style="332" customWidth="1"/>
    <col min="4" max="4" width="7.5546875" style="333" customWidth="1"/>
    <col min="5" max="5" width="7.6640625" style="332" customWidth="1"/>
    <col min="6" max="6" width="13.6640625" style="332" customWidth="1"/>
    <col min="7" max="7" width="11.77734375" style="332" customWidth="1"/>
    <col min="8" max="8" width="11.88671875" style="332" customWidth="1"/>
    <col min="9" max="9" width="11.88671875" style="353" customWidth="1"/>
    <col min="10" max="11" width="11.88671875" style="332" customWidth="1"/>
    <col min="12" max="12" width="12.77734375" style="332" customWidth="1"/>
    <col min="13" max="15" width="8.77734375" style="332"/>
    <col min="16" max="16" width="9.77734375" style="332" customWidth="1"/>
    <col min="17" max="16384" width="8.77734375" style="332"/>
  </cols>
  <sheetData>
    <row r="1" spans="1:12">
      <c r="A1" s="343" t="str">
        <f>co_name</f>
        <v>DUKE ENERGY KENTUCKY, INC.</v>
      </c>
      <c r="C1" s="196"/>
      <c r="D1" s="344"/>
      <c r="E1" s="196"/>
      <c r="G1" s="196"/>
      <c r="H1" s="196"/>
      <c r="I1" s="342"/>
      <c r="K1" s="1195" t="s">
        <v>1542</v>
      </c>
      <c r="L1" s="196"/>
    </row>
    <row r="2" spans="1:12">
      <c r="A2" s="583" t="s">
        <v>1223</v>
      </c>
      <c r="C2" s="196"/>
      <c r="D2" s="344"/>
      <c r="E2" s="196"/>
      <c r="F2" s="344"/>
      <c r="G2" s="196"/>
      <c r="H2" s="196"/>
      <c r="I2" s="342"/>
      <c r="K2" s="1195" t="s">
        <v>437</v>
      </c>
      <c r="L2" s="196"/>
    </row>
    <row r="3" spans="1:12">
      <c r="A3" s="343" t="str">
        <f>case_name</f>
        <v>CASE NO: 2018-00261</v>
      </c>
      <c r="C3" s="196"/>
      <c r="D3" s="344"/>
      <c r="E3" s="196"/>
      <c r="F3" s="344"/>
      <c r="G3" s="196"/>
      <c r="H3" s="196"/>
      <c r="I3" s="342"/>
      <c r="K3" s="361" t="str">
        <f>Witness</f>
        <v>JAMES E. ZIOLKOWSKI</v>
      </c>
      <c r="L3" s="196"/>
    </row>
    <row r="4" spans="1:12">
      <c r="A4" s="343" t="str">
        <f>data_filing</f>
        <v>DATA: 12 MONTH FORECASTED PERIOD</v>
      </c>
      <c r="C4" s="196"/>
      <c r="D4" s="344"/>
      <c r="E4" s="196"/>
      <c r="F4" s="344"/>
      <c r="G4" s="196"/>
      <c r="H4" s="196"/>
      <c r="I4" s="342"/>
      <c r="K4" s="361" t="str">
        <f>"PAGE "&amp;Pages-17&amp;" OF "&amp;Pages</f>
        <v>PAGE 1 OF 18</v>
      </c>
      <c r="L4" s="196"/>
    </row>
    <row r="5" spans="1:12">
      <c r="A5" s="343" t="str">
        <f>type</f>
        <v xml:space="preserve">TYPE OF FILING: "X" ORIGINAL   UPDATED    REVISED  </v>
      </c>
      <c r="C5" s="196"/>
      <c r="D5" s="344"/>
      <c r="E5" s="196"/>
      <c r="F5" s="344"/>
      <c r="G5" s="196"/>
      <c r="H5" s="196"/>
      <c r="I5" s="342"/>
      <c r="J5" s="344"/>
      <c r="K5" s="196"/>
      <c r="L5" s="196"/>
    </row>
    <row r="6" spans="1:12">
      <c r="A6" s="343"/>
      <c r="C6" s="196"/>
      <c r="D6" s="344"/>
      <c r="E6" s="196"/>
      <c r="F6" s="344"/>
      <c r="G6" s="196"/>
      <c r="H6" s="196"/>
      <c r="I6" s="342"/>
      <c r="J6" s="344"/>
      <c r="K6" s="196"/>
      <c r="L6" s="196"/>
    </row>
    <row r="7" spans="1:12">
      <c r="A7" s="343"/>
      <c r="C7" s="196"/>
      <c r="D7" s="344"/>
      <c r="E7" s="196"/>
      <c r="F7" s="344" t="s">
        <v>229</v>
      </c>
      <c r="G7" s="196"/>
      <c r="H7" s="196"/>
      <c r="I7" s="342"/>
      <c r="J7" s="344"/>
      <c r="K7" s="196"/>
      <c r="L7" s="196"/>
    </row>
    <row r="8" spans="1:12">
      <c r="A8" s="344" t="s">
        <v>914</v>
      </c>
      <c r="B8" s="196"/>
      <c r="C8" s="196"/>
      <c r="D8" s="344"/>
      <c r="E8" s="196"/>
      <c r="F8" s="828" t="s">
        <v>846</v>
      </c>
      <c r="G8" s="354" t="s">
        <v>773</v>
      </c>
      <c r="H8" s="354" t="s">
        <v>1282</v>
      </c>
      <c r="I8" s="354" t="s">
        <v>984</v>
      </c>
      <c r="J8" s="354" t="s">
        <v>549</v>
      </c>
      <c r="K8" s="354" t="s">
        <v>229</v>
      </c>
      <c r="L8" s="344" t="s">
        <v>342</v>
      </c>
    </row>
    <row r="9" spans="1:12">
      <c r="A9" s="346" t="s">
        <v>915</v>
      </c>
      <c r="B9" s="345" t="s">
        <v>102</v>
      </c>
      <c r="C9" s="345"/>
      <c r="D9" s="346" t="s">
        <v>337</v>
      </c>
      <c r="E9" s="345"/>
      <c r="F9" s="829" t="s">
        <v>847</v>
      </c>
      <c r="G9" s="355" t="s">
        <v>338</v>
      </c>
      <c r="H9" s="355" t="s">
        <v>405</v>
      </c>
      <c r="I9" s="355" t="s">
        <v>1283</v>
      </c>
      <c r="J9" s="355" t="s">
        <v>550</v>
      </c>
      <c r="K9" s="355" t="s">
        <v>341</v>
      </c>
      <c r="L9" s="346" t="s">
        <v>340</v>
      </c>
    </row>
    <row r="10" spans="1:12">
      <c r="C10" s="578" t="s">
        <v>354</v>
      </c>
      <c r="D10" s="344"/>
      <c r="E10" s="196"/>
      <c r="G10" s="786">
        <v>3</v>
      </c>
      <c r="H10" s="786">
        <v>4</v>
      </c>
      <c r="I10" s="786">
        <v>5</v>
      </c>
      <c r="J10" s="786">
        <v>6</v>
      </c>
      <c r="K10" s="353"/>
    </row>
    <row r="11" spans="1:12">
      <c r="A11" s="333">
        <v>1</v>
      </c>
      <c r="B11" s="332" t="s">
        <v>100</v>
      </c>
      <c r="D11" s="344"/>
      <c r="E11" s="196"/>
      <c r="G11" s="353"/>
      <c r="H11" s="353"/>
      <c r="J11" s="353"/>
      <c r="K11" s="353"/>
    </row>
    <row r="12" spans="1:12">
      <c r="A12" s="333">
        <v>2</v>
      </c>
      <c r="C12" s="332" t="str">
        <f>'FR-16(7)(v)-1 Functional'!C12</f>
        <v>GROSS GAS PLANT IN SERVICE</v>
      </c>
      <c r="D12" s="344"/>
      <c r="E12" s="196"/>
      <c r="F12" s="347">
        <f t="shared" ref="F12:K12" si="0">F101</f>
        <v>317764089</v>
      </c>
      <c r="G12" s="349">
        <f t="shared" si="0"/>
        <v>179723521</v>
      </c>
      <c r="H12" s="349">
        <f t="shared" si="0"/>
        <v>93434014</v>
      </c>
      <c r="I12" s="349">
        <f t="shared" si="0"/>
        <v>34679409</v>
      </c>
      <c r="J12" s="349">
        <f t="shared" si="0"/>
        <v>9927145</v>
      </c>
      <c r="K12" s="349">
        <f t="shared" si="0"/>
        <v>317764089</v>
      </c>
      <c r="L12" s="349">
        <f>F12-K12</f>
        <v>0</v>
      </c>
    </row>
    <row r="13" spans="1:12">
      <c r="A13" s="333">
        <v>3</v>
      </c>
      <c r="C13" s="332" t="str">
        <f>'FR-16(7)(v)-1 Functional'!C13</f>
        <v>TOTAL DEPRECIATION RESERVE</v>
      </c>
      <c r="D13" s="344"/>
      <c r="E13" s="196"/>
      <c r="F13" s="347">
        <f t="shared" ref="F13:K13" si="1">-F151</f>
        <v>-99990440</v>
      </c>
      <c r="G13" s="349">
        <f t="shared" si="1"/>
        <v>-57716066</v>
      </c>
      <c r="H13" s="349">
        <f t="shared" si="1"/>
        <v>-27727203</v>
      </c>
      <c r="I13" s="349">
        <f t="shared" si="1"/>
        <v>-11252348</v>
      </c>
      <c r="J13" s="349">
        <f t="shared" si="1"/>
        <v>-3294823</v>
      </c>
      <c r="K13" s="349">
        <f t="shared" si="1"/>
        <v>-99990440</v>
      </c>
      <c r="L13" s="349">
        <f>F13-K13</f>
        <v>0</v>
      </c>
    </row>
    <row r="14" spans="1:12">
      <c r="A14" s="333">
        <v>4</v>
      </c>
      <c r="C14" s="359" t="str">
        <f>'FR-16(7)(v)-1 Functional'!C14</f>
        <v>TOTAL RATE BASE ADJUSTMENTS</v>
      </c>
      <c r="D14" s="344"/>
      <c r="E14" s="196"/>
      <c r="F14" s="347">
        <f t="shared" ref="F14:K14" si="2">F326</f>
        <v>-47623916</v>
      </c>
      <c r="G14" s="349">
        <f t="shared" si="2"/>
        <v>-26784641</v>
      </c>
      <c r="H14" s="349">
        <f t="shared" si="2"/>
        <v>-14315374</v>
      </c>
      <c r="I14" s="349">
        <f t="shared" si="2"/>
        <v>-5089840</v>
      </c>
      <c r="J14" s="349">
        <f t="shared" si="2"/>
        <v>-1434061</v>
      </c>
      <c r="K14" s="349">
        <f t="shared" si="2"/>
        <v>-47623916</v>
      </c>
      <c r="L14" s="349">
        <f>F14-K14</f>
        <v>0</v>
      </c>
    </row>
    <row r="15" spans="1:12">
      <c r="A15" s="333">
        <v>5</v>
      </c>
      <c r="C15" s="332" t="str">
        <f>'FR-16(7)(v)-1 Functional'!C15</f>
        <v xml:space="preserve">  TOTAL RATE BASE</v>
      </c>
      <c r="D15" s="344"/>
      <c r="E15" s="196"/>
      <c r="F15" s="348">
        <f t="shared" ref="F15:K15" si="3">SUM(F12:F14)</f>
        <v>170149733</v>
      </c>
      <c r="G15" s="348">
        <f t="shared" si="3"/>
        <v>95222814</v>
      </c>
      <c r="H15" s="348">
        <f t="shared" si="3"/>
        <v>51391437</v>
      </c>
      <c r="I15" s="348">
        <f t="shared" si="3"/>
        <v>18337221</v>
      </c>
      <c r="J15" s="348">
        <f t="shared" si="3"/>
        <v>5198261</v>
      </c>
      <c r="K15" s="348">
        <f t="shared" si="3"/>
        <v>170149733</v>
      </c>
      <c r="L15" s="348">
        <f>F15-K15</f>
        <v>0</v>
      </c>
    </row>
    <row r="16" spans="1:12">
      <c r="A16" s="333">
        <v>6</v>
      </c>
      <c r="D16" s="344"/>
      <c r="E16" s="196"/>
      <c r="G16" s="353"/>
      <c r="H16" s="353"/>
      <c r="J16" s="353"/>
      <c r="K16" s="353"/>
      <c r="L16" s="353"/>
    </row>
    <row r="17" spans="1:12">
      <c r="A17" s="333">
        <v>7</v>
      </c>
      <c r="B17" s="332" t="s">
        <v>98</v>
      </c>
      <c r="D17" s="344"/>
      <c r="E17" s="196"/>
      <c r="G17" s="353"/>
      <c r="H17" s="353"/>
      <c r="J17" s="353"/>
      <c r="K17" s="353"/>
      <c r="L17" s="353"/>
    </row>
    <row r="18" spans="1:12">
      <c r="A18" s="333">
        <v>8</v>
      </c>
      <c r="C18" s="332" t="str">
        <f>'FR-16(7)(v)-1 Functional'!C18</f>
        <v>TOTAL O&amp;M EXPENSE</v>
      </c>
      <c r="D18" s="344"/>
      <c r="E18" s="196"/>
      <c r="F18" s="347">
        <f t="shared" ref="F18:K18" si="4">F433</f>
        <v>10068183</v>
      </c>
      <c r="G18" s="349">
        <f t="shared" si="4"/>
        <v>6145478</v>
      </c>
      <c r="H18" s="349">
        <f t="shared" si="4"/>
        <v>2776499</v>
      </c>
      <c r="I18" s="349">
        <f t="shared" si="4"/>
        <v>920064</v>
      </c>
      <c r="J18" s="349">
        <f t="shared" si="4"/>
        <v>226142</v>
      </c>
      <c r="K18" s="349">
        <f t="shared" si="4"/>
        <v>10068183</v>
      </c>
      <c r="L18" s="349">
        <f t="shared" ref="L18:L24" si="5">F18-K18</f>
        <v>0</v>
      </c>
    </row>
    <row r="19" spans="1:12">
      <c r="A19" s="333">
        <v>9</v>
      </c>
      <c r="C19" s="332" t="str">
        <f>'FR-16(7)(v)-1 Functional'!C19</f>
        <v>TOTAL DEPRECIATION EXPENSE</v>
      </c>
      <c r="D19" s="344"/>
      <c r="E19" s="196"/>
      <c r="F19" s="347">
        <f t="shared" ref="F19:K19" si="6">F465</f>
        <v>7510696</v>
      </c>
      <c r="G19" s="349">
        <f t="shared" si="6"/>
        <v>4239883</v>
      </c>
      <c r="H19" s="349">
        <f t="shared" si="6"/>
        <v>2249553</v>
      </c>
      <c r="I19" s="349">
        <f t="shared" si="6"/>
        <v>797623</v>
      </c>
      <c r="J19" s="349">
        <f t="shared" si="6"/>
        <v>223637</v>
      </c>
      <c r="K19" s="349">
        <f t="shared" si="6"/>
        <v>7510696</v>
      </c>
      <c r="L19" s="349">
        <f t="shared" si="5"/>
        <v>0</v>
      </c>
    </row>
    <row r="20" spans="1:12">
      <c r="A20" s="333">
        <v>10</v>
      </c>
      <c r="C20" s="359" t="str">
        <f>'FR-16(7)(v)-1 Functional'!C20</f>
        <v>TOTAL OTHER TAX &amp; MISC EXPENSE</v>
      </c>
      <c r="D20" s="344"/>
      <c r="E20" s="196"/>
      <c r="F20" s="347">
        <f>F495</f>
        <v>2102200</v>
      </c>
      <c r="G20" s="349">
        <f>$G$495</f>
        <v>1190888</v>
      </c>
      <c r="H20" s="349">
        <f>$H$495</f>
        <v>627471</v>
      </c>
      <c r="I20" s="349">
        <f>$I$495</f>
        <v>221906</v>
      </c>
      <c r="J20" s="349">
        <f>$J$495</f>
        <v>61935</v>
      </c>
      <c r="K20" s="349">
        <f>$K$495</f>
        <v>2102200</v>
      </c>
      <c r="L20" s="349">
        <f t="shared" si="5"/>
        <v>0</v>
      </c>
    </row>
    <row r="21" spans="1:12">
      <c r="A21" s="333">
        <v>11</v>
      </c>
      <c r="C21" s="332" t="str">
        <f>'FR-16(7)(v)-1 Functional'!C21</f>
        <v xml:space="preserve">  TOTAL OP EXP EXCLUDING INC &amp; REV TAX</v>
      </c>
      <c r="D21" s="344"/>
      <c r="E21" s="196"/>
      <c r="F21" s="348">
        <f t="shared" ref="F21:K21" si="7">SUM(F17:F20)</f>
        <v>19681079</v>
      </c>
      <c r="G21" s="348">
        <f t="shared" si="7"/>
        <v>11576249</v>
      </c>
      <c r="H21" s="348">
        <f t="shared" si="7"/>
        <v>5653523</v>
      </c>
      <c r="I21" s="348">
        <f t="shared" si="7"/>
        <v>1939593</v>
      </c>
      <c r="J21" s="348">
        <f t="shared" si="7"/>
        <v>511714</v>
      </c>
      <c r="K21" s="348">
        <f t="shared" si="7"/>
        <v>19681079</v>
      </c>
      <c r="L21" s="348">
        <f t="shared" si="5"/>
        <v>0</v>
      </c>
    </row>
    <row r="22" spans="1:12">
      <c r="A22" s="333">
        <v>12</v>
      </c>
      <c r="C22" s="332" t="str">
        <f>'FR-16(7)(v)-1 Functional'!C22</f>
        <v>NET FED INCOME TAX EXP ALLOWABLE</v>
      </c>
      <c r="D22" s="344"/>
      <c r="E22" s="196"/>
      <c r="F22" s="347">
        <f>F557</f>
        <v>1389567</v>
      </c>
      <c r="G22" s="349">
        <f>$G$557</f>
        <v>773837</v>
      </c>
      <c r="H22" s="349">
        <f>$H$557</f>
        <v>421681</v>
      </c>
      <c r="I22" s="349">
        <f>$I$557</f>
        <v>150991</v>
      </c>
      <c r="J22" s="349">
        <f>$J$557</f>
        <v>43060</v>
      </c>
      <c r="K22" s="349">
        <f>$K$557</f>
        <v>1389569</v>
      </c>
      <c r="L22" s="349">
        <f t="shared" si="5"/>
        <v>-2</v>
      </c>
    </row>
    <row r="23" spans="1:12">
      <c r="A23" s="333">
        <v>13</v>
      </c>
      <c r="C23" s="359" t="str">
        <f>'FR-16(7)(v)-1 Functional'!C23</f>
        <v>NET STATE INCOME TAX EXP ALLOWABLE</v>
      </c>
      <c r="D23" s="344"/>
      <c r="E23" s="196"/>
      <c r="F23" s="347">
        <f>F605</f>
        <v>437927</v>
      </c>
      <c r="G23" s="347">
        <f t="shared" ref="G23:K23" si="8">G605</f>
        <v>244158</v>
      </c>
      <c r="H23" s="347">
        <f t="shared" si="8"/>
        <v>132748</v>
      </c>
      <c r="I23" s="347">
        <f t="shared" si="8"/>
        <v>47495</v>
      </c>
      <c r="J23" s="347">
        <f t="shared" si="8"/>
        <v>13526</v>
      </c>
      <c r="K23" s="347">
        <f t="shared" si="8"/>
        <v>437927</v>
      </c>
      <c r="L23" s="349">
        <f t="shared" si="5"/>
        <v>0</v>
      </c>
    </row>
    <row r="24" spans="1:12">
      <c r="A24" s="333">
        <v>14</v>
      </c>
      <c r="C24" s="332" t="str">
        <f>'FR-16(7)(v)-1 Functional'!C24</f>
        <v xml:space="preserve">  TOTAL OPERATING EXPENSE</v>
      </c>
      <c r="D24" s="344"/>
      <c r="E24" s="196"/>
      <c r="F24" s="348">
        <f t="shared" ref="F24:K24" si="9">SUM(F21:F23)</f>
        <v>21508573</v>
      </c>
      <c r="G24" s="348">
        <f t="shared" si="9"/>
        <v>12594244</v>
      </c>
      <c r="H24" s="348">
        <f t="shared" si="9"/>
        <v>6207952</v>
      </c>
      <c r="I24" s="348">
        <f t="shared" si="9"/>
        <v>2138079</v>
      </c>
      <c r="J24" s="348">
        <f t="shared" si="9"/>
        <v>568300</v>
      </c>
      <c r="K24" s="348">
        <f t="shared" si="9"/>
        <v>21508575</v>
      </c>
      <c r="L24" s="348">
        <f t="shared" si="5"/>
        <v>-2</v>
      </c>
    </row>
    <row r="25" spans="1:12">
      <c r="A25" s="333">
        <v>15</v>
      </c>
      <c r="D25" s="344"/>
      <c r="E25" s="196"/>
      <c r="G25" s="353"/>
      <c r="H25" s="353"/>
      <c r="J25" s="353"/>
      <c r="K25" s="353"/>
      <c r="L25" s="353"/>
    </row>
    <row r="26" spans="1:12">
      <c r="A26" s="333">
        <v>16</v>
      </c>
      <c r="B26" s="332" t="s">
        <v>43</v>
      </c>
      <c r="D26" s="344"/>
      <c r="E26" s="196"/>
      <c r="F26" s="347">
        <f t="shared" ref="F26:K26" si="10">F334</f>
        <v>12218452</v>
      </c>
      <c r="G26" s="349">
        <f t="shared" si="10"/>
        <v>6837950</v>
      </c>
      <c r="H26" s="349">
        <f t="shared" si="10"/>
        <v>3690419</v>
      </c>
      <c r="I26" s="349">
        <f t="shared" si="10"/>
        <v>1316796</v>
      </c>
      <c r="J26" s="349">
        <f t="shared" si="10"/>
        <v>373287</v>
      </c>
      <c r="K26" s="349">
        <f t="shared" si="10"/>
        <v>12218452</v>
      </c>
      <c r="L26" s="349">
        <f t="shared" ref="L26:L31" si="11">F26-K26</f>
        <v>0</v>
      </c>
    </row>
    <row r="27" spans="1:12">
      <c r="A27" s="333">
        <v>17</v>
      </c>
      <c r="B27" s="359" t="s">
        <v>103</v>
      </c>
      <c r="C27" s="359"/>
      <c r="D27" s="344"/>
      <c r="E27" s="196"/>
      <c r="F27" s="347">
        <f>-F630</f>
        <v>-17988</v>
      </c>
      <c r="G27" s="349">
        <f>-$G$630</f>
        <v>-10567</v>
      </c>
      <c r="H27" s="349">
        <f>-$H$630</f>
        <v>-5174</v>
      </c>
      <c r="I27" s="349">
        <f>-$I$630</f>
        <v>-1777</v>
      </c>
      <c r="J27" s="349">
        <f>-$J$630</f>
        <v>-470</v>
      </c>
      <c r="K27" s="349">
        <f>-$K$630</f>
        <v>-17988</v>
      </c>
      <c r="L27" s="349">
        <f t="shared" si="11"/>
        <v>0</v>
      </c>
    </row>
    <row r="28" spans="1:12">
      <c r="A28" s="333">
        <v>18</v>
      </c>
      <c r="C28" s="332" t="str">
        <f>'FR-16(7)(v)-1 Functional'!C28</f>
        <v>TOTAL GAS COST OF SERVICE</v>
      </c>
      <c r="D28" s="344"/>
      <c r="E28" s="196"/>
      <c r="F28" s="348">
        <f t="shared" ref="F28:K28" si="12">SUM(F24:F27)</f>
        <v>33709037</v>
      </c>
      <c r="G28" s="348">
        <f t="shared" si="12"/>
        <v>19421627</v>
      </c>
      <c r="H28" s="348">
        <f t="shared" si="12"/>
        <v>9893197</v>
      </c>
      <c r="I28" s="348">
        <f t="shared" si="12"/>
        <v>3453098</v>
      </c>
      <c r="J28" s="348">
        <f t="shared" si="12"/>
        <v>941117</v>
      </c>
      <c r="K28" s="348">
        <f t="shared" si="12"/>
        <v>33709039</v>
      </c>
      <c r="L28" s="348">
        <f t="shared" si="11"/>
        <v>-2</v>
      </c>
    </row>
    <row r="29" spans="1:12">
      <c r="A29" s="1112">
        <v>19</v>
      </c>
      <c r="B29" s="1113" t="s">
        <v>1206</v>
      </c>
      <c r="C29" s="1114"/>
      <c r="D29" s="1115">
        <f>1-'WP FR-16(7)(v)Rate Incr (15.0%)'!I11</f>
        <v>0.85</v>
      </c>
      <c r="E29" s="1116"/>
      <c r="F29" s="1114"/>
      <c r="G29" s="1114"/>
      <c r="H29" s="1114"/>
      <c r="I29" s="1114"/>
      <c r="J29" s="1114"/>
      <c r="K29" s="1120"/>
      <c r="L29" s="1120">
        <f t="shared" si="11"/>
        <v>0</v>
      </c>
    </row>
    <row r="30" spans="1:12">
      <c r="A30" s="1112">
        <v>20</v>
      </c>
      <c r="B30" s="1121" t="s">
        <v>1207</v>
      </c>
      <c r="C30" s="1024"/>
      <c r="D30" s="1122"/>
      <c r="E30" s="1116"/>
      <c r="F30" s="1123">
        <f t="shared" ref="F30:K30" si="13">F29+F28</f>
        <v>33709037</v>
      </c>
      <c r="G30" s="1123">
        <f t="shared" si="13"/>
        <v>19421627</v>
      </c>
      <c r="H30" s="1123">
        <f t="shared" si="13"/>
        <v>9893197</v>
      </c>
      <c r="I30" s="1123">
        <f t="shared" si="13"/>
        <v>3453098</v>
      </c>
      <c r="J30" s="1123">
        <f t="shared" si="13"/>
        <v>941117</v>
      </c>
      <c r="K30" s="1123">
        <f t="shared" si="13"/>
        <v>33709039</v>
      </c>
      <c r="L30" s="1127">
        <f t="shared" si="11"/>
        <v>-2</v>
      </c>
    </row>
    <row r="31" spans="1:12">
      <c r="A31" s="1112">
        <v>21</v>
      </c>
      <c r="B31" s="1128" t="s">
        <v>850</v>
      </c>
      <c r="C31" s="1114"/>
      <c r="D31" s="1122"/>
      <c r="E31" s="1116"/>
      <c r="F31" s="1127">
        <f t="shared" ref="F31:K31" si="14">F745</f>
        <v>30193663</v>
      </c>
      <c r="G31" s="1127">
        <f t="shared" si="14"/>
        <v>20762035</v>
      </c>
      <c r="H31" s="1127">
        <f t="shared" si="14"/>
        <v>7350779</v>
      </c>
      <c r="I31" s="1127">
        <f t="shared" si="14"/>
        <v>1597864</v>
      </c>
      <c r="J31" s="1127">
        <f t="shared" si="14"/>
        <v>482985</v>
      </c>
      <c r="K31" s="1127">
        <f t="shared" si="14"/>
        <v>30193663</v>
      </c>
      <c r="L31" s="1127">
        <f t="shared" si="11"/>
        <v>0</v>
      </c>
    </row>
    <row r="32" spans="1:12">
      <c r="A32" s="1112">
        <v>22</v>
      </c>
      <c r="B32" s="1129" t="s">
        <v>1208</v>
      </c>
      <c r="C32" s="1024"/>
      <c r="D32" s="1122"/>
      <c r="E32" s="1116"/>
      <c r="F32" s="1132">
        <f>F30-F31</f>
        <v>3515374</v>
      </c>
      <c r="G32" s="1132">
        <f t="shared" ref="G32:L32" si="15">G30-G31</f>
        <v>-1340408</v>
      </c>
      <c r="H32" s="1132">
        <f t="shared" si="15"/>
        <v>2542418</v>
      </c>
      <c r="I32" s="1132">
        <f t="shared" si="15"/>
        <v>1855234</v>
      </c>
      <c r="J32" s="1132">
        <f t="shared" si="15"/>
        <v>458132</v>
      </c>
      <c r="K32" s="1132">
        <f t="shared" si="15"/>
        <v>3515376</v>
      </c>
      <c r="L32" s="1132">
        <f t="shared" si="15"/>
        <v>-2</v>
      </c>
    </row>
    <row r="33" spans="1:15">
      <c r="A33" s="1112">
        <v>23</v>
      </c>
      <c r="B33" s="1024"/>
      <c r="C33" s="1024"/>
      <c r="D33" s="1122"/>
      <c r="E33" s="1116"/>
      <c r="F33" s="1024"/>
      <c r="G33" s="1024"/>
      <c r="H33" s="1024"/>
      <c r="I33" s="1024"/>
      <c r="J33" s="1024"/>
      <c r="K33" s="1024"/>
      <c r="L33" s="1024"/>
    </row>
    <row r="34" spans="1:15">
      <c r="A34" s="1112">
        <v>24</v>
      </c>
      <c r="B34" s="1024" t="s">
        <v>104</v>
      </c>
      <c r="C34" s="1024"/>
      <c r="D34" s="1122"/>
      <c r="E34" s="1116"/>
      <c r="F34" s="1127">
        <f t="shared" ref="F34:K34" si="16">F654+F26</f>
        <v>9908059</v>
      </c>
      <c r="G34" s="1127">
        <f t="shared" si="16"/>
        <v>8027561</v>
      </c>
      <c r="H34" s="1127">
        <f t="shared" si="16"/>
        <v>1881359</v>
      </c>
      <c r="I34" s="1127">
        <f t="shared" si="16"/>
        <v>-40362</v>
      </c>
      <c r="J34" s="1127">
        <f t="shared" si="16"/>
        <v>39499</v>
      </c>
      <c r="K34" s="1127">
        <f t="shared" si="16"/>
        <v>9908057</v>
      </c>
      <c r="L34" s="1127">
        <f>F34-K34</f>
        <v>2</v>
      </c>
    </row>
    <row r="35" spans="1:15">
      <c r="A35" s="1112">
        <v>25</v>
      </c>
      <c r="B35" s="1024" t="s">
        <v>105</v>
      </c>
      <c r="C35" s="1024"/>
      <c r="D35" s="1122"/>
      <c r="E35" s="1116"/>
      <c r="F35" s="1137">
        <f t="shared" ref="F35:L35" si="17">IF(F331=0,0,ROUND(F34/F331,5))</f>
        <v>5.8229999999999997E-2</v>
      </c>
      <c r="G35" s="1137">
        <f t="shared" si="17"/>
        <v>8.43E-2</v>
      </c>
      <c r="H35" s="1137">
        <f t="shared" si="17"/>
        <v>3.6609999999999997E-2</v>
      </c>
      <c r="I35" s="1137">
        <f t="shared" si="17"/>
        <v>-2.2000000000000001E-3</v>
      </c>
      <c r="J35" s="1137">
        <f t="shared" si="17"/>
        <v>7.6E-3</v>
      </c>
      <c r="K35" s="1137">
        <f t="shared" si="17"/>
        <v>5.8229999999999997E-2</v>
      </c>
      <c r="L35" s="1137">
        <f t="shared" si="17"/>
        <v>0</v>
      </c>
    </row>
    <row r="36" spans="1:15">
      <c r="A36" s="1112">
        <v>26</v>
      </c>
      <c r="B36" s="1024" t="s">
        <v>42</v>
      </c>
      <c r="C36" s="1024"/>
      <c r="D36" s="1122"/>
      <c r="E36" s="1116"/>
      <c r="F36" s="1137">
        <f t="shared" ref="F36:L36" si="18">$F$688</f>
        <v>7.1809999999999999E-2</v>
      </c>
      <c r="G36" s="1137">
        <f t="shared" si="18"/>
        <v>7.1809999999999999E-2</v>
      </c>
      <c r="H36" s="1137">
        <f t="shared" si="18"/>
        <v>7.1809999999999999E-2</v>
      </c>
      <c r="I36" s="1137">
        <f t="shared" si="18"/>
        <v>7.1809999999999999E-2</v>
      </c>
      <c r="J36" s="1137">
        <f t="shared" si="18"/>
        <v>7.1809999999999999E-2</v>
      </c>
      <c r="K36" s="1137">
        <f t="shared" si="18"/>
        <v>7.1809999999999999E-2</v>
      </c>
      <c r="L36" s="1137">
        <f t="shared" si="18"/>
        <v>7.1809999999999999E-2</v>
      </c>
      <c r="O36" s="659" t="s">
        <v>1210</v>
      </c>
    </row>
    <row r="37" spans="1:15">
      <c r="A37" s="1112">
        <v>27</v>
      </c>
      <c r="B37" s="1024" t="s">
        <v>106</v>
      </c>
      <c r="C37" s="1024"/>
      <c r="D37" s="1122"/>
      <c r="E37" s="1116"/>
      <c r="F37" s="1137">
        <f t="shared" ref="F37:K38" si="19">IF($F$670=0,0,(F35-$F$683-$F$684-$F$686)*$F$673/$F$670)</f>
        <v>7.2249200772457112E-2</v>
      </c>
      <c r="G37" s="1137">
        <f t="shared" si="19"/>
        <v>0.12361371302056066</v>
      </c>
      <c r="H37" s="1137">
        <f t="shared" si="19"/>
        <v>2.9652317197313316E-2</v>
      </c>
      <c r="I37" s="1137">
        <f t="shared" si="19"/>
        <v>-4.6813226352701978E-2</v>
      </c>
      <c r="J37" s="1137">
        <f t="shared" si="19"/>
        <v>-2.7504740735846783E-2</v>
      </c>
      <c r="K37" s="1137">
        <f t="shared" si="19"/>
        <v>7.2249200772457112E-2</v>
      </c>
      <c r="L37" s="1137">
        <f>IF(F670=0,0,(L35-F683-F684-F686)*F673/F670)</f>
        <v>-4.2478668357081424E-2</v>
      </c>
      <c r="O37" s="659" t="s">
        <v>1211</v>
      </c>
    </row>
    <row r="38" spans="1:15">
      <c r="A38" s="1112">
        <v>28</v>
      </c>
      <c r="B38" s="1024" t="s">
        <v>107</v>
      </c>
      <c r="C38" s="1024"/>
      <c r="D38" s="1122"/>
      <c r="E38" s="1116"/>
      <c r="F38" s="1137">
        <f t="shared" si="19"/>
        <v>9.9005245127242167E-2</v>
      </c>
      <c r="G38" s="1137">
        <f t="shared" si="19"/>
        <v>9.9005245127242167E-2</v>
      </c>
      <c r="H38" s="1137">
        <f t="shared" si="19"/>
        <v>9.9005245127242167E-2</v>
      </c>
      <c r="I38" s="1137">
        <f t="shared" si="19"/>
        <v>9.9005245127242167E-2</v>
      </c>
      <c r="J38" s="1137">
        <f t="shared" si="19"/>
        <v>9.9005245127242167E-2</v>
      </c>
      <c r="K38" s="1137">
        <f t="shared" si="19"/>
        <v>9.9005245127242167E-2</v>
      </c>
      <c r="L38" s="1137">
        <f>IF($F$670=0,0,(L36-$F$683-$F$684-$F$686)*$F$673/$F$670)</f>
        <v>9.9005245127242167E-2</v>
      </c>
    </row>
    <row r="39" spans="1:15">
      <c r="A39" s="1112">
        <v>29</v>
      </c>
      <c r="B39" s="1024"/>
      <c r="C39" s="1024"/>
      <c r="D39" s="1122"/>
      <c r="E39" s="1116"/>
      <c r="F39" s="1024" t="s">
        <v>343</v>
      </c>
      <c r="G39" s="1024"/>
      <c r="H39" s="1024"/>
      <c r="I39" s="1024"/>
      <c r="J39" s="1024"/>
      <c r="K39" s="1024"/>
      <c r="L39" s="1024"/>
    </row>
    <row r="40" spans="1:15">
      <c r="A40" s="1112">
        <v>30</v>
      </c>
      <c r="B40" s="1024" t="s">
        <v>108</v>
      </c>
      <c r="C40" s="1024"/>
      <c r="D40" s="1122"/>
      <c r="E40" s="1116"/>
      <c r="F40" s="1127">
        <f t="shared" ref="F40:K40" si="20">F744</f>
        <v>30193663</v>
      </c>
      <c r="G40" s="1127">
        <f t="shared" si="20"/>
        <v>20762035</v>
      </c>
      <c r="H40" s="1127">
        <f t="shared" si="20"/>
        <v>7350779</v>
      </c>
      <c r="I40" s="1127">
        <f t="shared" si="20"/>
        <v>1597864</v>
      </c>
      <c r="J40" s="1127">
        <f t="shared" si="20"/>
        <v>482985</v>
      </c>
      <c r="K40" s="1127">
        <f t="shared" si="20"/>
        <v>30193663</v>
      </c>
      <c r="L40" s="1127">
        <f>F40-K40</f>
        <v>0</v>
      </c>
    </row>
    <row r="41" spans="1:15">
      <c r="A41" s="1112">
        <v>31</v>
      </c>
      <c r="B41" s="1024" t="s">
        <v>109</v>
      </c>
      <c r="C41" s="1024"/>
      <c r="D41" s="1122"/>
      <c r="E41" s="1116"/>
      <c r="F41" s="1127">
        <f t="shared" ref="F41:L41" si="21">F28-F40</f>
        <v>3515374</v>
      </c>
      <c r="G41" s="1127">
        <f t="shared" si="21"/>
        <v>-1340408</v>
      </c>
      <c r="H41" s="1127">
        <f t="shared" si="21"/>
        <v>2542418</v>
      </c>
      <c r="I41" s="1127">
        <f t="shared" si="21"/>
        <v>1855234</v>
      </c>
      <c r="J41" s="1127">
        <f t="shared" si="21"/>
        <v>458132</v>
      </c>
      <c r="K41" s="1127">
        <f t="shared" si="21"/>
        <v>3515376</v>
      </c>
      <c r="L41" s="1127">
        <f t="shared" si="21"/>
        <v>-2</v>
      </c>
    </row>
    <row r="42" spans="1:15">
      <c r="A42" s="1112">
        <v>32</v>
      </c>
      <c r="B42" s="1024"/>
      <c r="C42" s="1024" t="s">
        <v>283</v>
      </c>
      <c r="D42" s="1122"/>
      <c r="E42" s="1116"/>
      <c r="F42" s="1141">
        <f t="shared" ref="F42:L42" si="22">IF(F40=0,0,ROUND(F41/F40,5))</f>
        <v>0.11643000000000001</v>
      </c>
      <c r="G42" s="1141">
        <f t="shared" si="22"/>
        <v>-6.4560000000000006E-2</v>
      </c>
      <c r="H42" s="1141">
        <f t="shared" si="22"/>
        <v>0.34587000000000001</v>
      </c>
      <c r="I42" s="1141">
        <f t="shared" si="22"/>
        <v>1.16107</v>
      </c>
      <c r="J42" s="1141">
        <f t="shared" si="22"/>
        <v>0.94854000000000005</v>
      </c>
      <c r="K42" s="1141">
        <f t="shared" si="22"/>
        <v>0.11643000000000001</v>
      </c>
      <c r="L42" s="1141">
        <f t="shared" si="22"/>
        <v>0</v>
      </c>
    </row>
    <row r="43" spans="1:15">
      <c r="A43" s="1112">
        <v>33</v>
      </c>
      <c r="B43" s="1024" t="s">
        <v>110</v>
      </c>
      <c r="C43" s="1024"/>
      <c r="D43" s="1122"/>
      <c r="E43" s="1116"/>
      <c r="F43" s="1127">
        <f t="shared" ref="F43:L43" si="23">F31-F40</f>
        <v>0</v>
      </c>
      <c r="G43" s="1127">
        <f t="shared" si="23"/>
        <v>0</v>
      </c>
      <c r="H43" s="1127">
        <f t="shared" si="23"/>
        <v>0</v>
      </c>
      <c r="I43" s="1127">
        <f t="shared" si="23"/>
        <v>0</v>
      </c>
      <c r="J43" s="1127">
        <f t="shared" si="23"/>
        <v>0</v>
      </c>
      <c r="K43" s="1127">
        <f t="shared" si="23"/>
        <v>0</v>
      </c>
      <c r="L43" s="1127">
        <f t="shared" si="23"/>
        <v>0</v>
      </c>
    </row>
    <row r="44" spans="1:15">
      <c r="A44" s="1112">
        <v>34</v>
      </c>
      <c r="B44" s="1024"/>
      <c r="C44" s="1024" t="s">
        <v>283</v>
      </c>
      <c r="D44" s="1122"/>
      <c r="E44" s="1116"/>
      <c r="F44" s="1141">
        <f t="shared" ref="F44:L44" si="24">IF(F40=0,0,ROUND(F43/F40,5))</f>
        <v>0</v>
      </c>
      <c r="G44" s="1141">
        <f t="shared" si="24"/>
        <v>0</v>
      </c>
      <c r="H44" s="1141">
        <f t="shared" si="24"/>
        <v>0</v>
      </c>
      <c r="I44" s="1141">
        <f t="shared" si="24"/>
        <v>0</v>
      </c>
      <c r="J44" s="1141">
        <f t="shared" si="24"/>
        <v>0</v>
      </c>
      <c r="K44" s="1141">
        <f t="shared" si="24"/>
        <v>0</v>
      </c>
      <c r="L44" s="1141">
        <f t="shared" si="24"/>
        <v>0</v>
      </c>
    </row>
    <row r="45" spans="1:15">
      <c r="A45" s="343"/>
      <c r="C45" s="196"/>
      <c r="D45" s="344"/>
      <c r="E45" s="196"/>
      <c r="G45" s="342"/>
      <c r="H45" s="342"/>
      <c r="I45" s="196"/>
      <c r="J45" s="344"/>
      <c r="K45" s="196"/>
      <c r="L45" s="196"/>
    </row>
    <row r="46" spans="1:15">
      <c r="A46" s="343" t="str">
        <f>co_name</f>
        <v>DUKE ENERGY KENTUCKY, INC.</v>
      </c>
      <c r="C46" s="196"/>
      <c r="D46" s="344"/>
      <c r="E46" s="196"/>
      <c r="F46" s="344"/>
      <c r="G46" s="342"/>
      <c r="H46" s="342"/>
      <c r="I46" s="196"/>
      <c r="K46" s="361" t="str">
        <f>$K$1</f>
        <v>FR-16(7)(v)-5</v>
      </c>
      <c r="L46" s="196"/>
    </row>
    <row r="47" spans="1:15">
      <c r="A47" s="343" t="str">
        <f>$A$2</f>
        <v>DISTRIBUTION DEMAND ALLOCATED - GAS COST OF SERVICE</v>
      </c>
      <c r="C47" s="196"/>
      <c r="D47" s="344"/>
      <c r="E47" s="196"/>
      <c r="F47" s="344"/>
      <c r="G47" s="342"/>
      <c r="H47" s="342"/>
      <c r="I47" s="196"/>
      <c r="K47" s="361" t="str">
        <f>$K$2</f>
        <v>WITNESS RESPONSIBLE:</v>
      </c>
      <c r="L47" s="196"/>
    </row>
    <row r="48" spans="1:15">
      <c r="A48" s="343" t="str">
        <f>case_name</f>
        <v>CASE NO: 2018-00261</v>
      </c>
      <c r="C48" s="196"/>
      <c r="D48" s="344"/>
      <c r="E48" s="196"/>
      <c r="F48" s="344"/>
      <c r="G48" s="342"/>
      <c r="H48" s="342"/>
      <c r="I48" s="196"/>
      <c r="K48" s="361" t="str">
        <f>Witness</f>
        <v>JAMES E. ZIOLKOWSKI</v>
      </c>
      <c r="L48" s="196"/>
    </row>
    <row r="49" spans="1:12">
      <c r="A49" s="343" t="str">
        <f>data_filing</f>
        <v>DATA: 12 MONTH FORECASTED PERIOD</v>
      </c>
      <c r="C49" s="196"/>
      <c r="D49" s="344"/>
      <c r="E49" s="196"/>
      <c r="F49" s="344"/>
      <c r="G49" s="342"/>
      <c r="H49" s="342"/>
      <c r="I49" s="196"/>
      <c r="K49" s="361" t="str">
        <f>"PAGE "&amp;Pages-16&amp;" OF "&amp;Pages</f>
        <v>PAGE 2 OF 18</v>
      </c>
      <c r="L49" s="196"/>
    </row>
    <row r="50" spans="1:12">
      <c r="A50" s="343" t="str">
        <f>type</f>
        <v xml:space="preserve">TYPE OF FILING: "X" ORIGINAL   UPDATED    REVISED  </v>
      </c>
      <c r="C50" s="196"/>
      <c r="D50" s="344"/>
      <c r="E50" s="196"/>
      <c r="F50" s="344"/>
      <c r="G50" s="342"/>
      <c r="H50" s="342"/>
      <c r="I50" s="196"/>
      <c r="J50" s="344"/>
      <c r="K50" s="196"/>
      <c r="L50" s="196"/>
    </row>
    <row r="51" spans="1:12">
      <c r="A51" s="343"/>
      <c r="C51" s="196"/>
      <c r="D51" s="344"/>
      <c r="E51" s="196"/>
      <c r="F51" s="344"/>
      <c r="G51" s="342"/>
      <c r="H51" s="342"/>
      <c r="I51" s="196"/>
      <c r="J51" s="344"/>
      <c r="K51" s="196"/>
      <c r="L51" s="196"/>
    </row>
    <row r="52" spans="1:12">
      <c r="A52" s="343"/>
      <c r="C52" s="196"/>
      <c r="D52" s="344"/>
      <c r="E52" s="196"/>
      <c r="F52" s="344" t="str">
        <f>$F$7</f>
        <v>TOTAL</v>
      </c>
      <c r="G52" s="342"/>
      <c r="H52" s="342"/>
      <c r="I52" s="196"/>
      <c r="J52" s="344"/>
      <c r="K52" s="196"/>
      <c r="L52" s="196"/>
    </row>
    <row r="53" spans="1:12">
      <c r="A53" s="344" t="s">
        <v>914</v>
      </c>
      <c r="B53" s="196"/>
      <c r="C53" s="196"/>
      <c r="D53" s="344"/>
      <c r="E53" s="196"/>
      <c r="F53" s="344" t="str">
        <f>$F$8</f>
        <v>DISTRIBUTION</v>
      </c>
      <c r="G53" s="354" t="s">
        <v>866</v>
      </c>
      <c r="H53" s="354" t="s">
        <v>864</v>
      </c>
      <c r="I53" s="344" t="s">
        <v>865</v>
      </c>
      <c r="J53" s="344" t="s">
        <v>549</v>
      </c>
      <c r="K53" s="344" t="s">
        <v>229</v>
      </c>
      <c r="L53" s="344" t="s">
        <v>342</v>
      </c>
    </row>
    <row r="54" spans="1:12">
      <c r="A54" s="346" t="s">
        <v>915</v>
      </c>
      <c r="B54" s="345" t="s">
        <v>95</v>
      </c>
      <c r="C54" s="345"/>
      <c r="D54" s="346" t="s">
        <v>337</v>
      </c>
      <c r="E54" s="345"/>
      <c r="F54" s="344" t="str">
        <f>$F$9</f>
        <v>DEMAND</v>
      </c>
      <c r="G54" s="355" t="s">
        <v>338</v>
      </c>
      <c r="H54" s="355" t="s">
        <v>405</v>
      </c>
      <c r="I54" s="346" t="s">
        <v>405</v>
      </c>
      <c r="J54" s="346" t="s">
        <v>550</v>
      </c>
      <c r="K54" s="346" t="s">
        <v>341</v>
      </c>
      <c r="L54" s="346" t="s">
        <v>340</v>
      </c>
    </row>
    <row r="55" spans="1:12">
      <c r="C55" s="578" t="s">
        <v>344</v>
      </c>
      <c r="D55" s="344"/>
      <c r="E55" s="196"/>
      <c r="F55" s="761"/>
      <c r="G55" s="633">
        <f>$G$10</f>
        <v>3</v>
      </c>
      <c r="H55" s="633">
        <f>$H$10</f>
        <v>4</v>
      </c>
      <c r="I55" s="633">
        <f>$I$10</f>
        <v>5</v>
      </c>
      <c r="J55" s="633">
        <f>$J$10</f>
        <v>6</v>
      </c>
      <c r="L55" s="332" t="s">
        <v>343</v>
      </c>
    </row>
    <row r="56" spans="1:12">
      <c r="A56" s="333">
        <v>1</v>
      </c>
      <c r="B56" s="332" t="s">
        <v>14</v>
      </c>
      <c r="E56" s="196"/>
      <c r="G56" s="353"/>
      <c r="H56" s="353"/>
      <c r="I56" s="332"/>
    </row>
    <row r="57" spans="1:12">
      <c r="A57" s="333">
        <v>2</v>
      </c>
      <c r="C57" s="365" t="str">
        <f>'FR-16(7)(v)-1 Functional'!C57</f>
        <v>PRODUCTION PLANT</v>
      </c>
      <c r="D57" s="344" t="str">
        <f>'FR-16(7)(v)-1 Functional'!D57</f>
        <v>K205</v>
      </c>
      <c r="E57" s="196"/>
      <c r="F57" s="479">
        <f>'FR-16(7)(v)-4 DISTR Classified'!G57</f>
        <v>0</v>
      </c>
      <c r="G57" s="349">
        <f>F57-SUM(H57:J57)</f>
        <v>0</v>
      </c>
      <c r="H57" s="349">
        <f>ROUND($F$57*VLOOKUP($D$57,ALLOCTABLE_DISTR_DEMAND,$H$10,FALSE),0)</f>
        <v>0</v>
      </c>
      <c r="I57" s="347">
        <f>ROUND(F57*VLOOKUP(D57,ALLOCTABLE_DISTR_DEMAND,$I$10,FALSE),0)</f>
        <v>0</v>
      </c>
      <c r="J57" s="347">
        <f>ROUND(F57*VLOOKUP(D57,ALLOCTABLE_DISTR_DEMAND,$J$10,FALSE),0)</f>
        <v>0</v>
      </c>
      <c r="K57" s="347">
        <f>SUM($G$57:$J$57)</f>
        <v>0</v>
      </c>
      <c r="L57" s="347">
        <f>F57-$K$57</f>
        <v>0</v>
      </c>
    </row>
    <row r="58" spans="1:12">
      <c r="A58" s="333">
        <v>3</v>
      </c>
      <c r="C58" s="359" t="str">
        <f>'FR-16(7)(v)-1 Functional'!C58</f>
        <v>GAS PRODUCTION -CPMPL NOT CLASS</v>
      </c>
      <c r="D58" s="344" t="str">
        <f>'FR-16(7)(v)-1 Functional'!D58</f>
        <v>K205</v>
      </c>
      <c r="E58" s="196"/>
      <c r="F58" s="479">
        <f>'FR-16(7)(v)-4 DISTR Classified'!G58</f>
        <v>0</v>
      </c>
      <c r="G58" s="349">
        <f>F58-SUM(H58:J58)</f>
        <v>0</v>
      </c>
      <c r="H58" s="349">
        <f>ROUND($F$58*VLOOKUP($D$58,ALLOCTABLE_DISTR_DEMAND,$H$10,FALSE),0)</f>
        <v>0</v>
      </c>
      <c r="I58" s="347">
        <f>ROUND(F58*VLOOKUP(D58,ALLOCTABLE_DISTR_DEMAND,$I$10,FALSE),0)</f>
        <v>0</v>
      </c>
      <c r="J58" s="347">
        <f>ROUND(F58*VLOOKUP(D58,ALLOCTABLE_DISTR_DEMAND,$J$10,FALSE),0)</f>
        <v>0</v>
      </c>
      <c r="K58" s="347">
        <f>SUM($G$58:$J$58)</f>
        <v>0</v>
      </c>
      <c r="L58" s="347">
        <f>F58-$K$58</f>
        <v>0</v>
      </c>
    </row>
    <row r="59" spans="1:12">
      <c r="A59" s="333">
        <v>4</v>
      </c>
      <c r="C59" s="332" t="str">
        <f>'FR-16(7)(v)-1 Functional'!C59</f>
        <v xml:space="preserve">  PRODUCTION PLANT IN SERVICE</v>
      </c>
      <c r="D59" s="344"/>
      <c r="E59" s="196"/>
      <c r="F59" s="348">
        <f>SUM(F57:F58)</f>
        <v>0</v>
      </c>
      <c r="G59" s="348">
        <f>SUM($G$57:$G$58)</f>
        <v>0</v>
      </c>
      <c r="H59" s="348">
        <f>SUM($H$57:$H$58)</f>
        <v>0</v>
      </c>
      <c r="I59" s="348">
        <f>SUM($I$57:$I$58)</f>
        <v>0</v>
      </c>
      <c r="J59" s="348">
        <f>SUM($J$57:$J$58)</f>
        <v>0</v>
      </c>
      <c r="K59" s="348">
        <f>SUM($K$57:$K$58)</f>
        <v>0</v>
      </c>
      <c r="L59" s="348">
        <f>SUM($L$57:$L$58)</f>
        <v>0</v>
      </c>
    </row>
    <row r="60" spans="1:12">
      <c r="A60" s="333">
        <v>5</v>
      </c>
      <c r="D60" s="344"/>
      <c r="E60" s="196"/>
      <c r="G60" s="353"/>
      <c r="H60" s="353"/>
      <c r="I60" s="332"/>
    </row>
    <row r="61" spans="1:12">
      <c r="A61" s="333">
        <v>6</v>
      </c>
      <c r="B61" s="332" t="s">
        <v>15</v>
      </c>
      <c r="D61" s="344"/>
      <c r="E61" s="196"/>
      <c r="G61" s="353"/>
      <c r="H61" s="353"/>
      <c r="I61" s="332"/>
    </row>
    <row r="62" spans="1:12">
      <c r="A62" s="333">
        <v>7</v>
      </c>
      <c r="C62" s="359" t="str">
        <f>'FR-16(7)(v)-1 Functional'!C62</f>
        <v>TRANSMISSION PLANT</v>
      </c>
      <c r="D62" s="344" t="s">
        <v>343</v>
      </c>
      <c r="E62" s="196"/>
      <c r="F62" s="477"/>
      <c r="G62" s="349"/>
      <c r="H62" s="349"/>
      <c r="I62" s="347"/>
      <c r="J62" s="347"/>
      <c r="K62" s="347"/>
      <c r="L62" s="347"/>
    </row>
    <row r="63" spans="1:12">
      <c r="A63" s="333">
        <v>8</v>
      </c>
      <c r="C63" s="332" t="str">
        <f>'FR-16(7)(v)-1 Functional'!C63</f>
        <v xml:space="preserve">  TRANSMISSION PLANT IN SERVICE</v>
      </c>
      <c r="D63" s="344"/>
      <c r="E63" s="196"/>
      <c r="F63" s="348">
        <f>SUM(F62)</f>
        <v>0</v>
      </c>
      <c r="G63" s="348">
        <f>SUM($G$62)</f>
        <v>0</v>
      </c>
      <c r="H63" s="348">
        <f>SUM($H$62)</f>
        <v>0</v>
      </c>
      <c r="I63" s="348">
        <f>SUM($I$62)</f>
        <v>0</v>
      </c>
      <c r="J63" s="348">
        <f>SUM($J$62)</f>
        <v>0</v>
      </c>
      <c r="K63" s="348">
        <f>SUM($K$62)</f>
        <v>0</v>
      </c>
      <c r="L63" s="348">
        <f>SUM($L$62)</f>
        <v>0</v>
      </c>
    </row>
    <row r="64" spans="1:12">
      <c r="A64" s="333">
        <v>9</v>
      </c>
      <c r="D64" s="344"/>
      <c r="E64" s="196"/>
      <c r="G64" s="353"/>
      <c r="H64" s="353"/>
      <c r="I64" s="332"/>
    </row>
    <row r="65" spans="1:12">
      <c r="A65" s="333">
        <v>10</v>
      </c>
      <c r="B65" s="332" t="s">
        <v>16</v>
      </c>
      <c r="D65" s="344"/>
      <c r="E65" s="196"/>
      <c r="F65" s="347">
        <f>F63+F59</f>
        <v>0</v>
      </c>
      <c r="G65" s="349">
        <f>$G$63+$G$59</f>
        <v>0</v>
      </c>
      <c r="H65" s="349">
        <f>$H$63+$H$59</f>
        <v>0</v>
      </c>
      <c r="I65" s="347">
        <f>$I$63+$I$59</f>
        <v>0</v>
      </c>
      <c r="J65" s="347">
        <f>$J$63+$J$59</f>
        <v>0</v>
      </c>
      <c r="K65" s="347">
        <f>$K$63+$K$59</f>
        <v>0</v>
      </c>
      <c r="L65" s="347">
        <f>$L$63+$L$59</f>
        <v>0</v>
      </c>
    </row>
    <row r="66" spans="1:12">
      <c r="A66" s="333">
        <v>11</v>
      </c>
      <c r="D66" s="344"/>
      <c r="E66" s="196"/>
      <c r="G66" s="353"/>
      <c r="H66" s="353"/>
      <c r="I66" s="332"/>
    </row>
    <row r="67" spans="1:12">
      <c r="A67" s="333">
        <v>12</v>
      </c>
      <c r="B67" s="332" t="s">
        <v>17</v>
      </c>
      <c r="D67" s="344"/>
      <c r="E67" s="196"/>
      <c r="G67" s="353"/>
      <c r="H67" s="353"/>
      <c r="I67" s="332"/>
    </row>
    <row r="68" spans="1:12">
      <c r="A68" s="333">
        <v>13</v>
      </c>
      <c r="C68" s="332" t="str">
        <f>'FR-16(7)(v)-1 Functional'!C68</f>
        <v>SYSTEM M&amp;R - (2780, 2781)</v>
      </c>
      <c r="D68" s="344" t="str">
        <f>'FR-16(7)(v)-1 Functional'!D68</f>
        <v>K203</v>
      </c>
      <c r="E68" s="196"/>
      <c r="F68" s="479">
        <f>'FR-16(7)(v)-4 DISTR Classified'!G68</f>
        <v>8194914</v>
      </c>
      <c r="G68" s="349">
        <f t="shared" ref="G68:G77" si="25">F68-SUM(H68:J68)</f>
        <v>4627423</v>
      </c>
      <c r="H68" s="349">
        <f>ROUND($F$68*VLOOKUP($D$68,ALLOCTABLE_DISTR_DEMAND,$H$10,FALSE),0)</f>
        <v>2419384</v>
      </c>
      <c r="I68" s="347">
        <f t="shared" ref="I68:I77" si="26">ROUND(F68*VLOOKUP(D68,ALLOCTABLE_DISTR_DEMAND,$I$10,FALSE),0)</f>
        <v>894311</v>
      </c>
      <c r="J68" s="347">
        <f t="shared" ref="J68:J77" si="27">ROUND(F68*VLOOKUP(D68,ALLOCTABLE_DISTR_DEMAND,$J$10,FALSE),0)</f>
        <v>253796</v>
      </c>
      <c r="K68" s="347">
        <f t="shared" ref="K68:K77" si="28">SUM(G68:J68)</f>
        <v>8194914</v>
      </c>
      <c r="L68" s="347">
        <f t="shared" ref="L68:L77" si="29">F68-K68</f>
        <v>0</v>
      </c>
    </row>
    <row r="69" spans="1:12">
      <c r="A69" s="333">
        <v>14</v>
      </c>
      <c r="C69" s="332" t="str">
        <f>'FR-16(7)(v)-1 Functional'!C69</f>
        <v xml:space="preserve">DIST REG EQUIP &amp; CITY GATE M&amp;R- (2782, 2790) </v>
      </c>
      <c r="D69" s="344" t="str">
        <f>'FR-16(7)(v)-1 Functional'!D69</f>
        <v>K203</v>
      </c>
      <c r="E69" s="196"/>
      <c r="F69" s="479">
        <f>'FR-16(7)(v)-4 DISTR Classified'!G69</f>
        <v>2419176</v>
      </c>
      <c r="G69" s="349">
        <f t="shared" si="25"/>
        <v>1366036</v>
      </c>
      <c r="H69" s="349">
        <f>ROUND($F$69*VLOOKUP($D$69,ALLOCTABLE_DISTR_DEMAND,$H$10,FALSE),0)</f>
        <v>714213</v>
      </c>
      <c r="I69" s="347">
        <f t="shared" si="26"/>
        <v>264005</v>
      </c>
      <c r="J69" s="347">
        <f t="shared" si="27"/>
        <v>74922</v>
      </c>
      <c r="K69" s="347">
        <f t="shared" si="28"/>
        <v>2419176</v>
      </c>
      <c r="L69" s="347">
        <f t="shared" si="29"/>
        <v>0</v>
      </c>
    </row>
    <row r="70" spans="1:12">
      <c r="A70" s="333">
        <v>15</v>
      </c>
      <c r="C70" s="332" t="str">
        <f>'FR-16(7)(v)-1 Functional'!C70</f>
        <v>LARGE IND M&amp;R - (2850, 2851)</v>
      </c>
      <c r="D70" s="344" t="str">
        <f>'FR-16(7)(v)-1 Functional'!D70</f>
        <v>K595</v>
      </c>
      <c r="E70" s="196"/>
      <c r="F70" s="479">
        <f>'FR-16(7)(v)-4 DISTR Classified'!G70</f>
        <v>519875</v>
      </c>
      <c r="G70" s="349">
        <f t="shared" si="25"/>
        <v>0</v>
      </c>
      <c r="H70" s="349">
        <f>ROUND($F$70*VLOOKUP($D$70,ALLOCTABLE_DISTR_DEMAND,$H$10,FALSE),0)</f>
        <v>0</v>
      </c>
      <c r="I70" s="347">
        <f t="shared" si="26"/>
        <v>302084</v>
      </c>
      <c r="J70" s="347">
        <f t="shared" si="27"/>
        <v>217791</v>
      </c>
      <c r="K70" s="347">
        <f t="shared" si="28"/>
        <v>519875</v>
      </c>
      <c r="L70" s="347">
        <f t="shared" si="29"/>
        <v>0</v>
      </c>
    </row>
    <row r="71" spans="1:12">
      <c r="A71" s="333">
        <v>16</v>
      </c>
      <c r="C71" s="332" t="str">
        <f>'FR-16(7)(v)-1 Functional'!C71</f>
        <v>MAINS - (2761, 2762, 2763, 2765)</v>
      </c>
      <c r="D71" s="344" t="s">
        <v>288</v>
      </c>
      <c r="E71" s="196"/>
      <c r="F71" s="479">
        <f>'FR-16(7)(v)-4 DISTR Classified'!G71</f>
        <v>238095190</v>
      </c>
      <c r="G71" s="349">
        <f t="shared" si="25"/>
        <v>134445211</v>
      </c>
      <c r="H71" s="349">
        <f>ROUND($F$71*VLOOKUP($D$71,ALLOCTABLE_DISTR_DEMAND,$H$10,FALSE),0)</f>
        <v>70292843</v>
      </c>
      <c r="I71" s="347">
        <f t="shared" si="26"/>
        <v>25983328</v>
      </c>
      <c r="J71" s="347">
        <f t="shared" si="27"/>
        <v>7373808</v>
      </c>
      <c r="K71" s="347">
        <f t="shared" si="28"/>
        <v>238095190</v>
      </c>
      <c r="L71" s="347">
        <f t="shared" si="29"/>
        <v>0</v>
      </c>
    </row>
    <row r="72" spans="1:12">
      <c r="A72" s="333">
        <v>17</v>
      </c>
      <c r="C72" s="332" t="str">
        <f>'FR-16(7)(v)-1 Functional'!C72</f>
        <v>SERVICES - (2801, 2802, 2803)</v>
      </c>
      <c r="D72" s="344" t="str">
        <f>'FR-16(7)(v)-1 Functional'!D72</f>
        <v>K403</v>
      </c>
      <c r="E72" s="196"/>
      <c r="F72" s="479">
        <f>'FR-16(7)(v)-4 DISTR Classified'!G72</f>
        <v>0</v>
      </c>
      <c r="G72" s="349">
        <f t="shared" si="25"/>
        <v>0</v>
      </c>
      <c r="H72" s="349">
        <f>ROUND($F$72*VLOOKUP($D$72,ALLOCTABLE_DISTR_DEMAND,$H$10,FALSE),0)</f>
        <v>0</v>
      </c>
      <c r="I72" s="347">
        <f t="shared" si="26"/>
        <v>0</v>
      </c>
      <c r="J72" s="347">
        <f t="shared" si="27"/>
        <v>0</v>
      </c>
      <c r="K72" s="347">
        <f t="shared" si="28"/>
        <v>0</v>
      </c>
      <c r="L72" s="347">
        <f t="shared" si="29"/>
        <v>0</v>
      </c>
    </row>
    <row r="73" spans="1:12">
      <c r="A73" s="333">
        <v>18</v>
      </c>
      <c r="C73" s="332" t="str">
        <f>'FR-16(7)(v)-1 Functional'!C73</f>
        <v>MTRS &amp; MTR INST (2810, 2811, 2820, 2821)</v>
      </c>
      <c r="D73" s="344" t="str">
        <f>'FR-16(7)(v)-1 Functional'!D73</f>
        <v>K413</v>
      </c>
      <c r="E73" s="196"/>
      <c r="F73" s="479">
        <f>'FR-16(7)(v)-4 DISTR Classified'!G73</f>
        <v>0</v>
      </c>
      <c r="G73" s="349">
        <f t="shared" si="25"/>
        <v>0</v>
      </c>
      <c r="H73" s="349">
        <f>ROUND($F$73*VLOOKUP($D$73,ALLOCTABLE_DISTR_DEMAND,$H$10,FALSE),0)</f>
        <v>0</v>
      </c>
      <c r="I73" s="347">
        <f t="shared" si="26"/>
        <v>0</v>
      </c>
      <c r="J73" s="347">
        <f t="shared" si="27"/>
        <v>0</v>
      </c>
      <c r="K73" s="347">
        <f t="shared" si="28"/>
        <v>0</v>
      </c>
      <c r="L73" s="347">
        <f t="shared" si="29"/>
        <v>0</v>
      </c>
    </row>
    <row r="74" spans="1:12">
      <c r="A74" s="333">
        <v>19</v>
      </c>
      <c r="C74" s="332" t="str">
        <f>'FR-16(7)(v)-1 Functional'!C74</f>
        <v>LAND, R OF W, STRUCT &amp; IMPROV</v>
      </c>
      <c r="D74" s="344" t="str">
        <f>'FR-16(7)(v)-1 Functional'!D74</f>
        <v>K203</v>
      </c>
      <c r="E74" s="196"/>
      <c r="F74" s="479">
        <f>'FR-16(7)(v)-4 DISTR Classified'!G74</f>
        <v>1460393</v>
      </c>
      <c r="G74" s="349">
        <f t="shared" si="25"/>
        <v>824640</v>
      </c>
      <c r="H74" s="349">
        <f>ROUND($F$74*VLOOKUP($D$74,ALLOCTABLE_DISTR_DEMAND,$H$10,FALSE),0)</f>
        <v>431152</v>
      </c>
      <c r="I74" s="347">
        <f t="shared" si="26"/>
        <v>159373</v>
      </c>
      <c r="J74" s="347">
        <f t="shared" si="27"/>
        <v>45228</v>
      </c>
      <c r="K74" s="347">
        <f t="shared" si="28"/>
        <v>1460393</v>
      </c>
      <c r="L74" s="347">
        <f t="shared" si="29"/>
        <v>0</v>
      </c>
    </row>
    <row r="75" spans="1:12">
      <c r="A75" s="333">
        <v>20</v>
      </c>
      <c r="C75" s="332" t="str">
        <f>'FR-16(7)(v)-1 Functional'!C75</f>
        <v>HOUSE REG &amp; INSTALL (2830, 2840)</v>
      </c>
      <c r="D75" s="344" t="str">
        <f>'FR-16(7)(v)-1 Functional'!D75</f>
        <v>K417</v>
      </c>
      <c r="E75" s="196"/>
      <c r="F75" s="479">
        <f>'FR-16(7)(v)-4 DISTR Classified'!G75</f>
        <v>0</v>
      </c>
      <c r="G75" s="349">
        <f t="shared" si="25"/>
        <v>0</v>
      </c>
      <c r="H75" s="349">
        <f>ROUND($F$75*VLOOKUP($D$75,ALLOCTABLE_DISTR_DEMAND,$H$10,FALSE),0)</f>
        <v>0</v>
      </c>
      <c r="I75" s="347">
        <f t="shared" si="26"/>
        <v>0</v>
      </c>
      <c r="J75" s="347">
        <f t="shared" si="27"/>
        <v>0</v>
      </c>
      <c r="K75" s="347">
        <f t="shared" si="28"/>
        <v>0</v>
      </c>
      <c r="L75" s="347">
        <f t="shared" si="29"/>
        <v>0</v>
      </c>
    </row>
    <row r="76" spans="1:12">
      <c r="A76" s="333">
        <v>21</v>
      </c>
      <c r="C76" s="365" t="str">
        <f>'FR-16(7)(v)-1 Functional'!C76</f>
        <v>STREET LIGHTING EQUIPMENT &amp; OTH</v>
      </c>
      <c r="D76" s="344" t="str">
        <f>'FR-16(7)(v)-1 Functional'!D76</f>
        <v>K597</v>
      </c>
      <c r="E76" s="196"/>
      <c r="F76" s="479">
        <f>'FR-16(7)(v)-4 DISTR Classified'!G76</f>
        <v>49737</v>
      </c>
      <c r="G76" s="349">
        <f t="shared" si="25"/>
        <v>0</v>
      </c>
      <c r="H76" s="349">
        <f>ROUND($F$76*VLOOKUP($D$76,ALLOCTABLE_DISTR_DEMAND,$H$10,FALSE),0)</f>
        <v>49737</v>
      </c>
      <c r="I76" s="347">
        <f t="shared" si="26"/>
        <v>0</v>
      </c>
      <c r="J76" s="347">
        <f t="shared" si="27"/>
        <v>0</v>
      </c>
      <c r="K76" s="347">
        <f t="shared" si="28"/>
        <v>49737</v>
      </c>
      <c r="L76" s="347">
        <f t="shared" si="29"/>
        <v>0</v>
      </c>
    </row>
    <row r="77" spans="1:12">
      <c r="A77" s="333">
        <v>22</v>
      </c>
      <c r="C77" s="332" t="str">
        <f>'FR-16(7)(v)-1 Functional'!C77</f>
        <v>ASSET RETIREMENT COST FOR DISTRIBUTION PLANT</v>
      </c>
      <c r="D77" s="344" t="str">
        <f>'FR-16(7)(v)-1 Functional'!D77</f>
        <v>K203</v>
      </c>
      <c r="E77" s="196"/>
      <c r="F77" s="479">
        <f>'FR-16(7)(v)-4 DISTR Classified'!G77</f>
        <v>53610236</v>
      </c>
      <c r="G77" s="349">
        <f t="shared" si="25"/>
        <v>30272092</v>
      </c>
      <c r="H77" s="349">
        <f>ROUND($F$77*VLOOKUP($D$77,ALLOCTABLE_DISTR_DEMAND,$H$10,FALSE),0)</f>
        <v>15827350</v>
      </c>
      <c r="I77" s="347">
        <f t="shared" si="26"/>
        <v>5850485</v>
      </c>
      <c r="J77" s="347">
        <f t="shared" si="27"/>
        <v>1660309</v>
      </c>
      <c r="K77" s="347">
        <f t="shared" si="28"/>
        <v>53610236</v>
      </c>
      <c r="L77" s="347">
        <f t="shared" si="29"/>
        <v>0</v>
      </c>
    </row>
    <row r="78" spans="1:12">
      <c r="A78" s="333">
        <v>23</v>
      </c>
      <c r="C78" s="339" t="str">
        <f>'FR-16(7)(v)-1 Functional'!C78</f>
        <v xml:space="preserve">  DISTRIBUTION PLANT IN SERVICE</v>
      </c>
      <c r="D78" s="344"/>
      <c r="E78" s="196"/>
      <c r="F78" s="348">
        <f t="shared" ref="F78:L78" si="30">SUM(F68:F77)</f>
        <v>304349521</v>
      </c>
      <c r="G78" s="348">
        <f>SUM(G68:G77)</f>
        <v>171535402</v>
      </c>
      <c r="H78" s="348">
        <f t="shared" si="30"/>
        <v>89734679</v>
      </c>
      <c r="I78" s="348">
        <f t="shared" si="30"/>
        <v>33453586</v>
      </c>
      <c r="J78" s="348">
        <f t="shared" si="30"/>
        <v>9625854</v>
      </c>
      <c r="K78" s="348">
        <f t="shared" si="30"/>
        <v>304349521</v>
      </c>
      <c r="L78" s="348">
        <f t="shared" si="30"/>
        <v>0</v>
      </c>
    </row>
    <row r="79" spans="1:12">
      <c r="A79" s="333">
        <v>24</v>
      </c>
      <c r="D79" s="344"/>
      <c r="E79" s="196"/>
      <c r="G79" s="353"/>
      <c r="H79" s="353"/>
      <c r="I79" s="332"/>
    </row>
    <row r="80" spans="1:12">
      <c r="A80" s="333">
        <v>25</v>
      </c>
      <c r="B80" s="332" t="s">
        <v>18</v>
      </c>
      <c r="D80" s="344"/>
      <c r="E80" s="196"/>
      <c r="F80" s="347">
        <f>F78+F63</f>
        <v>304349521</v>
      </c>
      <c r="G80" s="349">
        <f>G78+$G$63</f>
        <v>171535402</v>
      </c>
      <c r="H80" s="349">
        <f>H78+$H$63</f>
        <v>89734679</v>
      </c>
      <c r="I80" s="347">
        <f>I78+$I$63</f>
        <v>33453586</v>
      </c>
      <c r="J80" s="347">
        <f>J78+$J$63</f>
        <v>9625854</v>
      </c>
      <c r="K80" s="347">
        <f>K78+$K$63</f>
        <v>304349521</v>
      </c>
      <c r="L80" s="347">
        <f>L78+$L$63</f>
        <v>0</v>
      </c>
    </row>
    <row r="81" spans="1:12">
      <c r="A81" s="333">
        <v>26</v>
      </c>
      <c r="B81" s="332" t="s">
        <v>19</v>
      </c>
      <c r="D81" s="344"/>
      <c r="E81" s="196"/>
      <c r="F81" s="347">
        <f t="shared" ref="F81:L81" si="31">F78+F65</f>
        <v>304349521</v>
      </c>
      <c r="G81" s="349">
        <f>G78+G65</f>
        <v>171535402</v>
      </c>
      <c r="H81" s="349">
        <f t="shared" si="31"/>
        <v>89734679</v>
      </c>
      <c r="I81" s="347">
        <f t="shared" si="31"/>
        <v>33453586</v>
      </c>
      <c r="J81" s="347">
        <f t="shared" si="31"/>
        <v>9625854</v>
      </c>
      <c r="K81" s="347">
        <f t="shared" si="31"/>
        <v>304349521</v>
      </c>
      <c r="L81" s="347">
        <f t="shared" si="31"/>
        <v>0</v>
      </c>
    </row>
    <row r="82" spans="1:12">
      <c r="A82" s="333">
        <v>27</v>
      </c>
      <c r="D82" s="344"/>
      <c r="E82" s="196"/>
      <c r="G82" s="353"/>
      <c r="H82" s="353"/>
      <c r="I82" s="332"/>
    </row>
    <row r="83" spans="1:12">
      <c r="A83" s="333">
        <v>28</v>
      </c>
      <c r="B83" s="332" t="s">
        <v>20</v>
      </c>
      <c r="D83" s="344"/>
      <c r="E83" s="196"/>
      <c r="G83" s="353"/>
      <c r="H83" s="353"/>
      <c r="I83" s="332"/>
    </row>
    <row r="84" spans="1:12">
      <c r="A84" s="333">
        <v>29</v>
      </c>
      <c r="C84" s="332" t="str">
        <f>'FR-16(7)(v)-1 Functional'!C84</f>
        <v>PRODUCTION PLANT</v>
      </c>
      <c r="D84" s="344" t="str">
        <f>'FR-16(7)(v)-1 Functional'!D84</f>
        <v>K201</v>
      </c>
      <c r="E84" s="196"/>
      <c r="F84" s="479">
        <f>'FR-16(7)(v)-4 DISTR Classified'!G84</f>
        <v>0</v>
      </c>
      <c r="G84" s="349">
        <f t="shared" ref="G84:G89" si="32">F84-SUM(H84:J84)</f>
        <v>0</v>
      </c>
      <c r="H84" s="349">
        <f>ROUND($F$84*VLOOKUP($D$84,ALLOCTABLE_DISTR_DEMAND,$H$10,FALSE),0)</f>
        <v>0</v>
      </c>
      <c r="I84" s="347">
        <f t="shared" ref="I84:I89" si="33">ROUND(F84*VLOOKUP(D84,ALLOCTABLE_DISTR_DEMAND,$I$10,FALSE),0)</f>
        <v>0</v>
      </c>
      <c r="J84" s="347">
        <f t="shared" ref="J84:J89" si="34">ROUND(F84*VLOOKUP(D84,ALLOCTABLE_DISTR_DEMAND,$J$10,FALSE),0)</f>
        <v>0</v>
      </c>
      <c r="K84" s="347">
        <f t="shared" ref="K84:K89" si="35">SUM(G84:J84)</f>
        <v>0</v>
      </c>
      <c r="L84" s="347">
        <f t="shared" ref="L84:L89" si="36">F84-K84</f>
        <v>0</v>
      </c>
    </row>
    <row r="85" spans="1:12">
      <c r="A85" s="333">
        <v>30</v>
      </c>
      <c r="C85" s="332" t="str">
        <f>'FR-16(7)(v)-1 Functional'!C85</f>
        <v>PRODUCTION PLANT COMMODITY</v>
      </c>
      <c r="D85" s="344" t="str">
        <f>'FR-16(7)(v)-1 Functional'!D85</f>
        <v>P349</v>
      </c>
      <c r="E85" s="196"/>
      <c r="F85" s="479">
        <f>'FR-16(7)(v)-4 DISTR Classified'!G85</f>
        <v>0</v>
      </c>
      <c r="G85" s="349">
        <f t="shared" si="32"/>
        <v>0</v>
      </c>
      <c r="H85" s="349">
        <f>ROUND($F$85*VLOOKUP($D$85,ALLOCTABLE_DISTR_DEMAND,$H$10,FALSE),0)</f>
        <v>0</v>
      </c>
      <c r="I85" s="347">
        <f t="shared" si="33"/>
        <v>0</v>
      </c>
      <c r="J85" s="347">
        <f t="shared" si="34"/>
        <v>0</v>
      </c>
      <c r="K85" s="347">
        <f t="shared" si="35"/>
        <v>0</v>
      </c>
      <c r="L85" s="347">
        <f t="shared" si="36"/>
        <v>0</v>
      </c>
    </row>
    <row r="86" spans="1:12">
      <c r="A86" s="333">
        <v>31</v>
      </c>
      <c r="C86" s="332" t="str">
        <f>'FR-16(7)(v)-1 Functional'!C86</f>
        <v>DISTRIBUTION PLANT</v>
      </c>
      <c r="D86" s="344" t="str">
        <f>'FR-16(7)(v)-1 Functional'!D86</f>
        <v>D349</v>
      </c>
      <c r="E86" s="196"/>
      <c r="F86" s="479">
        <f>'FR-16(7)(v)-4 DISTR Classified'!G86</f>
        <v>8788596</v>
      </c>
      <c r="G86" s="349">
        <f t="shared" si="32"/>
        <v>5364471</v>
      </c>
      <c r="H86" s="349">
        <f>ROUND($F$86*VLOOKUP($D$86,ALLOCTABLE_DISTR_DEMAND,$H$10,FALSE),0)</f>
        <v>2423631</v>
      </c>
      <c r="I86" s="347">
        <f t="shared" si="33"/>
        <v>803102</v>
      </c>
      <c r="J86" s="347">
        <f t="shared" si="34"/>
        <v>197392</v>
      </c>
      <c r="K86" s="347">
        <f t="shared" si="35"/>
        <v>8788596</v>
      </c>
      <c r="L86" s="347">
        <f t="shared" si="36"/>
        <v>0</v>
      </c>
    </row>
    <row r="87" spans="1:12">
      <c r="A87" s="333">
        <v>32</v>
      </c>
      <c r="C87" s="332" t="str">
        <f>'FR-16(7)(v)-1 Functional'!C87</f>
        <v>CUSTOMER ACCOUNTING</v>
      </c>
      <c r="D87" s="344" t="str">
        <f>'FR-16(7)(v)-1 Functional'!D87</f>
        <v>CA19</v>
      </c>
      <c r="E87" s="196"/>
      <c r="F87" s="479">
        <f>'FR-16(7)(v)-4 DISTR Classified'!G87</f>
        <v>0</v>
      </c>
      <c r="G87" s="349">
        <f t="shared" si="32"/>
        <v>0</v>
      </c>
      <c r="H87" s="349">
        <f>ROUND($F$87*VLOOKUP($D$87,ALLOCTABLE_DISTR_DEMAND,$H$10,FALSE),0)</f>
        <v>0</v>
      </c>
      <c r="I87" s="347">
        <f t="shared" si="33"/>
        <v>0</v>
      </c>
      <c r="J87" s="347">
        <f t="shared" si="34"/>
        <v>0</v>
      </c>
      <c r="K87" s="347">
        <f t="shared" si="35"/>
        <v>0</v>
      </c>
      <c r="L87" s="347">
        <f t="shared" si="36"/>
        <v>0</v>
      </c>
    </row>
    <row r="88" spans="1:12">
      <c r="A88" s="333">
        <v>33</v>
      </c>
      <c r="C88" s="332" t="str">
        <f>'FR-16(7)(v)-1 Functional'!C88</f>
        <v>CUSTOMER SERVICE &amp; INFORMATION</v>
      </c>
      <c r="D88" s="344" t="str">
        <f>'FR-16(7)(v)-1 Functional'!D88</f>
        <v>CS19</v>
      </c>
      <c r="E88" s="196"/>
      <c r="F88" s="479">
        <f>'FR-16(7)(v)-4 DISTR Classified'!G88</f>
        <v>0</v>
      </c>
      <c r="G88" s="349">
        <f t="shared" si="32"/>
        <v>0</v>
      </c>
      <c r="H88" s="349">
        <f>ROUND($F$88*VLOOKUP($D$88,ALLOCTABLE_DISTR_DEMAND,$H$10,FALSE),0)</f>
        <v>0</v>
      </c>
      <c r="I88" s="347">
        <f t="shared" si="33"/>
        <v>0</v>
      </c>
      <c r="J88" s="347">
        <f t="shared" si="34"/>
        <v>0</v>
      </c>
      <c r="K88" s="347">
        <f t="shared" si="35"/>
        <v>0</v>
      </c>
      <c r="L88" s="347">
        <f t="shared" si="36"/>
        <v>0</v>
      </c>
    </row>
    <row r="89" spans="1:12">
      <c r="A89" s="333">
        <v>34</v>
      </c>
      <c r="C89" s="332" t="str">
        <f>'FR-16(7)(v)-1 Functional'!C89</f>
        <v>SALES</v>
      </c>
      <c r="D89" s="344" t="str">
        <f>'FR-16(7)(v)-1 Functional'!D89</f>
        <v>SE19</v>
      </c>
      <c r="E89" s="196"/>
      <c r="F89" s="479">
        <f>'FR-16(7)(v)-4 DISTR Classified'!G89</f>
        <v>0</v>
      </c>
      <c r="G89" s="349">
        <f t="shared" si="32"/>
        <v>0</v>
      </c>
      <c r="H89" s="349">
        <f>ROUND($F$89*VLOOKUP($D$89,ALLOCTABLE_DISTR_DEMAND,$H$10,FALSE),0)</f>
        <v>0</v>
      </c>
      <c r="I89" s="347">
        <f t="shared" si="33"/>
        <v>0</v>
      </c>
      <c r="J89" s="347">
        <f t="shared" si="34"/>
        <v>0</v>
      </c>
      <c r="K89" s="347">
        <f t="shared" si="35"/>
        <v>0</v>
      </c>
      <c r="L89" s="347">
        <f t="shared" si="36"/>
        <v>0</v>
      </c>
    </row>
    <row r="90" spans="1:12">
      <c r="A90" s="333">
        <v>35</v>
      </c>
      <c r="C90" s="339" t="str">
        <f>'FR-16(7)(v)-1 Functional'!C90</f>
        <v xml:space="preserve">  GEN &amp; INTANG PLANT IN SERVICE</v>
      </c>
      <c r="D90" s="344"/>
      <c r="E90" s="196"/>
      <c r="F90" s="480">
        <f t="shared" ref="F90:L90" si="37">SUM(F84:F89)</f>
        <v>8788596</v>
      </c>
      <c r="G90" s="348">
        <f>SUM(G84:G89)</f>
        <v>5364471</v>
      </c>
      <c r="H90" s="348">
        <f t="shared" si="37"/>
        <v>2423631</v>
      </c>
      <c r="I90" s="348">
        <f t="shared" si="37"/>
        <v>803102</v>
      </c>
      <c r="J90" s="348">
        <f t="shared" si="37"/>
        <v>197392</v>
      </c>
      <c r="K90" s="348">
        <f t="shared" si="37"/>
        <v>8788596</v>
      </c>
      <c r="L90" s="348">
        <f t="shared" si="37"/>
        <v>0</v>
      </c>
    </row>
    <row r="91" spans="1:12">
      <c r="A91" s="333">
        <v>36</v>
      </c>
      <c r="D91" s="344"/>
      <c r="E91" s="196"/>
      <c r="G91" s="353"/>
      <c r="H91" s="353"/>
      <c r="I91" s="332"/>
    </row>
    <row r="92" spans="1:12">
      <c r="A92" s="333">
        <v>37</v>
      </c>
      <c r="B92" s="332" t="s">
        <v>21</v>
      </c>
      <c r="D92" s="344"/>
      <c r="E92" s="196"/>
      <c r="G92" s="353"/>
      <c r="H92" s="353"/>
      <c r="I92" s="332"/>
    </row>
    <row r="93" spans="1:12">
      <c r="A93" s="333">
        <v>38</v>
      </c>
      <c r="C93" s="332" t="str">
        <f>'FR-16(7)(v)-1 Functional'!C93</f>
        <v>PRODUCTION PLANT</v>
      </c>
      <c r="D93" s="344" t="str">
        <f>'FR-16(7)(v)-1 Functional'!D93</f>
        <v>K201</v>
      </c>
      <c r="E93" s="196"/>
      <c r="F93" s="479">
        <f>'FR-16(7)(v)-4 DISTR Classified'!G93</f>
        <v>0</v>
      </c>
      <c r="G93" s="349">
        <f t="shared" ref="G93:G98" si="38">F93-SUM(H93:J93)</f>
        <v>0</v>
      </c>
      <c r="H93" s="349">
        <f>ROUND($F$93*VLOOKUP($D$93,ALLOCTABLE_DISTR_DEMAND,$H$10,FALSE),0)</f>
        <v>0</v>
      </c>
      <c r="I93" s="347">
        <f t="shared" ref="I93:I98" si="39">ROUND(F93*VLOOKUP(D93,ALLOCTABLE_DISTR_DEMAND,$I$10,FALSE),0)</f>
        <v>0</v>
      </c>
      <c r="J93" s="347">
        <f t="shared" ref="J93:J98" si="40">ROUND(F93*VLOOKUP(D93,ALLOCTABLE_DISTR_DEMAND,$J$10,FALSE),0)</f>
        <v>0</v>
      </c>
      <c r="K93" s="347">
        <f t="shared" ref="K93:K98" si="41">SUM(G93:J93)</f>
        <v>0</v>
      </c>
      <c r="L93" s="347">
        <f t="shared" ref="L93:L98" si="42">F93-K93</f>
        <v>0</v>
      </c>
    </row>
    <row r="94" spans="1:12">
      <c r="A94" s="333">
        <v>39</v>
      </c>
      <c r="C94" s="332" t="str">
        <f>'FR-16(7)(v)-1 Functional'!C94</f>
        <v>PRODUCTION PLANT COMMODITY</v>
      </c>
      <c r="D94" s="344" t="str">
        <f>'FR-16(7)(v)-1 Functional'!D94</f>
        <v>P349</v>
      </c>
      <c r="E94" s="196"/>
      <c r="F94" s="479">
        <f>'FR-16(7)(v)-4 DISTR Classified'!G94</f>
        <v>0</v>
      </c>
      <c r="G94" s="349">
        <f t="shared" si="38"/>
        <v>0</v>
      </c>
      <c r="H94" s="349">
        <f>ROUND($F$94*VLOOKUP($D$94,ALLOCTABLE_DISTR_DEMAND,$H$10,FALSE),0)</f>
        <v>0</v>
      </c>
      <c r="I94" s="347">
        <f t="shared" si="39"/>
        <v>0</v>
      </c>
      <c r="J94" s="347">
        <f t="shared" si="40"/>
        <v>0</v>
      </c>
      <c r="K94" s="347">
        <f t="shared" si="41"/>
        <v>0</v>
      </c>
      <c r="L94" s="347">
        <f t="shared" si="42"/>
        <v>0</v>
      </c>
    </row>
    <row r="95" spans="1:12">
      <c r="A95" s="333">
        <v>40</v>
      </c>
      <c r="C95" s="332" t="str">
        <f>'FR-16(7)(v)-1 Functional'!C95</f>
        <v>DISTRIBUTION PLANT</v>
      </c>
      <c r="D95" s="344" t="str">
        <f>'FR-16(7)(v)-1 Functional'!D95</f>
        <v>D349</v>
      </c>
      <c r="E95" s="196"/>
      <c r="F95" s="479">
        <f>'FR-16(7)(v)-4 DISTR Classified'!G95</f>
        <v>4625972</v>
      </c>
      <c r="G95" s="349">
        <f t="shared" si="38"/>
        <v>2823648</v>
      </c>
      <c r="H95" s="349">
        <f>ROUND($F$95*VLOOKUP($D$95,ALLOCTABLE_DISTR_DEMAND,$H$10,FALSE),0)</f>
        <v>1275704</v>
      </c>
      <c r="I95" s="347">
        <f t="shared" si="39"/>
        <v>422721</v>
      </c>
      <c r="J95" s="347">
        <f t="shared" si="40"/>
        <v>103899</v>
      </c>
      <c r="K95" s="347">
        <f t="shared" si="41"/>
        <v>4625972</v>
      </c>
      <c r="L95" s="347">
        <f t="shared" si="42"/>
        <v>0</v>
      </c>
    </row>
    <row r="96" spans="1:12">
      <c r="A96" s="333">
        <v>41</v>
      </c>
      <c r="C96" s="332" t="str">
        <f>'FR-16(7)(v)-1 Functional'!C96</f>
        <v>CUSTOMER ACCOUNTING</v>
      </c>
      <c r="D96" s="344" t="str">
        <f>'FR-16(7)(v)-1 Functional'!D96</f>
        <v>CA19</v>
      </c>
      <c r="E96" s="196"/>
      <c r="F96" s="479">
        <f>'FR-16(7)(v)-4 DISTR Classified'!G96</f>
        <v>0</v>
      </c>
      <c r="G96" s="349">
        <f t="shared" si="38"/>
        <v>0</v>
      </c>
      <c r="H96" s="349">
        <f>ROUND($F$96*VLOOKUP($D$96,ALLOCTABLE_DISTR_DEMAND,$H$10,FALSE),0)</f>
        <v>0</v>
      </c>
      <c r="I96" s="347">
        <f t="shared" si="39"/>
        <v>0</v>
      </c>
      <c r="J96" s="347">
        <f t="shared" si="40"/>
        <v>0</v>
      </c>
      <c r="K96" s="347">
        <f t="shared" si="41"/>
        <v>0</v>
      </c>
      <c r="L96" s="347">
        <f t="shared" si="42"/>
        <v>0</v>
      </c>
    </row>
    <row r="97" spans="1:12">
      <c r="A97" s="333">
        <v>42</v>
      </c>
      <c r="C97" s="332" t="str">
        <f>'FR-16(7)(v)-1 Functional'!C97</f>
        <v>CUSTOMER SERVICE &amp; INFORMATION</v>
      </c>
      <c r="D97" s="344" t="str">
        <f>'FR-16(7)(v)-1 Functional'!D97</f>
        <v>CS19</v>
      </c>
      <c r="E97" s="196"/>
      <c r="F97" s="479">
        <f>'FR-16(7)(v)-4 DISTR Classified'!G97</f>
        <v>0</v>
      </c>
      <c r="G97" s="349">
        <f t="shared" si="38"/>
        <v>0</v>
      </c>
      <c r="H97" s="349">
        <f>ROUND($F$97*VLOOKUP($D$97,ALLOCTABLE_DISTR_DEMAND,$H$10,FALSE),0)</f>
        <v>0</v>
      </c>
      <c r="I97" s="347">
        <f t="shared" si="39"/>
        <v>0</v>
      </c>
      <c r="J97" s="347">
        <f t="shared" si="40"/>
        <v>0</v>
      </c>
      <c r="K97" s="347">
        <f t="shared" si="41"/>
        <v>0</v>
      </c>
      <c r="L97" s="347">
        <f t="shared" si="42"/>
        <v>0</v>
      </c>
    </row>
    <row r="98" spans="1:12">
      <c r="A98" s="333">
        <v>43</v>
      </c>
      <c r="C98" s="365" t="str">
        <f>'FR-16(7)(v)-1 Functional'!C98</f>
        <v>SALES</v>
      </c>
      <c r="D98" s="344" t="str">
        <f>'FR-16(7)(v)-1 Functional'!D98</f>
        <v>SE19</v>
      </c>
      <c r="E98" s="196"/>
      <c r="F98" s="479">
        <f>'FR-16(7)(v)-4 DISTR Classified'!G98</f>
        <v>0</v>
      </c>
      <c r="G98" s="349">
        <f t="shared" si="38"/>
        <v>0</v>
      </c>
      <c r="H98" s="349">
        <f>ROUND($F$98*VLOOKUP($D$98,ALLOCTABLE_DISTR_DEMAND,$H$10,FALSE),0)</f>
        <v>0</v>
      </c>
      <c r="I98" s="347">
        <f t="shared" si="39"/>
        <v>0</v>
      </c>
      <c r="J98" s="347">
        <f t="shared" si="40"/>
        <v>0</v>
      </c>
      <c r="K98" s="347">
        <f t="shared" si="41"/>
        <v>0</v>
      </c>
      <c r="L98" s="347">
        <f t="shared" si="42"/>
        <v>0</v>
      </c>
    </row>
    <row r="99" spans="1:12">
      <c r="A99" s="333">
        <v>44</v>
      </c>
      <c r="C99" s="339" t="str">
        <f>'FR-16(7)(v)-1 Functional'!C99</f>
        <v xml:space="preserve">  COMMON &amp; OTHER PLANT IN SERVICE</v>
      </c>
      <c r="E99" s="196"/>
      <c r="F99" s="348">
        <f t="shared" ref="F99:L99" si="43">SUM(F93:F98)</f>
        <v>4625972</v>
      </c>
      <c r="G99" s="348">
        <f>SUM(G93:G98)</f>
        <v>2823648</v>
      </c>
      <c r="H99" s="348">
        <f t="shared" si="43"/>
        <v>1275704</v>
      </c>
      <c r="I99" s="348">
        <f t="shared" si="43"/>
        <v>422721</v>
      </c>
      <c r="J99" s="348">
        <f t="shared" si="43"/>
        <v>103899</v>
      </c>
      <c r="K99" s="348">
        <f t="shared" si="43"/>
        <v>4625972</v>
      </c>
      <c r="L99" s="348">
        <f t="shared" si="43"/>
        <v>0</v>
      </c>
    </row>
    <row r="100" spans="1:12">
      <c r="A100" s="333">
        <v>45</v>
      </c>
      <c r="E100" s="196"/>
      <c r="G100" s="353"/>
      <c r="H100" s="353"/>
      <c r="I100" s="332"/>
    </row>
    <row r="101" spans="1:12">
      <c r="A101" s="333">
        <v>46</v>
      </c>
      <c r="B101" s="332" t="s">
        <v>95</v>
      </c>
      <c r="E101" s="196"/>
      <c r="F101" s="347">
        <f t="shared" ref="F101:L101" si="44">F81+F90+F99</f>
        <v>317764089</v>
      </c>
      <c r="G101" s="349">
        <f>G81+G90+G99</f>
        <v>179723521</v>
      </c>
      <c r="H101" s="349">
        <f t="shared" si="44"/>
        <v>93434014</v>
      </c>
      <c r="I101" s="347">
        <f t="shared" si="44"/>
        <v>34679409</v>
      </c>
      <c r="J101" s="347">
        <f t="shared" si="44"/>
        <v>9927145</v>
      </c>
      <c r="K101" s="347">
        <f t="shared" si="44"/>
        <v>317764089</v>
      </c>
      <c r="L101" s="347">
        <f t="shared" si="44"/>
        <v>0</v>
      </c>
    </row>
    <row r="102" spans="1:12">
      <c r="B102" s="343"/>
      <c r="C102" s="196"/>
      <c r="D102" s="344"/>
      <c r="E102" s="196"/>
      <c r="G102" s="196"/>
      <c r="H102" s="196"/>
      <c r="I102" s="196"/>
      <c r="J102" s="344"/>
      <c r="K102" s="196"/>
      <c r="L102" s="196"/>
    </row>
    <row r="103" spans="1:12">
      <c r="A103" s="343" t="str">
        <f>co_name</f>
        <v>DUKE ENERGY KENTUCKY, INC.</v>
      </c>
      <c r="C103" s="196"/>
      <c r="D103" s="344"/>
      <c r="E103" s="196"/>
      <c r="F103" s="344"/>
      <c r="G103" s="342"/>
      <c r="H103" s="342"/>
      <c r="I103" s="196"/>
      <c r="K103" s="361" t="str">
        <f>$K$1</f>
        <v>FR-16(7)(v)-5</v>
      </c>
      <c r="L103" s="196"/>
    </row>
    <row r="104" spans="1:12">
      <c r="A104" s="343" t="str">
        <f>$A$2</f>
        <v>DISTRIBUTION DEMAND ALLOCATED - GAS COST OF SERVICE</v>
      </c>
      <c r="C104" s="196"/>
      <c r="D104" s="344"/>
      <c r="E104" s="196"/>
      <c r="F104" s="344"/>
      <c r="G104" s="342"/>
      <c r="H104" s="342"/>
      <c r="I104" s="196"/>
      <c r="K104" s="361" t="str">
        <f>$K$2</f>
        <v>WITNESS RESPONSIBLE:</v>
      </c>
      <c r="L104" s="196"/>
    </row>
    <row r="105" spans="1:12">
      <c r="A105" s="343" t="str">
        <f>case_name</f>
        <v>CASE NO: 2018-00261</v>
      </c>
      <c r="C105" s="196"/>
      <c r="D105" s="344"/>
      <c r="E105" s="196"/>
      <c r="F105" s="344"/>
      <c r="G105" s="342"/>
      <c r="H105" s="342"/>
      <c r="I105" s="196"/>
      <c r="K105" s="361" t="str">
        <f>Witness</f>
        <v>JAMES E. ZIOLKOWSKI</v>
      </c>
      <c r="L105" s="196"/>
    </row>
    <row r="106" spans="1:12">
      <c r="A106" s="343" t="str">
        <f>data_filing</f>
        <v>DATA: 12 MONTH FORECASTED PERIOD</v>
      </c>
      <c r="C106" s="196"/>
      <c r="D106" s="344"/>
      <c r="E106" s="196"/>
      <c r="F106" s="344"/>
      <c r="G106" s="342"/>
      <c r="H106" s="342"/>
      <c r="I106" s="196"/>
      <c r="K106" s="361" t="str">
        <f>"PAGE "&amp;Pages-15&amp;" OF "&amp;Pages</f>
        <v>PAGE 3 OF 18</v>
      </c>
      <c r="L106" s="196"/>
    </row>
    <row r="107" spans="1:12">
      <c r="A107" s="343" t="str">
        <f>type</f>
        <v xml:space="preserve">TYPE OF FILING: "X" ORIGINAL   UPDATED    REVISED  </v>
      </c>
      <c r="C107" s="196"/>
      <c r="D107" s="344"/>
      <c r="E107" s="196"/>
      <c r="F107" s="344"/>
      <c r="G107" s="342"/>
      <c r="H107" s="342"/>
      <c r="I107" s="196"/>
      <c r="J107" s="344"/>
      <c r="K107" s="196"/>
      <c r="L107" s="196"/>
    </row>
    <row r="108" spans="1:12">
      <c r="A108" s="343"/>
      <c r="C108" s="196"/>
      <c r="D108" s="344"/>
      <c r="E108" s="196"/>
      <c r="F108" s="344"/>
      <c r="G108" s="342"/>
      <c r="H108" s="342"/>
      <c r="I108" s="196"/>
      <c r="J108" s="344"/>
      <c r="K108" s="196"/>
      <c r="L108" s="196"/>
    </row>
    <row r="109" spans="1:12">
      <c r="B109" s="343"/>
      <c r="C109" s="196"/>
      <c r="D109" s="344"/>
      <c r="E109" s="196"/>
      <c r="F109" s="344" t="str">
        <f>$F$7</f>
        <v>TOTAL</v>
      </c>
      <c r="G109" s="196"/>
      <c r="H109" s="196"/>
      <c r="I109" s="196"/>
      <c r="J109" s="344"/>
      <c r="K109" s="196"/>
      <c r="L109" s="196"/>
    </row>
    <row r="110" spans="1:12">
      <c r="A110" s="344" t="s">
        <v>914</v>
      </c>
      <c r="B110" s="196"/>
      <c r="C110" s="196"/>
      <c r="D110" s="344"/>
      <c r="E110" s="196"/>
      <c r="F110" s="344" t="str">
        <f>$F$8</f>
        <v>DISTRIBUTION</v>
      </c>
      <c r="G110" s="344" t="s">
        <v>418</v>
      </c>
      <c r="H110" s="344" t="s">
        <v>864</v>
      </c>
      <c r="I110" s="344" t="s">
        <v>865</v>
      </c>
      <c r="J110" s="344" t="s">
        <v>549</v>
      </c>
      <c r="K110" s="344" t="s">
        <v>229</v>
      </c>
      <c r="L110" s="344" t="s">
        <v>342</v>
      </c>
    </row>
    <row r="111" spans="1:12">
      <c r="A111" s="346" t="s">
        <v>915</v>
      </c>
      <c r="B111" s="345" t="s">
        <v>22</v>
      </c>
      <c r="C111" s="345"/>
      <c r="D111" s="346" t="s">
        <v>337</v>
      </c>
      <c r="E111" s="345"/>
      <c r="F111" s="344" t="str">
        <f>$F$9</f>
        <v>DEMAND</v>
      </c>
      <c r="G111" s="346" t="s">
        <v>338</v>
      </c>
      <c r="H111" s="346" t="s">
        <v>405</v>
      </c>
      <c r="I111" s="346" t="s">
        <v>405</v>
      </c>
      <c r="J111" s="346" t="s">
        <v>550</v>
      </c>
      <c r="K111" s="346" t="s">
        <v>341</v>
      </c>
      <c r="L111" s="346" t="s">
        <v>340</v>
      </c>
    </row>
    <row r="112" spans="1:12">
      <c r="C112" s="578" t="s">
        <v>345</v>
      </c>
      <c r="D112" s="344"/>
      <c r="E112" s="196"/>
      <c r="F112" s="761"/>
      <c r="G112" s="633">
        <f>$G$10</f>
        <v>3</v>
      </c>
      <c r="H112" s="633">
        <f>$H$10</f>
        <v>4</v>
      </c>
      <c r="I112" s="633">
        <f>$I$10</f>
        <v>5</v>
      </c>
      <c r="J112" s="633">
        <f>$J$10</f>
        <v>6</v>
      </c>
    </row>
    <row r="113" spans="1:12">
      <c r="A113" s="333">
        <v>1</v>
      </c>
      <c r="B113" s="332" t="s">
        <v>14</v>
      </c>
      <c r="D113" s="344"/>
      <c r="E113" s="196"/>
      <c r="I113" s="332"/>
    </row>
    <row r="114" spans="1:12">
      <c r="A114" s="333">
        <v>2</v>
      </c>
      <c r="C114" s="365" t="str">
        <f>'FR-16(7)(v)-1 Functional'!C114</f>
        <v>PRODUCTION PLANT</v>
      </c>
      <c r="D114" s="344" t="str">
        <f>'FR-16(7)(v)-1 Functional'!D114</f>
        <v>K205</v>
      </c>
      <c r="E114" s="196"/>
      <c r="F114" s="479">
        <f>'FR-16(7)(v)-4 DISTR Classified'!G114</f>
        <v>0</v>
      </c>
      <c r="G114" s="349">
        <f>F114-SUM(H114:J114)</f>
        <v>0</v>
      </c>
      <c r="H114" s="347">
        <f>ROUND($F$114*VLOOKUP($D$114,ALLOCTABLE_DISTR_DEMAND,$H$10,FALSE),0)</f>
        <v>0</v>
      </c>
      <c r="I114" s="347">
        <f>ROUND(F114*VLOOKUP(D114,ALLOCTABLE_DISTR_DEMAND,$I$10,FALSE),0)</f>
        <v>0</v>
      </c>
      <c r="J114" s="347">
        <f>ROUND(F114*VLOOKUP(D114,ALLOCTABLE_DISTR_DEMAND,$J$10,FALSE),0)</f>
        <v>0</v>
      </c>
      <c r="K114" s="347">
        <f>SUM(G114:J114)</f>
        <v>0</v>
      </c>
      <c r="L114" s="347">
        <f>F114-K114</f>
        <v>0</v>
      </c>
    </row>
    <row r="115" spans="1:12">
      <c r="A115" s="333">
        <v>3</v>
      </c>
      <c r="C115" s="339" t="str">
        <f>'FR-16(7)(v)-1 Functional'!C115</f>
        <v xml:space="preserve">  TOTAL PROD DEPREC RESERVE</v>
      </c>
      <c r="D115" s="344"/>
      <c r="E115" s="196"/>
      <c r="F115" s="348">
        <f t="shared" ref="F115:L115" si="45">SUM(F114:F114)</f>
        <v>0</v>
      </c>
      <c r="G115" s="348">
        <f>SUM(G114:G114)</f>
        <v>0</v>
      </c>
      <c r="H115" s="348">
        <f t="shared" si="45"/>
        <v>0</v>
      </c>
      <c r="I115" s="348">
        <f t="shared" si="45"/>
        <v>0</v>
      </c>
      <c r="J115" s="348">
        <f t="shared" si="45"/>
        <v>0</v>
      </c>
      <c r="K115" s="348">
        <f t="shared" si="45"/>
        <v>0</v>
      </c>
      <c r="L115" s="348">
        <f t="shared" si="45"/>
        <v>0</v>
      </c>
    </row>
    <row r="116" spans="1:12">
      <c r="A116" s="333">
        <v>4</v>
      </c>
      <c r="D116" s="344"/>
      <c r="E116" s="196"/>
      <c r="I116" s="332"/>
    </row>
    <row r="117" spans="1:12">
      <c r="A117" s="333">
        <v>5</v>
      </c>
      <c r="B117" s="332" t="s">
        <v>15</v>
      </c>
      <c r="D117" s="344"/>
      <c r="E117" s="196"/>
      <c r="I117" s="332"/>
    </row>
    <row r="118" spans="1:12">
      <c r="A118" s="333">
        <v>6</v>
      </c>
      <c r="C118" s="359" t="str">
        <f>'FR-16(7)(v)-1 Functional'!C118</f>
        <v>TRANSMISSION PLANT</v>
      </c>
      <c r="D118" s="344" t="s">
        <v>343</v>
      </c>
      <c r="E118" s="196"/>
      <c r="F118" s="477"/>
      <c r="G118" s="347"/>
      <c r="H118" s="347"/>
      <c r="I118" s="347"/>
      <c r="J118" s="347"/>
      <c r="K118" s="347"/>
      <c r="L118" s="347"/>
    </row>
    <row r="119" spans="1:12">
      <c r="A119" s="333">
        <v>7</v>
      </c>
      <c r="C119" s="332" t="str">
        <f>'FR-16(7)(v)-1 Functional'!C119</f>
        <v>TOTAL TRANS DEPREC RESERVE</v>
      </c>
      <c r="D119" s="344"/>
      <c r="E119" s="196"/>
      <c r="F119" s="348">
        <f t="shared" ref="F119:L119" si="46">SUM(F118:F118)</f>
        <v>0</v>
      </c>
      <c r="G119" s="348">
        <f>SUM(G118:G118)</f>
        <v>0</v>
      </c>
      <c r="H119" s="348">
        <f t="shared" si="46"/>
        <v>0</v>
      </c>
      <c r="I119" s="348">
        <f t="shared" si="46"/>
        <v>0</v>
      </c>
      <c r="J119" s="348">
        <f t="shared" si="46"/>
        <v>0</v>
      </c>
      <c r="K119" s="348">
        <f t="shared" si="46"/>
        <v>0</v>
      </c>
      <c r="L119" s="348">
        <f t="shared" si="46"/>
        <v>0</v>
      </c>
    </row>
    <row r="120" spans="1:12">
      <c r="A120" s="333">
        <v>8</v>
      </c>
      <c r="D120" s="344"/>
      <c r="E120" s="196"/>
      <c r="I120" s="332"/>
    </row>
    <row r="121" spans="1:12">
      <c r="A121" s="333">
        <v>9</v>
      </c>
      <c r="B121" s="332" t="s">
        <v>17</v>
      </c>
      <c r="D121" s="344"/>
      <c r="E121" s="196"/>
      <c r="I121" s="332"/>
    </row>
    <row r="122" spans="1:12">
      <c r="A122" s="333">
        <v>10</v>
      </c>
      <c r="C122" s="332" t="str">
        <f>'FR-16(7)(v)-1 Functional'!C122</f>
        <v>SYSTEM M&amp;R - (2780, 2781)</v>
      </c>
      <c r="D122" s="344" t="str">
        <f>'FR-16(7)(v)-1 Functional'!D122</f>
        <v>K203</v>
      </c>
      <c r="E122" s="196"/>
      <c r="F122" s="479">
        <f>'FR-16(7)(v)-4 DISTR Classified'!G122</f>
        <v>2957792</v>
      </c>
      <c r="G122" s="349">
        <f t="shared" ref="G122:G130" si="47">F122-SUM(H122:J122)</f>
        <v>1670176</v>
      </c>
      <c r="H122" s="347">
        <f>ROUND($F$122*VLOOKUP($D$122,ALLOCTABLE_DISTR_DEMAND,$H$10,FALSE),0)</f>
        <v>873229</v>
      </c>
      <c r="I122" s="347">
        <f t="shared" ref="I122:I130" si="48">ROUND(F122*VLOOKUP(D122,ALLOCTABLE_DISTR_DEMAND,$I$10,FALSE),0)</f>
        <v>322784</v>
      </c>
      <c r="J122" s="347">
        <f t="shared" ref="J122:J130" si="49">ROUND(F122*VLOOKUP(D122,ALLOCTABLE_DISTR_DEMAND,$J$10,FALSE),0)</f>
        <v>91603</v>
      </c>
      <c r="K122" s="347">
        <f t="shared" ref="K122:K130" si="50">SUM(G122:J122)</f>
        <v>2957792</v>
      </c>
      <c r="L122" s="347">
        <f t="shared" ref="L122:L130" si="51">F122-K122</f>
        <v>0</v>
      </c>
    </row>
    <row r="123" spans="1:12">
      <c r="A123" s="333">
        <v>11</v>
      </c>
      <c r="C123" s="332" t="str">
        <f>'FR-16(7)(v)-1 Functional'!C123</f>
        <v xml:space="preserve">DIST REG EQUIP &amp; CITY GATE M&amp;R- (2782, 2790) </v>
      </c>
      <c r="D123" s="344" t="str">
        <f>'FR-16(7)(v)-1 Functional'!D123</f>
        <v>K203</v>
      </c>
      <c r="E123" s="196"/>
      <c r="F123" s="479">
        <f>'FR-16(7)(v)-4 DISTR Classified'!G123</f>
        <v>1110309</v>
      </c>
      <c r="G123" s="349">
        <f t="shared" si="47"/>
        <v>626958</v>
      </c>
      <c r="H123" s="347">
        <f>ROUND($F$123*VLOOKUP($D$123,ALLOCTABLE_DISTR_DEMAND,$H$10,FALSE),0)</f>
        <v>327797</v>
      </c>
      <c r="I123" s="347">
        <f t="shared" si="48"/>
        <v>121168</v>
      </c>
      <c r="J123" s="347">
        <f t="shared" si="49"/>
        <v>34386</v>
      </c>
      <c r="K123" s="347">
        <f t="shared" si="50"/>
        <v>1110309</v>
      </c>
      <c r="L123" s="347">
        <f t="shared" si="51"/>
        <v>0</v>
      </c>
    </row>
    <row r="124" spans="1:12">
      <c r="A124" s="333">
        <v>12</v>
      </c>
      <c r="C124" s="332" t="str">
        <f>'FR-16(7)(v)-1 Functional'!C124</f>
        <v>LARGE IND M&amp;R - (2850, 2851)</v>
      </c>
      <c r="D124" s="344" t="str">
        <f>'FR-16(7)(v)-1 Functional'!D124</f>
        <v>K595</v>
      </c>
      <c r="E124" s="196"/>
      <c r="F124" s="479">
        <f>'FR-16(7)(v)-4 DISTR Classified'!G124</f>
        <v>498099</v>
      </c>
      <c r="G124" s="349">
        <f t="shared" si="47"/>
        <v>0</v>
      </c>
      <c r="H124" s="347">
        <f>ROUND($F$124*VLOOKUP($D$124,ALLOCTABLE_DISTR_DEMAND,$H$10,FALSE),0)</f>
        <v>0</v>
      </c>
      <c r="I124" s="347">
        <f t="shared" si="48"/>
        <v>289430</v>
      </c>
      <c r="J124" s="347">
        <f t="shared" si="49"/>
        <v>208669</v>
      </c>
      <c r="K124" s="347">
        <f t="shared" si="50"/>
        <v>498099</v>
      </c>
      <c r="L124" s="347">
        <f t="shared" si="51"/>
        <v>0</v>
      </c>
    </row>
    <row r="125" spans="1:12">
      <c r="A125" s="333">
        <v>13</v>
      </c>
      <c r="C125" s="332" t="str">
        <f>'FR-16(7)(v)-1 Functional'!C125</f>
        <v>MAINS - (2761, 2762, 2763, 2765)</v>
      </c>
      <c r="D125" s="344" t="str">
        <f>D71</f>
        <v>K203</v>
      </c>
      <c r="E125" s="196"/>
      <c r="F125" s="479">
        <f>'FR-16(7)(v)-4 DISTR Classified'!G125</f>
        <v>89684076</v>
      </c>
      <c r="G125" s="349">
        <f t="shared" si="47"/>
        <v>50641907</v>
      </c>
      <c r="H125" s="347">
        <f>ROUND($F$125*VLOOKUP($D$125,ALLOCTABLE_DISTR_DEMAND,$H$10,FALSE),0)</f>
        <v>26477430</v>
      </c>
      <c r="I125" s="347">
        <f t="shared" si="48"/>
        <v>9787223</v>
      </c>
      <c r="J125" s="347">
        <f t="shared" si="49"/>
        <v>2777516</v>
      </c>
      <c r="K125" s="347">
        <f t="shared" si="50"/>
        <v>89684076</v>
      </c>
      <c r="L125" s="347">
        <f t="shared" si="51"/>
        <v>0</v>
      </c>
    </row>
    <row r="126" spans="1:12">
      <c r="A126" s="333">
        <v>14</v>
      </c>
      <c r="C126" s="332" t="str">
        <f>'FR-16(7)(v)-1 Functional'!C126</f>
        <v>SERVICES - (2801, 2802, 2803)</v>
      </c>
      <c r="D126" s="344" t="str">
        <f>'FR-16(7)(v)-1 Functional'!D126</f>
        <v>K403</v>
      </c>
      <c r="E126" s="196"/>
      <c r="F126" s="479">
        <f>'FR-16(7)(v)-4 DISTR Classified'!G126</f>
        <v>0</v>
      </c>
      <c r="G126" s="349">
        <f t="shared" si="47"/>
        <v>0</v>
      </c>
      <c r="H126" s="347">
        <f>ROUND($F$126*VLOOKUP($D$126,ALLOCTABLE_DISTR_DEMAND,$H$10,FALSE),0)</f>
        <v>0</v>
      </c>
      <c r="I126" s="347">
        <f t="shared" si="48"/>
        <v>0</v>
      </c>
      <c r="J126" s="347">
        <f t="shared" si="49"/>
        <v>0</v>
      </c>
      <c r="K126" s="347">
        <f t="shared" si="50"/>
        <v>0</v>
      </c>
      <c r="L126" s="347">
        <f t="shared" si="51"/>
        <v>0</v>
      </c>
    </row>
    <row r="127" spans="1:12">
      <c r="A127" s="333">
        <v>15</v>
      </c>
      <c r="C127" s="332" t="str">
        <f>'FR-16(7)(v)-1 Functional'!C127</f>
        <v>MTRS &amp; MTR INST (2810, 2811, 2820, 2821)</v>
      </c>
      <c r="D127" s="344" t="str">
        <f>'FR-16(7)(v)-1 Functional'!D127</f>
        <v>K413</v>
      </c>
      <c r="E127" s="196"/>
      <c r="F127" s="479">
        <f>'FR-16(7)(v)-4 DISTR Classified'!G127</f>
        <v>0</v>
      </c>
      <c r="G127" s="349">
        <f t="shared" si="47"/>
        <v>0</v>
      </c>
      <c r="H127" s="347">
        <f>ROUND($F$127*VLOOKUP($D$127,ALLOCTABLE_DISTR_DEMAND,$H$10,FALSE),0)</f>
        <v>0</v>
      </c>
      <c r="I127" s="347">
        <f t="shared" si="48"/>
        <v>0</v>
      </c>
      <c r="J127" s="347">
        <f t="shared" si="49"/>
        <v>0</v>
      </c>
      <c r="K127" s="347">
        <f t="shared" si="50"/>
        <v>0</v>
      </c>
      <c r="L127" s="347">
        <f t="shared" si="51"/>
        <v>0</v>
      </c>
    </row>
    <row r="128" spans="1:12">
      <c r="A128" s="333">
        <v>16</v>
      </c>
      <c r="C128" s="332" t="str">
        <f>'FR-16(7)(v)-1 Functional'!C128</f>
        <v>LAND, R OF W, STRUCT &amp; IMPROV &amp; OTH</v>
      </c>
      <c r="D128" s="344" t="str">
        <f>'FR-16(7)(v)-1 Functional'!D128</f>
        <v>K203</v>
      </c>
      <c r="E128" s="196"/>
      <c r="F128" s="479">
        <f>'FR-16(7)(v)-4 DISTR Classified'!G128</f>
        <v>674357</v>
      </c>
      <c r="G128" s="349">
        <f t="shared" si="47"/>
        <v>380789</v>
      </c>
      <c r="H128" s="347">
        <f>ROUND($F$128*VLOOKUP($D$128,ALLOCTABLE_DISTR_DEMAND,$H$10,FALSE),0)</f>
        <v>199090</v>
      </c>
      <c r="I128" s="347">
        <f t="shared" si="48"/>
        <v>73593</v>
      </c>
      <c r="J128" s="347">
        <f t="shared" si="49"/>
        <v>20885</v>
      </c>
      <c r="K128" s="347">
        <f t="shared" si="50"/>
        <v>674357</v>
      </c>
      <c r="L128" s="347">
        <f t="shared" si="51"/>
        <v>0</v>
      </c>
    </row>
    <row r="129" spans="1:12">
      <c r="A129" s="333">
        <v>17</v>
      </c>
      <c r="C129" s="332" t="str">
        <f>'FR-16(7)(v)-1 Functional'!C129</f>
        <v>HOUSE REG &amp; INSTALL (2830, 2840)</v>
      </c>
      <c r="D129" s="344" t="str">
        <f>'FR-16(7)(v)-1 Functional'!D129</f>
        <v>K417</v>
      </c>
      <c r="E129" s="196"/>
      <c r="F129" s="479">
        <f>'FR-16(7)(v)-4 DISTR Classified'!G129</f>
        <v>0</v>
      </c>
      <c r="G129" s="349">
        <f t="shared" si="47"/>
        <v>0</v>
      </c>
      <c r="H129" s="347">
        <f>ROUND($F$129*VLOOKUP($D$129,ALLOCTABLE_DISTR_DEMAND,$H$10,FALSE),0)</f>
        <v>0</v>
      </c>
      <c r="I129" s="347">
        <f t="shared" si="48"/>
        <v>0</v>
      </c>
      <c r="J129" s="347">
        <f t="shared" si="49"/>
        <v>0</v>
      </c>
      <c r="K129" s="347">
        <f t="shared" si="50"/>
        <v>0</v>
      </c>
      <c r="L129" s="347">
        <f t="shared" si="51"/>
        <v>0</v>
      </c>
    </row>
    <row r="130" spans="1:12">
      <c r="A130" s="333">
        <v>18</v>
      </c>
      <c r="C130" s="359" t="str">
        <f>'FR-16(7)(v)-1 Functional'!C130</f>
        <v>STREET LIGHTING EQUIPMENT &amp; OTH</v>
      </c>
      <c r="D130" s="344" t="str">
        <f>'FR-16(7)(v)-1 Functional'!D130</f>
        <v>K597</v>
      </c>
      <c r="E130" s="196"/>
      <c r="F130" s="479">
        <f>'FR-16(7)(v)-4 DISTR Classified'!G130</f>
        <v>-2136531</v>
      </c>
      <c r="G130" s="349">
        <f t="shared" si="47"/>
        <v>0</v>
      </c>
      <c r="H130" s="347">
        <f>ROUND($F$130*VLOOKUP($D$130,ALLOCTABLE_DISTR_DEMAND,$H$10,FALSE),0)</f>
        <v>-2136531</v>
      </c>
      <c r="I130" s="347">
        <f t="shared" si="48"/>
        <v>0</v>
      </c>
      <c r="J130" s="347">
        <f t="shared" si="49"/>
        <v>0</v>
      </c>
      <c r="K130" s="347">
        <f t="shared" si="50"/>
        <v>-2136531</v>
      </c>
      <c r="L130" s="347">
        <f t="shared" si="51"/>
        <v>0</v>
      </c>
    </row>
    <row r="131" spans="1:12">
      <c r="A131" s="333">
        <v>19</v>
      </c>
      <c r="C131" s="332" t="str">
        <f>'FR-16(7)(v)-1 Functional'!C131</f>
        <v xml:space="preserve">  TOTAL DIST DEPREC RESERVE</v>
      </c>
      <c r="D131" s="344"/>
      <c r="E131" s="196"/>
      <c r="F131" s="348">
        <f t="shared" ref="F131:L131" si="52">SUM(F121:F130)</f>
        <v>92788102</v>
      </c>
      <c r="G131" s="348">
        <f>SUM(G121:G130)</f>
        <v>53319830</v>
      </c>
      <c r="H131" s="348">
        <f t="shared" si="52"/>
        <v>25741015</v>
      </c>
      <c r="I131" s="348">
        <f t="shared" si="52"/>
        <v>10594198</v>
      </c>
      <c r="J131" s="348">
        <f t="shared" si="52"/>
        <v>3133059</v>
      </c>
      <c r="K131" s="348">
        <f t="shared" si="52"/>
        <v>92788102</v>
      </c>
      <c r="L131" s="348">
        <f t="shared" si="52"/>
        <v>0</v>
      </c>
    </row>
    <row r="132" spans="1:12">
      <c r="A132" s="333">
        <v>20</v>
      </c>
      <c r="D132" s="344"/>
      <c r="E132" s="196"/>
      <c r="I132" s="332"/>
    </row>
    <row r="133" spans="1:12">
      <c r="A133" s="333">
        <v>21</v>
      </c>
      <c r="B133" s="332" t="s">
        <v>20</v>
      </c>
      <c r="D133" s="344"/>
      <c r="E133" s="196"/>
      <c r="I133" s="332"/>
    </row>
    <row r="134" spans="1:12">
      <c r="A134" s="333">
        <v>22</v>
      </c>
      <c r="C134" s="332" t="str">
        <f>'FR-16(7)(v)-1 Functional'!C134</f>
        <v>PRODUCTION PLANT</v>
      </c>
      <c r="D134" s="344" t="str">
        <f>'FR-16(7)(v)-1 Functional'!D134</f>
        <v>K201</v>
      </c>
      <c r="E134" s="196"/>
      <c r="F134" s="479">
        <f>'FR-16(7)(v)-4 DISTR Classified'!G134</f>
        <v>0</v>
      </c>
      <c r="G134" s="349">
        <f t="shared" ref="G134:G139" si="53">F134-SUM(H134:J134)</f>
        <v>0</v>
      </c>
      <c r="H134" s="347">
        <f>ROUND($F$134*VLOOKUP($D$134,ALLOCTABLE_DISTR_DEMAND,$H$10,FALSE),0)</f>
        <v>0</v>
      </c>
      <c r="I134" s="347">
        <f t="shared" ref="I134:I139" si="54">ROUND(F134*VLOOKUP(D134,ALLOCTABLE_DISTR_DEMAND,$I$10,FALSE),0)</f>
        <v>0</v>
      </c>
      <c r="J134" s="347">
        <f t="shared" ref="J134:J139" si="55">ROUND(F134*VLOOKUP(D134,ALLOCTABLE_DISTR_DEMAND,$J$10,FALSE),0)</f>
        <v>0</v>
      </c>
      <c r="K134" s="347">
        <f t="shared" ref="K134:K139" si="56">SUM(G134:J134)</f>
        <v>0</v>
      </c>
      <c r="L134" s="347">
        <f t="shared" ref="L134:L139" si="57">F134-K134</f>
        <v>0</v>
      </c>
    </row>
    <row r="135" spans="1:12">
      <c r="A135" s="333">
        <v>23</v>
      </c>
      <c r="C135" s="332" t="str">
        <f>'FR-16(7)(v)-1 Functional'!C135</f>
        <v>PRODUCTION PLANT COMMODITY</v>
      </c>
      <c r="D135" s="344" t="str">
        <f>'FR-16(7)(v)-1 Functional'!D135</f>
        <v>P349</v>
      </c>
      <c r="E135" s="196"/>
      <c r="F135" s="479">
        <f>'FR-16(7)(v)-4 DISTR Classified'!G135</f>
        <v>0</v>
      </c>
      <c r="G135" s="349">
        <f t="shared" si="53"/>
        <v>0</v>
      </c>
      <c r="H135" s="347">
        <f>ROUND($F$135*VLOOKUP($D$135,ALLOCTABLE_DISTR_DEMAND,$H$10,FALSE),0)</f>
        <v>0</v>
      </c>
      <c r="I135" s="347">
        <f t="shared" si="54"/>
        <v>0</v>
      </c>
      <c r="J135" s="347">
        <f t="shared" si="55"/>
        <v>0</v>
      </c>
      <c r="K135" s="347">
        <f t="shared" si="56"/>
        <v>0</v>
      </c>
      <c r="L135" s="347">
        <f t="shared" si="57"/>
        <v>0</v>
      </c>
    </row>
    <row r="136" spans="1:12">
      <c r="A136" s="333">
        <v>24</v>
      </c>
      <c r="C136" s="332" t="str">
        <f>'FR-16(7)(v)-1 Functional'!C136</f>
        <v>DISTRIBUTION PLANT</v>
      </c>
      <c r="D136" s="344" t="str">
        <f>'FR-16(7)(v)-1 Functional'!D136</f>
        <v>D349</v>
      </c>
      <c r="E136" s="196"/>
      <c r="F136" s="479">
        <f>'FR-16(7)(v)-4 DISTR Classified'!G136</f>
        <v>3387324</v>
      </c>
      <c r="G136" s="349">
        <f t="shared" si="53"/>
        <v>2067589</v>
      </c>
      <c r="H136" s="347">
        <f>ROUND($F$136*VLOOKUP($D$136,ALLOCTABLE_DISTR_DEMAND,$H$10,FALSE),0)</f>
        <v>934122</v>
      </c>
      <c r="I136" s="347">
        <f t="shared" si="54"/>
        <v>309534</v>
      </c>
      <c r="J136" s="347">
        <f t="shared" si="55"/>
        <v>76079</v>
      </c>
      <c r="K136" s="347">
        <f t="shared" si="56"/>
        <v>3387324</v>
      </c>
      <c r="L136" s="347">
        <f t="shared" si="57"/>
        <v>0</v>
      </c>
    </row>
    <row r="137" spans="1:12">
      <c r="A137" s="333">
        <v>25</v>
      </c>
      <c r="C137" s="332" t="str">
        <f>'FR-16(7)(v)-1 Functional'!C137</f>
        <v>CUSTOMER ACCOUNTING</v>
      </c>
      <c r="D137" s="344" t="str">
        <f>'FR-16(7)(v)-1 Functional'!D137</f>
        <v>CA19</v>
      </c>
      <c r="E137" s="196"/>
      <c r="F137" s="479">
        <f>'FR-16(7)(v)-4 DISTR Classified'!G137</f>
        <v>0</v>
      </c>
      <c r="G137" s="349">
        <f t="shared" si="53"/>
        <v>0</v>
      </c>
      <c r="H137" s="347">
        <f>ROUND($F$137*VLOOKUP($D$137,ALLOCTABLE_DISTR_DEMAND,$H$10,FALSE),0)</f>
        <v>0</v>
      </c>
      <c r="I137" s="347">
        <f t="shared" si="54"/>
        <v>0</v>
      </c>
      <c r="J137" s="347">
        <f t="shared" si="55"/>
        <v>0</v>
      </c>
      <c r="K137" s="347">
        <f t="shared" si="56"/>
        <v>0</v>
      </c>
      <c r="L137" s="347">
        <f t="shared" si="57"/>
        <v>0</v>
      </c>
    </row>
    <row r="138" spans="1:12">
      <c r="A138" s="333">
        <v>26</v>
      </c>
      <c r="C138" s="332" t="str">
        <f>'FR-16(7)(v)-1 Functional'!C138</f>
        <v>CUSTOMER SERVICE &amp; INFORMATION</v>
      </c>
      <c r="D138" s="344" t="str">
        <f>'FR-16(7)(v)-1 Functional'!D138</f>
        <v>CS19</v>
      </c>
      <c r="E138" s="196"/>
      <c r="F138" s="479">
        <f>'FR-16(7)(v)-4 DISTR Classified'!G138</f>
        <v>0</v>
      </c>
      <c r="G138" s="349">
        <f t="shared" si="53"/>
        <v>0</v>
      </c>
      <c r="H138" s="347">
        <f>ROUND($F$138*VLOOKUP($D$138,ALLOCTABLE_DISTR_DEMAND,$H$10,FALSE),0)</f>
        <v>0</v>
      </c>
      <c r="I138" s="347">
        <f t="shared" si="54"/>
        <v>0</v>
      </c>
      <c r="J138" s="347">
        <f t="shared" si="55"/>
        <v>0</v>
      </c>
      <c r="K138" s="347">
        <f t="shared" si="56"/>
        <v>0</v>
      </c>
      <c r="L138" s="347">
        <f t="shared" si="57"/>
        <v>0</v>
      </c>
    </row>
    <row r="139" spans="1:12">
      <c r="A139" s="333">
        <v>27</v>
      </c>
      <c r="C139" s="365" t="str">
        <f>'FR-16(7)(v)-1 Functional'!C139</f>
        <v>SALES</v>
      </c>
      <c r="D139" s="344" t="str">
        <f>'FR-16(7)(v)-1 Functional'!D139</f>
        <v>SE19</v>
      </c>
      <c r="E139" s="196"/>
      <c r="F139" s="479">
        <f>'FR-16(7)(v)-4 DISTR Classified'!G139</f>
        <v>0</v>
      </c>
      <c r="G139" s="349">
        <f t="shared" si="53"/>
        <v>0</v>
      </c>
      <c r="H139" s="347">
        <f>ROUND($F$139*VLOOKUP($D$139,ALLOCTABLE_DISTR_DEMAND,$H$10,FALSE),0)</f>
        <v>0</v>
      </c>
      <c r="I139" s="347">
        <f t="shared" si="54"/>
        <v>0</v>
      </c>
      <c r="J139" s="347">
        <f t="shared" si="55"/>
        <v>0</v>
      </c>
      <c r="K139" s="347">
        <f t="shared" si="56"/>
        <v>0</v>
      </c>
      <c r="L139" s="347">
        <f t="shared" si="57"/>
        <v>0</v>
      </c>
    </row>
    <row r="140" spans="1:12">
      <c r="A140" s="333">
        <v>28</v>
      </c>
      <c r="C140" s="339" t="str">
        <f>'FR-16(7)(v)-1 Functional'!C140</f>
        <v xml:space="preserve">  TOTAL GEN DEPREC RESERVE</v>
      </c>
      <c r="D140" s="344"/>
      <c r="E140" s="196"/>
      <c r="F140" s="348">
        <f t="shared" ref="F140:L140" si="58">SUM(F133:F139)</f>
        <v>3387324</v>
      </c>
      <c r="G140" s="348">
        <f>SUM(G133:G139)</f>
        <v>2067589</v>
      </c>
      <c r="H140" s="348">
        <f t="shared" si="58"/>
        <v>934122</v>
      </c>
      <c r="I140" s="348">
        <f t="shared" si="58"/>
        <v>309534</v>
      </c>
      <c r="J140" s="348">
        <f t="shared" si="58"/>
        <v>76079</v>
      </c>
      <c r="K140" s="348">
        <f t="shared" si="58"/>
        <v>3387324</v>
      </c>
      <c r="L140" s="348">
        <f t="shared" si="58"/>
        <v>0</v>
      </c>
    </row>
    <row r="141" spans="1:12">
      <c r="A141" s="333">
        <v>29</v>
      </c>
      <c r="C141" s="365"/>
      <c r="D141" s="344"/>
      <c r="E141" s="196"/>
      <c r="I141" s="332"/>
    </row>
    <row r="142" spans="1:12">
      <c r="A142" s="333">
        <v>30</v>
      </c>
      <c r="B142" s="332" t="s">
        <v>21</v>
      </c>
      <c r="C142" s="365"/>
      <c r="D142" s="344"/>
      <c r="E142" s="196"/>
      <c r="I142" s="332"/>
    </row>
    <row r="143" spans="1:12">
      <c r="A143" s="333">
        <v>31</v>
      </c>
      <c r="C143" s="365" t="str">
        <f>'FR-16(7)(v)-1 Functional'!C143</f>
        <v>PRODUCTION PLANT</v>
      </c>
      <c r="D143" s="344" t="str">
        <f>'FR-16(7)(v)-1 Functional'!D143</f>
        <v>K201</v>
      </c>
      <c r="E143" s="196"/>
      <c r="F143" s="479">
        <f>'FR-16(7)(v)-4 DISTR Classified'!G143</f>
        <v>0</v>
      </c>
      <c r="G143" s="349">
        <f t="shared" ref="G143:G148" si="59">F143-SUM(H143:J143)</f>
        <v>0</v>
      </c>
      <c r="H143" s="347">
        <f>ROUND($F$143*VLOOKUP($D$143,ALLOCTABLE_DISTR_DEMAND,$H$10,FALSE),0)</f>
        <v>0</v>
      </c>
      <c r="I143" s="347">
        <f t="shared" ref="I143:I148" si="60">ROUND(F143*VLOOKUP(D143,ALLOCTABLE_DISTR_DEMAND,$I$10,FALSE),0)</f>
        <v>0</v>
      </c>
      <c r="J143" s="347">
        <f t="shared" ref="J143:J148" si="61">ROUND(F143*VLOOKUP(D143,ALLOCTABLE_DISTR_DEMAND,$J$10,FALSE),0)</f>
        <v>0</v>
      </c>
      <c r="K143" s="347">
        <f t="shared" ref="K143:K148" si="62">SUM(G143:J143)</f>
        <v>0</v>
      </c>
      <c r="L143" s="347">
        <f t="shared" ref="L143:L148" si="63">F143-K143</f>
        <v>0</v>
      </c>
    </row>
    <row r="144" spans="1:12">
      <c r="A144" s="333">
        <v>32</v>
      </c>
      <c r="C144" s="365" t="str">
        <f>'FR-16(7)(v)-1 Functional'!C144</f>
        <v>PRODUCTION PLANT COMMODITY</v>
      </c>
      <c r="D144" s="344" t="str">
        <f>'FR-16(7)(v)-1 Functional'!D144</f>
        <v>P349</v>
      </c>
      <c r="E144" s="196"/>
      <c r="F144" s="479">
        <f>'FR-16(7)(v)-4 DISTR Classified'!G144</f>
        <v>0</v>
      </c>
      <c r="G144" s="349">
        <f t="shared" si="59"/>
        <v>0</v>
      </c>
      <c r="H144" s="347">
        <f>ROUND($F$144*VLOOKUP($D$144,ALLOCTABLE_DISTR_DEMAND,$H$10,FALSE),0)</f>
        <v>0</v>
      </c>
      <c r="I144" s="347">
        <f t="shared" si="60"/>
        <v>0</v>
      </c>
      <c r="J144" s="347">
        <f t="shared" si="61"/>
        <v>0</v>
      </c>
      <c r="K144" s="347">
        <f t="shared" si="62"/>
        <v>0</v>
      </c>
      <c r="L144" s="347">
        <f t="shared" si="63"/>
        <v>0</v>
      </c>
    </row>
    <row r="145" spans="1:12">
      <c r="A145" s="333">
        <v>33</v>
      </c>
      <c r="C145" s="365" t="str">
        <f>'FR-16(7)(v)-1 Functional'!C145</f>
        <v>DISTRIBUTION PLANT</v>
      </c>
      <c r="D145" s="344" t="str">
        <f>'FR-16(7)(v)-1 Functional'!D145</f>
        <v>D349</v>
      </c>
      <c r="E145" s="196"/>
      <c r="F145" s="479">
        <f>'FR-16(7)(v)-4 DISTR Classified'!G145</f>
        <v>3815014</v>
      </c>
      <c r="G145" s="349">
        <f t="shared" si="59"/>
        <v>2328647</v>
      </c>
      <c r="H145" s="347">
        <f>ROUND($F$145*VLOOKUP($D$145,ALLOCTABLE_DISTR_DEMAND,$H$10,FALSE),0)</f>
        <v>1052066</v>
      </c>
      <c r="I145" s="347">
        <f t="shared" si="60"/>
        <v>348616</v>
      </c>
      <c r="J145" s="347">
        <f t="shared" si="61"/>
        <v>85685</v>
      </c>
      <c r="K145" s="347">
        <f t="shared" si="62"/>
        <v>3815014</v>
      </c>
      <c r="L145" s="347">
        <f t="shared" si="63"/>
        <v>0</v>
      </c>
    </row>
    <row r="146" spans="1:12">
      <c r="A146" s="333">
        <v>34</v>
      </c>
      <c r="C146" s="365" t="str">
        <f>'FR-16(7)(v)-1 Functional'!C146</f>
        <v>CUSTOMER ACCOUNTING</v>
      </c>
      <c r="D146" s="344" t="str">
        <f>'FR-16(7)(v)-1 Functional'!D146</f>
        <v>CA19</v>
      </c>
      <c r="E146" s="196"/>
      <c r="F146" s="479">
        <f>'FR-16(7)(v)-4 DISTR Classified'!G146</f>
        <v>0</v>
      </c>
      <c r="G146" s="349">
        <f t="shared" si="59"/>
        <v>0</v>
      </c>
      <c r="H146" s="347">
        <f>ROUND($F$146*VLOOKUP($D$146,ALLOCTABLE_DISTR_DEMAND,$H$10,FALSE),0)</f>
        <v>0</v>
      </c>
      <c r="I146" s="347">
        <f t="shared" si="60"/>
        <v>0</v>
      </c>
      <c r="J146" s="347">
        <f t="shared" si="61"/>
        <v>0</v>
      </c>
      <c r="K146" s="347">
        <f t="shared" si="62"/>
        <v>0</v>
      </c>
      <c r="L146" s="347">
        <f t="shared" si="63"/>
        <v>0</v>
      </c>
    </row>
    <row r="147" spans="1:12">
      <c r="A147" s="333">
        <v>35</v>
      </c>
      <c r="C147" s="365" t="str">
        <f>'FR-16(7)(v)-1 Functional'!C147</f>
        <v>CUSTOMER SERVICE &amp; INFORMATION</v>
      </c>
      <c r="D147" s="344" t="str">
        <f>'FR-16(7)(v)-1 Functional'!D147</f>
        <v>CS19</v>
      </c>
      <c r="E147" s="196"/>
      <c r="F147" s="479">
        <f>'FR-16(7)(v)-4 DISTR Classified'!G147</f>
        <v>0</v>
      </c>
      <c r="G147" s="349">
        <f t="shared" si="59"/>
        <v>0</v>
      </c>
      <c r="H147" s="347">
        <f>ROUND($F$147*VLOOKUP($D$147,ALLOCTABLE_DISTR_DEMAND,$H$10,FALSE),0)</f>
        <v>0</v>
      </c>
      <c r="I147" s="347">
        <f t="shared" si="60"/>
        <v>0</v>
      </c>
      <c r="J147" s="347">
        <f t="shared" si="61"/>
        <v>0</v>
      </c>
      <c r="K147" s="347">
        <f t="shared" si="62"/>
        <v>0</v>
      </c>
      <c r="L147" s="347">
        <f t="shared" si="63"/>
        <v>0</v>
      </c>
    </row>
    <row r="148" spans="1:12">
      <c r="A148" s="333">
        <v>36</v>
      </c>
      <c r="C148" s="365" t="str">
        <f>'FR-16(7)(v)-1 Functional'!C148</f>
        <v>SALES</v>
      </c>
      <c r="D148" s="344" t="str">
        <f>'FR-16(7)(v)-1 Functional'!D148</f>
        <v>SE19</v>
      </c>
      <c r="E148" s="196"/>
      <c r="F148" s="479">
        <f>'FR-16(7)(v)-4 DISTR Classified'!G148</f>
        <v>0</v>
      </c>
      <c r="G148" s="349">
        <f t="shared" si="59"/>
        <v>0</v>
      </c>
      <c r="H148" s="347">
        <f>ROUND($F$148*VLOOKUP($D$148,ALLOCTABLE_DISTR_DEMAND,$H$10,FALSE),0)</f>
        <v>0</v>
      </c>
      <c r="I148" s="347">
        <f t="shared" si="60"/>
        <v>0</v>
      </c>
      <c r="J148" s="347">
        <f t="shared" si="61"/>
        <v>0</v>
      </c>
      <c r="K148" s="347">
        <f t="shared" si="62"/>
        <v>0</v>
      </c>
      <c r="L148" s="347">
        <f t="shared" si="63"/>
        <v>0</v>
      </c>
    </row>
    <row r="149" spans="1:12">
      <c r="A149" s="333">
        <v>37</v>
      </c>
      <c r="C149" s="339" t="str">
        <f>'FR-16(7)(v)-1 Functional'!C149</f>
        <v xml:space="preserve">  TOTAL COM &amp; OTHER PLT RESERVE</v>
      </c>
      <c r="D149" s="344"/>
      <c r="E149" s="196"/>
      <c r="F149" s="348">
        <f>SUM(F143:F148)</f>
        <v>3815014</v>
      </c>
      <c r="G149" s="348">
        <f t="shared" ref="G149:L149" si="64">SUM(G142:G148)</f>
        <v>2328647</v>
      </c>
      <c r="H149" s="348">
        <f t="shared" si="64"/>
        <v>1052066</v>
      </c>
      <c r="I149" s="348">
        <f t="shared" si="64"/>
        <v>348616</v>
      </c>
      <c r="J149" s="348">
        <f t="shared" si="64"/>
        <v>85685</v>
      </c>
      <c r="K149" s="348">
        <f t="shared" si="64"/>
        <v>3815014</v>
      </c>
      <c r="L149" s="348">
        <f t="shared" si="64"/>
        <v>0</v>
      </c>
    </row>
    <row r="150" spans="1:12">
      <c r="A150" s="333">
        <v>38</v>
      </c>
      <c r="D150" s="344"/>
      <c r="E150" s="196"/>
      <c r="I150" s="332"/>
    </row>
    <row r="151" spans="1:12">
      <c r="A151" s="333">
        <v>39</v>
      </c>
      <c r="B151" s="332" t="s">
        <v>23</v>
      </c>
      <c r="D151" s="344"/>
      <c r="E151" s="196"/>
      <c r="F151" s="347">
        <f t="shared" ref="F151:L151" si="65">F149+F140+F131+F119+F115</f>
        <v>99990440</v>
      </c>
      <c r="G151" s="347">
        <f>G149+G140+G131+G119+G115</f>
        <v>57716066</v>
      </c>
      <c r="H151" s="347">
        <f t="shared" si="65"/>
        <v>27727203</v>
      </c>
      <c r="I151" s="347">
        <f t="shared" si="65"/>
        <v>11252348</v>
      </c>
      <c r="J151" s="347">
        <f t="shared" si="65"/>
        <v>3294823</v>
      </c>
      <c r="K151" s="347">
        <f t="shared" si="65"/>
        <v>99990440</v>
      </c>
      <c r="L151" s="347">
        <f t="shared" si="65"/>
        <v>0</v>
      </c>
    </row>
    <row r="152" spans="1:12">
      <c r="B152" s="343"/>
      <c r="C152" s="196"/>
      <c r="D152" s="344"/>
      <c r="E152" s="196"/>
      <c r="G152" s="196"/>
      <c r="H152" s="196"/>
      <c r="I152" s="196"/>
      <c r="J152" s="344"/>
      <c r="K152" s="196"/>
    </row>
    <row r="153" spans="1:12">
      <c r="A153" s="343" t="str">
        <f>co_name</f>
        <v>DUKE ENERGY KENTUCKY, INC.</v>
      </c>
      <c r="C153" s="196"/>
      <c r="D153" s="344"/>
      <c r="E153" s="196"/>
      <c r="F153" s="344"/>
      <c r="G153" s="342"/>
      <c r="H153" s="342"/>
      <c r="I153" s="196"/>
      <c r="K153" s="361" t="str">
        <f>$K$1</f>
        <v>FR-16(7)(v)-5</v>
      </c>
    </row>
    <row r="154" spans="1:12">
      <c r="A154" s="343" t="str">
        <f>$A$2</f>
        <v>DISTRIBUTION DEMAND ALLOCATED - GAS COST OF SERVICE</v>
      </c>
      <c r="C154" s="196"/>
      <c r="D154" s="344"/>
      <c r="E154" s="196"/>
      <c r="F154" s="344"/>
      <c r="G154" s="342"/>
      <c r="H154" s="342"/>
      <c r="I154" s="196"/>
      <c r="K154" s="361" t="str">
        <f>$K$2</f>
        <v>WITNESS RESPONSIBLE:</v>
      </c>
    </row>
    <row r="155" spans="1:12">
      <c r="A155" s="343" t="str">
        <f>case_name</f>
        <v>CASE NO: 2018-00261</v>
      </c>
      <c r="C155" s="196"/>
      <c r="D155" s="344"/>
      <c r="E155" s="196"/>
      <c r="F155" s="344"/>
      <c r="G155" s="342"/>
      <c r="H155" s="342"/>
      <c r="I155" s="196"/>
      <c r="K155" s="361" t="str">
        <f>Witness</f>
        <v>JAMES E. ZIOLKOWSKI</v>
      </c>
    </row>
    <row r="156" spans="1:12">
      <c r="A156" s="343" t="str">
        <f>data_filing</f>
        <v>DATA: 12 MONTH FORECASTED PERIOD</v>
      </c>
      <c r="C156" s="196"/>
      <c r="D156" s="344"/>
      <c r="E156" s="196"/>
      <c r="F156" s="344"/>
      <c r="G156" s="342"/>
      <c r="H156" s="342"/>
      <c r="I156" s="196"/>
      <c r="K156" s="361" t="str">
        <f>"PAGE "&amp;Pages-14&amp;" OF "&amp;Pages</f>
        <v>PAGE 4 OF 18</v>
      </c>
    </row>
    <row r="157" spans="1:12">
      <c r="A157" s="343" t="str">
        <f>type</f>
        <v xml:space="preserve">TYPE OF FILING: "X" ORIGINAL   UPDATED    REVISED  </v>
      </c>
      <c r="C157" s="196"/>
      <c r="D157" s="344"/>
      <c r="E157" s="196"/>
      <c r="F157" s="344"/>
      <c r="G157" s="342"/>
      <c r="H157" s="342"/>
      <c r="I157" s="196"/>
      <c r="J157" s="344"/>
      <c r="K157" s="196"/>
    </row>
    <row r="158" spans="1:12">
      <c r="A158" s="343"/>
      <c r="C158" s="196"/>
      <c r="D158" s="344"/>
      <c r="E158" s="196"/>
      <c r="F158" s="344"/>
      <c r="G158" s="342"/>
      <c r="H158" s="342"/>
      <c r="I158" s="196"/>
      <c r="J158" s="344"/>
      <c r="K158" s="196"/>
    </row>
    <row r="159" spans="1:12">
      <c r="B159" s="343"/>
      <c r="C159" s="196"/>
      <c r="D159" s="344"/>
      <c r="E159" s="196"/>
      <c r="F159" s="344" t="str">
        <f>$F$7</f>
        <v>TOTAL</v>
      </c>
      <c r="G159" s="196"/>
      <c r="H159" s="196"/>
      <c r="I159" s="196"/>
      <c r="J159" s="344"/>
      <c r="K159" s="196"/>
    </row>
    <row r="160" spans="1:12">
      <c r="A160" s="344" t="s">
        <v>914</v>
      </c>
      <c r="B160" s="196"/>
      <c r="C160" s="196"/>
      <c r="D160" s="344"/>
      <c r="E160" s="196"/>
      <c r="F160" s="344" t="str">
        <f>$F$8</f>
        <v>DISTRIBUTION</v>
      </c>
      <c r="G160" s="344" t="s">
        <v>418</v>
      </c>
      <c r="H160" s="344" t="s">
        <v>864</v>
      </c>
      <c r="I160" s="344" t="s">
        <v>865</v>
      </c>
      <c r="J160" s="344" t="s">
        <v>549</v>
      </c>
      <c r="K160" s="344" t="s">
        <v>229</v>
      </c>
      <c r="L160" s="344" t="s">
        <v>342</v>
      </c>
    </row>
    <row r="161" spans="1:12">
      <c r="A161" s="346" t="s">
        <v>915</v>
      </c>
      <c r="B161" s="345" t="str">
        <f>"NET GAS PLANT"</f>
        <v>NET GAS PLANT</v>
      </c>
      <c r="C161" s="345"/>
      <c r="D161" s="346" t="s">
        <v>337</v>
      </c>
      <c r="E161" s="345"/>
      <c r="F161" s="344" t="str">
        <f>$F$9</f>
        <v>DEMAND</v>
      </c>
      <c r="G161" s="346" t="s">
        <v>338</v>
      </c>
      <c r="H161" s="346" t="s">
        <v>405</v>
      </c>
      <c r="I161" s="346" t="s">
        <v>405</v>
      </c>
      <c r="J161" s="346" t="s">
        <v>550</v>
      </c>
      <c r="K161" s="346" t="s">
        <v>341</v>
      </c>
      <c r="L161" s="346" t="s">
        <v>340</v>
      </c>
    </row>
    <row r="162" spans="1:12">
      <c r="C162" s="578" t="s">
        <v>346</v>
      </c>
      <c r="D162" s="344"/>
      <c r="E162" s="196"/>
      <c r="F162" s="761"/>
      <c r="G162" s="633">
        <f>$G$10</f>
        <v>3</v>
      </c>
      <c r="H162" s="633">
        <f>$H$10</f>
        <v>4</v>
      </c>
      <c r="I162" s="633">
        <f>$I$10</f>
        <v>5</v>
      </c>
      <c r="J162" s="633">
        <f>$J$10</f>
        <v>6</v>
      </c>
    </row>
    <row r="163" spans="1:12">
      <c r="A163" s="333">
        <v>1</v>
      </c>
      <c r="B163" s="332" t="s">
        <v>14</v>
      </c>
      <c r="D163" s="344"/>
      <c r="E163" s="196"/>
      <c r="I163" s="332"/>
    </row>
    <row r="164" spans="1:12">
      <c r="A164" s="333">
        <v>2</v>
      </c>
      <c r="C164" s="332" t="str">
        <f>'FR-16(7)(v)-1 Functional'!C164</f>
        <v>PRODUCTION PLANT IN SERVICE</v>
      </c>
      <c r="D164" s="344"/>
      <c r="E164" s="196"/>
      <c r="F164" s="347">
        <f>F59</f>
        <v>0</v>
      </c>
      <c r="G164" s="347">
        <f>$G$59</f>
        <v>0</v>
      </c>
      <c r="H164" s="347">
        <f>$H$59</f>
        <v>0</v>
      </c>
      <c r="I164" s="347">
        <f>$I$59</f>
        <v>0</v>
      </c>
      <c r="J164" s="347">
        <f>$J$59</f>
        <v>0</v>
      </c>
      <c r="K164" s="347">
        <f>$K$59</f>
        <v>0</v>
      </c>
      <c r="L164" s="347">
        <f>F164-K164</f>
        <v>0</v>
      </c>
    </row>
    <row r="165" spans="1:12">
      <c r="A165" s="333">
        <v>3</v>
      </c>
      <c r="C165" s="359" t="str">
        <f>'FR-16(7)(v)-1 Functional'!C165</f>
        <v>TOTAL PROD DEPRC RESERVE</v>
      </c>
      <c r="D165" s="344"/>
      <c r="E165" s="196"/>
      <c r="F165" s="347">
        <f t="shared" ref="F165:K165" si="66">-F115</f>
        <v>0</v>
      </c>
      <c r="G165" s="347">
        <f t="shared" si="66"/>
        <v>0</v>
      </c>
      <c r="H165" s="347">
        <f t="shared" si="66"/>
        <v>0</v>
      </c>
      <c r="I165" s="347">
        <f t="shared" si="66"/>
        <v>0</v>
      </c>
      <c r="J165" s="347">
        <f t="shared" si="66"/>
        <v>0</v>
      </c>
      <c r="K165" s="347">
        <f t="shared" si="66"/>
        <v>0</v>
      </c>
      <c r="L165" s="347">
        <f>F165-K165</f>
        <v>0</v>
      </c>
    </row>
    <row r="166" spans="1:12">
      <c r="A166" s="333">
        <v>4</v>
      </c>
      <c r="C166" s="332" t="str">
        <f>'FR-16(7)(v)-1 Functional'!C166</f>
        <v xml:space="preserve">  NET PRODUCTION PLANT</v>
      </c>
      <c r="D166" s="344"/>
      <c r="E166" s="196"/>
      <c r="F166" s="348">
        <f t="shared" ref="F166:L166" si="67">SUM(F164:F165)</f>
        <v>0</v>
      </c>
      <c r="G166" s="348">
        <f t="shared" si="67"/>
        <v>0</v>
      </c>
      <c r="H166" s="348">
        <f t="shared" si="67"/>
        <v>0</v>
      </c>
      <c r="I166" s="348">
        <f t="shared" si="67"/>
        <v>0</v>
      </c>
      <c r="J166" s="348">
        <f t="shared" si="67"/>
        <v>0</v>
      </c>
      <c r="K166" s="348">
        <f t="shared" si="67"/>
        <v>0</v>
      </c>
      <c r="L166" s="348">
        <f t="shared" si="67"/>
        <v>0</v>
      </c>
    </row>
    <row r="167" spans="1:12">
      <c r="A167" s="333">
        <v>5</v>
      </c>
      <c r="D167" s="344"/>
      <c r="E167" s="196"/>
      <c r="I167" s="332"/>
    </row>
    <row r="168" spans="1:12">
      <c r="A168" s="333">
        <v>6</v>
      </c>
      <c r="B168" s="359" t="s">
        <v>15</v>
      </c>
      <c r="C168" s="359"/>
      <c r="D168" s="344"/>
      <c r="E168" s="196"/>
      <c r="F168" s="347"/>
      <c r="G168" s="347"/>
      <c r="H168" s="347"/>
      <c r="I168" s="347"/>
      <c r="J168" s="347"/>
      <c r="K168" s="347"/>
    </row>
    <row r="169" spans="1:12">
      <c r="A169" s="333">
        <v>7</v>
      </c>
      <c r="C169" s="332" t="str">
        <f>'FR-16(7)(v)-1 Functional'!C169</f>
        <v>TRANSMISSION PLANT IN SERVICE</v>
      </c>
      <c r="D169" s="344"/>
      <c r="E169" s="196"/>
      <c r="F169" s="347">
        <f>F63</f>
        <v>0</v>
      </c>
      <c r="G169" s="347">
        <f>$G$63</f>
        <v>0</v>
      </c>
      <c r="H169" s="347">
        <f>$H$63</f>
        <v>0</v>
      </c>
      <c r="I169" s="347">
        <f>$I$63</f>
        <v>0</v>
      </c>
      <c r="J169" s="347">
        <f>$J$63</f>
        <v>0</v>
      </c>
      <c r="K169" s="347">
        <f>$K$63</f>
        <v>0</v>
      </c>
      <c r="L169" s="347">
        <f>F169-K169</f>
        <v>0</v>
      </c>
    </row>
    <row r="170" spans="1:12">
      <c r="A170" s="333">
        <v>8</v>
      </c>
      <c r="C170" s="332" t="str">
        <f>'FR-16(7)(v)-1 Functional'!C170</f>
        <v>TOTAL TRANS DEPREC RESERVE</v>
      </c>
      <c r="D170" s="344"/>
      <c r="E170" s="196"/>
      <c r="F170" s="347">
        <f t="shared" ref="F170:K170" si="68">-F119</f>
        <v>0</v>
      </c>
      <c r="G170" s="347">
        <f t="shared" si="68"/>
        <v>0</v>
      </c>
      <c r="H170" s="347">
        <f t="shared" si="68"/>
        <v>0</v>
      </c>
      <c r="I170" s="347">
        <f t="shared" si="68"/>
        <v>0</v>
      </c>
      <c r="J170" s="347">
        <f t="shared" si="68"/>
        <v>0</v>
      </c>
      <c r="K170" s="347">
        <f t="shared" si="68"/>
        <v>0</v>
      </c>
      <c r="L170" s="347">
        <f>F170-K170</f>
        <v>0</v>
      </c>
    </row>
    <row r="171" spans="1:12">
      <c r="A171" s="333">
        <v>9</v>
      </c>
      <c r="C171" s="332" t="str">
        <f>'FR-16(7)(v)-1 Functional'!C171</f>
        <v xml:space="preserve">    NET TRANSMISSION PLANT</v>
      </c>
      <c r="D171" s="344"/>
      <c r="E171" s="196"/>
      <c r="F171" s="348">
        <f t="shared" ref="F171:L171" si="69">SUM(F168:F170)</f>
        <v>0</v>
      </c>
      <c r="G171" s="348">
        <f t="shared" si="69"/>
        <v>0</v>
      </c>
      <c r="H171" s="348">
        <f t="shared" si="69"/>
        <v>0</v>
      </c>
      <c r="I171" s="348">
        <f t="shared" si="69"/>
        <v>0</v>
      </c>
      <c r="J171" s="348">
        <f t="shared" si="69"/>
        <v>0</v>
      </c>
      <c r="K171" s="348">
        <f t="shared" si="69"/>
        <v>0</v>
      </c>
      <c r="L171" s="348">
        <f t="shared" si="69"/>
        <v>0</v>
      </c>
    </row>
    <row r="172" spans="1:12">
      <c r="A172" s="333">
        <v>10</v>
      </c>
      <c r="D172" s="344"/>
      <c r="E172" s="196"/>
      <c r="I172" s="332"/>
    </row>
    <row r="173" spans="1:12">
      <c r="A173" s="333">
        <v>11</v>
      </c>
      <c r="B173" s="332" t="s">
        <v>17</v>
      </c>
      <c r="D173" s="344"/>
      <c r="E173" s="196"/>
      <c r="I173" s="332"/>
    </row>
    <row r="174" spans="1:12">
      <c r="A174" s="333">
        <v>12</v>
      </c>
      <c r="C174" s="332" t="str">
        <f>'FR-16(7)(v)-1 Functional'!C174</f>
        <v>DISTRIBUTION PLANT IN SERVICE</v>
      </c>
      <c r="D174" s="344"/>
      <c r="E174" s="196"/>
      <c r="F174" s="347">
        <f t="shared" ref="F174:K174" si="70">F78</f>
        <v>304349521</v>
      </c>
      <c r="G174" s="347">
        <f t="shared" si="70"/>
        <v>171535402</v>
      </c>
      <c r="H174" s="347">
        <f t="shared" si="70"/>
        <v>89734679</v>
      </c>
      <c r="I174" s="347">
        <f t="shared" si="70"/>
        <v>33453586</v>
      </c>
      <c r="J174" s="347">
        <f t="shared" si="70"/>
        <v>9625854</v>
      </c>
      <c r="K174" s="347">
        <f t="shared" si="70"/>
        <v>304349521</v>
      </c>
      <c r="L174" s="347">
        <f>F174-K174</f>
        <v>0</v>
      </c>
    </row>
    <row r="175" spans="1:12">
      <c r="A175" s="333">
        <v>13</v>
      </c>
      <c r="C175" s="359" t="str">
        <f>'FR-16(7)(v)-1 Functional'!C175</f>
        <v>TOTAL DIST DEPREC RESERVE</v>
      </c>
      <c r="D175" s="344"/>
      <c r="E175" s="196"/>
      <c r="F175" s="347">
        <f t="shared" ref="F175:K175" si="71">-F131</f>
        <v>-92788102</v>
      </c>
      <c r="G175" s="347">
        <f t="shared" si="71"/>
        <v>-53319830</v>
      </c>
      <c r="H175" s="347">
        <f t="shared" si="71"/>
        <v>-25741015</v>
      </c>
      <c r="I175" s="347">
        <f t="shared" si="71"/>
        <v>-10594198</v>
      </c>
      <c r="J175" s="347">
        <f t="shared" si="71"/>
        <v>-3133059</v>
      </c>
      <c r="K175" s="347">
        <f t="shared" si="71"/>
        <v>-92788102</v>
      </c>
      <c r="L175" s="347">
        <f>F175-K175</f>
        <v>0</v>
      </c>
    </row>
    <row r="176" spans="1:12">
      <c r="A176" s="333">
        <v>14</v>
      </c>
      <c r="C176" s="332" t="str">
        <f>'FR-16(7)(v)-1 Functional'!C176</f>
        <v xml:space="preserve">  NET DISTRIBUTION PLANT</v>
      </c>
      <c r="D176" s="344"/>
      <c r="E176" s="196"/>
      <c r="F176" s="348">
        <f t="shared" ref="F176:L176" si="72">SUM(F173:F175)</f>
        <v>211561419</v>
      </c>
      <c r="G176" s="348">
        <f t="shared" si="72"/>
        <v>118215572</v>
      </c>
      <c r="H176" s="348">
        <f t="shared" si="72"/>
        <v>63993664</v>
      </c>
      <c r="I176" s="348">
        <f t="shared" si="72"/>
        <v>22859388</v>
      </c>
      <c r="J176" s="348">
        <f t="shared" si="72"/>
        <v>6492795</v>
      </c>
      <c r="K176" s="348">
        <f t="shared" si="72"/>
        <v>211561419</v>
      </c>
      <c r="L176" s="348">
        <f t="shared" si="72"/>
        <v>0</v>
      </c>
    </row>
    <row r="177" spans="1:12">
      <c r="A177" s="333">
        <v>15</v>
      </c>
      <c r="D177" s="344"/>
      <c r="E177" s="196"/>
      <c r="I177" s="332"/>
    </row>
    <row r="178" spans="1:12">
      <c r="A178" s="333">
        <v>16</v>
      </c>
      <c r="B178" s="332" t="s">
        <v>430</v>
      </c>
      <c r="D178" s="344"/>
      <c r="E178" s="196"/>
      <c r="F178" s="347">
        <f t="shared" ref="F178:L178" si="73">F176+F171+F166</f>
        <v>211561419</v>
      </c>
      <c r="G178" s="347">
        <f t="shared" si="73"/>
        <v>118215572</v>
      </c>
      <c r="H178" s="347">
        <f t="shared" si="73"/>
        <v>63993664</v>
      </c>
      <c r="I178" s="347">
        <f t="shared" si="73"/>
        <v>22859388</v>
      </c>
      <c r="J178" s="347">
        <f t="shared" si="73"/>
        <v>6492795</v>
      </c>
      <c r="K178" s="347">
        <f t="shared" si="73"/>
        <v>211561419</v>
      </c>
      <c r="L178" s="347">
        <f t="shared" si="73"/>
        <v>0</v>
      </c>
    </row>
    <row r="179" spans="1:12">
      <c r="A179" s="333">
        <v>17</v>
      </c>
      <c r="B179" s="332" t="s">
        <v>24</v>
      </c>
      <c r="D179" s="344"/>
      <c r="E179" s="196"/>
      <c r="F179" s="347">
        <f t="shared" ref="F179:L179" si="74">F176+F171</f>
        <v>211561419</v>
      </c>
      <c r="G179" s="347">
        <f t="shared" si="74"/>
        <v>118215572</v>
      </c>
      <c r="H179" s="347">
        <f t="shared" si="74"/>
        <v>63993664</v>
      </c>
      <c r="I179" s="347">
        <f t="shared" si="74"/>
        <v>22859388</v>
      </c>
      <c r="J179" s="347">
        <f t="shared" si="74"/>
        <v>6492795</v>
      </c>
      <c r="K179" s="347">
        <f t="shared" si="74"/>
        <v>211561419</v>
      </c>
      <c r="L179" s="347">
        <f t="shared" si="74"/>
        <v>0</v>
      </c>
    </row>
    <row r="180" spans="1:12">
      <c r="A180" s="333">
        <v>18</v>
      </c>
      <c r="D180" s="344"/>
      <c r="E180" s="196"/>
      <c r="I180" s="332"/>
    </row>
    <row r="181" spans="1:12">
      <c r="A181" s="333">
        <v>19</v>
      </c>
      <c r="B181" s="332" t="s">
        <v>20</v>
      </c>
      <c r="D181" s="344"/>
      <c r="E181" s="196"/>
      <c r="I181" s="332"/>
    </row>
    <row r="182" spans="1:12">
      <c r="A182" s="333">
        <v>20</v>
      </c>
      <c r="C182" s="332" t="str">
        <f>'FR-16(7)(v)-1 Functional'!C182</f>
        <v>GEN &amp; INTANG PLANT IN SERVICE</v>
      </c>
      <c r="D182" s="344"/>
      <c r="E182" s="196"/>
      <c r="F182" s="347">
        <f t="shared" ref="F182:K182" si="75">F90</f>
        <v>8788596</v>
      </c>
      <c r="G182" s="347">
        <f t="shared" si="75"/>
        <v>5364471</v>
      </c>
      <c r="H182" s="347">
        <f t="shared" si="75"/>
        <v>2423631</v>
      </c>
      <c r="I182" s="347">
        <f t="shared" si="75"/>
        <v>803102</v>
      </c>
      <c r="J182" s="347">
        <f t="shared" si="75"/>
        <v>197392</v>
      </c>
      <c r="K182" s="347">
        <f t="shared" si="75"/>
        <v>8788596</v>
      </c>
      <c r="L182" s="347">
        <f>F182-K182</f>
        <v>0</v>
      </c>
    </row>
    <row r="183" spans="1:12">
      <c r="A183" s="333">
        <v>21</v>
      </c>
      <c r="C183" s="359" t="str">
        <f>'FR-16(7)(v)-1 Functional'!C183</f>
        <v>TOTAL GEN &amp; INTG DEPREC RESERVE</v>
      </c>
      <c r="D183" s="344"/>
      <c r="E183" s="196"/>
      <c r="F183" s="347">
        <f t="shared" ref="F183:K183" si="76">-F140</f>
        <v>-3387324</v>
      </c>
      <c r="G183" s="347">
        <f t="shared" si="76"/>
        <v>-2067589</v>
      </c>
      <c r="H183" s="347">
        <f t="shared" si="76"/>
        <v>-934122</v>
      </c>
      <c r="I183" s="347">
        <f t="shared" si="76"/>
        <v>-309534</v>
      </c>
      <c r="J183" s="347">
        <f t="shared" si="76"/>
        <v>-76079</v>
      </c>
      <c r="K183" s="347">
        <f t="shared" si="76"/>
        <v>-3387324</v>
      </c>
      <c r="L183" s="347">
        <f>F183-K183</f>
        <v>0</v>
      </c>
    </row>
    <row r="184" spans="1:12">
      <c r="A184" s="333">
        <v>22</v>
      </c>
      <c r="C184" s="332" t="str">
        <f>'FR-16(7)(v)-1 Functional'!C184</f>
        <v xml:space="preserve">  NET GENERAL &amp; INTANG PLANT</v>
      </c>
      <c r="D184" s="344"/>
      <c r="E184" s="196"/>
      <c r="F184" s="348">
        <f t="shared" ref="F184:L184" si="77">SUM(F181:F183)</f>
        <v>5401272</v>
      </c>
      <c r="G184" s="348">
        <f t="shared" si="77"/>
        <v>3296882</v>
      </c>
      <c r="H184" s="348">
        <f t="shared" si="77"/>
        <v>1489509</v>
      </c>
      <c r="I184" s="348">
        <f t="shared" si="77"/>
        <v>493568</v>
      </c>
      <c r="J184" s="348">
        <f t="shared" si="77"/>
        <v>121313</v>
      </c>
      <c r="K184" s="348">
        <f t="shared" si="77"/>
        <v>5401272</v>
      </c>
      <c r="L184" s="348">
        <f t="shared" si="77"/>
        <v>0</v>
      </c>
    </row>
    <row r="185" spans="1:12">
      <c r="A185" s="333">
        <v>23</v>
      </c>
      <c r="D185" s="344"/>
      <c r="E185" s="196"/>
      <c r="F185" s="347"/>
      <c r="G185" s="347"/>
      <c r="H185" s="347"/>
      <c r="I185" s="347"/>
      <c r="J185" s="347"/>
      <c r="K185" s="347"/>
    </row>
    <row r="186" spans="1:12">
      <c r="A186" s="333">
        <v>24</v>
      </c>
      <c r="B186" s="332" t="s">
        <v>21</v>
      </c>
      <c r="D186" s="344"/>
      <c r="E186" s="196"/>
      <c r="F186" s="347"/>
      <c r="G186" s="347"/>
      <c r="H186" s="347"/>
      <c r="I186" s="347"/>
      <c r="J186" s="347"/>
      <c r="K186" s="347"/>
    </row>
    <row r="187" spans="1:12">
      <c r="A187" s="333">
        <v>25</v>
      </c>
      <c r="C187" s="332" t="str">
        <f>'FR-16(7)(v)-1 Functional'!C187</f>
        <v>COMMON &amp; OTH PLT IN SERVICE</v>
      </c>
      <c r="D187" s="344"/>
      <c r="E187" s="196"/>
      <c r="F187" s="347">
        <f t="shared" ref="F187:K187" si="78">F99</f>
        <v>4625972</v>
      </c>
      <c r="G187" s="347">
        <f t="shared" si="78"/>
        <v>2823648</v>
      </c>
      <c r="H187" s="347">
        <f t="shared" si="78"/>
        <v>1275704</v>
      </c>
      <c r="I187" s="347">
        <f t="shared" si="78"/>
        <v>422721</v>
      </c>
      <c r="J187" s="347">
        <f t="shared" si="78"/>
        <v>103899</v>
      </c>
      <c r="K187" s="347">
        <f t="shared" si="78"/>
        <v>4625972</v>
      </c>
      <c r="L187" s="347">
        <f>F187-K187</f>
        <v>0</v>
      </c>
    </row>
    <row r="188" spans="1:12">
      <c r="A188" s="333">
        <v>26</v>
      </c>
      <c r="C188" s="359" t="str">
        <f>'FR-16(7)(v)-1 Functional'!C188</f>
        <v>TOTAL COM &amp; OTH DEPREC RESERVE</v>
      </c>
      <c r="D188" s="344"/>
      <c r="E188" s="196"/>
      <c r="F188" s="347">
        <f t="shared" ref="F188:K188" si="79">-F149</f>
        <v>-3815014</v>
      </c>
      <c r="G188" s="347">
        <f t="shared" si="79"/>
        <v>-2328647</v>
      </c>
      <c r="H188" s="347">
        <f t="shared" si="79"/>
        <v>-1052066</v>
      </c>
      <c r="I188" s="347">
        <f t="shared" si="79"/>
        <v>-348616</v>
      </c>
      <c r="J188" s="347">
        <f t="shared" si="79"/>
        <v>-85685</v>
      </c>
      <c r="K188" s="347">
        <f t="shared" si="79"/>
        <v>-3815014</v>
      </c>
      <c r="L188" s="347">
        <f>F188-K188</f>
        <v>0</v>
      </c>
    </row>
    <row r="189" spans="1:12">
      <c r="A189" s="333">
        <v>27</v>
      </c>
      <c r="C189" s="332" t="str">
        <f>'FR-16(7)(v)-1 Functional'!C189</f>
        <v xml:space="preserve">  NET COMMON &amp; OTHER PLANT</v>
      </c>
      <c r="D189" s="344"/>
      <c r="E189" s="196"/>
      <c r="F189" s="348">
        <f t="shared" ref="F189:L189" si="80">SUM(F186:F188)</f>
        <v>810958</v>
      </c>
      <c r="G189" s="348">
        <f t="shared" si="80"/>
        <v>495001</v>
      </c>
      <c r="H189" s="348">
        <f t="shared" si="80"/>
        <v>223638</v>
      </c>
      <c r="I189" s="348">
        <f t="shared" si="80"/>
        <v>74105</v>
      </c>
      <c r="J189" s="348">
        <f t="shared" si="80"/>
        <v>18214</v>
      </c>
      <c r="K189" s="348">
        <f t="shared" si="80"/>
        <v>810958</v>
      </c>
      <c r="L189" s="348">
        <f t="shared" si="80"/>
        <v>0</v>
      </c>
    </row>
    <row r="190" spans="1:12">
      <c r="A190" s="333">
        <v>28</v>
      </c>
      <c r="D190" s="344"/>
      <c r="E190" s="196"/>
      <c r="F190" s="347"/>
      <c r="G190" s="347"/>
      <c r="H190" s="347"/>
      <c r="I190" s="347"/>
      <c r="J190" s="347"/>
      <c r="K190" s="347"/>
      <c r="L190" s="347"/>
    </row>
    <row r="191" spans="1:12">
      <c r="A191" s="333">
        <v>29</v>
      </c>
      <c r="C191" s="332" t="str">
        <f>'FR-16(7)(v)-1 Functional'!C191</f>
        <v>NET GAS PLANT IN SERVICE</v>
      </c>
      <c r="D191" s="344"/>
      <c r="E191" s="196"/>
      <c r="F191" s="347">
        <f t="shared" ref="F191:L191" si="81">F189+F184+F176+F171+F166</f>
        <v>217773649</v>
      </c>
      <c r="G191" s="347">
        <f t="shared" si="81"/>
        <v>122007455</v>
      </c>
      <c r="H191" s="347">
        <f t="shared" si="81"/>
        <v>65706811</v>
      </c>
      <c r="I191" s="347">
        <f t="shared" si="81"/>
        <v>23427061</v>
      </c>
      <c r="J191" s="347">
        <f t="shared" si="81"/>
        <v>6632322</v>
      </c>
      <c r="K191" s="347">
        <f t="shared" si="81"/>
        <v>217773649</v>
      </c>
      <c r="L191" s="347">
        <f t="shared" si="81"/>
        <v>0</v>
      </c>
    </row>
    <row r="192" spans="1:12">
      <c r="B192" s="343"/>
      <c r="C192" s="196"/>
      <c r="D192" s="344"/>
      <c r="E192" s="196"/>
      <c r="G192" s="196"/>
      <c r="H192" s="196"/>
      <c r="I192" s="196"/>
      <c r="J192" s="344"/>
      <c r="K192" s="196"/>
      <c r="L192" s="196"/>
    </row>
    <row r="193" spans="1:12">
      <c r="A193" s="343" t="str">
        <f>co_name</f>
        <v>DUKE ENERGY KENTUCKY, INC.</v>
      </c>
      <c r="C193" s="196"/>
      <c r="D193" s="344"/>
      <c r="E193" s="196"/>
      <c r="F193" s="344"/>
      <c r="G193" s="342"/>
      <c r="H193" s="342"/>
      <c r="I193" s="196"/>
      <c r="K193" s="361" t="str">
        <f>$K$1</f>
        <v>FR-16(7)(v)-5</v>
      </c>
      <c r="L193" s="196"/>
    </row>
    <row r="194" spans="1:12">
      <c r="A194" s="343" t="str">
        <f>$A$2</f>
        <v>DISTRIBUTION DEMAND ALLOCATED - GAS COST OF SERVICE</v>
      </c>
      <c r="C194" s="196"/>
      <c r="D194" s="344"/>
      <c r="E194" s="196"/>
      <c r="F194" s="344"/>
      <c r="G194" s="342"/>
      <c r="H194" s="342"/>
      <c r="I194" s="196"/>
      <c r="K194" s="361" t="str">
        <f>$K$2</f>
        <v>WITNESS RESPONSIBLE:</v>
      </c>
      <c r="L194" s="196"/>
    </row>
    <row r="195" spans="1:12">
      <c r="A195" s="343" t="str">
        <f>case_name</f>
        <v>CASE NO: 2018-00261</v>
      </c>
      <c r="C195" s="196"/>
      <c r="D195" s="344"/>
      <c r="E195" s="196"/>
      <c r="F195" s="344"/>
      <c r="G195" s="342"/>
      <c r="H195" s="342"/>
      <c r="I195" s="196"/>
      <c r="K195" s="361" t="str">
        <f>Witness</f>
        <v>JAMES E. ZIOLKOWSKI</v>
      </c>
      <c r="L195" s="196"/>
    </row>
    <row r="196" spans="1:12">
      <c r="A196" s="343" t="str">
        <f>data_filing</f>
        <v>DATA: 12 MONTH FORECASTED PERIOD</v>
      </c>
      <c r="C196" s="196"/>
      <c r="D196" s="344"/>
      <c r="E196" s="196"/>
      <c r="F196" s="344"/>
      <c r="G196" s="342"/>
      <c r="H196" s="342"/>
      <c r="I196" s="196"/>
      <c r="K196" s="361" t="str">
        <f>"PAGE "&amp;Pages-13&amp;" OF "&amp;Pages</f>
        <v>PAGE 5 OF 18</v>
      </c>
      <c r="L196" s="196"/>
    </row>
    <row r="197" spans="1:12">
      <c r="A197" s="343" t="str">
        <f>type</f>
        <v xml:space="preserve">TYPE OF FILING: "X" ORIGINAL   UPDATED    REVISED  </v>
      </c>
      <c r="C197" s="196"/>
      <c r="D197" s="344"/>
      <c r="E197" s="196"/>
      <c r="F197" s="344"/>
      <c r="G197" s="342"/>
      <c r="H197" s="342"/>
      <c r="I197" s="196"/>
      <c r="J197" s="344"/>
      <c r="K197" s="196"/>
      <c r="L197" s="196"/>
    </row>
    <row r="198" spans="1:12">
      <c r="B198" s="343"/>
      <c r="C198" s="196"/>
      <c r="D198" s="344"/>
      <c r="E198" s="196"/>
      <c r="F198" s="344"/>
      <c r="G198" s="196"/>
      <c r="H198" s="196"/>
      <c r="I198" s="196"/>
      <c r="J198" s="344"/>
      <c r="K198" s="196"/>
      <c r="L198" s="196"/>
    </row>
    <row r="199" spans="1:12">
      <c r="B199" s="343"/>
      <c r="C199" s="196"/>
      <c r="D199" s="344"/>
      <c r="E199" s="196"/>
      <c r="F199" s="344" t="str">
        <f>$F$7</f>
        <v>TOTAL</v>
      </c>
      <c r="G199" s="196"/>
      <c r="H199" s="196"/>
      <c r="I199" s="196"/>
      <c r="J199" s="344"/>
      <c r="K199" s="196"/>
      <c r="L199" s="196"/>
    </row>
    <row r="200" spans="1:12">
      <c r="A200" s="344" t="s">
        <v>914</v>
      </c>
      <c r="B200" s="196"/>
      <c r="C200" s="196"/>
      <c r="D200" s="344"/>
      <c r="E200" s="196"/>
      <c r="F200" s="344" t="str">
        <f>$F$8</f>
        <v>DISTRIBUTION</v>
      </c>
      <c r="G200" s="344" t="s">
        <v>418</v>
      </c>
      <c r="H200" s="344" t="s">
        <v>864</v>
      </c>
      <c r="I200" s="344" t="s">
        <v>865</v>
      </c>
      <c r="J200" s="344" t="s">
        <v>549</v>
      </c>
      <c r="K200" s="344" t="s">
        <v>229</v>
      </c>
      <c r="L200" s="344" t="s">
        <v>342</v>
      </c>
    </row>
    <row r="201" spans="1:12">
      <c r="A201" s="346" t="s">
        <v>915</v>
      </c>
      <c r="B201" s="345" t="s">
        <v>953</v>
      </c>
      <c r="C201" s="345"/>
      <c r="D201" s="346" t="s">
        <v>337</v>
      </c>
      <c r="E201" s="345"/>
      <c r="F201" s="344" t="str">
        <f>$F$9</f>
        <v>DEMAND</v>
      </c>
      <c r="G201" s="346" t="s">
        <v>338</v>
      </c>
      <c r="H201" s="346" t="s">
        <v>405</v>
      </c>
      <c r="I201" s="346" t="s">
        <v>405</v>
      </c>
      <c r="J201" s="346" t="s">
        <v>550</v>
      </c>
      <c r="K201" s="346" t="s">
        <v>341</v>
      </c>
      <c r="L201" s="346" t="s">
        <v>340</v>
      </c>
    </row>
    <row r="202" spans="1:12">
      <c r="C202" s="578" t="s">
        <v>347</v>
      </c>
      <c r="D202" s="344"/>
      <c r="E202" s="196"/>
      <c r="F202" s="761"/>
      <c r="G202" s="633">
        <f>$G$10</f>
        <v>3</v>
      </c>
      <c r="H202" s="633">
        <f>$H$10</f>
        <v>4</v>
      </c>
      <c r="I202" s="633">
        <f>$I$10</f>
        <v>5</v>
      </c>
      <c r="J202" s="633">
        <f>$J$10</f>
        <v>6</v>
      </c>
    </row>
    <row r="203" spans="1:12">
      <c r="A203" s="333">
        <v>1</v>
      </c>
      <c r="B203" s="332" t="s">
        <v>26</v>
      </c>
      <c r="D203" s="344"/>
      <c r="E203" s="196"/>
      <c r="I203" s="332"/>
    </row>
    <row r="204" spans="1:12">
      <c r="A204" s="333">
        <v>2</v>
      </c>
      <c r="B204" s="332" t="s">
        <v>823</v>
      </c>
      <c r="D204" s="344"/>
      <c r="E204" s="196"/>
      <c r="I204" s="332"/>
    </row>
    <row r="205" spans="1:12">
      <c r="A205" s="333">
        <v>3</v>
      </c>
      <c r="B205" s="332" t="s">
        <v>27</v>
      </c>
      <c r="D205" s="344"/>
      <c r="E205" s="196"/>
      <c r="I205" s="332"/>
    </row>
    <row r="206" spans="1:12">
      <c r="A206" s="333">
        <v>4</v>
      </c>
      <c r="C206" s="332" t="str">
        <f>'FR-16(7)(v)-1 Functional'!C206</f>
        <v>LIBERALIZED DEPRECIATION</v>
      </c>
      <c r="D206" s="344" t="str">
        <f>'FR-16(7)(v)-1 Functional'!D206</f>
        <v>NP29</v>
      </c>
      <c r="E206" s="332" t="s">
        <v>343</v>
      </c>
      <c r="F206" s="479">
        <f>'FR-16(7)(v)-4 DISTR Classified'!G206</f>
        <v>28677186</v>
      </c>
      <c r="G206" s="349">
        <f t="shared" ref="G206:G214" si="82">F206-SUM(H206:J206)</f>
        <v>16066106</v>
      </c>
      <c r="H206" s="347">
        <f>ROUND($F$206*VLOOKUP($D$206,ALLOCTABLE_DISTR_DEMAND,$H$10,FALSE),0)</f>
        <v>8652481</v>
      </c>
      <c r="I206" s="347">
        <f t="shared" ref="I206:I214" si="83">ROUND(F206*VLOOKUP(D206,ALLOCTABLE_DISTR_DEMAND,$I$10,FALSE),0)</f>
        <v>3085092</v>
      </c>
      <c r="J206" s="347">
        <f t="shared" ref="J206:J214" si="84">ROUND(F206*VLOOKUP(D206,ALLOCTABLE_DISTR_DEMAND,$J$10,FALSE),0)</f>
        <v>873507</v>
      </c>
      <c r="K206" s="347">
        <f t="shared" ref="K206:K214" si="85">SUM(G206:J206)</f>
        <v>28677186</v>
      </c>
      <c r="L206" s="347">
        <f t="shared" ref="L206:L214" si="86">F206-K206</f>
        <v>0</v>
      </c>
    </row>
    <row r="207" spans="1:12">
      <c r="A207" s="333">
        <v>5</v>
      </c>
      <c r="C207" s="332" t="str">
        <f>'FR-16(7)(v)-1 Functional'!C207</f>
        <v>LEASED METERS</v>
      </c>
      <c r="D207" s="344" t="str">
        <f>'FR-16(7)(v)-1 Functional'!D207</f>
        <v>K413</v>
      </c>
      <c r="E207" s="332" t="s">
        <v>343</v>
      </c>
      <c r="F207" s="479">
        <f>'FR-16(7)(v)-4 DISTR Classified'!G207</f>
        <v>0</v>
      </c>
      <c r="G207" s="349">
        <f t="shared" si="82"/>
        <v>0</v>
      </c>
      <c r="H207" s="347">
        <f>ROUND($F$207*VLOOKUP($D$207,ALLOCTABLE_DISTR_DEMAND,$H$10,FALSE),0)</f>
        <v>0</v>
      </c>
      <c r="I207" s="347">
        <f t="shared" si="83"/>
        <v>0</v>
      </c>
      <c r="J207" s="347">
        <f t="shared" si="84"/>
        <v>0</v>
      </c>
      <c r="K207" s="347">
        <f t="shared" si="85"/>
        <v>0</v>
      </c>
      <c r="L207" s="347">
        <f t="shared" si="86"/>
        <v>0</v>
      </c>
    </row>
    <row r="208" spans="1:12">
      <c r="A208" s="333">
        <v>6</v>
      </c>
      <c r="C208" s="332" t="str">
        <f>'FR-16(7)(v)-1 Functional'!C208</f>
        <v>CONTRIB AID CONSTR</v>
      </c>
      <c r="D208" s="344" t="str">
        <f>'FR-16(7)(v)-1 Functional'!D208</f>
        <v>D249</v>
      </c>
      <c r="E208" s="332" t="s">
        <v>343</v>
      </c>
      <c r="F208" s="479">
        <f>'FR-16(7)(v)-4 DISTR Classified'!G208</f>
        <v>-102342</v>
      </c>
      <c r="G208" s="349">
        <f t="shared" si="82"/>
        <v>-57187</v>
      </c>
      <c r="H208" s="347">
        <f>ROUND($F$208*VLOOKUP($D$208,ALLOCTABLE_DISTR_DEMAND,$H$10,FALSE),0)</f>
        <v>-30956</v>
      </c>
      <c r="I208" s="347">
        <f t="shared" si="83"/>
        <v>-11058</v>
      </c>
      <c r="J208" s="347">
        <f t="shared" si="84"/>
        <v>-3141</v>
      </c>
      <c r="K208" s="347">
        <f t="shared" si="85"/>
        <v>-102342</v>
      </c>
      <c r="L208" s="347">
        <f t="shared" si="86"/>
        <v>0</v>
      </c>
    </row>
    <row r="209" spans="1:12">
      <c r="A209" s="333">
        <v>7</v>
      </c>
      <c r="C209" s="332" t="str">
        <f>'FR-16(7)(v)-1 Functional'!C209</f>
        <v>CAPITALIZED INTEREST</v>
      </c>
      <c r="D209" s="344" t="str">
        <f>'FR-16(7)(v)-1 Functional'!D209</f>
        <v>NP29</v>
      </c>
      <c r="E209" s="332" t="s">
        <v>343</v>
      </c>
      <c r="F209" s="479">
        <f>'FR-16(7)(v)-4 DISTR Classified'!G209</f>
        <v>-509904</v>
      </c>
      <c r="G209" s="349">
        <f t="shared" si="82"/>
        <v>-285669</v>
      </c>
      <c r="H209" s="347">
        <f>ROUND($F$209*VLOOKUP($D$209,ALLOCTABLE_DISTR_DEMAND,$H$10,FALSE),0)</f>
        <v>-153848</v>
      </c>
      <c r="I209" s="347">
        <f t="shared" si="83"/>
        <v>-54855</v>
      </c>
      <c r="J209" s="347">
        <f t="shared" si="84"/>
        <v>-15532</v>
      </c>
      <c r="K209" s="347">
        <f t="shared" si="85"/>
        <v>-509904</v>
      </c>
      <c r="L209" s="347">
        <f t="shared" si="86"/>
        <v>0</v>
      </c>
    </row>
    <row r="210" spans="1:12">
      <c r="A210" s="333">
        <v>8</v>
      </c>
      <c r="C210" s="332" t="str">
        <f>'FR-16(7)(v)-1 Functional'!C210</f>
        <v>AFUDC IN DEBT</v>
      </c>
      <c r="D210" s="344" t="str">
        <f>'FR-16(7)(v)-1 Functional'!D210</f>
        <v>NP29</v>
      </c>
      <c r="E210" s="332" t="s">
        <v>343</v>
      </c>
      <c r="F210" s="479">
        <f>'FR-16(7)(v)-4 DISTR Classified'!G210</f>
        <v>137480</v>
      </c>
      <c r="G210" s="349">
        <f t="shared" si="82"/>
        <v>77022</v>
      </c>
      <c r="H210" s="347">
        <f>ROUND($F$210*VLOOKUP($D$210,ALLOCTABLE_DISTR_DEMAND,$H$10,FALSE),0)</f>
        <v>41480</v>
      </c>
      <c r="I210" s="347">
        <f t="shared" si="83"/>
        <v>14790</v>
      </c>
      <c r="J210" s="347">
        <f t="shared" si="84"/>
        <v>4188</v>
      </c>
      <c r="K210" s="347">
        <f t="shared" si="85"/>
        <v>137480</v>
      </c>
      <c r="L210" s="347">
        <f t="shared" si="86"/>
        <v>0</v>
      </c>
    </row>
    <row r="211" spans="1:12">
      <c r="A211" s="333">
        <v>9</v>
      </c>
      <c r="C211" s="332" t="str">
        <f>'FR-16(7)(v)-1 Functional'!C211</f>
        <v>CWIP DIFFERENCES</v>
      </c>
      <c r="D211" s="344" t="str">
        <f>'FR-16(7)(v)-1 Functional'!D211</f>
        <v>NP29</v>
      </c>
      <c r="E211" s="332" t="s">
        <v>343</v>
      </c>
      <c r="F211" s="479">
        <f>'FR-16(7)(v)-4 DISTR Classified'!G211</f>
        <v>0</v>
      </c>
      <c r="G211" s="349">
        <f t="shared" si="82"/>
        <v>0</v>
      </c>
      <c r="H211" s="347">
        <f>ROUND($F$211*VLOOKUP($D$211,ALLOCTABLE_DISTR_DEMAND,$H$10,FALSE),0)</f>
        <v>0</v>
      </c>
      <c r="I211" s="347">
        <f t="shared" si="83"/>
        <v>0</v>
      </c>
      <c r="J211" s="347">
        <f t="shared" si="84"/>
        <v>0</v>
      </c>
      <c r="K211" s="347">
        <f t="shared" si="85"/>
        <v>0</v>
      </c>
      <c r="L211" s="347">
        <f t="shared" si="86"/>
        <v>0</v>
      </c>
    </row>
    <row r="212" spans="1:12">
      <c r="A212" s="333">
        <v>10</v>
      </c>
      <c r="C212" s="332" t="str">
        <f>'FR-16(7)(v)-1 Functional'!C212</f>
        <v>NON-CASH OVERHEADS</v>
      </c>
      <c r="D212" s="344" t="str">
        <f>'FR-16(7)(v)-1 Functional'!D212</f>
        <v>AG39</v>
      </c>
      <c r="E212" s="332" t="s">
        <v>343</v>
      </c>
      <c r="F212" s="479">
        <f>'FR-16(7)(v)-4 DISTR Classified'!G212</f>
        <v>-192893</v>
      </c>
      <c r="G212" s="349">
        <f t="shared" si="82"/>
        <v>-117740</v>
      </c>
      <c r="H212" s="347">
        <f>ROUND($F$212*VLOOKUP($D$212,ALLOCTABLE_DISTR_DEMAND,$H$10,FALSE),0)</f>
        <v>-53194</v>
      </c>
      <c r="I212" s="347">
        <f t="shared" si="83"/>
        <v>-17627</v>
      </c>
      <c r="J212" s="347">
        <f t="shared" si="84"/>
        <v>-4332</v>
      </c>
      <c r="K212" s="347">
        <f t="shared" si="85"/>
        <v>-192893</v>
      </c>
      <c r="L212" s="347">
        <f t="shared" si="86"/>
        <v>0</v>
      </c>
    </row>
    <row r="213" spans="1:12">
      <c r="A213" s="333">
        <v>11</v>
      </c>
      <c r="C213" s="332" t="str">
        <f>'FR-16(7)(v)-1 Functional'!C213</f>
        <v>PLANT FAS 109</v>
      </c>
      <c r="D213" s="344" t="str">
        <f>'FR-16(7)(v)-1 Functional'!D213</f>
        <v>NP29</v>
      </c>
      <c r="E213" s="332" t="s">
        <v>343</v>
      </c>
      <c r="F213" s="479">
        <f>'FR-16(7)(v)-4 DISTR Classified'!G213</f>
        <v>0</v>
      </c>
      <c r="G213" s="349">
        <f t="shared" si="82"/>
        <v>0</v>
      </c>
      <c r="H213" s="347">
        <f>ROUND($F$213*VLOOKUP($D$213,ALLOCTABLE_DISTR_DEMAND,$H$10,FALSE),0)</f>
        <v>0</v>
      </c>
      <c r="I213" s="347">
        <f t="shared" si="83"/>
        <v>0</v>
      </c>
      <c r="J213" s="347">
        <f t="shared" si="84"/>
        <v>0</v>
      </c>
      <c r="K213" s="347">
        <f t="shared" si="85"/>
        <v>0</v>
      </c>
      <c r="L213" s="347">
        <f t="shared" si="86"/>
        <v>0</v>
      </c>
    </row>
    <row r="214" spans="1:12">
      <c r="A214" s="333">
        <v>12</v>
      </c>
      <c r="C214" s="365" t="str">
        <f>'FR-16(7)(v)-1 Functional'!C214</f>
        <v>MISCELLANEOUS</v>
      </c>
      <c r="D214" s="344" t="str">
        <f>'FR-16(7)(v)-1 Functional'!D214</f>
        <v>AG39</v>
      </c>
      <c r="F214" s="479">
        <f>'FR-16(7)(v)-4 DISTR Classified'!G214</f>
        <v>3396432</v>
      </c>
      <c r="G214" s="349">
        <f t="shared" si="82"/>
        <v>2073148</v>
      </c>
      <c r="H214" s="347">
        <f>ROUND($F$214*VLOOKUP($D$214,ALLOCTABLE_DISTR_DEMAND,$H$10,FALSE),0)</f>
        <v>936634</v>
      </c>
      <c r="I214" s="347">
        <f t="shared" si="83"/>
        <v>310366</v>
      </c>
      <c r="J214" s="347">
        <f t="shared" si="84"/>
        <v>76284</v>
      </c>
      <c r="K214" s="347">
        <f t="shared" si="85"/>
        <v>3396432</v>
      </c>
      <c r="L214" s="347">
        <f t="shared" si="86"/>
        <v>0</v>
      </c>
    </row>
    <row r="215" spans="1:12">
      <c r="A215" s="333">
        <v>13</v>
      </c>
      <c r="C215" s="339" t="str">
        <f>'FR-16(7)(v)-1 Functional'!C215</f>
        <v xml:space="preserve">  TOTAL ACCOUNT 282</v>
      </c>
      <c r="D215" s="344"/>
      <c r="F215" s="348">
        <f t="shared" ref="F215:L215" si="87">SUM(F206:F214)</f>
        <v>31405959</v>
      </c>
      <c r="G215" s="348">
        <f>SUM(G206:G214)</f>
        <v>17755680</v>
      </c>
      <c r="H215" s="348">
        <f t="shared" si="87"/>
        <v>9392597</v>
      </c>
      <c r="I215" s="348">
        <f t="shared" si="87"/>
        <v>3326708</v>
      </c>
      <c r="J215" s="348">
        <f t="shared" si="87"/>
        <v>930974</v>
      </c>
      <c r="K215" s="348">
        <f t="shared" si="87"/>
        <v>31405959</v>
      </c>
      <c r="L215" s="348">
        <f t="shared" si="87"/>
        <v>0</v>
      </c>
    </row>
    <row r="216" spans="1:12">
      <c r="A216" s="333">
        <v>14</v>
      </c>
      <c r="D216" s="344"/>
      <c r="E216" s="196"/>
      <c r="I216" s="332"/>
    </row>
    <row r="217" spans="1:12">
      <c r="A217" s="333">
        <v>15</v>
      </c>
      <c r="B217" s="332" t="s">
        <v>28</v>
      </c>
      <c r="D217" s="344"/>
      <c r="E217" s="196"/>
      <c r="I217" s="332"/>
    </row>
    <row r="218" spans="1:12">
      <c r="A218" s="333">
        <v>16</v>
      </c>
      <c r="C218" s="332" t="str">
        <f>'FR-16(7)(v)-1 Functional'!C218</f>
        <v>BLANK</v>
      </c>
      <c r="D218" s="344" t="str">
        <f>'FR-16(7)(v)-1 Functional'!D218</f>
        <v>K413</v>
      </c>
      <c r="F218" s="479">
        <f>'FR-16(7)(v)-4 DISTR Classified'!G218</f>
        <v>0</v>
      </c>
      <c r="G218" s="349">
        <f t="shared" ref="G218:G228" si="88">F218-SUM(H218:J218)</f>
        <v>0</v>
      </c>
      <c r="H218" s="347">
        <f>ROUND($F$218*VLOOKUP($D$218,ALLOCTABLE_DISTR_DEMAND,$H$10,FALSE),0)</f>
        <v>0</v>
      </c>
      <c r="I218" s="347">
        <f t="shared" ref="I218:I225" si="89">ROUND(F218*VLOOKUP(D218,ALLOCTABLE_DISTR_DEMAND,$I$10,FALSE),0)</f>
        <v>0</v>
      </c>
      <c r="J218" s="347">
        <f t="shared" ref="J218:J225" si="90">ROUND(F218*VLOOKUP(D218,ALLOCTABLE_DISTR_DEMAND,$J$10,FALSE),0)</f>
        <v>0</v>
      </c>
      <c r="K218" s="347">
        <f t="shared" ref="K218:K228" si="91">SUM(G218:J218)</f>
        <v>0</v>
      </c>
      <c r="L218" s="347">
        <f t="shared" ref="L218:L228" si="92">F218-K218</f>
        <v>0</v>
      </c>
    </row>
    <row r="219" spans="1:12">
      <c r="A219" s="333">
        <v>17</v>
      </c>
      <c r="C219" s="332" t="str">
        <f>'FR-16(7)(v)-1 Functional'!C219</f>
        <v>BLANK</v>
      </c>
      <c r="D219" s="344" t="str">
        <f>'FR-16(7)(v)-1 Functional'!D219</f>
        <v>K413</v>
      </c>
      <c r="F219" s="479">
        <f>'FR-16(7)(v)-4 DISTR Classified'!G219</f>
        <v>0</v>
      </c>
      <c r="G219" s="349">
        <f t="shared" si="88"/>
        <v>0</v>
      </c>
      <c r="H219" s="347">
        <f>ROUND($F$219*VLOOKUP($D$219,ALLOCTABLE_DISTR_DEMAND,$H$10,FALSE),0)</f>
        <v>0</v>
      </c>
      <c r="I219" s="347">
        <f t="shared" si="89"/>
        <v>0</v>
      </c>
      <c r="J219" s="347">
        <f t="shared" si="90"/>
        <v>0</v>
      </c>
      <c r="K219" s="347">
        <f t="shared" si="91"/>
        <v>0</v>
      </c>
      <c r="L219" s="347">
        <f t="shared" si="92"/>
        <v>0</v>
      </c>
    </row>
    <row r="220" spans="1:12">
      <c r="A220" s="333">
        <v>18</v>
      </c>
      <c r="C220" s="332" t="str">
        <f>'FR-16(7)(v)-1 Functional'!C220</f>
        <v>UNRECOVERED PURCHASED GAS COST</v>
      </c>
      <c r="D220" s="344" t="str">
        <f>'FR-16(7)(v)-1 Functional'!D220</f>
        <v>AG39</v>
      </c>
      <c r="F220" s="479">
        <f>'FR-16(7)(v)-4 DISTR Classified'!G220</f>
        <v>7194</v>
      </c>
      <c r="G220" s="349">
        <f t="shared" si="88"/>
        <v>4391</v>
      </c>
      <c r="H220" s="347">
        <f>ROUND($F$220*VLOOKUP($D$220,ALLOCTABLE_DISTR_DEMAND,$H$10,FALSE),0)</f>
        <v>1984</v>
      </c>
      <c r="I220" s="347">
        <f t="shared" si="89"/>
        <v>657</v>
      </c>
      <c r="J220" s="347">
        <f t="shared" si="90"/>
        <v>162</v>
      </c>
      <c r="K220" s="347">
        <f t="shared" si="91"/>
        <v>7194</v>
      </c>
      <c r="L220" s="347">
        <f t="shared" si="92"/>
        <v>0</v>
      </c>
    </row>
    <row r="221" spans="1:12">
      <c r="A221" s="333">
        <v>19</v>
      </c>
      <c r="C221" s="332" t="str">
        <f>'FR-16(7)(v)-1 Functional'!C221</f>
        <v>ENVIRONMENTAL RESERVE</v>
      </c>
      <c r="D221" s="344" t="str">
        <f>'FR-16(7)(v)-1 Functional'!D221</f>
        <v>NP29</v>
      </c>
      <c r="F221" s="479">
        <f>'FR-16(7)(v)-4 DISTR Classified'!G221</f>
        <v>0</v>
      </c>
      <c r="G221" s="349">
        <f t="shared" si="88"/>
        <v>0</v>
      </c>
      <c r="H221" s="347">
        <f>ROUND($F$221*VLOOKUP($D$221,ALLOCTABLE_DISTR_DEMAND,$H$10,FALSE),0)</f>
        <v>0</v>
      </c>
      <c r="I221" s="347">
        <f t="shared" si="89"/>
        <v>0</v>
      </c>
      <c r="J221" s="347">
        <f t="shared" si="90"/>
        <v>0</v>
      </c>
      <c r="K221" s="347">
        <f t="shared" si="91"/>
        <v>0</v>
      </c>
      <c r="L221" s="347">
        <f t="shared" si="92"/>
        <v>0</v>
      </c>
    </row>
    <row r="222" spans="1:12">
      <c r="A222" s="333">
        <v>20</v>
      </c>
      <c r="C222" s="332" t="str">
        <f>'FR-16(7)(v)-1 Functional'!C222</f>
        <v>POST IN-SERVICE CARRYING COSTS</v>
      </c>
      <c r="D222" s="344" t="str">
        <f>'FR-16(7)(v)-1 Functional'!D222</f>
        <v>K667</v>
      </c>
      <c r="F222" s="479">
        <f>'FR-16(7)(v)-4 DISTR Classified'!G222</f>
        <v>0</v>
      </c>
      <c r="G222" s="349">
        <f t="shared" si="88"/>
        <v>0</v>
      </c>
      <c r="H222" s="347">
        <f>ROUND($F$222*VLOOKUP($D$222,ALLOCTABLE_DISTR_DEMAND,$H$10,FALSE),0)</f>
        <v>0</v>
      </c>
      <c r="I222" s="347">
        <f t="shared" si="89"/>
        <v>0</v>
      </c>
      <c r="J222" s="347">
        <f t="shared" si="90"/>
        <v>0</v>
      </c>
      <c r="K222" s="347">
        <f t="shared" si="91"/>
        <v>0</v>
      </c>
      <c r="L222" s="347">
        <f t="shared" si="92"/>
        <v>0</v>
      </c>
    </row>
    <row r="223" spans="1:12">
      <c r="A223" s="333">
        <v>21</v>
      </c>
      <c r="C223" s="332" t="str">
        <f>'FR-16(7)(v)-1 Functional'!C223</f>
        <v>ARO CUMULATIVE EFFECT</v>
      </c>
      <c r="D223" s="344" t="str">
        <f>'FR-16(7)(v)-1 Functional'!D223</f>
        <v>NP29</v>
      </c>
      <c r="F223" s="479">
        <f>'FR-16(7)(v)-4 DISTR Classified'!G223</f>
        <v>0</v>
      </c>
      <c r="G223" s="349">
        <f t="shared" si="88"/>
        <v>0</v>
      </c>
      <c r="H223" s="347">
        <f>ROUND($F$223*VLOOKUP($D$223,ALLOCTABLE_DISTR_DEMAND,$H$10,FALSE),0)</f>
        <v>0</v>
      </c>
      <c r="I223" s="347">
        <f t="shared" si="89"/>
        <v>0</v>
      </c>
      <c r="J223" s="347">
        <f t="shared" si="90"/>
        <v>0</v>
      </c>
      <c r="K223" s="347">
        <f t="shared" si="91"/>
        <v>0</v>
      </c>
      <c r="L223" s="347">
        <f t="shared" si="92"/>
        <v>0</v>
      </c>
    </row>
    <row r="224" spans="1:12">
      <c r="A224" s="333">
        <v>22</v>
      </c>
      <c r="C224" s="332" t="str">
        <f>'FR-16(7)(v)-1 Functional'!C224</f>
        <v>LOSS ON REACQUIRED DEBT</v>
      </c>
      <c r="D224" s="344" t="str">
        <f>'FR-16(7)(v)-1 Functional'!D224</f>
        <v>NP29</v>
      </c>
      <c r="F224" s="479">
        <f>'FR-16(7)(v)-4 DISTR Classified'!G224</f>
        <v>9282</v>
      </c>
      <c r="G224" s="349">
        <f t="shared" si="88"/>
        <v>5199</v>
      </c>
      <c r="H224" s="347">
        <f>ROUND($F$224*VLOOKUP($D$224,ALLOCTABLE_DISTR_DEMAND,$H$10,FALSE),0)</f>
        <v>2801</v>
      </c>
      <c r="I224" s="347">
        <f t="shared" si="89"/>
        <v>999</v>
      </c>
      <c r="J224" s="347">
        <f t="shared" si="90"/>
        <v>283</v>
      </c>
      <c r="K224" s="347">
        <f t="shared" si="91"/>
        <v>9282</v>
      </c>
      <c r="L224" s="347">
        <f t="shared" si="92"/>
        <v>0</v>
      </c>
    </row>
    <row r="225" spans="1:12">
      <c r="A225" s="333">
        <v>23</v>
      </c>
      <c r="C225" s="332" t="str">
        <f>'FR-16(7)(v)-1 Functional'!C225</f>
        <v>VACATION PAY ACCRUAL</v>
      </c>
      <c r="D225" s="344" t="str">
        <f>'FR-16(7)(v)-1 Functional'!D225</f>
        <v>AG39</v>
      </c>
      <c r="F225" s="479">
        <f>'FR-16(7)(v)-4 DISTR Classified'!G225</f>
        <v>32965</v>
      </c>
      <c r="G225" s="349">
        <f t="shared" si="88"/>
        <v>20122</v>
      </c>
      <c r="H225" s="347">
        <f>ROUND($F$225*VLOOKUP($D$225,ALLOCTABLE_DISTR_DEMAND,$H$10,FALSE),0)</f>
        <v>9091</v>
      </c>
      <c r="I225" s="347">
        <f t="shared" si="89"/>
        <v>3012</v>
      </c>
      <c r="J225" s="347">
        <f t="shared" si="90"/>
        <v>740</v>
      </c>
      <c r="K225" s="347">
        <f t="shared" si="91"/>
        <v>32965</v>
      </c>
      <c r="L225" s="347">
        <f t="shared" si="92"/>
        <v>0</v>
      </c>
    </row>
    <row r="226" spans="1:12">
      <c r="A226" s="333">
        <v>24</v>
      </c>
      <c r="C226" s="618" t="str">
        <f>'FR-16(7)(v)-1 Functional'!C226</f>
        <v>RATE CASE EXPENSE AMORT</v>
      </c>
      <c r="D226" s="344" t="str">
        <f>'FR-16(7)(v)-1 Functional'!D226</f>
        <v>AG39</v>
      </c>
      <c r="F226" s="479">
        <f>'FR-16(7)(v)-4 DISTR Classified'!G226</f>
        <v>-9012</v>
      </c>
      <c r="G226" s="349">
        <f t="shared" si="88"/>
        <v>-5501</v>
      </c>
      <c r="H226" s="347">
        <f>ROUND($F$226*VLOOKUP($D$226,ALLOCTABLE_DISTR_DEMAND,$H$10,FALSE),0)</f>
        <v>-2485</v>
      </c>
      <c r="I226" s="347">
        <f>ROUND(F226*VLOOKUP(D226,ALLOCTABLE_DISTR_DEMAND,$I$10,FALSE),0)</f>
        <v>-824</v>
      </c>
      <c r="J226" s="347">
        <f>ROUND(F226*VLOOKUP(D226,ALLOCTABLE_DISTR_DEMAND,$J$10,FALSE),0)</f>
        <v>-202</v>
      </c>
      <c r="K226" s="347">
        <f>SUM(G226:J226)</f>
        <v>-9012</v>
      </c>
      <c r="L226" s="347">
        <f>F226-K226</f>
        <v>0</v>
      </c>
    </row>
    <row r="227" spans="1:12">
      <c r="A227" s="333">
        <v>25</v>
      </c>
      <c r="C227" s="332" t="str">
        <f>'FR-16(7)(v)-1 Functional'!C227</f>
        <v>PENSION</v>
      </c>
      <c r="D227" s="344" t="str">
        <f>'FR-16(7)(v)-1 Functional'!D227</f>
        <v>AG39</v>
      </c>
      <c r="F227" s="479">
        <f>'FR-16(7)(v)-4 DISTR Classified'!G227</f>
        <v>575945</v>
      </c>
      <c r="G227" s="349">
        <f t="shared" si="88"/>
        <v>351551</v>
      </c>
      <c r="H227" s="347">
        <f>ROUND($F$227*VLOOKUP($D$227,ALLOCTABLE_DISTR_DEMAND,$H$10,FALSE),0)</f>
        <v>158828</v>
      </c>
      <c r="I227" s="347">
        <f>ROUND(F227*VLOOKUP(D227,ALLOCTABLE_DISTR_DEMAND,$I$10,FALSE),0)</f>
        <v>52630</v>
      </c>
      <c r="J227" s="347">
        <f>ROUND(F227*VLOOKUP(D227,ALLOCTABLE_DISTR_DEMAND,$J$10,FALSE),0)</f>
        <v>12936</v>
      </c>
      <c r="K227" s="347">
        <f>SUM(G227:J227)</f>
        <v>575945</v>
      </c>
      <c r="L227" s="347">
        <f>F227-K227</f>
        <v>0</v>
      </c>
    </row>
    <row r="228" spans="1:12">
      <c r="A228" s="333">
        <v>26</v>
      </c>
      <c r="C228" s="365" t="str">
        <f>'FR-16(7)(v)-1 Functional'!C228</f>
        <v>MISCELLANEOUS</v>
      </c>
      <c r="D228" s="344" t="str">
        <f>'FR-16(7)(v)-1 Functional'!D228</f>
        <v>K406</v>
      </c>
      <c r="F228" s="479">
        <f>'FR-16(7)(v)-4 DISTR Classified'!G228</f>
        <v>0</v>
      </c>
      <c r="G228" s="349">
        <f t="shared" si="88"/>
        <v>0</v>
      </c>
      <c r="H228" s="347">
        <f>ROUND($F$228*VLOOKUP($D$228,ALLOCTABLE_DISTR_DEMAND,$H$10,FALSE),0)</f>
        <v>0</v>
      </c>
      <c r="I228" s="347">
        <f>ROUND(F228*VLOOKUP(D228,ALLOCTABLE_DISTR_DEMAND,$I$10,FALSE),0)</f>
        <v>0</v>
      </c>
      <c r="J228" s="347">
        <f>ROUND(F228*VLOOKUP(D228,ALLOCTABLE_DISTR_DEMAND,$J$10,FALSE),0)</f>
        <v>0</v>
      </c>
      <c r="K228" s="347">
        <f t="shared" si="91"/>
        <v>0</v>
      </c>
      <c r="L228" s="347">
        <f t="shared" si="92"/>
        <v>0</v>
      </c>
    </row>
    <row r="229" spans="1:12">
      <c r="A229" s="333">
        <v>27</v>
      </c>
      <c r="C229" s="339" t="str">
        <f>'FR-16(7)(v)-1 Functional'!C229</f>
        <v xml:space="preserve">  TOTAL ACCOUNT 283</v>
      </c>
      <c r="D229" s="344"/>
      <c r="F229" s="348">
        <f t="shared" ref="F229:L229" si="93">SUM(F217:F228)</f>
        <v>616374</v>
      </c>
      <c r="G229" s="348">
        <f>SUM(G217:G228)</f>
        <v>375762</v>
      </c>
      <c r="H229" s="348">
        <f t="shared" si="93"/>
        <v>170219</v>
      </c>
      <c r="I229" s="348">
        <f t="shared" si="93"/>
        <v>56474</v>
      </c>
      <c r="J229" s="348">
        <f t="shared" si="93"/>
        <v>13919</v>
      </c>
      <c r="K229" s="348">
        <f t="shared" si="93"/>
        <v>616374</v>
      </c>
      <c r="L229" s="348">
        <f t="shared" si="93"/>
        <v>0</v>
      </c>
    </row>
    <row r="230" spans="1:12">
      <c r="A230" s="333">
        <v>28</v>
      </c>
      <c r="D230" s="344"/>
      <c r="E230" s="196"/>
      <c r="I230" s="332"/>
    </row>
    <row r="231" spans="1:12">
      <c r="A231" s="333">
        <v>29</v>
      </c>
      <c r="B231" s="353" t="s">
        <v>824</v>
      </c>
      <c r="C231" s="353"/>
      <c r="D231" s="344"/>
      <c r="E231" s="196"/>
      <c r="I231" s="332"/>
    </row>
    <row r="232" spans="1:12">
      <c r="A232" s="333">
        <v>30</v>
      </c>
      <c r="C232" s="332" t="str">
        <f>'FR-16(7)(v)-1 Functional'!C232</f>
        <v>CUSTOMER ADVANCES FOR CONSTRUCTION</v>
      </c>
      <c r="D232" s="344" t="s">
        <v>312</v>
      </c>
      <c r="E232" s="196"/>
      <c r="F232" s="479">
        <f>'FR-16(7)(v)-4 DISTR Classified'!G232</f>
        <v>873243</v>
      </c>
      <c r="G232" s="349">
        <f>F232-SUM(H232:J232)</f>
        <v>487950</v>
      </c>
      <c r="H232" s="347">
        <f>ROUND($F$232*VLOOKUP($D$232,ALLOCTABLE_DISTR_DEMAND,$H$10,FALSE),0)</f>
        <v>264139</v>
      </c>
      <c r="I232" s="347">
        <f>ROUND(F232*VLOOKUP(D232,ALLOCTABLE_DISTR_DEMAND,$I$10,FALSE),0)</f>
        <v>94354</v>
      </c>
      <c r="J232" s="347">
        <f>ROUND(F232*VLOOKUP(D232,ALLOCTABLE_DISTR_DEMAND,$J$10,FALSE),0)</f>
        <v>26800</v>
      </c>
      <c r="K232" s="347">
        <f>SUM(G232:J232)</f>
        <v>873243</v>
      </c>
      <c r="L232" s="347">
        <f>F232-K232</f>
        <v>0</v>
      </c>
    </row>
    <row r="233" spans="1:12">
      <c r="A233" s="333">
        <v>31</v>
      </c>
      <c r="C233" s="332" t="str">
        <f>'FR-16(7)(v)-1 Functional'!C233</f>
        <v>CUSTOMER SERVICE DEPOSITS</v>
      </c>
      <c r="D233" s="344" t="str">
        <f>'FR-16(7)(v)-1 Functional'!D233</f>
        <v>D249</v>
      </c>
      <c r="E233" s="196"/>
      <c r="F233" s="479">
        <f>'FR-16(7)(v)-4 DISTR Classified'!G233</f>
        <v>0</v>
      </c>
      <c r="G233" s="349">
        <f>F233-SUM(H233:J233)</f>
        <v>0</v>
      </c>
      <c r="H233" s="347">
        <f>ROUND($F$233*VLOOKUP($D$233,ALLOCTABLE_DISTR_DEMAND,$H$10,FALSE),0)</f>
        <v>0</v>
      </c>
      <c r="I233" s="347">
        <f>ROUND(F233*VLOOKUP(D233,ALLOCTABLE_DISTR_DEMAND,$I$10,FALSE),0)</f>
        <v>0</v>
      </c>
      <c r="J233" s="347">
        <f>ROUND(F233*VLOOKUP(D233,ALLOCTABLE_DISTR_DEMAND,$J$10,FALSE),0)</f>
        <v>0</v>
      </c>
      <c r="K233" s="347">
        <f>SUM(G233:J233)</f>
        <v>0</v>
      </c>
      <c r="L233" s="347">
        <f>F233-K233</f>
        <v>0</v>
      </c>
    </row>
    <row r="234" spans="1:12">
      <c r="A234" s="333">
        <v>32</v>
      </c>
      <c r="C234" s="332" t="str">
        <f>'FR-16(7)(v)-1 Functional'!C234</f>
        <v>POST RETIREMENT BENEFITS</v>
      </c>
      <c r="D234" s="344" t="str">
        <f>'FR-16(7)(v)-1 Functional'!D234</f>
        <v>AG39</v>
      </c>
      <c r="E234" s="196"/>
      <c r="F234" s="479">
        <f>'FR-16(7)(v)-4 DISTR Classified'!G234</f>
        <v>0</v>
      </c>
      <c r="G234" s="349">
        <f>F234-SUM(H234:J234)</f>
        <v>0</v>
      </c>
      <c r="H234" s="347">
        <f>ROUND($F$234*VLOOKUP($D$234,ALLOCTABLE_DISTR_DEMAND,$H$10,FALSE),0)</f>
        <v>0</v>
      </c>
      <c r="I234" s="347">
        <f>ROUND(F234*VLOOKUP(D234,ALLOCTABLE_DISTR_DEMAND,$I$10,FALSE),0)</f>
        <v>0</v>
      </c>
      <c r="J234" s="347">
        <f>ROUND(F234*VLOOKUP(D234,ALLOCTABLE_DISTR_DEMAND,$J$10,FALSE),0)</f>
        <v>0</v>
      </c>
      <c r="K234" s="347">
        <f>SUM(G234:J234)</f>
        <v>0</v>
      </c>
      <c r="L234" s="347">
        <f>F234-K234</f>
        <v>0</v>
      </c>
    </row>
    <row r="235" spans="1:12">
      <c r="A235" s="333">
        <v>33</v>
      </c>
      <c r="C235" s="365" t="str">
        <f>'FR-16(7)(v)-1 Functional'!C235</f>
        <v>EDIT</v>
      </c>
      <c r="D235" s="344" t="str">
        <f>'FR-16(7)(v)-1 Functional'!D235</f>
        <v>NP29</v>
      </c>
      <c r="E235" s="196"/>
      <c r="F235" s="479">
        <f>'FR-16(7)(v)-4 DISTR Classified'!G235</f>
        <v>17005754</v>
      </c>
      <c r="G235" s="349">
        <f>F235-SUM(H235:J235)</f>
        <v>9527304</v>
      </c>
      <c r="H235" s="347">
        <f>ROUND($F$235*VLOOKUP($D$235,ALLOCTABLE_DISTR_DEMAND,$H$10,FALSE),0)</f>
        <v>5130976</v>
      </c>
      <c r="I235" s="347">
        <f>ROUND(F235*VLOOKUP(D235,ALLOCTABLE_DISTR_DEMAND,$I$10,FALSE),0)</f>
        <v>1829479</v>
      </c>
      <c r="J235" s="347">
        <f>ROUND(F235*VLOOKUP(D235,ALLOCTABLE_DISTR_DEMAND,$J$10,FALSE),0)</f>
        <v>517995</v>
      </c>
      <c r="K235" s="347">
        <f>SUM(G235:J235)</f>
        <v>17005754</v>
      </c>
      <c r="L235" s="347">
        <f>F235-K235</f>
        <v>0</v>
      </c>
    </row>
    <row r="236" spans="1:12">
      <c r="A236" s="333">
        <v>34</v>
      </c>
      <c r="C236" s="339" t="str">
        <f>'FR-16(7)(v)-1 Functional'!C236</f>
        <v xml:space="preserve">  TOTAL OTHER SUBTRACTIVE ADJS</v>
      </c>
      <c r="D236" s="344"/>
      <c r="E236" s="196"/>
      <c r="F236" s="348">
        <f t="shared" ref="F236:L236" si="94">SUM(F231:F235)</f>
        <v>17878997</v>
      </c>
      <c r="G236" s="348">
        <f>SUM(G231:G235)</f>
        <v>10015254</v>
      </c>
      <c r="H236" s="348">
        <f t="shared" si="94"/>
        <v>5395115</v>
      </c>
      <c r="I236" s="348">
        <f t="shared" si="94"/>
        <v>1923833</v>
      </c>
      <c r="J236" s="348">
        <f t="shared" si="94"/>
        <v>544795</v>
      </c>
      <c r="K236" s="348">
        <f t="shared" si="94"/>
        <v>17878997</v>
      </c>
      <c r="L236" s="348">
        <f t="shared" si="94"/>
        <v>0</v>
      </c>
    </row>
    <row r="237" spans="1:12">
      <c r="A237" s="333">
        <v>35</v>
      </c>
      <c r="D237" s="344"/>
      <c r="E237" s="196"/>
      <c r="I237" s="332"/>
    </row>
    <row r="238" spans="1:12">
      <c r="A238" s="333">
        <v>36</v>
      </c>
      <c r="B238" s="332" t="s">
        <v>828</v>
      </c>
      <c r="D238" s="344"/>
      <c r="E238" s="196"/>
      <c r="F238" s="347">
        <f t="shared" ref="F238:L238" si="95">F236+F229+F215</f>
        <v>49901330</v>
      </c>
      <c r="G238" s="347">
        <f>G236+G229+G215</f>
        <v>28146696</v>
      </c>
      <c r="H238" s="347">
        <f t="shared" si="95"/>
        <v>14957931</v>
      </c>
      <c r="I238" s="347">
        <f t="shared" si="95"/>
        <v>5307015</v>
      </c>
      <c r="J238" s="347">
        <f t="shared" si="95"/>
        <v>1489688</v>
      </c>
      <c r="K238" s="347">
        <f t="shared" si="95"/>
        <v>49901330</v>
      </c>
      <c r="L238" s="347">
        <f t="shared" si="95"/>
        <v>0</v>
      </c>
    </row>
    <row r="239" spans="1:12">
      <c r="B239" s="343"/>
      <c r="C239" s="196"/>
      <c r="D239" s="344"/>
      <c r="E239" s="196"/>
      <c r="G239" s="196"/>
      <c r="H239" s="196"/>
      <c r="I239" s="196"/>
      <c r="J239" s="344"/>
      <c r="K239" s="196"/>
      <c r="L239" s="196"/>
    </row>
    <row r="240" spans="1:12">
      <c r="A240" s="343" t="str">
        <f>co_name</f>
        <v>DUKE ENERGY KENTUCKY, INC.</v>
      </c>
      <c r="C240" s="196"/>
      <c r="D240" s="344"/>
      <c r="E240" s="196"/>
      <c r="F240" s="344"/>
      <c r="G240" s="342"/>
      <c r="H240" s="342"/>
      <c r="I240" s="196"/>
      <c r="K240" s="361" t="str">
        <f>$K$1</f>
        <v>FR-16(7)(v)-5</v>
      </c>
      <c r="L240" s="196"/>
    </row>
    <row r="241" spans="1:12">
      <c r="A241" s="343" t="str">
        <f>$A$2</f>
        <v>DISTRIBUTION DEMAND ALLOCATED - GAS COST OF SERVICE</v>
      </c>
      <c r="C241" s="196"/>
      <c r="D241" s="344"/>
      <c r="E241" s="196"/>
      <c r="F241" s="344"/>
      <c r="G241" s="342"/>
      <c r="H241" s="342"/>
      <c r="I241" s="196"/>
      <c r="K241" s="361" t="str">
        <f>$K$2</f>
        <v>WITNESS RESPONSIBLE:</v>
      </c>
      <c r="L241" s="196"/>
    </row>
    <row r="242" spans="1:12">
      <c r="A242" s="343" t="str">
        <f>case_name</f>
        <v>CASE NO: 2018-00261</v>
      </c>
      <c r="C242" s="196"/>
      <c r="D242" s="344"/>
      <c r="E242" s="196"/>
      <c r="F242" s="344"/>
      <c r="G242" s="342"/>
      <c r="H242" s="342"/>
      <c r="I242" s="196"/>
      <c r="K242" s="361" t="str">
        <f>Witness</f>
        <v>JAMES E. ZIOLKOWSKI</v>
      </c>
      <c r="L242" s="196"/>
    </row>
    <row r="243" spans="1:12">
      <c r="A243" s="343" t="str">
        <f>data_filing</f>
        <v>DATA: 12 MONTH FORECASTED PERIOD</v>
      </c>
      <c r="C243" s="196"/>
      <c r="D243" s="344"/>
      <c r="E243" s="196"/>
      <c r="F243" s="344"/>
      <c r="G243" s="342"/>
      <c r="H243" s="342"/>
      <c r="I243" s="196"/>
      <c r="K243" s="361" t="str">
        <f>"PAGE "&amp;Pages-12&amp;" OF "&amp;Pages</f>
        <v>PAGE 6 OF 18</v>
      </c>
      <c r="L243" s="196"/>
    </row>
    <row r="244" spans="1:12">
      <c r="A244" s="343" t="str">
        <f>type</f>
        <v xml:space="preserve">TYPE OF FILING: "X" ORIGINAL   UPDATED    REVISED  </v>
      </c>
      <c r="C244" s="196"/>
      <c r="D244" s="344"/>
      <c r="E244" s="196"/>
      <c r="F244" s="344"/>
      <c r="G244" s="342"/>
      <c r="H244" s="342"/>
      <c r="I244" s="196"/>
      <c r="J244" s="344"/>
      <c r="K244" s="196"/>
      <c r="L244" s="196"/>
    </row>
    <row r="245" spans="1:12">
      <c r="B245" s="343"/>
      <c r="C245" s="196"/>
      <c r="D245" s="344"/>
      <c r="E245" s="196"/>
      <c r="F245" s="344"/>
      <c r="G245" s="196"/>
      <c r="H245" s="196"/>
      <c r="I245" s="196"/>
      <c r="J245" s="344"/>
      <c r="K245" s="196"/>
      <c r="L245" s="196"/>
    </row>
    <row r="246" spans="1:12">
      <c r="B246" s="343"/>
      <c r="C246" s="196"/>
      <c r="D246" s="344"/>
      <c r="E246" s="196"/>
      <c r="F246" s="344" t="str">
        <f>$F$7</f>
        <v>TOTAL</v>
      </c>
      <c r="G246" s="196"/>
      <c r="H246" s="196"/>
      <c r="I246" s="196"/>
      <c r="J246" s="344"/>
      <c r="K246" s="196"/>
      <c r="L246" s="196"/>
    </row>
    <row r="247" spans="1:12">
      <c r="A247" s="344" t="s">
        <v>914</v>
      </c>
      <c r="B247" s="196"/>
      <c r="C247" s="196"/>
      <c r="D247" s="344"/>
      <c r="E247" s="196"/>
      <c r="F247" s="344" t="str">
        <f>$F$8</f>
        <v>DISTRIBUTION</v>
      </c>
      <c r="G247" s="344" t="s">
        <v>418</v>
      </c>
      <c r="H247" s="344" t="s">
        <v>864</v>
      </c>
      <c r="I247" s="344" t="s">
        <v>865</v>
      </c>
      <c r="J247" s="344" t="s">
        <v>549</v>
      </c>
      <c r="K247" s="344" t="s">
        <v>229</v>
      </c>
      <c r="L247" s="344" t="s">
        <v>342</v>
      </c>
    </row>
    <row r="248" spans="1:12">
      <c r="A248" s="346" t="s">
        <v>915</v>
      </c>
      <c r="B248" s="345" t="s">
        <v>954</v>
      </c>
      <c r="C248" s="345"/>
      <c r="D248" s="346" t="s">
        <v>337</v>
      </c>
      <c r="E248" s="345"/>
      <c r="F248" s="344" t="str">
        <f>$F$9</f>
        <v>DEMAND</v>
      </c>
      <c r="G248" s="346" t="s">
        <v>338</v>
      </c>
      <c r="H248" s="346" t="s">
        <v>405</v>
      </c>
      <c r="I248" s="346" t="s">
        <v>405</v>
      </c>
      <c r="J248" s="346" t="s">
        <v>550</v>
      </c>
      <c r="K248" s="346" t="s">
        <v>341</v>
      </c>
      <c r="L248" s="346" t="s">
        <v>340</v>
      </c>
    </row>
    <row r="249" spans="1:12">
      <c r="C249" s="578" t="s">
        <v>558</v>
      </c>
      <c r="D249" s="344"/>
      <c r="E249" s="196"/>
      <c r="F249" s="761"/>
      <c r="G249" s="633">
        <f>$G$10</f>
        <v>3</v>
      </c>
      <c r="H249" s="633">
        <f>$H$10</f>
        <v>4</v>
      </c>
      <c r="I249" s="633">
        <f>$I$10</f>
        <v>5</v>
      </c>
      <c r="J249" s="633">
        <f>$J$10</f>
        <v>6</v>
      </c>
    </row>
    <row r="250" spans="1:12">
      <c r="A250" s="333">
        <v>1</v>
      </c>
      <c r="B250" s="332" t="s">
        <v>826</v>
      </c>
      <c r="D250" s="344"/>
      <c r="E250" s="196"/>
      <c r="I250" s="332"/>
    </row>
    <row r="251" spans="1:12">
      <c r="A251" s="333">
        <v>2</v>
      </c>
      <c r="B251" s="332" t="s">
        <v>29</v>
      </c>
      <c r="D251" s="344"/>
      <c r="E251" s="196"/>
      <c r="I251" s="332"/>
    </row>
    <row r="252" spans="1:12">
      <c r="A252" s="333">
        <v>3</v>
      </c>
      <c r="C252" s="332" t="str">
        <f>'FR-16(7)(v)-1 Functional'!C252</f>
        <v>UNCOLLECTIBLE ACCTS</v>
      </c>
      <c r="D252" s="344" t="str">
        <f>'FR-16(7)(v)-1 Functional'!D252</f>
        <v>K406</v>
      </c>
      <c r="F252" s="479">
        <f>'FR-16(7)(v)-4 DISTR Classified'!G252</f>
        <v>0</v>
      </c>
      <c r="G252" s="349">
        <f t="shared" ref="G252:G274" si="96">F252-SUM(H252:J252)</f>
        <v>0</v>
      </c>
      <c r="H252" s="347">
        <f>ROUND($F$252*VLOOKUP($D$252,ALLOCTABLE_DISTR_DEMAND,$H$10,FALSE),0)</f>
        <v>0</v>
      </c>
      <c r="I252" s="347">
        <f t="shared" ref="I252:I274" si="97">ROUND(F252*VLOOKUP(D252,ALLOCTABLE_DISTR_DEMAND,$I$10,FALSE),0)</f>
        <v>0</v>
      </c>
      <c r="J252" s="347">
        <f t="shared" ref="J252:J274" si="98">ROUND(F252*VLOOKUP(D252,ALLOCTABLE_DISTR_DEMAND,$J$10,FALSE),0)</f>
        <v>0</v>
      </c>
      <c r="K252" s="347">
        <f t="shared" ref="K252:K274" si="99">SUM(G252:J252)</f>
        <v>0</v>
      </c>
      <c r="L252" s="347">
        <f t="shared" ref="L252:L274" si="100">F252-K252</f>
        <v>0</v>
      </c>
    </row>
    <row r="253" spans="1:12">
      <c r="A253" s="333">
        <v>4</v>
      </c>
      <c r="C253" s="332" t="str">
        <f>'FR-16(7)(v)-1 Functional'!C253</f>
        <v>GAS SUPPLIER REFUND</v>
      </c>
      <c r="D253" s="344" t="str">
        <f>'FR-16(7)(v)-1 Functional'!D253</f>
        <v>K300</v>
      </c>
      <c r="F253" s="479">
        <f>'FR-16(7)(v)-4 DISTR Classified'!G253</f>
        <v>0</v>
      </c>
      <c r="G253" s="349">
        <f t="shared" si="96"/>
        <v>0</v>
      </c>
      <c r="H253" s="347">
        <f>ROUND($F$253*VLOOKUP($D$253,ALLOCTABLE_DISTR_DEMAND,$H$10,FALSE),0)</f>
        <v>0</v>
      </c>
      <c r="I253" s="347">
        <f t="shared" si="97"/>
        <v>0</v>
      </c>
      <c r="J253" s="347">
        <f t="shared" si="98"/>
        <v>0</v>
      </c>
      <c r="K253" s="347">
        <f t="shared" si="99"/>
        <v>0</v>
      </c>
      <c r="L253" s="347">
        <f t="shared" si="100"/>
        <v>0</v>
      </c>
    </row>
    <row r="254" spans="1:12">
      <c r="A254" s="333">
        <v>5</v>
      </c>
      <c r="C254" s="332" t="str">
        <f>'FR-16(7)(v)-1 Functional'!C254</f>
        <v>UNBILLED REVENUE - FUEL &amp; RATE REFUNDS</v>
      </c>
      <c r="D254" s="344" t="str">
        <f>'FR-16(7)(v)-1 Functional'!D254</f>
        <v>K300</v>
      </c>
      <c r="F254" s="479">
        <f>'FR-16(7)(v)-4 DISTR Classified'!G254</f>
        <v>0</v>
      </c>
      <c r="G254" s="349">
        <f t="shared" si="96"/>
        <v>0</v>
      </c>
      <c r="H254" s="347">
        <f>ROUND($F$254*VLOOKUP($D$254,ALLOCTABLE_DISTR_DEMAND,$H$10,FALSE),0)</f>
        <v>0</v>
      </c>
      <c r="I254" s="347">
        <f t="shared" si="97"/>
        <v>0</v>
      </c>
      <c r="J254" s="347">
        <f t="shared" si="98"/>
        <v>0</v>
      </c>
      <c r="K254" s="347">
        <f t="shared" si="99"/>
        <v>0</v>
      </c>
      <c r="L254" s="347">
        <f t="shared" si="100"/>
        <v>0</v>
      </c>
    </row>
    <row r="255" spans="1:12">
      <c r="A255" s="333">
        <v>6</v>
      </c>
      <c r="C255" s="353" t="str">
        <f>'FR-16(7)(v)-1 Functional'!C255</f>
        <v>OFFSITE GAS STORAGE</v>
      </c>
      <c r="D255" s="344" t="str">
        <f>'FR-16(7)(v)-1 Functional'!D255</f>
        <v>K300</v>
      </c>
      <c r="F255" s="479">
        <f>'FR-16(7)(v)-4 DISTR Classified'!G255</f>
        <v>0</v>
      </c>
      <c r="G255" s="349">
        <f t="shared" si="96"/>
        <v>0</v>
      </c>
      <c r="H255" s="347">
        <f>ROUND($F$255*VLOOKUP($D$255,ALLOCTABLE_DISTR_DEMAND,$H$10,FALSE),0)</f>
        <v>0</v>
      </c>
      <c r="I255" s="347">
        <f t="shared" si="97"/>
        <v>0</v>
      </c>
      <c r="J255" s="347">
        <f t="shared" si="98"/>
        <v>0</v>
      </c>
      <c r="K255" s="347">
        <f t="shared" si="99"/>
        <v>0</v>
      </c>
      <c r="L255" s="347">
        <f t="shared" si="100"/>
        <v>0</v>
      </c>
    </row>
    <row r="256" spans="1:12">
      <c r="A256" s="333">
        <v>7</v>
      </c>
      <c r="C256" s="332" t="str">
        <f>'FR-16(7)(v)-1 Functional'!C256</f>
        <v>GAS METERS</v>
      </c>
      <c r="D256" s="344" t="str">
        <f>'FR-16(7)(v)-1 Functional'!D256</f>
        <v>K413</v>
      </c>
      <c r="F256" s="479">
        <f>'FR-16(7)(v)-4 DISTR Classified'!G256</f>
        <v>0</v>
      </c>
      <c r="G256" s="349">
        <f t="shared" si="96"/>
        <v>0</v>
      </c>
      <c r="H256" s="347">
        <f>ROUND($F$256*VLOOKUP($D$256,ALLOCTABLE_DISTR_DEMAND,$H$10,FALSE),0)</f>
        <v>0</v>
      </c>
      <c r="I256" s="347">
        <f t="shared" si="97"/>
        <v>0</v>
      </c>
      <c r="J256" s="347">
        <f t="shared" si="98"/>
        <v>0</v>
      </c>
      <c r="K256" s="347">
        <f t="shared" si="99"/>
        <v>0</v>
      </c>
      <c r="L256" s="347">
        <f t="shared" si="100"/>
        <v>0</v>
      </c>
    </row>
    <row r="257" spans="1:12">
      <c r="A257" s="333">
        <v>8</v>
      </c>
      <c r="C257" s="332" t="str">
        <f>'FR-16(7)(v)-1 Functional'!C257</f>
        <v>UNAMORTIZED DEBT PREMIUM</v>
      </c>
      <c r="D257" s="344" t="str">
        <f>'FR-16(7)(v)-1 Functional'!D257</f>
        <v>NP29</v>
      </c>
      <c r="F257" s="479">
        <f>'FR-16(7)(v)-4 DISTR Classified'!G257</f>
        <v>-996</v>
      </c>
      <c r="G257" s="349">
        <f t="shared" si="96"/>
        <v>-558</v>
      </c>
      <c r="H257" s="347">
        <f>ROUND($F$257*VLOOKUP($D$257,ALLOCTABLE_DISTR_DEMAND,$H$10,FALSE),0)</f>
        <v>-301</v>
      </c>
      <c r="I257" s="347">
        <f t="shared" si="97"/>
        <v>-107</v>
      </c>
      <c r="J257" s="347">
        <f t="shared" si="98"/>
        <v>-30</v>
      </c>
      <c r="K257" s="347">
        <f t="shared" si="99"/>
        <v>-996</v>
      </c>
      <c r="L257" s="347">
        <f t="shared" si="100"/>
        <v>0</v>
      </c>
    </row>
    <row r="258" spans="1:12">
      <c r="A258" s="333">
        <v>9</v>
      </c>
      <c r="C258" s="332" t="str">
        <f>'FR-16(7)(v)-1 Functional'!C258</f>
        <v>ARO CUMULATIVE EFFECT</v>
      </c>
      <c r="D258" s="344" t="str">
        <f>'FR-16(7)(v)-1 Functional'!D258</f>
        <v>NP29</v>
      </c>
      <c r="F258" s="479">
        <f>'FR-16(7)(v)-4 DISTR Classified'!G258</f>
        <v>0</v>
      </c>
      <c r="G258" s="349">
        <f t="shared" si="96"/>
        <v>0</v>
      </c>
      <c r="H258" s="347">
        <f>ROUND($F$258*VLOOKUP($D$258,ALLOCTABLE_DISTR_DEMAND,$H$10,FALSE),0)</f>
        <v>0</v>
      </c>
      <c r="I258" s="347">
        <f t="shared" si="97"/>
        <v>0</v>
      </c>
      <c r="J258" s="347">
        <f t="shared" si="98"/>
        <v>0</v>
      </c>
      <c r="K258" s="347">
        <f t="shared" si="99"/>
        <v>0</v>
      </c>
      <c r="L258" s="347">
        <f t="shared" si="100"/>
        <v>0</v>
      </c>
    </row>
    <row r="259" spans="1:12">
      <c r="A259" s="333">
        <v>10</v>
      </c>
      <c r="C259" s="332" t="str">
        <f>'FR-16(7)(v)-1 Functional'!C259</f>
        <v>PENSION EXPENSE</v>
      </c>
      <c r="D259" s="344" t="str">
        <f>'FR-16(7)(v)-1 Functional'!D259</f>
        <v>AG39</v>
      </c>
      <c r="F259" s="479">
        <f>'FR-16(7)(v)-4 DISTR Classified'!G259</f>
        <v>66245</v>
      </c>
      <c r="G259" s="349">
        <f t="shared" si="96"/>
        <v>40436</v>
      </c>
      <c r="H259" s="347">
        <f>ROUND($F$259*VLOOKUP($D$259,ALLOCTABLE_DISTR_DEMAND,$H$10,FALSE),0)</f>
        <v>18268</v>
      </c>
      <c r="I259" s="347">
        <f t="shared" si="97"/>
        <v>6053</v>
      </c>
      <c r="J259" s="347">
        <f t="shared" si="98"/>
        <v>1488</v>
      </c>
      <c r="K259" s="347">
        <f t="shared" si="99"/>
        <v>66245</v>
      </c>
      <c r="L259" s="347">
        <f t="shared" si="100"/>
        <v>0</v>
      </c>
    </row>
    <row r="260" spans="1:12">
      <c r="A260" s="333">
        <v>11</v>
      </c>
      <c r="C260" s="332" t="str">
        <f>'FR-16(7)(v)-1 Functional'!C260</f>
        <v>POST RETIREMENT BENEFITS - LIFE INS</v>
      </c>
      <c r="D260" s="344" t="str">
        <f>'FR-16(7)(v)-1 Functional'!D260</f>
        <v>AG39</v>
      </c>
      <c r="F260" s="479">
        <f>'FR-16(7)(v)-4 DISTR Classified'!G260</f>
        <v>0</v>
      </c>
      <c r="G260" s="349">
        <f t="shared" si="96"/>
        <v>0</v>
      </c>
      <c r="H260" s="347">
        <f>ROUND($F$260*VLOOKUP($D$260,ALLOCTABLE_DISTR_DEMAND,$H$10,FALSE),0)</f>
        <v>0</v>
      </c>
      <c r="I260" s="347">
        <f t="shared" si="97"/>
        <v>0</v>
      </c>
      <c r="J260" s="347">
        <f t="shared" si="98"/>
        <v>0</v>
      </c>
      <c r="K260" s="347">
        <f t="shared" si="99"/>
        <v>0</v>
      </c>
      <c r="L260" s="347">
        <f t="shared" si="100"/>
        <v>0</v>
      </c>
    </row>
    <row r="261" spans="1:12">
      <c r="A261" s="333">
        <v>12</v>
      </c>
      <c r="C261" s="332" t="str">
        <f>'FR-16(7)(v)-1 Functional'!C261</f>
        <v>POST RETIREMENT BENEFITS - HEALTH CARE</v>
      </c>
      <c r="D261" s="344" t="str">
        <f>'FR-16(7)(v)-1 Functional'!D261</f>
        <v>AG39</v>
      </c>
      <c r="F261" s="479">
        <f>'FR-16(7)(v)-4 DISTR Classified'!G261</f>
        <v>0</v>
      </c>
      <c r="G261" s="349">
        <f t="shared" si="96"/>
        <v>0</v>
      </c>
      <c r="H261" s="347">
        <f>ROUND($F$261*VLOOKUP($D$261,ALLOCTABLE_DISTR_DEMAND,$H$10,FALSE),0)</f>
        <v>0</v>
      </c>
      <c r="I261" s="347">
        <f t="shared" si="97"/>
        <v>0</v>
      </c>
      <c r="J261" s="347">
        <f t="shared" si="98"/>
        <v>0</v>
      </c>
      <c r="K261" s="347">
        <f t="shared" si="99"/>
        <v>0</v>
      </c>
      <c r="L261" s="347">
        <f t="shared" si="100"/>
        <v>0</v>
      </c>
    </row>
    <row r="262" spans="1:12">
      <c r="A262" s="333">
        <v>13</v>
      </c>
      <c r="C262" s="332" t="str">
        <f>'FR-16(7)(v)-1 Functional'!C262</f>
        <v>POST EMPLOYMENT BENEFITS - SFAS 112</v>
      </c>
      <c r="D262" s="344" t="str">
        <f>'FR-16(7)(v)-1 Functional'!D262</f>
        <v>AG39</v>
      </c>
      <c r="F262" s="479">
        <f>'FR-16(7)(v)-4 DISTR Classified'!G262</f>
        <v>15800</v>
      </c>
      <c r="G262" s="349">
        <f t="shared" si="96"/>
        <v>9644</v>
      </c>
      <c r="H262" s="347">
        <f>ROUND($F$262*VLOOKUP($D$262,ALLOCTABLE_DISTR_DEMAND,$H$10,FALSE),0)</f>
        <v>4357</v>
      </c>
      <c r="I262" s="347">
        <f t="shared" si="97"/>
        <v>1444</v>
      </c>
      <c r="J262" s="347">
        <f t="shared" si="98"/>
        <v>355</v>
      </c>
      <c r="K262" s="347">
        <f t="shared" si="99"/>
        <v>15800</v>
      </c>
      <c r="L262" s="347">
        <f t="shared" si="100"/>
        <v>0</v>
      </c>
    </row>
    <row r="263" spans="1:12">
      <c r="A263" s="333">
        <v>14</v>
      </c>
      <c r="C263" s="332" t="str">
        <f>'FR-16(7)(v)-1 Functional'!C263</f>
        <v>OPEB EXPENSE ACCRUAL</v>
      </c>
      <c r="D263" s="344" t="str">
        <f>'FR-16(7)(v)-1 Functional'!D263</f>
        <v>AG39</v>
      </c>
      <c r="F263" s="479">
        <f>'FR-16(7)(v)-4 DISTR Classified'!G263</f>
        <v>108723</v>
      </c>
      <c r="G263" s="349">
        <f t="shared" si="96"/>
        <v>66363</v>
      </c>
      <c r="H263" s="347">
        <f>ROUND($F$263*VLOOKUP($D$263,ALLOCTABLE_DISTR_DEMAND,$H$10,FALSE),0)</f>
        <v>29983</v>
      </c>
      <c r="I263" s="347">
        <f t="shared" si="97"/>
        <v>9935</v>
      </c>
      <c r="J263" s="347">
        <f t="shared" si="98"/>
        <v>2442</v>
      </c>
      <c r="K263" s="347">
        <f t="shared" si="99"/>
        <v>108723</v>
      </c>
      <c r="L263" s="347">
        <f t="shared" si="100"/>
        <v>0</v>
      </c>
    </row>
    <row r="264" spans="1:12">
      <c r="A264" s="333">
        <v>15</v>
      </c>
      <c r="C264" s="332" t="str">
        <f>'FR-16(7)(v)-1 Functional'!C264</f>
        <v>INCENTIVE PLAN</v>
      </c>
      <c r="D264" s="344" t="str">
        <f>'FR-16(7)(v)-1 Functional'!D264</f>
        <v>AG39</v>
      </c>
      <c r="F264" s="479">
        <f>'FR-16(7)(v)-4 DISTR Classified'!G264</f>
        <v>0</v>
      </c>
      <c r="G264" s="349">
        <f t="shared" si="96"/>
        <v>0</v>
      </c>
      <c r="H264" s="347">
        <f>ROUND($F$264*VLOOKUP($D$264,ALLOCTABLE_DISTR_DEMAND,$H$10,FALSE),0)</f>
        <v>0</v>
      </c>
      <c r="I264" s="347">
        <f t="shared" si="97"/>
        <v>0</v>
      </c>
      <c r="J264" s="347">
        <f t="shared" si="98"/>
        <v>0</v>
      </c>
      <c r="K264" s="347">
        <f t="shared" si="99"/>
        <v>0</v>
      </c>
      <c r="L264" s="347">
        <f t="shared" si="100"/>
        <v>0</v>
      </c>
    </row>
    <row r="265" spans="1:12">
      <c r="A265" s="333">
        <v>16</v>
      </c>
      <c r="C265" s="332" t="str">
        <f>'FR-16(7)(v)-1 Functional'!C265</f>
        <v>FEDERAL DEFERRED TAX RECEIVEABLE</v>
      </c>
      <c r="D265" s="344" t="str">
        <f>'FR-16(7)(v)-1 Functional'!D265</f>
        <v>AG39</v>
      </c>
      <c r="F265" s="479">
        <f>'FR-16(7)(v)-4 DISTR Classified'!G265</f>
        <v>0</v>
      </c>
      <c r="G265" s="349">
        <f t="shared" si="96"/>
        <v>0</v>
      </c>
      <c r="H265" s="347">
        <f>ROUND($F$265*VLOOKUP($D$265,ALLOCTABLE_DISTR_DEMAND,$H$10,FALSE),0)</f>
        <v>0</v>
      </c>
      <c r="I265" s="347">
        <f t="shared" si="97"/>
        <v>0</v>
      </c>
      <c r="J265" s="347">
        <f t="shared" si="98"/>
        <v>0</v>
      </c>
      <c r="K265" s="347">
        <f t="shared" si="99"/>
        <v>0</v>
      </c>
      <c r="L265" s="347">
        <f t="shared" si="100"/>
        <v>0</v>
      </c>
    </row>
    <row r="266" spans="1:12">
      <c r="A266" s="333">
        <v>17</v>
      </c>
      <c r="C266" s="332" t="str">
        <f>'FR-16(7)(v)-1 Functional'!C266</f>
        <v>DSM DEFERRAL</v>
      </c>
      <c r="D266" s="344" t="str">
        <f>'FR-16(7)(v)-1 Functional'!D266</f>
        <v>AG39</v>
      </c>
      <c r="F266" s="479">
        <f>'FR-16(7)(v)-4 DISTR Classified'!G266</f>
        <v>67329</v>
      </c>
      <c r="G266" s="349">
        <f t="shared" si="96"/>
        <v>41097</v>
      </c>
      <c r="H266" s="347">
        <f>ROUND($F$266*VLOOKUP($D$266,ALLOCTABLE_DISTR_DEMAND,$H$10,FALSE),0)</f>
        <v>18567</v>
      </c>
      <c r="I266" s="347">
        <f t="shared" si="97"/>
        <v>6153</v>
      </c>
      <c r="J266" s="347">
        <f t="shared" si="98"/>
        <v>1512</v>
      </c>
      <c r="K266" s="347">
        <f t="shared" si="99"/>
        <v>67329</v>
      </c>
      <c r="L266" s="347">
        <f t="shared" si="100"/>
        <v>0</v>
      </c>
    </row>
    <row r="267" spans="1:12">
      <c r="A267" s="333">
        <v>18</v>
      </c>
      <c r="C267" s="332" t="str">
        <f>'FR-16(7)(v)-1 Functional'!C267</f>
        <v>PROPERTY TAX</v>
      </c>
      <c r="D267" s="344" t="str">
        <f>'FR-16(7)(v)-1 Functional'!D267</f>
        <v>P229</v>
      </c>
      <c r="F267" s="479">
        <f>'FR-16(7)(v)-4 DISTR Classified'!G267</f>
        <v>0</v>
      </c>
      <c r="G267" s="349">
        <f t="shared" si="96"/>
        <v>0</v>
      </c>
      <c r="H267" s="347">
        <f>ROUND($F$267*VLOOKUP($D$267,ALLOCTABLE_DISTR_DEMAND,$H$10,FALSE),0)</f>
        <v>0</v>
      </c>
      <c r="I267" s="347">
        <f t="shared" si="97"/>
        <v>0</v>
      </c>
      <c r="J267" s="347">
        <f t="shared" si="98"/>
        <v>0</v>
      </c>
      <c r="K267" s="347">
        <f t="shared" si="99"/>
        <v>0</v>
      </c>
      <c r="L267" s="347">
        <f t="shared" si="100"/>
        <v>0</v>
      </c>
    </row>
    <row r="268" spans="1:12">
      <c r="A268" s="333">
        <v>19</v>
      </c>
      <c r="C268" s="353" t="str">
        <f>'FR-16(7)(v)-1 Functional'!C268</f>
        <v>PROPERTY TAX ON PROPANE</v>
      </c>
      <c r="D268" s="344" t="str">
        <f>'FR-16(7)(v)-1 Functional'!D268</f>
        <v>P229</v>
      </c>
      <c r="F268" s="479">
        <f>'FR-16(7)(v)-4 DISTR Classified'!G268</f>
        <v>0</v>
      </c>
      <c r="G268" s="349">
        <f t="shared" si="96"/>
        <v>0</v>
      </c>
      <c r="H268" s="347">
        <f>ROUND($F$268*VLOOKUP($D$268,ALLOCTABLE_DISTR_DEMAND,$H$10,FALSE),0)</f>
        <v>0</v>
      </c>
      <c r="I268" s="347">
        <f t="shared" si="97"/>
        <v>0</v>
      </c>
      <c r="J268" s="347">
        <f t="shared" si="98"/>
        <v>0</v>
      </c>
      <c r="K268" s="347">
        <f t="shared" si="99"/>
        <v>0</v>
      </c>
      <c r="L268" s="347">
        <f t="shared" si="100"/>
        <v>0</v>
      </c>
    </row>
    <row r="269" spans="1:12">
      <c r="A269" s="333">
        <v>20</v>
      </c>
      <c r="C269" s="489" t="str">
        <f>'FR-16(7)(v)-1 Functional'!C269</f>
        <v>401K INCENTIVE PLAN</v>
      </c>
      <c r="D269" s="344" t="str">
        <f>'FR-16(7)(v)-1 Functional'!D269</f>
        <v>AG39</v>
      </c>
      <c r="F269" s="479">
        <f>'FR-16(7)(v)-4 DISTR Classified'!G269</f>
        <v>0</v>
      </c>
      <c r="G269" s="349">
        <f t="shared" si="96"/>
        <v>0</v>
      </c>
      <c r="H269" s="347">
        <f>ROUND($F$269*VLOOKUP($D$269,ALLOCTABLE_DISTR_DEMAND,$H$10,FALSE),0)</f>
        <v>0</v>
      </c>
      <c r="I269" s="347">
        <f t="shared" si="97"/>
        <v>0</v>
      </c>
      <c r="J269" s="347">
        <f t="shared" si="98"/>
        <v>0</v>
      </c>
      <c r="K269" s="347">
        <f t="shared" si="99"/>
        <v>0</v>
      </c>
      <c r="L269" s="347">
        <f t="shared" si="100"/>
        <v>0</v>
      </c>
    </row>
    <row r="270" spans="1:12">
      <c r="A270" s="333">
        <v>21</v>
      </c>
      <c r="C270" s="332" t="str">
        <f>'FR-16(7)(v)-1 Functional'!C270</f>
        <v>ENVIRONMENTAL RESERVE</v>
      </c>
      <c r="D270" s="344" t="str">
        <f>'FR-16(7)(v)-1 Functional'!D270</f>
        <v>NP29</v>
      </c>
      <c r="F270" s="479">
        <f>'FR-16(7)(v)-4 DISTR Classified'!G270</f>
        <v>86456</v>
      </c>
      <c r="G270" s="349">
        <f t="shared" si="96"/>
        <v>48436</v>
      </c>
      <c r="H270" s="347">
        <f>ROUND($F$270*VLOOKUP($D$270,ALLOCTABLE_DISTR_DEMAND,$H$10,FALSE),0)</f>
        <v>26086</v>
      </c>
      <c r="I270" s="347">
        <f t="shared" si="97"/>
        <v>9301</v>
      </c>
      <c r="J270" s="347">
        <f t="shared" si="98"/>
        <v>2633</v>
      </c>
      <c r="K270" s="347">
        <f t="shared" si="99"/>
        <v>86456</v>
      </c>
      <c r="L270" s="347">
        <f t="shared" si="100"/>
        <v>0</v>
      </c>
    </row>
    <row r="271" spans="1:12">
      <c r="A271" s="333">
        <v>22</v>
      </c>
      <c r="C271" s="332" t="str">
        <f>'FR-16(7)(v)-1 Functional'!C271</f>
        <v>VACATION PAY ACCRUALS</v>
      </c>
      <c r="D271" s="344" t="str">
        <f>'FR-16(7)(v)-1 Functional'!D271</f>
        <v>G129</v>
      </c>
      <c r="F271" s="479">
        <f>'FR-16(7)(v)-4 DISTR Classified'!G271</f>
        <v>58877</v>
      </c>
      <c r="G271" s="349">
        <f t="shared" si="96"/>
        <v>35938</v>
      </c>
      <c r="H271" s="347">
        <f>ROUND($F$271*VLOOKUP($D$271,ALLOCTABLE_DISTR_DEMAND,$H$10,FALSE),0)</f>
        <v>16237</v>
      </c>
      <c r="I271" s="347">
        <f t="shared" si="97"/>
        <v>5380</v>
      </c>
      <c r="J271" s="347">
        <f t="shared" si="98"/>
        <v>1322</v>
      </c>
      <c r="K271" s="347">
        <f t="shared" si="99"/>
        <v>58877</v>
      </c>
      <c r="L271" s="347">
        <f t="shared" si="100"/>
        <v>0</v>
      </c>
    </row>
    <row r="272" spans="1:12">
      <c r="A272" s="333">
        <v>23</v>
      </c>
      <c r="C272" s="332" t="str">
        <f>'FR-16(7)(v)-1 Functional'!C272</f>
        <v>SMART GRID</v>
      </c>
      <c r="D272" s="344" t="str">
        <f>'FR-16(7)(v)-1 Functional'!D272</f>
        <v>K413</v>
      </c>
      <c r="F272" s="479">
        <f>'FR-16(7)(v)-4 DISTR Classified'!G272</f>
        <v>0</v>
      </c>
      <c r="G272" s="349">
        <f t="shared" si="96"/>
        <v>0</v>
      </c>
      <c r="H272" s="347">
        <f>ROUND($F$272*VLOOKUP($D$272,ALLOCTABLE_DISTR_DEMAND,$H$10,FALSE),0)</f>
        <v>0</v>
      </c>
      <c r="I272" s="347">
        <f t="shared" si="97"/>
        <v>0</v>
      </c>
      <c r="J272" s="347">
        <f t="shared" si="98"/>
        <v>0</v>
      </c>
      <c r="K272" s="347">
        <f t="shared" si="99"/>
        <v>0</v>
      </c>
      <c r="L272" s="347">
        <f t="shared" si="100"/>
        <v>0</v>
      </c>
    </row>
    <row r="273" spans="1:12">
      <c r="A273" s="333">
        <v>24</v>
      </c>
      <c r="C273" s="332" t="str">
        <f>'FR-16(7)(v)-1 Functional'!C273</f>
        <v>METERS &amp; TRANSFORMERS</v>
      </c>
      <c r="D273" s="344" t="str">
        <f>'FR-16(7)(v)-1 Functional'!D273</f>
        <v>D249</v>
      </c>
      <c r="F273" s="479">
        <f>'FR-16(7)(v)-4 DISTR Classified'!G273</f>
        <v>0</v>
      </c>
      <c r="G273" s="349">
        <f t="shared" si="96"/>
        <v>0</v>
      </c>
      <c r="H273" s="347">
        <f>ROUND($F$273*VLOOKUP($D$273,ALLOCTABLE_DISTR_DEMAND,$H$10,FALSE),0)</f>
        <v>0</v>
      </c>
      <c r="I273" s="347">
        <f t="shared" si="97"/>
        <v>0</v>
      </c>
      <c r="J273" s="347">
        <f t="shared" si="98"/>
        <v>0</v>
      </c>
      <c r="K273" s="347">
        <f t="shared" si="99"/>
        <v>0</v>
      </c>
      <c r="L273" s="347">
        <f t="shared" si="100"/>
        <v>0</v>
      </c>
    </row>
    <row r="274" spans="1:12">
      <c r="A274" s="333">
        <v>25</v>
      </c>
      <c r="C274" s="359" t="str">
        <f>'FR-16(7)(v)-1 Functional'!C274</f>
        <v>OTHER</v>
      </c>
      <c r="D274" s="344" t="str">
        <f>'FR-16(7)(v)-1 Functional'!D274</f>
        <v>AG39</v>
      </c>
      <c r="F274" s="479">
        <f>'FR-16(7)(v)-4 DISTR Classified'!G274</f>
        <v>136292</v>
      </c>
      <c r="G274" s="349">
        <f t="shared" si="96"/>
        <v>83192</v>
      </c>
      <c r="H274" s="347">
        <f>ROUND($F$274*VLOOKUP($D$274,ALLOCTABLE_DISTR_DEMAND,$H$10,FALSE),0)</f>
        <v>37585</v>
      </c>
      <c r="I274" s="347">
        <f t="shared" si="97"/>
        <v>12454</v>
      </c>
      <c r="J274" s="347">
        <f t="shared" si="98"/>
        <v>3061</v>
      </c>
      <c r="K274" s="347">
        <f t="shared" si="99"/>
        <v>136292</v>
      </c>
      <c r="L274" s="347">
        <f t="shared" si="100"/>
        <v>0</v>
      </c>
    </row>
    <row r="275" spans="1:12">
      <c r="A275" s="333">
        <v>26</v>
      </c>
      <c r="C275" s="332" t="str">
        <f>'FR-16(7)(v)-1 Functional'!C275</f>
        <v xml:space="preserve">  TOTAL ACCOUNT 190</v>
      </c>
      <c r="D275" s="344"/>
      <c r="F275" s="348">
        <f t="shared" ref="F275:L275" si="101">SUM(F251:F274)</f>
        <v>538726</v>
      </c>
      <c r="G275" s="348">
        <f>SUM(G251:G274)</f>
        <v>324548</v>
      </c>
      <c r="H275" s="348">
        <f t="shared" si="101"/>
        <v>150782</v>
      </c>
      <c r="I275" s="348">
        <f t="shared" si="101"/>
        <v>50613</v>
      </c>
      <c r="J275" s="348">
        <f t="shared" si="101"/>
        <v>12783</v>
      </c>
      <c r="K275" s="348">
        <f t="shared" si="101"/>
        <v>538726</v>
      </c>
      <c r="L275" s="348">
        <f t="shared" si="101"/>
        <v>0</v>
      </c>
    </row>
    <row r="276" spans="1:12">
      <c r="A276" s="333">
        <v>27</v>
      </c>
      <c r="D276" s="344"/>
      <c r="E276" s="196"/>
      <c r="I276" s="332"/>
    </row>
    <row r="277" spans="1:12">
      <c r="A277" s="333">
        <v>28</v>
      </c>
      <c r="B277" s="332" t="s">
        <v>30</v>
      </c>
      <c r="D277" s="344"/>
      <c r="E277" s="196"/>
      <c r="I277" s="332"/>
    </row>
    <row r="278" spans="1:12">
      <c r="A278" s="333">
        <v>29</v>
      </c>
      <c r="C278" s="365" t="str">
        <f>'FR-16(7)(v)-1 Functional'!C278</f>
        <v>RESERVED FOR FUTURE USE</v>
      </c>
      <c r="D278" s="344" t="str">
        <f>'FR-16(7)(v)-1 Functional'!D278</f>
        <v>D249</v>
      </c>
      <c r="F278" s="479">
        <f>'FR-16(7)(v)-4 DISTR Classified'!G278</f>
        <v>0</v>
      </c>
      <c r="G278" s="349">
        <f>F278-SUM(H278:J278)</f>
        <v>0</v>
      </c>
      <c r="H278" s="347">
        <f>ROUND($F$278*VLOOKUP($D$278,ALLOCTABLE_DISTR_DEMAND,$H$10,FALSE),0)</f>
        <v>0</v>
      </c>
      <c r="I278" s="347">
        <f>ROUND(F278*VLOOKUP(D278,ALLOCTABLE_DISTR_DEMAND,$I$10,FALSE),0)</f>
        <v>0</v>
      </c>
      <c r="J278" s="347">
        <f>ROUND(F278*VLOOKUP(D278,ALLOCTABLE_DISTR_DEMAND,$J$10,FALSE),0)</f>
        <v>0</v>
      </c>
      <c r="K278" s="347">
        <f>SUM(G278:J278)</f>
        <v>0</v>
      </c>
      <c r="L278" s="347">
        <f>F278-K278</f>
        <v>0</v>
      </c>
    </row>
    <row r="279" spans="1:12">
      <c r="A279" s="333">
        <v>30</v>
      </c>
      <c r="C279" s="332" t="str">
        <f>'FR-16(7)(v)-1 Functional'!C279</f>
        <v>ANNUALIZE DEPRECIATION</v>
      </c>
      <c r="D279" s="344" t="str">
        <f>'FR-16(7)(v)-1 Functional'!D279</f>
        <v>NP29</v>
      </c>
      <c r="F279" s="477">
        <f>'FR-16(7)(v)-4 DISTR Classified'!G279</f>
        <v>-146762</v>
      </c>
      <c r="G279" s="349">
        <f>F279-SUM(H279:J279)</f>
        <v>-82222</v>
      </c>
      <c r="H279" s="347">
        <f>ROUND($F$279*VLOOKUP($D$279,ALLOCTABLE_DISTR_DEMAND,$H$10,FALSE),0)</f>
        <v>-44281</v>
      </c>
      <c r="I279" s="347">
        <f>ROUND(F279*VLOOKUP(D279,ALLOCTABLE_DISTR_DEMAND,$I$10,FALSE),0)</f>
        <v>-15789</v>
      </c>
      <c r="J279" s="347">
        <f>ROUND(F279*VLOOKUP(D279,ALLOCTABLE_DISTR_DEMAND,$J$10,FALSE),0)</f>
        <v>-4470</v>
      </c>
      <c r="K279" s="347">
        <f>SUM(G279:J279)</f>
        <v>-146762</v>
      </c>
      <c r="L279" s="347">
        <f>F279-K279</f>
        <v>0</v>
      </c>
    </row>
    <row r="280" spans="1:12">
      <c r="A280" s="333">
        <v>31</v>
      </c>
      <c r="C280" s="332" t="str">
        <f>'FR-16(7)(v)-1 Functional'!C280</f>
        <v>ELIMINATE UNBILLED REVENUE AND GAS COSTS</v>
      </c>
      <c r="D280" s="344" t="str">
        <f>'FR-16(7)(v)-1 Functional'!D280</f>
        <v>K300</v>
      </c>
      <c r="F280" s="477">
        <v>0</v>
      </c>
      <c r="G280" s="349">
        <f>F280-SUM(H280:J280)</f>
        <v>0</v>
      </c>
      <c r="H280" s="347">
        <f>ROUND($F$280*VLOOKUP($D$280,ALLOCTABLE_DISTR_DEMAND,$H$10,FALSE),0)</f>
        <v>0</v>
      </c>
      <c r="I280" s="347">
        <f>ROUND(F280*VLOOKUP(D280,ALLOCTABLE_DISTR_DEMAND,$I$10,FALSE),0)</f>
        <v>0</v>
      </c>
      <c r="J280" s="347">
        <f>ROUND(F280*VLOOKUP(D280,ALLOCTABLE_DISTR_DEMAND,$J$10,FALSE),0)</f>
        <v>0</v>
      </c>
      <c r="K280" s="347">
        <f>SUM(G280:J280)</f>
        <v>0</v>
      </c>
      <c r="L280" s="347">
        <f>F280-K280</f>
        <v>0</v>
      </c>
    </row>
    <row r="281" spans="1:12">
      <c r="A281" s="333">
        <v>32</v>
      </c>
      <c r="C281" s="339" t="str">
        <f>'FR-16(7)(v)-1 Functional'!C281</f>
        <v xml:space="preserve">  OTHER</v>
      </c>
      <c r="D281" s="344"/>
      <c r="F281" s="348">
        <f>SUM(F278:F280)</f>
        <v>-146762</v>
      </c>
      <c r="G281" s="348">
        <f t="shared" ref="G281:L281" si="102">SUM(G277:G280)</f>
        <v>-82222</v>
      </c>
      <c r="H281" s="348">
        <f t="shared" si="102"/>
        <v>-44281</v>
      </c>
      <c r="I281" s="348">
        <f t="shared" si="102"/>
        <v>-15789</v>
      </c>
      <c r="J281" s="348">
        <f t="shared" si="102"/>
        <v>-4470</v>
      </c>
      <c r="K281" s="348">
        <f t="shared" si="102"/>
        <v>-146762</v>
      </c>
      <c r="L281" s="348">
        <f t="shared" si="102"/>
        <v>0</v>
      </c>
    </row>
    <row r="282" spans="1:12">
      <c r="A282" s="333">
        <v>33</v>
      </c>
      <c r="D282" s="344"/>
      <c r="F282" s="335" t="s">
        <v>343</v>
      </c>
      <c r="I282" s="332"/>
    </row>
    <row r="283" spans="1:12">
      <c r="A283" s="333">
        <v>34</v>
      </c>
      <c r="B283" s="332" t="s">
        <v>825</v>
      </c>
      <c r="D283" s="344"/>
      <c r="F283" s="347">
        <f t="shared" ref="F283:L283" si="103">F275+F281</f>
        <v>391964</v>
      </c>
      <c r="G283" s="347">
        <f>G275+G281</f>
        <v>242326</v>
      </c>
      <c r="H283" s="347">
        <f t="shared" si="103"/>
        <v>106501</v>
      </c>
      <c r="I283" s="347">
        <f t="shared" si="103"/>
        <v>34824</v>
      </c>
      <c r="J283" s="347">
        <f t="shared" si="103"/>
        <v>8313</v>
      </c>
      <c r="K283" s="347">
        <f t="shared" si="103"/>
        <v>391964</v>
      </c>
      <c r="L283" s="347">
        <f t="shared" si="103"/>
        <v>0</v>
      </c>
    </row>
    <row r="284" spans="1:12">
      <c r="B284" s="343"/>
      <c r="C284" s="196"/>
      <c r="D284" s="344"/>
      <c r="E284" s="196"/>
      <c r="G284" s="196"/>
      <c r="H284" s="196"/>
      <c r="I284" s="196"/>
      <c r="J284" s="344"/>
      <c r="K284" s="196"/>
      <c r="L284" s="196"/>
    </row>
    <row r="285" spans="1:12">
      <c r="A285" s="343" t="str">
        <f>co_name</f>
        <v>DUKE ENERGY KENTUCKY, INC.</v>
      </c>
      <c r="C285" s="196"/>
      <c r="D285" s="344"/>
      <c r="E285" s="196"/>
      <c r="F285" s="344"/>
      <c r="G285" s="342"/>
      <c r="H285" s="342"/>
      <c r="I285" s="196"/>
      <c r="K285" s="361" t="str">
        <f>$K$1</f>
        <v>FR-16(7)(v)-5</v>
      </c>
      <c r="L285" s="196"/>
    </row>
    <row r="286" spans="1:12">
      <c r="A286" s="343" t="str">
        <f>$A$2</f>
        <v>DISTRIBUTION DEMAND ALLOCATED - GAS COST OF SERVICE</v>
      </c>
      <c r="C286" s="196"/>
      <c r="D286" s="344"/>
      <c r="E286" s="196"/>
      <c r="F286" s="344"/>
      <c r="G286" s="342"/>
      <c r="H286" s="342"/>
      <c r="I286" s="196"/>
      <c r="K286" s="361" t="str">
        <f>$K$2</f>
        <v>WITNESS RESPONSIBLE:</v>
      </c>
      <c r="L286" s="196"/>
    </row>
    <row r="287" spans="1:12">
      <c r="A287" s="343" t="str">
        <f>case_name</f>
        <v>CASE NO: 2018-00261</v>
      </c>
      <c r="C287" s="196"/>
      <c r="D287" s="344"/>
      <c r="E287" s="196"/>
      <c r="F287" s="344"/>
      <c r="G287" s="342"/>
      <c r="H287" s="342"/>
      <c r="I287" s="196"/>
      <c r="K287" s="361" t="str">
        <f>Witness</f>
        <v>JAMES E. ZIOLKOWSKI</v>
      </c>
      <c r="L287" s="196"/>
    </row>
    <row r="288" spans="1:12">
      <c r="A288" s="343" t="str">
        <f>data_filing</f>
        <v>DATA: 12 MONTH FORECASTED PERIOD</v>
      </c>
      <c r="C288" s="196"/>
      <c r="D288" s="344"/>
      <c r="E288" s="196"/>
      <c r="F288" s="344"/>
      <c r="G288" s="342"/>
      <c r="H288" s="342"/>
      <c r="I288" s="196"/>
      <c r="K288" s="361" t="str">
        <f>"PAGE "&amp;Pages-11&amp;" OF "&amp;Pages</f>
        <v>PAGE 7 OF 18</v>
      </c>
      <c r="L288" s="196"/>
    </row>
    <row r="289" spans="1:12">
      <c r="A289" s="343" t="str">
        <f>type</f>
        <v xml:space="preserve">TYPE OF FILING: "X" ORIGINAL   UPDATED    REVISED  </v>
      </c>
      <c r="C289" s="196"/>
      <c r="D289" s="344"/>
      <c r="E289" s="196"/>
      <c r="F289" s="344"/>
      <c r="G289" s="342"/>
      <c r="H289" s="342"/>
      <c r="I289" s="196"/>
      <c r="J289" s="344"/>
      <c r="K289" s="196"/>
      <c r="L289" s="196"/>
    </row>
    <row r="290" spans="1:12">
      <c r="B290" s="343"/>
      <c r="C290" s="196"/>
      <c r="D290" s="344"/>
      <c r="E290" s="196"/>
      <c r="F290" s="344"/>
      <c r="G290" s="196"/>
      <c r="H290" s="196"/>
      <c r="I290" s="196"/>
      <c r="J290" s="344"/>
      <c r="K290" s="196"/>
      <c r="L290" s="196"/>
    </row>
    <row r="291" spans="1:12">
      <c r="B291" s="343"/>
      <c r="C291" s="196"/>
      <c r="D291" s="344"/>
      <c r="E291" s="196"/>
      <c r="F291" s="344" t="str">
        <f>$F$7</f>
        <v>TOTAL</v>
      </c>
      <c r="G291" s="196"/>
      <c r="H291" s="196"/>
      <c r="I291" s="196"/>
      <c r="J291" s="344"/>
      <c r="K291" s="196"/>
      <c r="L291" s="196"/>
    </row>
    <row r="292" spans="1:12">
      <c r="A292" s="344" t="s">
        <v>914</v>
      </c>
      <c r="B292" s="196"/>
      <c r="C292" s="196"/>
      <c r="D292" s="344"/>
      <c r="E292" s="196"/>
      <c r="F292" s="344" t="str">
        <f>$F$8</f>
        <v>DISTRIBUTION</v>
      </c>
      <c r="G292" s="344" t="s">
        <v>418</v>
      </c>
      <c r="H292" s="344" t="s">
        <v>864</v>
      </c>
      <c r="I292" s="344" t="s">
        <v>865</v>
      </c>
      <c r="J292" s="344" t="s">
        <v>549</v>
      </c>
      <c r="K292" s="344" t="s">
        <v>229</v>
      </c>
      <c r="L292" s="344" t="s">
        <v>342</v>
      </c>
    </row>
    <row r="293" spans="1:12">
      <c r="A293" s="346" t="s">
        <v>915</v>
      </c>
      <c r="B293" s="345" t="s">
        <v>32</v>
      </c>
      <c r="C293" s="345"/>
      <c r="D293" s="346" t="s">
        <v>337</v>
      </c>
      <c r="E293" s="345"/>
      <c r="F293" s="344" t="str">
        <f>$F$9</f>
        <v>DEMAND</v>
      </c>
      <c r="G293" s="346" t="s">
        <v>338</v>
      </c>
      <c r="H293" s="346" t="s">
        <v>405</v>
      </c>
      <c r="I293" s="346" t="s">
        <v>405</v>
      </c>
      <c r="J293" s="346" t="s">
        <v>550</v>
      </c>
      <c r="K293" s="346" t="s">
        <v>341</v>
      </c>
      <c r="L293" s="346" t="s">
        <v>340</v>
      </c>
    </row>
    <row r="294" spans="1:12">
      <c r="C294" s="578" t="s">
        <v>559</v>
      </c>
      <c r="D294" s="344"/>
      <c r="E294" s="490"/>
      <c r="F294" s="763"/>
      <c r="G294" s="633">
        <f>$G$10</f>
        <v>3</v>
      </c>
      <c r="H294" s="633">
        <f>$H$10</f>
        <v>4</v>
      </c>
      <c r="I294" s="633">
        <f>$I$10</f>
        <v>5</v>
      </c>
      <c r="J294" s="633">
        <f>$J$10</f>
        <v>6</v>
      </c>
      <c r="K294" s="490"/>
      <c r="L294" s="490"/>
    </row>
    <row r="295" spans="1:12">
      <c r="C295" s="578"/>
      <c r="D295" s="344"/>
      <c r="E295" s="490"/>
      <c r="F295" s="491"/>
      <c r="G295" s="633"/>
      <c r="H295" s="633"/>
      <c r="I295" s="633"/>
      <c r="J295" s="633"/>
      <c r="K295" s="490"/>
      <c r="L295" s="490"/>
    </row>
    <row r="296" spans="1:12">
      <c r="A296" s="333">
        <v>1</v>
      </c>
      <c r="B296" s="332" t="s">
        <v>31</v>
      </c>
      <c r="D296" s="344"/>
      <c r="E296" s="196"/>
      <c r="F296" s="347">
        <f t="shared" ref="F296:L296" si="104">F191-F238+F283</f>
        <v>168264283</v>
      </c>
      <c r="G296" s="347">
        <f>G191-G238+G283</f>
        <v>94103085</v>
      </c>
      <c r="H296" s="347">
        <f t="shared" si="104"/>
        <v>50855381</v>
      </c>
      <c r="I296" s="347">
        <f t="shared" si="104"/>
        <v>18154870</v>
      </c>
      <c r="J296" s="347">
        <f t="shared" si="104"/>
        <v>5150947</v>
      </c>
      <c r="K296" s="347">
        <f t="shared" si="104"/>
        <v>168264283</v>
      </c>
      <c r="L296" s="347">
        <f t="shared" si="104"/>
        <v>0</v>
      </c>
    </row>
    <row r="297" spans="1:12">
      <c r="A297" s="333">
        <v>2</v>
      </c>
      <c r="D297" s="344"/>
      <c r="E297" s="196"/>
      <c r="I297" s="332"/>
    </row>
    <row r="298" spans="1:12">
      <c r="A298" s="333">
        <v>3</v>
      </c>
      <c r="B298" s="332" t="s">
        <v>32</v>
      </c>
      <c r="D298" s="344"/>
      <c r="E298" s="196"/>
      <c r="I298" s="332"/>
    </row>
    <row r="299" spans="1:12">
      <c r="A299" s="333">
        <v>4</v>
      </c>
      <c r="D299" s="344"/>
      <c r="E299" s="196"/>
      <c r="I299" s="332"/>
    </row>
    <row r="300" spans="1:12">
      <c r="A300" s="333">
        <v>5</v>
      </c>
      <c r="B300" s="332" t="s">
        <v>33</v>
      </c>
      <c r="D300" s="344"/>
      <c r="E300" s="196"/>
      <c r="I300" s="332"/>
    </row>
    <row r="301" spans="1:12">
      <c r="A301" s="333">
        <v>6</v>
      </c>
      <c r="C301" s="332" t="str">
        <f>'FR-16(7)(v)-1 Functional'!C301</f>
        <v>GAS ENRICHER LIQUID</v>
      </c>
      <c r="D301" s="344" t="str">
        <f>'FR-16(7)(v)-1 Functional'!D301</f>
        <v>K301</v>
      </c>
      <c r="E301" s="196"/>
      <c r="F301" s="479">
        <f>'FR-16(7)(v)-4 DISTR Classified'!G301</f>
        <v>0</v>
      </c>
      <c r="G301" s="349">
        <f>F301-SUM(H301:J301)</f>
        <v>0</v>
      </c>
      <c r="H301" s="347">
        <f>ROUND($F$301*VLOOKUP($D$301,ALLOCTABLE_DISTR_DEMAND,$H$10,FALSE),0)</f>
        <v>0</v>
      </c>
      <c r="I301" s="347">
        <f>ROUND(F301*VLOOKUP(D301,ALLOCTABLE_DISTR_DEMAND,$I$10,FALSE),0)</f>
        <v>0</v>
      </c>
      <c r="J301" s="347">
        <f>ROUND(F301*VLOOKUP(D301,ALLOCTABLE_DISTR_DEMAND,$J$10,FALSE),0)</f>
        <v>0</v>
      </c>
      <c r="K301" s="347">
        <f>SUM(G301:J301)</f>
        <v>0</v>
      </c>
      <c r="L301" s="347">
        <f>F301-K301</f>
        <v>0</v>
      </c>
    </row>
    <row r="302" spans="1:12">
      <c r="A302" s="333">
        <v>7</v>
      </c>
      <c r="C302" s="359" t="str">
        <f>'FR-16(7)(v)-1 Functional'!C302</f>
        <v>OTHER SUPPLIES</v>
      </c>
      <c r="D302" s="344" t="str">
        <f>'FR-16(7)(v)-1 Functional'!D302</f>
        <v>NP29</v>
      </c>
      <c r="E302" s="196"/>
      <c r="F302" s="479">
        <f>'FR-16(7)(v)-4 DISTR Classified'!G302</f>
        <v>620647</v>
      </c>
      <c r="G302" s="349">
        <f>F302-SUM(H302:J302)</f>
        <v>347711</v>
      </c>
      <c r="H302" s="347">
        <f>ROUND($F$302*VLOOKUP($D$302,ALLOCTABLE_DISTR_DEMAND,$H$10,FALSE),0)</f>
        <v>187262</v>
      </c>
      <c r="I302" s="347">
        <f>ROUND(F302*VLOOKUP(D302,ALLOCTABLE_DISTR_DEMAND,$I$10,FALSE),0)</f>
        <v>66769</v>
      </c>
      <c r="J302" s="347">
        <f>ROUND(F302*VLOOKUP(D302,ALLOCTABLE_DISTR_DEMAND,$J$10,FALSE),0)</f>
        <v>18905</v>
      </c>
      <c r="K302" s="347">
        <f>SUM(G302:J302)</f>
        <v>620647</v>
      </c>
      <c r="L302" s="347">
        <f>F302-K302</f>
        <v>0</v>
      </c>
    </row>
    <row r="303" spans="1:12">
      <c r="A303" s="333">
        <v>8</v>
      </c>
      <c r="C303" s="332" t="str">
        <f>'FR-16(7)(v)-1 Functional'!C303</f>
        <v xml:space="preserve">  TOTAL PLANT MATS. &amp; SUPPLIES</v>
      </c>
      <c r="D303" s="344"/>
      <c r="E303" s="196"/>
      <c r="F303" s="348">
        <f t="shared" ref="F303:L303" si="105">SUM(F300:F302)</f>
        <v>620647</v>
      </c>
      <c r="G303" s="348">
        <f>SUM(G300:G302)</f>
        <v>347711</v>
      </c>
      <c r="H303" s="348">
        <f t="shared" si="105"/>
        <v>187262</v>
      </c>
      <c r="I303" s="348">
        <f t="shared" si="105"/>
        <v>66769</v>
      </c>
      <c r="J303" s="348">
        <f t="shared" si="105"/>
        <v>18905</v>
      </c>
      <c r="K303" s="348">
        <f t="shared" si="105"/>
        <v>620647</v>
      </c>
      <c r="L303" s="348">
        <f t="shared" si="105"/>
        <v>0</v>
      </c>
    </row>
    <row r="304" spans="1:12">
      <c r="A304" s="333">
        <v>9</v>
      </c>
      <c r="B304" s="332" t="s">
        <v>34</v>
      </c>
      <c r="D304" s="344"/>
      <c r="E304" s="196"/>
      <c r="F304" s="347">
        <f t="shared" ref="F304:L304" si="106">F303</f>
        <v>620647</v>
      </c>
      <c r="G304" s="670">
        <f t="shared" si="106"/>
        <v>347711</v>
      </c>
      <c r="H304" s="670">
        <f t="shared" si="106"/>
        <v>187262</v>
      </c>
      <c r="I304" s="347">
        <f t="shared" si="106"/>
        <v>66769</v>
      </c>
      <c r="J304" s="347">
        <f t="shared" si="106"/>
        <v>18905</v>
      </c>
      <c r="K304" s="347">
        <f t="shared" si="106"/>
        <v>620647</v>
      </c>
      <c r="L304" s="347">
        <f t="shared" si="106"/>
        <v>0</v>
      </c>
    </row>
    <row r="305" spans="1:12">
      <c r="A305" s="333">
        <v>10</v>
      </c>
      <c r="D305" s="344"/>
      <c r="E305" s="196"/>
      <c r="I305" s="332"/>
    </row>
    <row r="306" spans="1:12">
      <c r="A306" s="333">
        <v>11</v>
      </c>
      <c r="B306" s="332" t="s">
        <v>35</v>
      </c>
      <c r="D306" s="344"/>
      <c r="E306" s="196"/>
      <c r="I306" s="332"/>
    </row>
    <row r="307" spans="1:12">
      <c r="A307" s="333">
        <v>12</v>
      </c>
      <c r="C307" s="332" t="str">
        <f>'FR-16(7)(v)-1 Functional'!C307</f>
        <v>INSURANCE GENERAL</v>
      </c>
      <c r="D307" s="344" t="str">
        <f>'FR-16(7)(v)-1 Functional'!D307</f>
        <v>OM39</v>
      </c>
      <c r="E307" s="196"/>
      <c r="F307" s="479">
        <f>'FR-16(7)(v)-4 DISTR Classified'!G307</f>
        <v>6280</v>
      </c>
      <c r="G307" s="349">
        <f>F307-SUM(H307:J307)</f>
        <v>3833</v>
      </c>
      <c r="H307" s="347">
        <f>ROUND($F$307*VLOOKUP($D$307,ALLOCTABLE_DISTR_DEMAND,$H$10,FALSE),0)</f>
        <v>1732</v>
      </c>
      <c r="I307" s="347">
        <f>ROUND(F307*VLOOKUP(D307,ALLOCTABLE_DISTR_DEMAND,$I$10,FALSE),0)</f>
        <v>574</v>
      </c>
      <c r="J307" s="347">
        <f>ROUND(F307*VLOOKUP(D307,ALLOCTABLE_DISTR_DEMAND,$J$10,FALSE),0)</f>
        <v>141</v>
      </c>
      <c r="K307" s="347">
        <f>SUM(G307:J307)</f>
        <v>6280</v>
      </c>
      <c r="L307" s="347">
        <f>F307-K307</f>
        <v>0</v>
      </c>
    </row>
    <row r="308" spans="1:12">
      <c r="A308" s="333">
        <v>13</v>
      </c>
      <c r="C308" s="332" t="str">
        <f>'FR-16(7)(v)-1 Functional'!C308</f>
        <v>EXCISE TAX</v>
      </c>
      <c r="D308" s="344" t="str">
        <f>'FR-16(7)(v)-1 Functional'!D308</f>
        <v>OM39</v>
      </c>
      <c r="E308" s="196"/>
      <c r="F308" s="479">
        <f>'FR-16(7)(v)-4 DISTR Classified'!G308</f>
        <v>0</v>
      </c>
      <c r="G308" s="349">
        <f>F308-SUM(H308:J308)</f>
        <v>0</v>
      </c>
      <c r="H308" s="347">
        <f>ROUND($F$308*VLOOKUP($D$308,ALLOCTABLE_DISTR_DEMAND,$H$10,FALSE),0)</f>
        <v>0</v>
      </c>
      <c r="I308" s="347">
        <f>ROUND(F308*VLOOKUP(D308,ALLOCTABLE_DISTR_DEMAND,$I$10,FALSE),0)</f>
        <v>0</v>
      </c>
      <c r="J308" s="347">
        <f>ROUND(F308*VLOOKUP(D308,ALLOCTABLE_DISTR_DEMAND,$J$10,FALSE),0)</f>
        <v>0</v>
      </c>
      <c r="K308" s="347">
        <f>SUM(G308:J308)</f>
        <v>0</v>
      </c>
      <c r="L308" s="347">
        <f>F308-K308</f>
        <v>0</v>
      </c>
    </row>
    <row r="309" spans="1:12">
      <c r="A309" s="333">
        <v>14</v>
      </c>
      <c r="C309" s="332" t="str">
        <f>'FR-16(7)(v)-1 Functional'!C309</f>
        <v>GAS PURCHASE</v>
      </c>
      <c r="D309" s="344" t="str">
        <f>'FR-16(7)(v)-1 Functional'!D309</f>
        <v>K301</v>
      </c>
      <c r="E309" s="196"/>
      <c r="F309" s="479">
        <f>'FR-16(7)(v)-4 DISTR Classified'!G309</f>
        <v>0</v>
      </c>
      <c r="G309" s="349">
        <f>F309-SUM(H309:J309)</f>
        <v>0</v>
      </c>
      <c r="H309" s="347">
        <f>ROUND($F$309*VLOOKUP($D$309,ALLOCTABLE_DISTR_DEMAND,$H$10,FALSE),0)</f>
        <v>0</v>
      </c>
      <c r="I309" s="347">
        <f>ROUND(F309*VLOOKUP(D309,ALLOCTABLE_DISTR_DEMAND,$I$10,FALSE),0)</f>
        <v>0</v>
      </c>
      <c r="J309" s="347">
        <f>ROUND(F309*VLOOKUP(D309,ALLOCTABLE_DISTR_DEMAND,$J$10,FALSE),0)</f>
        <v>0</v>
      </c>
      <c r="K309" s="347">
        <f>SUM(G309:J309)</f>
        <v>0</v>
      </c>
      <c r="L309" s="347">
        <f>F309-K309</f>
        <v>0</v>
      </c>
    </row>
    <row r="310" spans="1:12">
      <c r="A310" s="333">
        <v>15</v>
      </c>
      <c r="C310" s="339" t="str">
        <f>'FR-16(7)(v)-1 Functional'!C310</f>
        <v xml:space="preserve">  TOTAL PREPAYMENTS</v>
      </c>
      <c r="D310" s="344"/>
      <c r="E310" s="196"/>
      <c r="F310" s="579">
        <f t="shared" ref="F310:L310" si="107">SUM(F306:F309)</f>
        <v>6280</v>
      </c>
      <c r="G310" s="579">
        <f>SUM(G306:G309)</f>
        <v>3833</v>
      </c>
      <c r="H310" s="579">
        <f t="shared" si="107"/>
        <v>1732</v>
      </c>
      <c r="I310" s="579">
        <f t="shared" si="107"/>
        <v>574</v>
      </c>
      <c r="J310" s="579">
        <f t="shared" si="107"/>
        <v>141</v>
      </c>
      <c r="K310" s="579">
        <f t="shared" si="107"/>
        <v>6280</v>
      </c>
      <c r="L310" s="579">
        <f t="shared" si="107"/>
        <v>0</v>
      </c>
    </row>
    <row r="311" spans="1:12">
      <c r="A311" s="333">
        <v>16</v>
      </c>
      <c r="D311" s="344"/>
      <c r="E311" s="196"/>
      <c r="I311" s="332"/>
    </row>
    <row r="312" spans="1:12">
      <c r="A312" s="333">
        <v>17</v>
      </c>
      <c r="B312" s="332" t="s">
        <v>36</v>
      </c>
      <c r="D312" s="344"/>
      <c r="E312" s="196"/>
      <c r="F312" s="347">
        <f>IF(WorkingCap="No",0,ROUND((F433-F348-F353)/8,0))</f>
        <v>1258523</v>
      </c>
      <c r="G312" s="347">
        <f>IF(WorkingCap="No",0,ROUND((G433-G348-G353)/8,0))</f>
        <v>768185</v>
      </c>
      <c r="H312" s="347">
        <f>IF(WorkingCap="No",0,ROUND((H433-H348-H353)/8,0))</f>
        <v>347062</v>
      </c>
      <c r="I312" s="347">
        <f>IF(WorkingCap="No",0,ROUND((I433-I348-I353)/8,0))</f>
        <v>115008</v>
      </c>
      <c r="J312" s="347">
        <f>IF(WorkingCap="No",0,ROUND((J433-J348-J353)/8,0))</f>
        <v>28268</v>
      </c>
      <c r="K312" s="347">
        <f>SUM(G312:J312)</f>
        <v>1258523</v>
      </c>
      <c r="L312" s="347">
        <f>F312-K312</f>
        <v>0</v>
      </c>
    </row>
    <row r="313" spans="1:12">
      <c r="A313" s="333">
        <v>18</v>
      </c>
      <c r="B313" s="332" t="s">
        <v>37</v>
      </c>
      <c r="D313" s="344"/>
      <c r="E313" s="196"/>
      <c r="F313" s="347">
        <f t="shared" ref="F313:L313" si="108">F312</f>
        <v>1258523</v>
      </c>
      <c r="G313" s="670">
        <f t="shared" si="108"/>
        <v>768185</v>
      </c>
      <c r="H313" s="670">
        <f t="shared" si="108"/>
        <v>347062</v>
      </c>
      <c r="I313" s="670">
        <f t="shared" si="108"/>
        <v>115008</v>
      </c>
      <c r="J313" s="347">
        <f t="shared" si="108"/>
        <v>28268</v>
      </c>
      <c r="K313" s="347">
        <f t="shared" si="108"/>
        <v>1258523</v>
      </c>
      <c r="L313" s="347">
        <f t="shared" si="108"/>
        <v>0</v>
      </c>
    </row>
    <row r="314" spans="1:12">
      <c r="A314" s="333">
        <v>19</v>
      </c>
      <c r="D314" s="344"/>
      <c r="E314" s="196"/>
      <c r="I314" s="332"/>
    </row>
    <row r="315" spans="1:12">
      <c r="A315" s="333">
        <v>20</v>
      </c>
      <c r="B315" s="332" t="s">
        <v>38</v>
      </c>
      <c r="D315" s="344"/>
      <c r="E315" s="196"/>
      <c r="I315" s="332"/>
    </row>
    <row r="316" spans="1:12">
      <c r="A316" s="333">
        <v>21</v>
      </c>
      <c r="C316" s="618" t="str">
        <f>'FR-16(7)(v)-1 Functional'!C316</f>
        <v>GAS STORED UNDERGROUND</v>
      </c>
      <c r="D316" s="344" t="str">
        <f>'FR-16(7)(v)-1 Functional'!D316</f>
        <v>K301</v>
      </c>
      <c r="E316" s="196"/>
      <c r="F316" s="479">
        <f>'FR-16(7)(v)-4 DISTR Classified'!G316</f>
        <v>0</v>
      </c>
      <c r="G316" s="349">
        <f>F316-SUM(H316:J316)</f>
        <v>0</v>
      </c>
      <c r="H316" s="347">
        <f>ROUND($F$316*VLOOKUP($D$316,ALLOCTABLE_DISTR_DEMAND,$H$10,FALSE),0)</f>
        <v>0</v>
      </c>
      <c r="I316" s="347">
        <f>ROUND(F316*VLOOKUP(D316,ALLOCTABLE_DISTR_DEMAND,$I$10,FALSE),0)</f>
        <v>0</v>
      </c>
      <c r="J316" s="347">
        <f>ROUND(F316*VLOOKUP(D316,ALLOCTABLE_DISTR_DEMAND,$J$10,FALSE),0)</f>
        <v>0</v>
      </c>
      <c r="K316" s="347">
        <f>SUM(G316:J316)</f>
        <v>0</v>
      </c>
      <c r="L316" s="347">
        <f>F316-K316</f>
        <v>0</v>
      </c>
    </row>
    <row r="317" spans="1:12">
      <c r="A317" s="333">
        <v>22</v>
      </c>
      <c r="C317" s="353" t="str">
        <f>'FR-16(7)(v)-1 Functional'!C317</f>
        <v>PIPP UNCOLLECTIBLES</v>
      </c>
      <c r="D317" s="344" t="str">
        <f>'FR-16(7)(v)-1 Functional'!D317</f>
        <v>K406</v>
      </c>
      <c r="E317" s="196"/>
      <c r="F317" s="479">
        <f>'FR-16(7)(v)-4 DISTR Classified'!G317</f>
        <v>0</v>
      </c>
      <c r="G317" s="349">
        <f>F317-SUM(H317:J317)</f>
        <v>0</v>
      </c>
      <c r="H317" s="347">
        <f>ROUND($F$317*VLOOKUP($D$317,ALLOCTABLE_DISTR_DEMAND,$H$10,FALSE),0)</f>
        <v>0</v>
      </c>
      <c r="I317" s="347">
        <f>ROUND(F317*VLOOKUP(D317,ALLOCTABLE_DISTR_DEMAND,$I$10,FALSE),0)</f>
        <v>0</v>
      </c>
      <c r="J317" s="347">
        <f>ROUND(F317*VLOOKUP(D317,ALLOCTABLE_DISTR_DEMAND,$J$10,FALSE),0)</f>
        <v>0</v>
      </c>
      <c r="K317" s="347">
        <f>SUM(G317:J317)</f>
        <v>0</v>
      </c>
      <c r="L317" s="347">
        <f>F317-K317</f>
        <v>0</v>
      </c>
    </row>
    <row r="318" spans="1:12">
      <c r="A318" s="333">
        <v>23</v>
      </c>
      <c r="C318" s="511" t="str">
        <f>'FR-16(7)(v)-1 Functional'!C318</f>
        <v>RESERVED FOR FUTURE USE</v>
      </c>
      <c r="D318" s="344" t="str">
        <f>'FR-16(7)(v)-1 Functional'!D318</f>
        <v>D249</v>
      </c>
      <c r="E318" s="196"/>
      <c r="F318" s="479">
        <f>'FR-16(7)(v)-4 DISTR Classified'!G318</f>
        <v>0</v>
      </c>
      <c r="G318" s="349">
        <f>F318-SUM(H318:J318)</f>
        <v>0</v>
      </c>
      <c r="H318" s="347">
        <f>ROUND($F$318*VLOOKUP($D$318,ALLOCTABLE_DISTR_DEMAND,$H$10,FALSE),0)</f>
        <v>0</v>
      </c>
      <c r="I318" s="347">
        <f>ROUND(F318*VLOOKUP(D318,ALLOCTABLE_DISTR_DEMAND,$I$10,FALSE),0)</f>
        <v>0</v>
      </c>
      <c r="J318" s="347">
        <f>ROUND(F318*VLOOKUP(D318,ALLOCTABLE_DISTR_DEMAND,$J$10,FALSE),0)</f>
        <v>0</v>
      </c>
      <c r="K318" s="347">
        <f>SUM(G318:J318)</f>
        <v>0</v>
      </c>
      <c r="L318" s="347">
        <f>F318-K318</f>
        <v>0</v>
      </c>
    </row>
    <row r="319" spans="1:12">
      <c r="A319" s="333">
        <v>24</v>
      </c>
      <c r="C319" s="332" t="str">
        <f>'FR-16(7)(v)-1 Functional'!C319</f>
        <v xml:space="preserve">  TOTAL MISC WORK CAPITAL</v>
      </c>
      <c r="D319" s="344"/>
      <c r="E319" s="196"/>
      <c r="F319" s="348">
        <f t="shared" ref="F319:L319" si="109">SUM(F315:F318)</f>
        <v>0</v>
      </c>
      <c r="G319" s="348">
        <f>SUM(G315:G318)</f>
        <v>0</v>
      </c>
      <c r="H319" s="348">
        <f t="shared" si="109"/>
        <v>0</v>
      </c>
      <c r="I319" s="348">
        <f t="shared" si="109"/>
        <v>0</v>
      </c>
      <c r="J319" s="348">
        <f t="shared" si="109"/>
        <v>0</v>
      </c>
      <c r="K319" s="348">
        <f t="shared" si="109"/>
        <v>0</v>
      </c>
      <c r="L319" s="348">
        <f t="shared" si="109"/>
        <v>0</v>
      </c>
    </row>
    <row r="320" spans="1:12">
      <c r="A320" s="333">
        <v>25</v>
      </c>
      <c r="D320" s="344"/>
      <c r="E320" s="196"/>
      <c r="I320" s="332"/>
    </row>
    <row r="321" spans="1:12">
      <c r="A321" s="333">
        <v>26</v>
      </c>
      <c r="B321" s="332" t="s">
        <v>39</v>
      </c>
      <c r="D321" s="344"/>
      <c r="E321" s="196"/>
      <c r="F321" s="347">
        <f t="shared" ref="F321:L321" si="110">F304+F310+F313+F319</f>
        <v>1885450</v>
      </c>
      <c r="G321" s="347">
        <f>G304+G310+G313+G319</f>
        <v>1119729</v>
      </c>
      <c r="H321" s="347">
        <f t="shared" si="110"/>
        <v>536056</v>
      </c>
      <c r="I321" s="347">
        <f t="shared" si="110"/>
        <v>182351</v>
      </c>
      <c r="J321" s="347">
        <f t="shared" si="110"/>
        <v>47314</v>
      </c>
      <c r="K321" s="347">
        <f t="shared" si="110"/>
        <v>1885450</v>
      </c>
      <c r="L321" s="347">
        <f t="shared" si="110"/>
        <v>0</v>
      </c>
    </row>
    <row r="322" spans="1:12">
      <c r="A322" s="333">
        <v>27</v>
      </c>
      <c r="B322" s="332" t="s">
        <v>40</v>
      </c>
      <c r="D322" s="344"/>
      <c r="E322" s="196"/>
      <c r="I322" s="332"/>
    </row>
    <row r="323" spans="1:12">
      <c r="A323" s="333">
        <v>28</v>
      </c>
      <c r="C323" s="332" t="str">
        <f>'FR-16(7)(v)-1 Functional'!C323</f>
        <v>TOTAL ACCUMULATED DEFERRED INCOME TAXES</v>
      </c>
      <c r="D323" s="344"/>
      <c r="E323" s="196"/>
      <c r="F323" s="347">
        <f t="shared" ref="F323:L323" si="111">-F238</f>
        <v>-49901330</v>
      </c>
      <c r="G323" s="347">
        <f>-G238</f>
        <v>-28146696</v>
      </c>
      <c r="H323" s="347">
        <f t="shared" si="111"/>
        <v>-14957931</v>
      </c>
      <c r="I323" s="347">
        <f t="shared" si="111"/>
        <v>-5307015</v>
      </c>
      <c r="J323" s="347">
        <f t="shared" si="111"/>
        <v>-1489688</v>
      </c>
      <c r="K323" s="347">
        <f t="shared" si="111"/>
        <v>-49901330</v>
      </c>
      <c r="L323" s="347">
        <f t="shared" si="111"/>
        <v>0</v>
      </c>
    </row>
    <row r="324" spans="1:12">
      <c r="A324" s="333">
        <v>29</v>
      </c>
      <c r="C324" s="332" t="str">
        <f>'FR-16(7)(v)-1 Functional'!C324</f>
        <v>TOTAL OTHER ACCUMULATED DEFERRED INCOME TAXES</v>
      </c>
      <c r="D324" s="344"/>
      <c r="E324" s="196"/>
      <c r="F324" s="347">
        <f t="shared" ref="F324:L324" si="112">F283</f>
        <v>391964</v>
      </c>
      <c r="G324" s="347">
        <f>G283</f>
        <v>242326</v>
      </c>
      <c r="H324" s="347">
        <f t="shared" si="112"/>
        <v>106501</v>
      </c>
      <c r="I324" s="347">
        <f t="shared" si="112"/>
        <v>34824</v>
      </c>
      <c r="J324" s="347">
        <f t="shared" si="112"/>
        <v>8313</v>
      </c>
      <c r="K324" s="347">
        <f t="shared" si="112"/>
        <v>391964</v>
      </c>
      <c r="L324" s="347">
        <f t="shared" si="112"/>
        <v>0</v>
      </c>
    </row>
    <row r="325" spans="1:12">
      <c r="A325" s="333">
        <v>30</v>
      </c>
      <c r="C325" s="359" t="str">
        <f>'FR-16(7)(v)-1 Functional'!C325</f>
        <v>TOTAL WORKING CAPITAL</v>
      </c>
      <c r="D325" s="344"/>
      <c r="E325" s="196"/>
      <c r="F325" s="347">
        <f t="shared" ref="F325:L325" si="113">F321</f>
        <v>1885450</v>
      </c>
      <c r="G325" s="347">
        <f>G321</f>
        <v>1119729</v>
      </c>
      <c r="H325" s="347">
        <f t="shared" si="113"/>
        <v>536056</v>
      </c>
      <c r="I325" s="347">
        <f t="shared" si="113"/>
        <v>182351</v>
      </c>
      <c r="J325" s="347">
        <f t="shared" si="113"/>
        <v>47314</v>
      </c>
      <c r="K325" s="347">
        <f t="shared" si="113"/>
        <v>1885450</v>
      </c>
      <c r="L325" s="347">
        <f t="shared" si="113"/>
        <v>0</v>
      </c>
    </row>
    <row r="326" spans="1:12">
      <c r="A326" s="333">
        <v>31</v>
      </c>
      <c r="C326" s="332" t="str">
        <f>'FR-16(7)(v)-1 Functional'!C326</f>
        <v xml:space="preserve">  TOTAL RATE BASE ADJUSTMENTS</v>
      </c>
      <c r="D326" s="344"/>
      <c r="E326" s="196"/>
      <c r="F326" s="348">
        <f t="shared" ref="F326:L326" si="114">SUM(F322:F325)</f>
        <v>-47623916</v>
      </c>
      <c r="G326" s="348">
        <f>SUM(G322:G325)</f>
        <v>-26784641</v>
      </c>
      <c r="H326" s="348">
        <f t="shared" si="114"/>
        <v>-14315374</v>
      </c>
      <c r="I326" s="348">
        <f t="shared" si="114"/>
        <v>-5089840</v>
      </c>
      <c r="J326" s="348">
        <f t="shared" si="114"/>
        <v>-1434061</v>
      </c>
      <c r="K326" s="348">
        <f t="shared" si="114"/>
        <v>-47623916</v>
      </c>
      <c r="L326" s="348">
        <f t="shared" si="114"/>
        <v>0</v>
      </c>
    </row>
    <row r="327" spans="1:12">
      <c r="A327" s="333">
        <v>32</v>
      </c>
      <c r="D327" s="344"/>
      <c r="E327" s="196"/>
      <c r="I327" s="332"/>
    </row>
    <row r="328" spans="1:12">
      <c r="A328" s="333">
        <v>33</v>
      </c>
      <c r="B328" s="332" t="s">
        <v>41</v>
      </c>
      <c r="D328" s="344"/>
      <c r="E328" s="196"/>
      <c r="I328" s="332"/>
    </row>
    <row r="329" spans="1:12">
      <c r="A329" s="333">
        <v>34</v>
      </c>
      <c r="C329" s="332" t="str">
        <f>'FR-16(7)(v)-1 Functional'!C329</f>
        <v>NET GAS PLANT IN SERVICE</v>
      </c>
      <c r="D329" s="344"/>
      <c r="E329" s="196"/>
      <c r="F329" s="347">
        <f t="shared" ref="F329:L329" si="115">F191</f>
        <v>217773649</v>
      </c>
      <c r="G329" s="347">
        <f>G191</f>
        <v>122007455</v>
      </c>
      <c r="H329" s="347">
        <f t="shared" si="115"/>
        <v>65706811</v>
      </c>
      <c r="I329" s="347">
        <f t="shared" si="115"/>
        <v>23427061</v>
      </c>
      <c r="J329" s="347">
        <f t="shared" si="115"/>
        <v>6632322</v>
      </c>
      <c r="K329" s="347">
        <f t="shared" si="115"/>
        <v>217773649</v>
      </c>
      <c r="L329" s="347">
        <f t="shared" si="115"/>
        <v>0</v>
      </c>
    </row>
    <row r="330" spans="1:12">
      <c r="A330" s="333">
        <v>35</v>
      </c>
      <c r="C330" s="359" t="str">
        <f>'FR-16(7)(v)-1 Functional'!C330</f>
        <v>TOTAL RATE BASE ADJUSTMENTS</v>
      </c>
      <c r="D330" s="344"/>
      <c r="E330" s="196"/>
      <c r="F330" s="347">
        <f t="shared" ref="F330:L330" si="116">F326</f>
        <v>-47623916</v>
      </c>
      <c r="G330" s="347">
        <f>G326</f>
        <v>-26784641</v>
      </c>
      <c r="H330" s="347">
        <f t="shared" si="116"/>
        <v>-14315374</v>
      </c>
      <c r="I330" s="347">
        <f t="shared" si="116"/>
        <v>-5089840</v>
      </c>
      <c r="J330" s="347">
        <f t="shared" si="116"/>
        <v>-1434061</v>
      </c>
      <c r="K330" s="347">
        <f t="shared" si="116"/>
        <v>-47623916</v>
      </c>
      <c r="L330" s="347">
        <f t="shared" si="116"/>
        <v>0</v>
      </c>
    </row>
    <row r="331" spans="1:12">
      <c r="A331" s="333">
        <v>36</v>
      </c>
      <c r="C331" s="332" t="str">
        <f>'FR-16(7)(v)-1 Functional'!C331</f>
        <v xml:space="preserve">  TOTAL RATE BASE</v>
      </c>
      <c r="D331" s="344"/>
      <c r="E331" s="196"/>
      <c r="F331" s="348">
        <f t="shared" ref="F331:L331" si="117">SUM(F328:F330)</f>
        <v>170149733</v>
      </c>
      <c r="G331" s="348">
        <f>SUM(G328:G330)</f>
        <v>95222814</v>
      </c>
      <c r="H331" s="348">
        <f t="shared" si="117"/>
        <v>51391437</v>
      </c>
      <c r="I331" s="348">
        <f t="shared" si="117"/>
        <v>18337221</v>
      </c>
      <c r="J331" s="348">
        <f t="shared" si="117"/>
        <v>5198261</v>
      </c>
      <c r="K331" s="348">
        <f t="shared" si="117"/>
        <v>170149733</v>
      </c>
      <c r="L331" s="348">
        <f t="shared" si="117"/>
        <v>0</v>
      </c>
    </row>
    <row r="332" spans="1:12">
      <c r="A332" s="333">
        <v>37</v>
      </c>
      <c r="D332" s="344"/>
      <c r="E332" s="196"/>
      <c r="I332" s="332"/>
    </row>
    <row r="333" spans="1:12">
      <c r="A333" s="333">
        <v>38</v>
      </c>
      <c r="B333" s="332" t="s">
        <v>42</v>
      </c>
      <c r="D333" s="344"/>
      <c r="E333" s="196"/>
      <c r="F333" s="1284">
        <f>$F$688</f>
        <v>7.1809999999999999E-2</v>
      </c>
      <c r="G333" s="1284">
        <f>$F$688</f>
        <v>7.1809999999999999E-2</v>
      </c>
      <c r="H333" s="1284">
        <f>F688</f>
        <v>7.1809999999999999E-2</v>
      </c>
      <c r="I333" s="1284">
        <f>F688</f>
        <v>7.1809999999999999E-2</v>
      </c>
      <c r="J333" s="1284">
        <f>F688</f>
        <v>7.1809999999999999E-2</v>
      </c>
      <c r="K333" s="1284">
        <f>F688</f>
        <v>7.1809999999999999E-2</v>
      </c>
      <c r="L333" s="1284">
        <f>'FR-16(7)(v)-1 Functional'!F688</f>
        <v>7.1809999999999999E-2</v>
      </c>
    </row>
    <row r="334" spans="1:12">
      <c r="A334" s="333">
        <v>39</v>
      </c>
      <c r="B334" s="332" t="s">
        <v>43</v>
      </c>
      <c r="D334" s="344"/>
      <c r="E334" s="196"/>
      <c r="F334" s="347">
        <f>ROUND(F333*F331,0)</f>
        <v>12218452</v>
      </c>
      <c r="G334" s="349">
        <f>F334-SUM(H334:J334)</f>
        <v>6837950</v>
      </c>
      <c r="H334" s="477">
        <f>ROUND(H331*H333,0)</f>
        <v>3690419</v>
      </c>
      <c r="I334" s="477">
        <f>ROUND(I331*I333,0)</f>
        <v>1316796</v>
      </c>
      <c r="J334" s="477">
        <f>ROUND(J331*J333,0)</f>
        <v>373287</v>
      </c>
      <c r="K334" s="347">
        <f>SUM(G334:J334)</f>
        <v>12218452</v>
      </c>
      <c r="L334" s="347">
        <f>ROUND(L331*L333,0)</f>
        <v>0</v>
      </c>
    </row>
    <row r="335" spans="1:12">
      <c r="B335" s="343"/>
      <c r="C335" s="196"/>
      <c r="D335" s="344"/>
      <c r="E335" s="196"/>
      <c r="G335" s="196"/>
      <c r="H335" s="196"/>
      <c r="I335" s="196"/>
      <c r="J335" s="344"/>
      <c r="K335" s="196"/>
      <c r="L335" s="196"/>
    </row>
    <row r="336" spans="1:12">
      <c r="A336" s="343" t="str">
        <f>co_name</f>
        <v>DUKE ENERGY KENTUCKY, INC.</v>
      </c>
      <c r="C336" s="196"/>
      <c r="D336" s="344"/>
      <c r="E336" s="196"/>
      <c r="F336" s="344"/>
      <c r="G336" s="342"/>
      <c r="H336" s="342"/>
      <c r="I336" s="196"/>
      <c r="K336" s="361" t="str">
        <f>$K$1</f>
        <v>FR-16(7)(v)-5</v>
      </c>
      <c r="L336" s="196"/>
    </row>
    <row r="337" spans="1:12">
      <c r="A337" s="343" t="str">
        <f>$A$2</f>
        <v>DISTRIBUTION DEMAND ALLOCATED - GAS COST OF SERVICE</v>
      </c>
      <c r="C337" s="196"/>
      <c r="D337" s="344"/>
      <c r="E337" s="196"/>
      <c r="F337" s="344"/>
      <c r="G337" s="342"/>
      <c r="H337" s="342"/>
      <c r="I337" s="196"/>
      <c r="K337" s="361" t="str">
        <f>$K$2</f>
        <v>WITNESS RESPONSIBLE:</v>
      </c>
      <c r="L337" s="196"/>
    </row>
    <row r="338" spans="1:12">
      <c r="A338" s="343" t="str">
        <f>case_name</f>
        <v>CASE NO: 2018-00261</v>
      </c>
      <c r="C338" s="196"/>
      <c r="D338" s="344"/>
      <c r="E338" s="196"/>
      <c r="F338" s="344"/>
      <c r="G338" s="342"/>
      <c r="H338" s="342"/>
      <c r="I338" s="196"/>
      <c r="K338" s="361" t="str">
        <f>Witness</f>
        <v>JAMES E. ZIOLKOWSKI</v>
      </c>
      <c r="L338" s="196"/>
    </row>
    <row r="339" spans="1:12">
      <c r="A339" s="343" t="str">
        <f>data_filing</f>
        <v>DATA: 12 MONTH FORECASTED PERIOD</v>
      </c>
      <c r="C339" s="196"/>
      <c r="D339" s="344"/>
      <c r="E339" s="196"/>
      <c r="F339" s="344"/>
      <c r="G339" s="342"/>
      <c r="H339" s="342"/>
      <c r="I339" s="196"/>
      <c r="K339" s="361" t="str">
        <f>"PAGE "&amp;Pages-10&amp;" OF "&amp;Pages</f>
        <v>PAGE 8 OF 18</v>
      </c>
      <c r="L339" s="196"/>
    </row>
    <row r="340" spans="1:12">
      <c r="A340" s="343" t="str">
        <f>type</f>
        <v xml:space="preserve">TYPE OF FILING: "X" ORIGINAL   UPDATED    REVISED  </v>
      </c>
      <c r="C340" s="196"/>
      <c r="D340" s="344"/>
      <c r="E340" s="196"/>
      <c r="F340" s="344"/>
      <c r="G340" s="342"/>
      <c r="H340" s="342"/>
      <c r="I340" s="196"/>
      <c r="J340" s="344"/>
      <c r="K340" s="196"/>
      <c r="L340" s="196"/>
    </row>
    <row r="341" spans="1:12">
      <c r="B341" s="343"/>
      <c r="C341" s="196"/>
      <c r="D341" s="344"/>
      <c r="E341" s="196"/>
      <c r="F341" s="344"/>
      <c r="G341" s="196"/>
      <c r="H341" s="196"/>
      <c r="I341" s="196"/>
      <c r="J341" s="344"/>
      <c r="K341" s="196"/>
      <c r="L341" s="196"/>
    </row>
    <row r="342" spans="1:12">
      <c r="B342" s="343"/>
      <c r="C342" s="196"/>
      <c r="D342" s="344"/>
      <c r="E342" s="196"/>
      <c r="F342" s="344" t="str">
        <f>$F$7</f>
        <v>TOTAL</v>
      </c>
      <c r="G342" s="196"/>
      <c r="H342" s="196"/>
      <c r="I342" s="196"/>
      <c r="J342" s="344"/>
      <c r="K342" s="196"/>
      <c r="L342" s="196"/>
    </row>
    <row r="343" spans="1:12">
      <c r="A343" s="344" t="s">
        <v>914</v>
      </c>
      <c r="B343" s="196"/>
      <c r="C343" s="196"/>
      <c r="D343" s="344"/>
      <c r="E343" s="196"/>
      <c r="F343" s="344" t="str">
        <f>$F$8</f>
        <v>DISTRIBUTION</v>
      </c>
      <c r="G343" s="344" t="s">
        <v>418</v>
      </c>
      <c r="H343" s="344" t="s">
        <v>864</v>
      </c>
      <c r="I343" s="344" t="s">
        <v>865</v>
      </c>
      <c r="J343" s="344" t="s">
        <v>549</v>
      </c>
      <c r="K343" s="344" t="s">
        <v>229</v>
      </c>
      <c r="L343" s="344" t="s">
        <v>342</v>
      </c>
    </row>
    <row r="344" spans="1:12">
      <c r="A344" s="346" t="s">
        <v>915</v>
      </c>
      <c r="B344" s="345" t="s">
        <v>44</v>
      </c>
      <c r="C344" s="345"/>
      <c r="D344" s="346" t="s">
        <v>337</v>
      </c>
      <c r="E344" s="345"/>
      <c r="F344" s="344" t="str">
        <f>$F$9</f>
        <v>DEMAND</v>
      </c>
      <c r="G344" s="346" t="s">
        <v>338</v>
      </c>
      <c r="H344" s="346" t="s">
        <v>405</v>
      </c>
      <c r="I344" s="346" t="s">
        <v>405</v>
      </c>
      <c r="J344" s="346" t="s">
        <v>550</v>
      </c>
      <c r="K344" s="346" t="s">
        <v>341</v>
      </c>
      <c r="L344" s="346" t="s">
        <v>340</v>
      </c>
    </row>
    <row r="345" spans="1:12">
      <c r="C345" s="578" t="s">
        <v>348</v>
      </c>
      <c r="D345" s="344"/>
      <c r="E345" s="196"/>
      <c r="F345" s="761"/>
      <c r="G345" s="633">
        <f>$G$10</f>
        <v>3</v>
      </c>
      <c r="H345" s="633">
        <f>$H$10</f>
        <v>4</v>
      </c>
      <c r="I345" s="633">
        <f>$I$10</f>
        <v>5</v>
      </c>
      <c r="J345" s="633">
        <f>$J$10</f>
        <v>6</v>
      </c>
    </row>
    <row r="346" spans="1:12">
      <c r="A346" s="333">
        <v>1</v>
      </c>
      <c r="B346" s="332" t="s">
        <v>45</v>
      </c>
      <c r="D346" s="344"/>
      <c r="E346" s="196"/>
      <c r="I346" s="332"/>
    </row>
    <row r="347" spans="1:12">
      <c r="A347" s="333">
        <v>2</v>
      </c>
      <c r="B347" s="332" t="s">
        <v>46</v>
      </c>
      <c r="D347" s="344"/>
      <c r="E347" s="196"/>
      <c r="I347" s="332"/>
    </row>
    <row r="348" spans="1:12">
      <c r="A348" s="333">
        <v>3</v>
      </c>
      <c r="C348" s="332" t="str">
        <f>'FR-16(7)(v)-1 Functional'!C348</f>
        <v>ANNUALIZED GAS COST</v>
      </c>
      <c r="D348" s="344" t="str">
        <f>'FR-16(7)(v)-1 Functional'!D348</f>
        <v>K301</v>
      </c>
      <c r="E348" s="196"/>
      <c r="F348" s="479">
        <f>'FR-16(7)(v)-4 DISTR Classified'!G348</f>
        <v>0</v>
      </c>
      <c r="G348" s="349">
        <f>F348-SUM(H348:J348)</f>
        <v>0</v>
      </c>
      <c r="H348" s="347">
        <f>ROUND($F$348*VLOOKUP($D$348,ALLOCTABLE_DISTR_DEMAND,$H$10,FALSE),0)</f>
        <v>0</v>
      </c>
      <c r="I348" s="347">
        <f>ROUND(F348*VLOOKUP(D348,ALLOCTABLE_DISTR_DEMAND,$I$10,FALSE),0)</f>
        <v>0</v>
      </c>
      <c r="J348" s="347">
        <f>ROUND(F348*VLOOKUP(D348,ALLOCTABLE_DISTR_DEMAND,$J$10,FALSE),0)</f>
        <v>0</v>
      </c>
      <c r="K348" s="347">
        <f>SUM(G348:J348)</f>
        <v>0</v>
      </c>
      <c r="L348" s="347">
        <f>F348-K348</f>
        <v>0</v>
      </c>
    </row>
    <row r="349" spans="1:12">
      <c r="A349" s="333">
        <v>4</v>
      </c>
      <c r="C349" s="359" t="str">
        <f>'FR-16(7)(v)-1 Functional'!C349</f>
        <v>OTHER ASSOCIATED COST</v>
      </c>
      <c r="D349" s="344" t="str">
        <f>'FR-16(7)(v)-1 Functional'!D349</f>
        <v>K300</v>
      </c>
      <c r="E349" s="196"/>
      <c r="F349" s="479">
        <f>'FR-16(7)(v)-4 DISTR Classified'!G349</f>
        <v>0</v>
      </c>
      <c r="G349" s="349">
        <f>F349-SUM(H349:J349)</f>
        <v>0</v>
      </c>
      <c r="H349" s="347">
        <f>ROUND($F$349*VLOOKUP($D$349,ALLOCTABLE_DISTR_DEMAND,$H$10,FALSE),0)</f>
        <v>0</v>
      </c>
      <c r="I349" s="347">
        <f>ROUND(F349*VLOOKUP(D349,ALLOCTABLE_DISTR_DEMAND,$I$10,FALSE),0)</f>
        <v>0</v>
      </c>
      <c r="J349" s="347">
        <f>ROUND(F349*VLOOKUP(D349,ALLOCTABLE_DISTR_DEMAND,$J$10,FALSE),0)</f>
        <v>0</v>
      </c>
      <c r="K349" s="347">
        <f>SUM(G349:J349)</f>
        <v>0</v>
      </c>
      <c r="L349" s="347">
        <f>F349-K349</f>
        <v>0</v>
      </c>
    </row>
    <row r="350" spans="1:12">
      <c r="A350" s="333">
        <v>5</v>
      </c>
      <c r="C350" s="332" t="str">
        <f>'FR-16(7)(v)-1 Functional'!C350</f>
        <v xml:space="preserve">  TOTAL COMMODITY RELATED</v>
      </c>
      <c r="D350" s="344"/>
      <c r="E350" s="196"/>
      <c r="F350" s="348">
        <f t="shared" ref="F350:L350" si="118">SUM(F348:F349)</f>
        <v>0</v>
      </c>
      <c r="G350" s="348">
        <f>SUM(G348:G349)</f>
        <v>0</v>
      </c>
      <c r="H350" s="348">
        <f t="shared" si="118"/>
        <v>0</v>
      </c>
      <c r="I350" s="348">
        <f t="shared" si="118"/>
        <v>0</v>
      </c>
      <c r="J350" s="348">
        <f t="shared" si="118"/>
        <v>0</v>
      </c>
      <c r="K350" s="348">
        <f t="shared" si="118"/>
        <v>0</v>
      </c>
      <c r="L350" s="348">
        <f t="shared" si="118"/>
        <v>0</v>
      </c>
    </row>
    <row r="351" spans="1:12">
      <c r="A351" s="333">
        <v>6</v>
      </c>
      <c r="D351" s="344"/>
      <c r="E351" s="196"/>
      <c r="I351" s="332"/>
    </row>
    <row r="352" spans="1:12">
      <c r="A352" s="333">
        <v>7</v>
      </c>
      <c r="B352" s="359" t="s">
        <v>47</v>
      </c>
      <c r="C352" s="359"/>
      <c r="D352" s="344"/>
      <c r="E352" s="196"/>
      <c r="F352" s="347"/>
      <c r="I352" s="332"/>
      <c r="J352" s="347"/>
      <c r="K352" s="347"/>
      <c r="L352" s="347"/>
    </row>
    <row r="353" spans="1:12">
      <c r="A353" s="333">
        <v>8</v>
      </c>
      <c r="C353" s="332" t="str">
        <f>'FR-16(7)(v)-1 Functional'!C353</f>
        <v>ANNUALIZED GAS COST - DEMAND</v>
      </c>
      <c r="D353" s="344" t="s">
        <v>290</v>
      </c>
      <c r="E353" s="196"/>
      <c r="F353" s="477">
        <v>0</v>
      </c>
      <c r="G353" s="349">
        <f>F353-SUM(H353:J353)</f>
        <v>0</v>
      </c>
      <c r="H353" s="347">
        <f>ROUND($F$353*VLOOKUP($D$353,ALLOCTABLE_DISTR_DEMAND,$H$10,FALSE),0)</f>
        <v>0</v>
      </c>
      <c r="I353" s="347">
        <f>ROUND(F353*VLOOKUP(D353,ALLOCTABLE_DISTR_DEMAND,$I$10,FALSE),0)</f>
        <v>0</v>
      </c>
      <c r="J353" s="347">
        <f>ROUND(F353*VLOOKUP(D353,ALLOCTABLE_DISTR_DEMAND,$J$10,FALSE),0)</f>
        <v>0</v>
      </c>
      <c r="K353" s="347">
        <f>SUM(G353:J353)</f>
        <v>0</v>
      </c>
      <c r="L353" s="347">
        <f>F353-K353</f>
        <v>0</v>
      </c>
    </row>
    <row r="354" spans="1:12">
      <c r="A354" s="333">
        <v>9</v>
      </c>
      <c r="C354" s="332" t="str">
        <f>'FR-16(7)(v)-1 Functional'!C354</f>
        <v xml:space="preserve">  TOTAL DEMAND RELATED</v>
      </c>
      <c r="D354" s="344"/>
      <c r="E354" s="196"/>
      <c r="F354" s="348">
        <f t="shared" ref="F354:L354" si="119">SUM(F352:F353)</f>
        <v>0</v>
      </c>
      <c r="G354" s="348">
        <f>SUM(G352:G353)</f>
        <v>0</v>
      </c>
      <c r="H354" s="348">
        <f t="shared" si="119"/>
        <v>0</v>
      </c>
      <c r="I354" s="348">
        <f t="shared" si="119"/>
        <v>0</v>
      </c>
      <c r="J354" s="348">
        <f t="shared" si="119"/>
        <v>0</v>
      </c>
      <c r="K354" s="348">
        <f t="shared" si="119"/>
        <v>0</v>
      </c>
      <c r="L354" s="348">
        <f t="shared" si="119"/>
        <v>0</v>
      </c>
    </row>
    <row r="355" spans="1:12">
      <c r="A355" s="333">
        <v>10</v>
      </c>
      <c r="D355" s="344"/>
      <c r="E355" s="196"/>
      <c r="I355" s="332"/>
    </row>
    <row r="356" spans="1:12">
      <c r="A356" s="333">
        <v>11</v>
      </c>
      <c r="B356" s="332" t="s">
        <v>1010</v>
      </c>
      <c r="D356" s="344"/>
      <c r="E356" s="196"/>
      <c r="I356" s="332"/>
    </row>
    <row r="357" spans="1:12">
      <c r="A357" s="333">
        <v>12</v>
      </c>
      <c r="C357" s="359" t="str">
        <f>'FR-16(7)(v)-1 Functional'!C357</f>
        <v>PRODUCTION EXPENSES</v>
      </c>
      <c r="D357" s="344" t="str">
        <f>'FR-16(7)(v)-1 Functional'!D357</f>
        <v>K201</v>
      </c>
      <c r="E357" s="196"/>
      <c r="F357" s="479">
        <f>'FR-16(7)(v)-4 DISTR Classified'!G357</f>
        <v>0</v>
      </c>
      <c r="G357" s="349">
        <f>F357-SUM(H357:J357)</f>
        <v>0</v>
      </c>
      <c r="H357" s="347">
        <f>ROUND($F$357*VLOOKUP($D$357,ALLOCTABLE_DISTR_DEMAND,$H$10,FALSE),0)</f>
        <v>0</v>
      </c>
      <c r="I357" s="347">
        <f>ROUND(F357*VLOOKUP(D357,ALLOCTABLE_DISTR_DEMAND,$I$10,FALSE),0)</f>
        <v>0</v>
      </c>
      <c r="J357" s="347">
        <f>ROUND(F357*VLOOKUP(D357,ALLOCTABLE_DISTR_DEMAND,$J$10,FALSE),0)</f>
        <v>0</v>
      </c>
      <c r="K357" s="347">
        <f>SUM(G357:J357)</f>
        <v>0</v>
      </c>
      <c r="L357" s="347">
        <f>F357-K357</f>
        <v>0</v>
      </c>
    </row>
    <row r="358" spans="1:12">
      <c r="A358" s="333">
        <v>13</v>
      </c>
      <c r="C358" s="332" t="str">
        <f>'FR-16(7)(v)-1 Functional'!C358</f>
        <v xml:space="preserve">  TOTAL DEM REL &amp; OTH PROD O&amp;M </v>
      </c>
      <c r="D358" s="344"/>
      <c r="E358" s="196"/>
      <c r="F358" s="348">
        <f t="shared" ref="F358:L358" si="120">SUM(F356:F357)</f>
        <v>0</v>
      </c>
      <c r="G358" s="348">
        <f>SUM(G356:G357)</f>
        <v>0</v>
      </c>
      <c r="H358" s="348">
        <f t="shared" si="120"/>
        <v>0</v>
      </c>
      <c r="I358" s="348">
        <f t="shared" si="120"/>
        <v>0</v>
      </c>
      <c r="J358" s="348">
        <f t="shared" si="120"/>
        <v>0</v>
      </c>
      <c r="K358" s="348">
        <f t="shared" si="120"/>
        <v>0</v>
      </c>
      <c r="L358" s="348">
        <f t="shared" si="120"/>
        <v>0</v>
      </c>
    </row>
    <row r="359" spans="1:12">
      <c r="A359" s="333">
        <v>14</v>
      </c>
      <c r="D359" s="344"/>
      <c r="E359" s="196"/>
      <c r="F359" s="347"/>
      <c r="I359" s="332"/>
      <c r="J359" s="347"/>
      <c r="K359" s="347"/>
      <c r="L359" s="347"/>
    </row>
    <row r="360" spans="1:12">
      <c r="A360" s="333">
        <v>15</v>
      </c>
      <c r="B360" s="332" t="s">
        <v>48</v>
      </c>
      <c r="D360" s="344"/>
      <c r="E360" s="196" t="s">
        <v>343</v>
      </c>
      <c r="F360" s="347">
        <f t="shared" ref="F360:L360" si="121">F358+F354+F350</f>
        <v>0</v>
      </c>
      <c r="G360" s="347">
        <f>G358+G354+G350</f>
        <v>0</v>
      </c>
      <c r="H360" s="347">
        <f t="shared" si="121"/>
        <v>0</v>
      </c>
      <c r="I360" s="347">
        <f t="shared" si="121"/>
        <v>0</v>
      </c>
      <c r="J360" s="347">
        <f t="shared" si="121"/>
        <v>0</v>
      </c>
      <c r="K360" s="347">
        <f t="shared" si="121"/>
        <v>0</v>
      </c>
      <c r="L360" s="347">
        <f t="shared" si="121"/>
        <v>0</v>
      </c>
    </row>
    <row r="361" spans="1:12">
      <c r="A361" s="333">
        <v>16</v>
      </c>
      <c r="D361" s="344"/>
      <c r="E361" s="196"/>
      <c r="I361" s="332"/>
    </row>
    <row r="362" spans="1:12">
      <c r="A362" s="333">
        <v>17</v>
      </c>
      <c r="B362" s="332" t="s">
        <v>49</v>
      </c>
      <c r="D362" s="344"/>
      <c r="E362" s="196"/>
      <c r="I362" s="332"/>
    </row>
    <row r="363" spans="1:12">
      <c r="A363" s="333">
        <v>18</v>
      </c>
      <c r="C363" s="359" t="str">
        <f>'FR-16(7)(v)-1 Functional'!C363</f>
        <v>TRANSMISSION O &amp; M</v>
      </c>
      <c r="D363" s="344" t="s">
        <v>343</v>
      </c>
      <c r="E363" s="196"/>
      <c r="F363" s="477"/>
      <c r="G363" s="347"/>
      <c r="H363" s="347"/>
      <c r="I363" s="347"/>
      <c r="J363" s="347"/>
      <c r="K363" s="347"/>
      <c r="L363" s="347"/>
    </row>
    <row r="364" spans="1:12">
      <c r="A364" s="333">
        <v>19</v>
      </c>
      <c r="C364" s="332" t="str">
        <f>'FR-16(7)(v)-1 Functional'!C364</f>
        <v xml:space="preserve">  TOTAL TRANSMISSION O &amp; M</v>
      </c>
      <c r="D364" s="344"/>
      <c r="E364" s="196"/>
      <c r="F364" s="348">
        <f t="shared" ref="F364:L364" si="122">SUM(F363)</f>
        <v>0</v>
      </c>
      <c r="G364" s="348">
        <f>SUM(G363)</f>
        <v>0</v>
      </c>
      <c r="H364" s="348">
        <f t="shared" si="122"/>
        <v>0</v>
      </c>
      <c r="I364" s="348">
        <f t="shared" si="122"/>
        <v>0</v>
      </c>
      <c r="J364" s="348">
        <f t="shared" si="122"/>
        <v>0</v>
      </c>
      <c r="K364" s="348">
        <f t="shared" si="122"/>
        <v>0</v>
      </c>
      <c r="L364" s="348">
        <f t="shared" si="122"/>
        <v>0</v>
      </c>
    </row>
    <row r="365" spans="1:12">
      <c r="A365" s="333">
        <v>20</v>
      </c>
      <c r="D365" s="344"/>
      <c r="E365" s="196"/>
      <c r="I365" s="332"/>
    </row>
    <row r="366" spans="1:12">
      <c r="A366" s="333">
        <v>21</v>
      </c>
      <c r="B366" s="332" t="s">
        <v>50</v>
      </c>
      <c r="D366" s="344"/>
      <c r="E366" s="196"/>
      <c r="I366" s="332"/>
    </row>
    <row r="367" spans="1:12">
      <c r="A367" s="333">
        <v>22</v>
      </c>
      <c r="C367" s="332" t="str">
        <f>'FR-16(7)(v)-1 Functional'!C367</f>
        <v>LOAD DISPATCHING</v>
      </c>
      <c r="D367" s="344" t="str">
        <f>'FR-16(7)(v)-1 Functional'!D367</f>
        <v>K203</v>
      </c>
      <c r="E367" s="196"/>
      <c r="F367" s="479">
        <f>'FR-16(7)(v)-4 DISTR Classified'!G367</f>
        <v>185332</v>
      </c>
      <c r="G367" s="349">
        <f t="shared" ref="G367:G377" si="123">F367-SUM(H367:J367)</f>
        <v>104651</v>
      </c>
      <c r="H367" s="347">
        <f>ROUND($F$367*VLOOKUP($D$367,ALLOCTABLE_DISTR_DEMAND,$H$10,FALSE),0)</f>
        <v>54716</v>
      </c>
      <c r="I367" s="347">
        <f t="shared" ref="I367:I377" si="124">ROUND(F367*VLOOKUP(D367,ALLOCTABLE_DISTR_DEMAND,$I$10,FALSE),0)</f>
        <v>20225</v>
      </c>
      <c r="J367" s="347">
        <f t="shared" ref="J367:J377" si="125">ROUND(F367*VLOOKUP(D367,ALLOCTABLE_DISTR_DEMAND,$J$10,FALSE),0)</f>
        <v>5740</v>
      </c>
      <c r="K367" s="347">
        <f t="shared" ref="K367:K377" si="126">SUM(G367:J367)</f>
        <v>185332</v>
      </c>
      <c r="L367" s="347">
        <f t="shared" ref="L367:L377" si="127">F367-K367</f>
        <v>0</v>
      </c>
    </row>
    <row r="368" spans="1:12">
      <c r="A368" s="333">
        <v>23</v>
      </c>
      <c r="C368" s="332" t="str">
        <f>'FR-16(7)(v)-1 Functional'!C368</f>
        <v>MAINS &amp; SERVICES OPER</v>
      </c>
      <c r="D368" s="344" t="str">
        <f>'FR-16(7)(v)-1 Functional'!D368</f>
        <v>K667</v>
      </c>
      <c r="E368" s="196"/>
      <c r="F368" s="479">
        <f>'FR-16(7)(v)-4 DISTR Classified'!G368</f>
        <v>1322610</v>
      </c>
      <c r="G368" s="349">
        <f t="shared" si="123"/>
        <v>746839</v>
      </c>
      <c r="H368" s="347">
        <f>ROUND($F$368*VLOOKUP($D$368,ALLOCTABLE_DISTR_DEMAND,$H$10,FALSE),0)</f>
        <v>390474</v>
      </c>
      <c r="I368" s="347">
        <f t="shared" si="124"/>
        <v>144336</v>
      </c>
      <c r="J368" s="347">
        <f t="shared" si="125"/>
        <v>40961</v>
      </c>
      <c r="K368" s="347">
        <f t="shared" si="126"/>
        <v>1322610</v>
      </c>
      <c r="L368" s="347">
        <f t="shared" si="127"/>
        <v>0</v>
      </c>
    </row>
    <row r="369" spans="1:12">
      <c r="A369" s="333">
        <v>24</v>
      </c>
      <c r="C369" s="332" t="str">
        <f>'FR-16(7)(v)-1 Functional'!C369</f>
        <v>M &amp; R STATION GENERAL</v>
      </c>
      <c r="D369" s="344" t="str">
        <f>'FR-16(7)(v)-1 Functional'!D369</f>
        <v>K203</v>
      </c>
      <c r="E369" s="196"/>
      <c r="F369" s="479">
        <f>'FR-16(7)(v)-4 DISTR Classified'!G369</f>
        <v>66190</v>
      </c>
      <c r="G369" s="349">
        <f t="shared" si="123"/>
        <v>37376</v>
      </c>
      <c r="H369" s="347">
        <f>ROUND($F$369*VLOOKUP($D$369,ALLOCTABLE_DISTR_DEMAND,$H$10,FALSE),0)</f>
        <v>19541</v>
      </c>
      <c r="I369" s="347">
        <f t="shared" si="124"/>
        <v>7223</v>
      </c>
      <c r="J369" s="347">
        <f t="shared" si="125"/>
        <v>2050</v>
      </c>
      <c r="K369" s="347">
        <f t="shared" si="126"/>
        <v>66190</v>
      </c>
      <c r="L369" s="347">
        <f t="shared" si="127"/>
        <v>0</v>
      </c>
    </row>
    <row r="370" spans="1:12">
      <c r="A370" s="333">
        <v>25</v>
      </c>
      <c r="C370" s="332" t="str">
        <f>'FR-16(7)(v)-1 Functional'!C370</f>
        <v>CUSTOMER INST &amp; OTHER</v>
      </c>
      <c r="D370" s="344" t="str">
        <f>'FR-16(7)(v)-1 Functional'!D370</f>
        <v>K415</v>
      </c>
      <c r="E370" s="196"/>
      <c r="F370" s="479">
        <f>'FR-16(7)(v)-4 DISTR Classified'!G370</f>
        <v>1136524</v>
      </c>
      <c r="G370" s="349">
        <f t="shared" si="123"/>
        <v>706850</v>
      </c>
      <c r="H370" s="347">
        <f>ROUND($F$370*VLOOKUP($D$370,ALLOCTABLE_DISTR_DEMAND,$H$10,FALSE),0)</f>
        <v>295326</v>
      </c>
      <c r="I370" s="347">
        <f t="shared" si="124"/>
        <v>104662</v>
      </c>
      <c r="J370" s="347">
        <f t="shared" si="125"/>
        <v>29686</v>
      </c>
      <c r="K370" s="347">
        <f t="shared" si="126"/>
        <v>1136524</v>
      </c>
      <c r="L370" s="347">
        <f t="shared" si="127"/>
        <v>0</v>
      </c>
    </row>
    <row r="371" spans="1:12">
      <c r="A371" s="333">
        <v>26</v>
      </c>
      <c r="C371" s="332" t="str">
        <f>'FR-16(7)(v)-1 Functional'!C371</f>
        <v>METERS &amp; HOUSE REG</v>
      </c>
      <c r="D371" s="344" t="str">
        <f>'FR-16(7)(v)-1 Functional'!D371</f>
        <v>K697</v>
      </c>
      <c r="E371" s="196"/>
      <c r="F371" s="479">
        <f>'FR-16(7)(v)-4 DISTR Classified'!G371</f>
        <v>0</v>
      </c>
      <c r="G371" s="349">
        <f t="shared" si="123"/>
        <v>0</v>
      </c>
      <c r="H371" s="347">
        <f>ROUND($F$371*VLOOKUP($D$371,ALLOCTABLE_DISTR_DEMAND,$H$10,FALSE),0)</f>
        <v>0</v>
      </c>
      <c r="I371" s="347">
        <f t="shared" si="124"/>
        <v>0</v>
      </c>
      <c r="J371" s="347">
        <f t="shared" si="125"/>
        <v>0</v>
      </c>
      <c r="K371" s="347">
        <f t="shared" si="126"/>
        <v>0</v>
      </c>
      <c r="L371" s="347">
        <f t="shared" si="127"/>
        <v>0</v>
      </c>
    </row>
    <row r="372" spans="1:12">
      <c r="A372" s="333">
        <v>27</v>
      </c>
      <c r="C372" s="332" t="str">
        <f>'FR-16(7)(v)-1 Functional'!C372</f>
        <v>MAINS</v>
      </c>
      <c r="D372" s="344" t="str">
        <f>'FR-16(7)(v)-1 Functional'!D372</f>
        <v>K415</v>
      </c>
      <c r="E372" s="196"/>
      <c r="F372" s="479">
        <f>'FR-16(7)(v)-4 DISTR Classified'!G372</f>
        <v>1813014</v>
      </c>
      <c r="G372" s="349">
        <f t="shared" si="123"/>
        <v>1127586</v>
      </c>
      <c r="H372" s="347">
        <f>ROUND($F$372*VLOOKUP($D$372,ALLOCTABLE_DISTR_DEMAND,$H$10,FALSE),0)</f>
        <v>471112</v>
      </c>
      <c r="I372" s="347">
        <f t="shared" si="124"/>
        <v>166960</v>
      </c>
      <c r="J372" s="347">
        <f t="shared" si="125"/>
        <v>47356</v>
      </c>
      <c r="K372" s="347">
        <f t="shared" si="126"/>
        <v>1813014</v>
      </c>
      <c r="L372" s="347">
        <f t="shared" si="127"/>
        <v>0</v>
      </c>
    </row>
    <row r="373" spans="1:12">
      <c r="A373" s="333">
        <v>28</v>
      </c>
      <c r="C373" s="332" t="str">
        <f>'FR-16(7)(v)-1 Functional'!C373</f>
        <v>SERVICES</v>
      </c>
      <c r="D373" s="344" t="str">
        <f>'FR-16(7)(v)-1 Functional'!D373</f>
        <v>K403</v>
      </c>
      <c r="E373" s="196"/>
      <c r="F373" s="479">
        <f>'FR-16(7)(v)-4 DISTR Classified'!G373</f>
        <v>0</v>
      </c>
      <c r="G373" s="349">
        <f t="shared" si="123"/>
        <v>0</v>
      </c>
      <c r="H373" s="347">
        <f>ROUND($F$373*VLOOKUP($D$373,ALLOCTABLE_DISTR_DEMAND,$H$10,FALSE),0)</f>
        <v>0</v>
      </c>
      <c r="I373" s="347">
        <f t="shared" si="124"/>
        <v>0</v>
      </c>
      <c r="J373" s="347">
        <f t="shared" si="125"/>
        <v>0</v>
      </c>
      <c r="K373" s="347">
        <f t="shared" si="126"/>
        <v>0</v>
      </c>
      <c r="L373" s="347">
        <f t="shared" si="127"/>
        <v>0</v>
      </c>
    </row>
    <row r="374" spans="1:12">
      <c r="A374" s="333">
        <v>29</v>
      </c>
      <c r="C374" s="332" t="str">
        <f>'FR-16(7)(v)-1 Functional'!C374</f>
        <v>SUPV &amp; ENG</v>
      </c>
      <c r="D374" s="344" t="str">
        <f>'FR-16(7)(v)-1 Functional'!D374</f>
        <v>D249</v>
      </c>
      <c r="E374" s="196"/>
      <c r="F374" s="479">
        <f>'FR-16(7)(v)-4 DISTR Classified'!G374</f>
        <v>0</v>
      </c>
      <c r="G374" s="349">
        <f t="shared" si="123"/>
        <v>0</v>
      </c>
      <c r="H374" s="347">
        <f>ROUND($F$374*VLOOKUP($D$374,ALLOCTABLE_DISTR_DEMAND,$H$10,FALSE),0)</f>
        <v>0</v>
      </c>
      <c r="I374" s="347">
        <f t="shared" si="124"/>
        <v>0</v>
      </c>
      <c r="J374" s="347">
        <f t="shared" si="125"/>
        <v>0</v>
      </c>
      <c r="K374" s="347">
        <f t="shared" si="126"/>
        <v>0</v>
      </c>
      <c r="L374" s="347">
        <f t="shared" si="127"/>
        <v>0</v>
      </c>
    </row>
    <row r="375" spans="1:12">
      <c r="A375" s="333">
        <v>30</v>
      </c>
      <c r="C375" s="332" t="str">
        <f>'FR-16(7)(v)-1 Functional'!C375</f>
        <v>ELIMINATE NON-KY CUSTOMER</v>
      </c>
      <c r="D375" s="344" t="str">
        <f>'FR-16(7)(v)-1 Functional'!D375</f>
        <v>K595</v>
      </c>
      <c r="E375" s="196"/>
      <c r="F375" s="479">
        <f>'FR-16(7)(v)-4 DISTR Classified'!G375</f>
        <v>-102870</v>
      </c>
      <c r="G375" s="349">
        <f t="shared" si="123"/>
        <v>0</v>
      </c>
      <c r="H375" s="347">
        <f>ROUND($F$375*VLOOKUP($D$375,ALLOCTABLE_DISTR_DEMAND,$H$10,FALSE),0)</f>
        <v>0</v>
      </c>
      <c r="I375" s="347">
        <f t="shared" si="124"/>
        <v>-59775</v>
      </c>
      <c r="J375" s="347">
        <f t="shared" si="125"/>
        <v>-43095</v>
      </c>
      <c r="K375" s="347">
        <f t="shared" si="126"/>
        <v>-102870</v>
      </c>
      <c r="L375" s="347">
        <f t="shared" si="127"/>
        <v>0</v>
      </c>
    </row>
    <row r="376" spans="1:12">
      <c r="A376" s="333">
        <v>31</v>
      </c>
      <c r="C376" s="332" t="str">
        <f>'FR-16(7)(v)-1 Functional'!C376</f>
        <v>INTEGRITY MANAGEMENT EXPENSES</v>
      </c>
      <c r="D376" s="344" t="str">
        <f>'FR-16(7)(v)-1 Functional'!D376</f>
        <v>K203</v>
      </c>
      <c r="E376" s="196"/>
      <c r="F376" s="479">
        <f>'FR-16(7)(v)-4 DISTR Classified'!G376</f>
        <v>1065488</v>
      </c>
      <c r="G376" s="349">
        <f t="shared" si="123"/>
        <v>601649</v>
      </c>
      <c r="H376" s="347">
        <f>ROUND($F$376*VLOOKUP($D$376,ALLOCTABLE_DISTR_DEMAND,$H$10,FALSE),0)</f>
        <v>314564</v>
      </c>
      <c r="I376" s="347">
        <f t="shared" si="124"/>
        <v>116277</v>
      </c>
      <c r="J376" s="347">
        <f t="shared" si="125"/>
        <v>32998</v>
      </c>
      <c r="K376" s="347">
        <f t="shared" si="126"/>
        <v>1065488</v>
      </c>
      <c r="L376" s="347">
        <f t="shared" si="127"/>
        <v>0</v>
      </c>
    </row>
    <row r="377" spans="1:12">
      <c r="A377" s="333">
        <v>32</v>
      </c>
      <c r="C377" s="359" t="str">
        <f>'FR-16(7)(v)-1 Functional'!C377</f>
        <v>OTHER DISTRIBUTION EXPENSES</v>
      </c>
      <c r="D377" s="344" t="str">
        <f>'FR-16(7)(v)-1 Functional'!D377</f>
        <v>K415</v>
      </c>
      <c r="E377" s="196"/>
      <c r="F377" s="479">
        <f>'FR-16(7)(v)-4 DISTR Classified'!G377</f>
        <v>2059223</v>
      </c>
      <c r="G377" s="349">
        <f t="shared" si="123"/>
        <v>1280713</v>
      </c>
      <c r="H377" s="347">
        <f>ROUND($F$377*VLOOKUP($D$377,ALLOCTABLE_DISTR_DEMAND,$H$10,FALSE),0)</f>
        <v>535089</v>
      </c>
      <c r="I377" s="347">
        <f t="shared" si="124"/>
        <v>189634</v>
      </c>
      <c r="J377" s="347">
        <f t="shared" si="125"/>
        <v>53787</v>
      </c>
      <c r="K377" s="347">
        <f t="shared" si="126"/>
        <v>2059223</v>
      </c>
      <c r="L377" s="347">
        <f t="shared" si="127"/>
        <v>0</v>
      </c>
    </row>
    <row r="378" spans="1:12">
      <c r="A378" s="333">
        <v>33</v>
      </c>
      <c r="C378" s="332" t="str">
        <f>'FR-16(7)(v)-1 Functional'!C378</f>
        <v xml:space="preserve">  TOTAL DISTRIBUTION O &amp; M</v>
      </c>
      <c r="D378" s="344"/>
      <c r="E378" s="196" t="s">
        <v>343</v>
      </c>
      <c r="F378" s="348">
        <f t="shared" ref="F378:L378" si="128">SUM(F366:F377)</f>
        <v>7545511</v>
      </c>
      <c r="G378" s="348">
        <f>SUM(G366:G377)</f>
        <v>4605664</v>
      </c>
      <c r="H378" s="348">
        <f t="shared" si="128"/>
        <v>2080822</v>
      </c>
      <c r="I378" s="348">
        <f t="shared" si="128"/>
        <v>689542</v>
      </c>
      <c r="J378" s="348">
        <f t="shared" si="128"/>
        <v>169483</v>
      </c>
      <c r="K378" s="348">
        <f t="shared" si="128"/>
        <v>7545511</v>
      </c>
      <c r="L378" s="348">
        <f t="shared" si="128"/>
        <v>0</v>
      </c>
    </row>
    <row r="379" spans="1:12">
      <c r="A379" s="333">
        <v>34</v>
      </c>
      <c r="C379" s="332" t="s">
        <v>343</v>
      </c>
      <c r="D379" s="344"/>
      <c r="E379" s="196"/>
      <c r="I379" s="332"/>
    </row>
    <row r="380" spans="1:12">
      <c r="A380" s="333">
        <v>35</v>
      </c>
      <c r="B380" s="332" t="s">
        <v>51</v>
      </c>
      <c r="D380" s="344"/>
      <c r="E380" s="196"/>
      <c r="F380" s="332" t="s">
        <v>343</v>
      </c>
      <c r="I380" s="332"/>
    </row>
    <row r="381" spans="1:12">
      <c r="A381" s="333">
        <v>36</v>
      </c>
      <c r="C381" s="332" t="str">
        <f>'FR-16(7)(v)-1 Functional'!C381</f>
        <v>SUPERVISION &amp; ENGINEERING</v>
      </c>
      <c r="D381" s="344" t="str">
        <f>'FR-16(7)(v)-1 Functional'!D381</f>
        <v>K405</v>
      </c>
      <c r="E381" s="196"/>
      <c r="F381" s="479">
        <f>'FR-16(7)(v)-4 DISTR Classified'!G381</f>
        <v>0</v>
      </c>
      <c r="G381" s="349">
        <f t="shared" ref="G381:G388" si="129">F381-SUM(H381:J381)</f>
        <v>0</v>
      </c>
      <c r="H381" s="347">
        <f>ROUND($F$381*VLOOKUP($D$381,ALLOCTABLE_DISTR_DEMAND,$H$10,FALSE),0)</f>
        <v>0</v>
      </c>
      <c r="I381" s="347">
        <f t="shared" ref="I381:I388" si="130">ROUND(F381*VLOOKUP(D381,ALLOCTABLE_DISTR_DEMAND,$I$10,FALSE),0)</f>
        <v>0</v>
      </c>
      <c r="J381" s="347">
        <f t="shared" ref="J381:J388" si="131">ROUND(F381*VLOOKUP(D381,ALLOCTABLE_DISTR_DEMAND,$J$10,FALSE),0)</f>
        <v>0</v>
      </c>
      <c r="K381" s="347">
        <f t="shared" ref="K381:K388" si="132">SUM(G381:J381)</f>
        <v>0</v>
      </c>
      <c r="L381" s="347">
        <f t="shared" ref="L381:L388" si="133">F381-K381</f>
        <v>0</v>
      </c>
    </row>
    <row r="382" spans="1:12">
      <c r="A382" s="333">
        <v>37</v>
      </c>
      <c r="C382" s="332" t="str">
        <f>'FR-16(7)(v)-1 Functional'!C382</f>
        <v>METER READING</v>
      </c>
      <c r="D382" s="344" t="str">
        <f>'FR-16(7)(v)-1 Functional'!D382</f>
        <v>K405</v>
      </c>
      <c r="E382" s="196"/>
      <c r="F382" s="479">
        <f>'FR-16(7)(v)-4 DISTR Classified'!G382</f>
        <v>0</v>
      </c>
      <c r="G382" s="349">
        <f t="shared" si="129"/>
        <v>0</v>
      </c>
      <c r="H382" s="347">
        <f>ROUND($F$382*VLOOKUP($D$382,ALLOCTABLE_DISTR_DEMAND,$H$10,FALSE),0)</f>
        <v>0</v>
      </c>
      <c r="I382" s="347">
        <f t="shared" si="130"/>
        <v>0</v>
      </c>
      <c r="J382" s="347">
        <f t="shared" si="131"/>
        <v>0</v>
      </c>
      <c r="K382" s="347">
        <f t="shared" si="132"/>
        <v>0</v>
      </c>
      <c r="L382" s="347">
        <f t="shared" si="133"/>
        <v>0</v>
      </c>
    </row>
    <row r="383" spans="1:12">
      <c r="A383" s="333">
        <v>38</v>
      </c>
      <c r="C383" s="332" t="str">
        <f>'FR-16(7)(v)-1 Functional'!C383</f>
        <v>CUSTOMER BILLING &amp; COLLECTIONS</v>
      </c>
      <c r="D383" s="344" t="str">
        <f>'FR-16(7)(v)-1 Functional'!D383</f>
        <v>K405</v>
      </c>
      <c r="E383" s="196"/>
      <c r="F383" s="479">
        <f>'FR-16(7)(v)-4 DISTR Classified'!G383</f>
        <v>0</v>
      </c>
      <c r="G383" s="349">
        <f t="shared" si="129"/>
        <v>0</v>
      </c>
      <c r="H383" s="347">
        <f>ROUND($F$383*VLOOKUP($D$383,ALLOCTABLE_DISTR_DEMAND,$H$10,FALSE),0)</f>
        <v>0</v>
      </c>
      <c r="I383" s="347">
        <f t="shared" si="130"/>
        <v>0</v>
      </c>
      <c r="J383" s="347">
        <f t="shared" si="131"/>
        <v>0</v>
      </c>
      <c r="K383" s="347">
        <f t="shared" si="132"/>
        <v>0</v>
      </c>
      <c r="L383" s="347">
        <f t="shared" si="133"/>
        <v>0</v>
      </c>
    </row>
    <row r="384" spans="1:12">
      <c r="A384" s="333">
        <v>39</v>
      </c>
      <c r="C384" s="332" t="str">
        <f>'FR-16(7)(v)-1 Functional'!C384</f>
        <v>UNCOLLECTIBLE EXP</v>
      </c>
      <c r="D384" s="344" t="str">
        <f>'FR-16(7)(v)-1 Functional'!D384</f>
        <v>K406</v>
      </c>
      <c r="E384" s="196"/>
      <c r="F384" s="479">
        <f>'FR-16(7)(v)-4 DISTR Classified'!G384</f>
        <v>0</v>
      </c>
      <c r="G384" s="349">
        <f t="shared" si="129"/>
        <v>0</v>
      </c>
      <c r="H384" s="347">
        <f>ROUND($F$384*VLOOKUP($D$384,ALLOCTABLE_DISTR_DEMAND,$H$10,FALSE),0)</f>
        <v>0</v>
      </c>
      <c r="I384" s="347">
        <f t="shared" si="130"/>
        <v>0</v>
      </c>
      <c r="J384" s="347">
        <f t="shared" si="131"/>
        <v>0</v>
      </c>
      <c r="K384" s="347">
        <f t="shared" si="132"/>
        <v>0</v>
      </c>
      <c r="L384" s="347">
        <f t="shared" si="133"/>
        <v>0</v>
      </c>
    </row>
    <row r="385" spans="1:12">
      <c r="A385" s="333">
        <v>40</v>
      </c>
      <c r="C385" s="332" t="str">
        <f>'FR-16(7)(v)-1 Functional'!C385</f>
        <v>ELIMINATE MISC EXPENSES</v>
      </c>
      <c r="D385" s="344" t="str">
        <f>'FR-16(7)(v)-1 Functional'!D385</f>
        <v>K406</v>
      </c>
      <c r="E385" s="196"/>
      <c r="F385" s="479">
        <f>'FR-16(7)(v)-4 DISTR Classified'!G385</f>
        <v>0</v>
      </c>
      <c r="G385" s="349">
        <f t="shared" si="129"/>
        <v>0</v>
      </c>
      <c r="H385" s="347">
        <f>ROUND($F$385*VLOOKUP($D$385,ALLOCTABLE_DISTR_DEMAND,$H$10,FALSE),0)</f>
        <v>0</v>
      </c>
      <c r="I385" s="347">
        <f t="shared" si="130"/>
        <v>0</v>
      </c>
      <c r="J385" s="347">
        <f t="shared" si="131"/>
        <v>0</v>
      </c>
      <c r="K385" s="347">
        <f t="shared" si="132"/>
        <v>0</v>
      </c>
      <c r="L385" s="347">
        <f t="shared" si="133"/>
        <v>0</v>
      </c>
    </row>
    <row r="386" spans="1:12">
      <c r="A386" s="333">
        <v>41</v>
      </c>
      <c r="C386" s="332" t="str">
        <f>'FR-16(7)(v)-1 Functional'!C386</f>
        <v>SALE OF A/R</v>
      </c>
      <c r="D386" s="344" t="str">
        <f>'FR-16(7)(v)-1 Functional'!D386</f>
        <v>K406</v>
      </c>
      <c r="E386" s="196"/>
      <c r="F386" s="479">
        <f>'FR-16(7)(v)-4 DISTR Classified'!G386</f>
        <v>0</v>
      </c>
      <c r="G386" s="349">
        <f t="shared" si="129"/>
        <v>0</v>
      </c>
      <c r="H386" s="347">
        <f>ROUND($F$386*VLOOKUP($D$386,ALLOCTABLE_DISTR_DEMAND,$H$10,FALSE),0)</f>
        <v>0</v>
      </c>
      <c r="I386" s="347">
        <f t="shared" si="130"/>
        <v>0</v>
      </c>
      <c r="J386" s="347">
        <f t="shared" si="131"/>
        <v>0</v>
      </c>
      <c r="K386" s="347">
        <f t="shared" si="132"/>
        <v>0</v>
      </c>
      <c r="L386" s="347">
        <f t="shared" si="133"/>
        <v>0</v>
      </c>
    </row>
    <row r="387" spans="1:12">
      <c r="A387" s="333">
        <v>42</v>
      </c>
      <c r="C387" s="332" t="str">
        <f>'FR-16(7)(v)-1 Functional'!C387</f>
        <v>INTEREST ON CUSTOMER SERVICE DEPOSITS</v>
      </c>
      <c r="D387" s="344" t="str">
        <f>'FR-16(7)(v)-1 Functional'!D387</f>
        <v>K405</v>
      </c>
      <c r="E387" s="196"/>
      <c r="F387" s="479">
        <f>'FR-16(7)(v)-4 DISTR Classified'!G387</f>
        <v>0</v>
      </c>
      <c r="G387" s="349">
        <f t="shared" si="129"/>
        <v>0</v>
      </c>
      <c r="H387" s="347">
        <f>ROUND($F$387*VLOOKUP($D$387,ALLOCTABLE_DISTR_DEMAND,$H$10,FALSE),0)</f>
        <v>0</v>
      </c>
      <c r="I387" s="347">
        <f t="shared" si="130"/>
        <v>0</v>
      </c>
      <c r="J387" s="347">
        <f t="shared" si="131"/>
        <v>0</v>
      </c>
      <c r="K387" s="347">
        <f t="shared" si="132"/>
        <v>0</v>
      </c>
      <c r="L387" s="347">
        <f t="shared" si="133"/>
        <v>0</v>
      </c>
    </row>
    <row r="388" spans="1:12">
      <c r="A388" s="333">
        <v>43</v>
      </c>
      <c r="C388" s="359" t="str">
        <f>'FR-16(7)(v)-1 Functional'!C388</f>
        <v>ANNUALIZED UNCOLL EXP ON INCR</v>
      </c>
      <c r="D388" s="344" t="str">
        <f>'FR-16(7)(v)-1 Functional'!D388</f>
        <v>K406</v>
      </c>
      <c r="E388" s="196"/>
      <c r="F388" s="479">
        <f>'FR-16(7)(v)-4 DISTR Classified'!G388</f>
        <v>0</v>
      </c>
      <c r="G388" s="349">
        <f t="shared" si="129"/>
        <v>0</v>
      </c>
      <c r="H388" s="347">
        <f>ROUND($F$388*VLOOKUP($D$388,ALLOCTABLE_DISTR_DEMAND,$H$10,FALSE),0)</f>
        <v>0</v>
      </c>
      <c r="I388" s="347">
        <f t="shared" si="130"/>
        <v>0</v>
      </c>
      <c r="J388" s="347">
        <f t="shared" si="131"/>
        <v>0</v>
      </c>
      <c r="K388" s="347">
        <f t="shared" si="132"/>
        <v>0</v>
      </c>
      <c r="L388" s="347">
        <f t="shared" si="133"/>
        <v>0</v>
      </c>
    </row>
    <row r="389" spans="1:12">
      <c r="A389" s="333">
        <v>44</v>
      </c>
      <c r="C389" s="332" t="str">
        <f>'FR-16(7)(v)-1 Functional'!C389</f>
        <v xml:space="preserve">  TOTAL CUSTOMER ACCT EXPENSE</v>
      </c>
      <c r="D389" s="344"/>
      <c r="E389" s="196" t="s">
        <v>343</v>
      </c>
      <c r="F389" s="348">
        <f t="shared" ref="F389:L389" si="134">SUM(F380:F388)</f>
        <v>0</v>
      </c>
      <c r="G389" s="348">
        <f>SUM(G380:G388)</f>
        <v>0</v>
      </c>
      <c r="H389" s="348">
        <f t="shared" si="134"/>
        <v>0</v>
      </c>
      <c r="I389" s="348">
        <f t="shared" si="134"/>
        <v>0</v>
      </c>
      <c r="J389" s="348">
        <f t="shared" si="134"/>
        <v>0</v>
      </c>
      <c r="K389" s="348">
        <f t="shared" si="134"/>
        <v>0</v>
      </c>
      <c r="L389" s="348">
        <f t="shared" si="134"/>
        <v>0</v>
      </c>
    </row>
    <row r="390" spans="1:12">
      <c r="B390" s="343"/>
      <c r="C390" s="196"/>
      <c r="D390" s="344"/>
      <c r="E390" s="196"/>
      <c r="G390" s="196"/>
      <c r="H390" s="196"/>
      <c r="I390" s="196"/>
      <c r="J390" s="344"/>
      <c r="K390" s="196"/>
      <c r="L390" s="196"/>
    </row>
    <row r="391" spans="1:12">
      <c r="A391" s="343" t="str">
        <f>co_name</f>
        <v>DUKE ENERGY KENTUCKY, INC.</v>
      </c>
      <c r="C391" s="196"/>
      <c r="D391" s="344"/>
      <c r="E391" s="196"/>
      <c r="F391" s="344"/>
      <c r="G391" s="342"/>
      <c r="H391" s="342"/>
      <c r="I391" s="196"/>
      <c r="K391" s="361" t="str">
        <f>$K$1</f>
        <v>FR-16(7)(v)-5</v>
      </c>
      <c r="L391" s="196"/>
    </row>
    <row r="392" spans="1:12">
      <c r="A392" s="343" t="str">
        <f>$A$2</f>
        <v>DISTRIBUTION DEMAND ALLOCATED - GAS COST OF SERVICE</v>
      </c>
      <c r="C392" s="196"/>
      <c r="D392" s="344"/>
      <c r="E392" s="196"/>
      <c r="F392" s="344"/>
      <c r="G392" s="342"/>
      <c r="H392" s="342"/>
      <c r="I392" s="196"/>
      <c r="K392" s="361" t="str">
        <f>$K$2</f>
        <v>WITNESS RESPONSIBLE:</v>
      </c>
      <c r="L392" s="196"/>
    </row>
    <row r="393" spans="1:12">
      <c r="A393" s="343" t="str">
        <f>case_name</f>
        <v>CASE NO: 2018-00261</v>
      </c>
      <c r="C393" s="196"/>
      <c r="D393" s="344"/>
      <c r="E393" s="196"/>
      <c r="F393" s="344"/>
      <c r="G393" s="342"/>
      <c r="H393" s="342"/>
      <c r="I393" s="196"/>
      <c r="K393" s="361" t="str">
        <f>Witness</f>
        <v>JAMES E. ZIOLKOWSKI</v>
      </c>
      <c r="L393" s="196"/>
    </row>
    <row r="394" spans="1:12">
      <c r="A394" s="343" t="str">
        <f>data_filing</f>
        <v>DATA: 12 MONTH FORECASTED PERIOD</v>
      </c>
      <c r="C394" s="196"/>
      <c r="D394" s="344"/>
      <c r="E394" s="196"/>
      <c r="F394" s="344"/>
      <c r="G394" s="342"/>
      <c r="H394" s="342"/>
      <c r="I394" s="196"/>
      <c r="K394" s="361" t="str">
        <f>"PAGE "&amp;Pages-9&amp;" OF "&amp;Pages</f>
        <v>PAGE 9 OF 18</v>
      </c>
      <c r="L394" s="196"/>
    </row>
    <row r="395" spans="1:12">
      <c r="A395" s="343" t="str">
        <f>type</f>
        <v xml:space="preserve">TYPE OF FILING: "X" ORIGINAL   UPDATED    REVISED  </v>
      </c>
      <c r="C395" s="196"/>
      <c r="D395" s="344"/>
      <c r="E395" s="196"/>
      <c r="F395" s="344"/>
      <c r="G395" s="342"/>
      <c r="H395" s="342"/>
      <c r="I395" s="196"/>
      <c r="J395" s="344"/>
      <c r="K395" s="196"/>
      <c r="L395" s="196"/>
    </row>
    <row r="396" spans="1:12">
      <c r="B396" s="343"/>
      <c r="C396" s="196"/>
      <c r="D396" s="344"/>
      <c r="E396" s="196"/>
      <c r="F396" s="344"/>
      <c r="G396" s="196"/>
      <c r="H396" s="196"/>
      <c r="I396" s="196"/>
      <c r="J396" s="344"/>
      <c r="K396" s="196"/>
      <c r="L396" s="196"/>
    </row>
    <row r="397" spans="1:12">
      <c r="B397" s="343"/>
      <c r="C397" s="196"/>
      <c r="D397" s="344"/>
      <c r="E397" s="196"/>
      <c r="F397" s="344" t="str">
        <f>$F$7</f>
        <v>TOTAL</v>
      </c>
      <c r="G397" s="196"/>
      <c r="H397" s="196"/>
      <c r="I397" s="196"/>
      <c r="J397" s="344"/>
      <c r="K397" s="196"/>
      <c r="L397" s="196"/>
    </row>
    <row r="398" spans="1:12">
      <c r="A398" s="344" t="s">
        <v>914</v>
      </c>
      <c r="B398" s="196"/>
      <c r="C398" s="196"/>
      <c r="D398" s="344"/>
      <c r="E398" s="196"/>
      <c r="F398" s="344" t="str">
        <f>$F$8</f>
        <v>DISTRIBUTION</v>
      </c>
      <c r="G398" s="344" t="s">
        <v>418</v>
      </c>
      <c r="H398" s="344" t="s">
        <v>864</v>
      </c>
      <c r="I398" s="344" t="s">
        <v>865</v>
      </c>
      <c r="J398" s="344" t="s">
        <v>549</v>
      </c>
      <c r="K398" s="344" t="s">
        <v>229</v>
      </c>
      <c r="L398" s="344" t="s">
        <v>342</v>
      </c>
    </row>
    <row r="399" spans="1:12">
      <c r="A399" s="346" t="s">
        <v>915</v>
      </c>
      <c r="B399" s="345" t="s">
        <v>44</v>
      </c>
      <c r="C399" s="345"/>
      <c r="D399" s="346" t="s">
        <v>337</v>
      </c>
      <c r="E399" s="345"/>
      <c r="F399" s="344" t="str">
        <f>$F$9</f>
        <v>DEMAND</v>
      </c>
      <c r="G399" s="346" t="s">
        <v>338</v>
      </c>
      <c r="H399" s="346" t="s">
        <v>405</v>
      </c>
      <c r="I399" s="346" t="s">
        <v>405</v>
      </c>
      <c r="J399" s="346" t="s">
        <v>550</v>
      </c>
      <c r="K399" s="346" t="s">
        <v>341</v>
      </c>
      <c r="L399" s="346" t="s">
        <v>340</v>
      </c>
    </row>
    <row r="400" spans="1:12">
      <c r="C400" s="578" t="s">
        <v>560</v>
      </c>
      <c r="D400" s="344"/>
      <c r="E400" s="196"/>
      <c r="F400" s="761"/>
      <c r="G400" s="633">
        <f>$G$10</f>
        <v>3</v>
      </c>
      <c r="H400" s="633">
        <f>$H$10</f>
        <v>4</v>
      </c>
      <c r="I400" s="633">
        <f>$I$10</f>
        <v>5</v>
      </c>
      <c r="J400" s="633">
        <f>$J$10</f>
        <v>6</v>
      </c>
    </row>
    <row r="401" spans="1:12">
      <c r="A401" s="333">
        <v>1</v>
      </c>
      <c r="B401" s="332" t="s">
        <v>52</v>
      </c>
      <c r="D401" s="344"/>
      <c r="E401" s="196"/>
      <c r="I401" s="332"/>
    </row>
    <row r="402" spans="1:12">
      <c r="A402" s="333">
        <v>2</v>
      </c>
      <c r="C402" s="359" t="str">
        <f>'FR-16(7)(v)-1 Functional'!C402</f>
        <v>TOTAL CUST SERVICE &amp; INFO</v>
      </c>
      <c r="D402" s="344" t="str">
        <f>'FR-16(7)(v)-1 Functional'!D402</f>
        <v>K407</v>
      </c>
      <c r="E402" s="196"/>
      <c r="F402" s="479">
        <f>'FR-16(7)(v)-4 DISTR Classified'!G402</f>
        <v>0</v>
      </c>
      <c r="G402" s="349">
        <f>F402-SUM(H402:J402)</f>
        <v>0</v>
      </c>
      <c r="H402" s="347">
        <f>ROUND($F$402*VLOOKUP($D$402,ALLOCTABLE_DISTR_DEMAND,$H$10,FALSE),0)</f>
        <v>0</v>
      </c>
      <c r="I402" s="347">
        <f>ROUND(F402*VLOOKUP(D402,ALLOCTABLE_DISTR_DEMAND,$I$10,FALSE),0)</f>
        <v>0</v>
      </c>
      <c r="J402" s="347">
        <f>ROUND(F402*VLOOKUP(D402,ALLOCTABLE_DISTR_DEMAND,$J$10,FALSE),0)</f>
        <v>0</v>
      </c>
      <c r="K402" s="347">
        <f>SUM(G402:J402)</f>
        <v>0</v>
      </c>
      <c r="L402" s="347">
        <f>F402-K402</f>
        <v>0</v>
      </c>
    </row>
    <row r="403" spans="1:12">
      <c r="A403" s="333">
        <v>3</v>
      </c>
      <c r="C403" s="332" t="str">
        <f>'FR-16(7)(v)-1 Functional'!C403</f>
        <v xml:space="preserve">  TOTAL CUSTOMER SERV. &amp; INFO.</v>
      </c>
      <c r="D403" s="344"/>
      <c r="E403" s="196" t="s">
        <v>343</v>
      </c>
      <c r="F403" s="348">
        <f t="shared" ref="F403:L403" si="135">SUM(F402:F402)</f>
        <v>0</v>
      </c>
      <c r="G403" s="348">
        <f>SUM(G402:G402)</f>
        <v>0</v>
      </c>
      <c r="H403" s="348">
        <f t="shared" si="135"/>
        <v>0</v>
      </c>
      <c r="I403" s="348">
        <f t="shared" si="135"/>
        <v>0</v>
      </c>
      <c r="J403" s="348">
        <f t="shared" si="135"/>
        <v>0</v>
      </c>
      <c r="K403" s="348">
        <f t="shared" si="135"/>
        <v>0</v>
      </c>
      <c r="L403" s="348">
        <f t="shared" si="135"/>
        <v>0</v>
      </c>
    </row>
    <row r="404" spans="1:12">
      <c r="A404" s="333">
        <v>4</v>
      </c>
      <c r="D404" s="344"/>
      <c r="E404" s="196"/>
      <c r="F404" s="347"/>
      <c r="I404" s="332"/>
      <c r="J404" s="347"/>
      <c r="K404" s="347"/>
      <c r="L404" s="347"/>
    </row>
    <row r="405" spans="1:12">
      <c r="A405" s="333">
        <v>5</v>
      </c>
      <c r="B405" s="332" t="s">
        <v>53</v>
      </c>
      <c r="D405" s="344"/>
      <c r="E405" s="196"/>
      <c r="F405" s="347"/>
      <c r="I405" s="332"/>
      <c r="J405" s="347"/>
      <c r="K405" s="347"/>
      <c r="L405" s="347"/>
    </row>
    <row r="406" spans="1:12">
      <c r="A406" s="333">
        <v>6</v>
      </c>
      <c r="C406" s="359" t="str">
        <f>'FR-16(7)(v)-1 Functional'!C406</f>
        <v>SALES EXPENSE</v>
      </c>
      <c r="D406" s="344" t="str">
        <f>'FR-16(7)(v)-1 Functional'!D406</f>
        <v>K408</v>
      </c>
      <c r="E406" s="196" t="s">
        <v>343</v>
      </c>
      <c r="F406" s="479">
        <f>'FR-16(7)(v)-4 DISTR Classified'!G406</f>
        <v>0</v>
      </c>
      <c r="G406" s="349">
        <f>F406-SUM(H406:J406)</f>
        <v>0</v>
      </c>
      <c r="H406" s="347">
        <f>ROUND($F$406*VLOOKUP($D$406,ALLOCTABLE_DISTR_DEMAND,$H$10,FALSE),0)</f>
        <v>0</v>
      </c>
      <c r="I406" s="347">
        <f>ROUND(F406*VLOOKUP(D406,ALLOCTABLE_DISTR_DEMAND,$I$10,FALSE),0)</f>
        <v>0</v>
      </c>
      <c r="J406" s="347">
        <f>ROUND(F406*VLOOKUP(D406,ALLOCTABLE_DISTR_DEMAND,$J$10,FALSE),0)</f>
        <v>0</v>
      </c>
      <c r="K406" s="347">
        <f>SUM(G406:J406)</f>
        <v>0</v>
      </c>
      <c r="L406" s="347">
        <f>F406-K406</f>
        <v>0</v>
      </c>
    </row>
    <row r="407" spans="1:12">
      <c r="A407" s="333">
        <v>7</v>
      </c>
      <c r="C407" s="332" t="str">
        <f>'FR-16(7)(v)-1 Functional'!C407</f>
        <v xml:space="preserve">  TOTAL SALES EXPENSE</v>
      </c>
      <c r="D407" s="344"/>
      <c r="E407" s="196" t="s">
        <v>343</v>
      </c>
      <c r="F407" s="348">
        <f t="shared" ref="F407:L407" si="136">SUM(F405:F406)</f>
        <v>0</v>
      </c>
      <c r="G407" s="348">
        <f>SUM(G405:G406)</f>
        <v>0</v>
      </c>
      <c r="H407" s="348">
        <f t="shared" si="136"/>
        <v>0</v>
      </c>
      <c r="I407" s="348">
        <f t="shared" si="136"/>
        <v>0</v>
      </c>
      <c r="J407" s="348">
        <f t="shared" si="136"/>
        <v>0</v>
      </c>
      <c r="K407" s="348">
        <f t="shared" si="136"/>
        <v>0</v>
      </c>
      <c r="L407" s="348">
        <f t="shared" si="136"/>
        <v>0</v>
      </c>
    </row>
    <row r="408" spans="1:12">
      <c r="A408" s="333">
        <v>8</v>
      </c>
      <c r="D408" s="344"/>
      <c r="E408" s="196"/>
      <c r="I408" s="332"/>
    </row>
    <row r="409" spans="1:12">
      <c r="A409" s="333">
        <v>9</v>
      </c>
      <c r="B409" s="332" t="s">
        <v>54</v>
      </c>
      <c r="D409" s="344"/>
      <c r="E409" s="196"/>
      <c r="I409" s="332"/>
    </row>
    <row r="410" spans="1:12">
      <c r="A410" s="333">
        <v>10</v>
      </c>
      <c r="C410" s="332" t="str">
        <f>'FR-16(7)(v)-1 Functional'!C410</f>
        <v>PRODUCTION PLANT DEMAND</v>
      </c>
      <c r="D410" s="344" t="str">
        <f>'FR-16(7)(v)-1 Functional'!D410</f>
        <v>P349</v>
      </c>
      <c r="E410" s="196"/>
      <c r="F410" s="479">
        <f>'FR-16(7)(v)-4 DISTR Classified'!G410</f>
        <v>0</v>
      </c>
      <c r="G410" s="349">
        <f t="shared" ref="G410:G415" si="137">F410-SUM(H410:J410)</f>
        <v>0</v>
      </c>
      <c r="H410" s="347">
        <f>ROUND($F$410*VLOOKUP($D$410,ALLOCTABLE_DISTR_DEMAND,$H$10,FALSE),0)</f>
        <v>0</v>
      </c>
      <c r="I410" s="347">
        <f t="shared" ref="I410:I415" si="138">ROUND(F410*VLOOKUP(D410,ALLOCTABLE_DISTR_DEMAND,$I$10,FALSE),0)</f>
        <v>0</v>
      </c>
      <c r="J410" s="347">
        <f t="shared" ref="J410:J415" si="139">ROUND(F410*VLOOKUP(D410,ALLOCTABLE_DISTR_DEMAND,$J$10,FALSE),0)</f>
        <v>0</v>
      </c>
      <c r="K410" s="347">
        <f t="shared" ref="K410:K415" si="140">SUM(G410:J410)</f>
        <v>0</v>
      </c>
      <c r="L410" s="347">
        <f t="shared" ref="L410:L415" si="141">F410-K410</f>
        <v>0</v>
      </c>
    </row>
    <row r="411" spans="1:12">
      <c r="A411" s="333">
        <v>11</v>
      </c>
      <c r="C411" s="332" t="str">
        <f>'FR-16(7)(v)-1 Functional'!C411</f>
        <v>PRODUCTION PLANT COMMODITY</v>
      </c>
      <c r="D411" s="344" t="str">
        <f>'FR-16(7)(v)-1 Functional'!D411</f>
        <v>K301</v>
      </c>
      <c r="E411" s="196"/>
      <c r="F411" s="479">
        <f>'FR-16(7)(v)-4 DISTR Classified'!G411</f>
        <v>0</v>
      </c>
      <c r="G411" s="349">
        <f t="shared" si="137"/>
        <v>0</v>
      </c>
      <c r="H411" s="347">
        <f>ROUND($F$411*VLOOKUP($D$411,ALLOCTABLE_DISTR_DEMAND,$H$10,FALSE),0)</f>
        <v>0</v>
      </c>
      <c r="I411" s="347">
        <f t="shared" si="138"/>
        <v>0</v>
      </c>
      <c r="J411" s="347">
        <f t="shared" si="139"/>
        <v>0</v>
      </c>
      <c r="K411" s="347">
        <f t="shared" si="140"/>
        <v>0</v>
      </c>
      <c r="L411" s="347">
        <f t="shared" si="141"/>
        <v>0</v>
      </c>
    </row>
    <row r="412" spans="1:12">
      <c r="A412" s="333">
        <v>12</v>
      </c>
      <c r="C412" s="332" t="str">
        <f>'FR-16(7)(v)-1 Functional'!C412</f>
        <v>DISTRIBUTION PLANT</v>
      </c>
      <c r="D412" s="344" t="str">
        <f>'FR-16(7)(v)-1 Functional'!D412</f>
        <v>D349</v>
      </c>
      <c r="E412" s="196"/>
      <c r="F412" s="479">
        <f>'FR-16(7)(v)-4 DISTR Classified'!G412</f>
        <v>2501551</v>
      </c>
      <c r="G412" s="349">
        <f t="shared" si="137"/>
        <v>1526921</v>
      </c>
      <c r="H412" s="347">
        <f>ROUND($F$412*VLOOKUP($D$412,ALLOCTABLE_DISTR_DEMAND,$H$10,FALSE),0)</f>
        <v>689853</v>
      </c>
      <c r="I412" s="347">
        <f t="shared" si="138"/>
        <v>228592</v>
      </c>
      <c r="J412" s="347">
        <f t="shared" si="139"/>
        <v>56185</v>
      </c>
      <c r="K412" s="347">
        <f t="shared" si="140"/>
        <v>2501551</v>
      </c>
      <c r="L412" s="347">
        <f t="shared" si="141"/>
        <v>0</v>
      </c>
    </row>
    <row r="413" spans="1:12">
      <c r="A413" s="333">
        <v>13</v>
      </c>
      <c r="C413" s="332" t="str">
        <f>'FR-16(7)(v)-1 Functional'!C413</f>
        <v>CUSTOMER ACCOUNTING</v>
      </c>
      <c r="D413" s="344" t="str">
        <f>'FR-16(7)(v)-1 Functional'!D413</f>
        <v>CA19</v>
      </c>
      <c r="E413" s="196"/>
      <c r="F413" s="479">
        <f>'FR-16(7)(v)-4 DISTR Classified'!G413</f>
        <v>0</v>
      </c>
      <c r="G413" s="349">
        <f t="shared" si="137"/>
        <v>0</v>
      </c>
      <c r="H413" s="347">
        <f>ROUND($F$413*VLOOKUP($D$413,ALLOCTABLE_DISTR_DEMAND,$H$10,FALSE),0)</f>
        <v>0</v>
      </c>
      <c r="I413" s="347">
        <f t="shared" si="138"/>
        <v>0</v>
      </c>
      <c r="J413" s="347">
        <f t="shared" si="139"/>
        <v>0</v>
      </c>
      <c r="K413" s="347">
        <f t="shared" si="140"/>
        <v>0</v>
      </c>
      <c r="L413" s="347">
        <f t="shared" si="141"/>
        <v>0</v>
      </c>
    </row>
    <row r="414" spans="1:12">
      <c r="A414" s="333">
        <v>14</v>
      </c>
      <c r="C414" s="332" t="str">
        <f>'FR-16(7)(v)-1 Functional'!C414</f>
        <v>CUSTOMER SERVICE &amp; INFORMATION</v>
      </c>
      <c r="D414" s="344" t="str">
        <f>'FR-16(7)(v)-1 Functional'!D414</f>
        <v>CS19</v>
      </c>
      <c r="E414" s="196"/>
      <c r="F414" s="479">
        <f>'FR-16(7)(v)-4 DISTR Classified'!G414</f>
        <v>0</v>
      </c>
      <c r="G414" s="349">
        <f t="shared" si="137"/>
        <v>0</v>
      </c>
      <c r="H414" s="347">
        <f>ROUND($F$414*VLOOKUP($D$414,ALLOCTABLE_DISTR_DEMAND,$H$10,FALSE),0)</f>
        <v>0</v>
      </c>
      <c r="I414" s="347">
        <f t="shared" si="138"/>
        <v>0</v>
      </c>
      <c r="J414" s="347">
        <f t="shared" si="139"/>
        <v>0</v>
      </c>
      <c r="K414" s="347">
        <f t="shared" si="140"/>
        <v>0</v>
      </c>
      <c r="L414" s="347">
        <f t="shared" si="141"/>
        <v>0</v>
      </c>
    </row>
    <row r="415" spans="1:12">
      <c r="A415" s="333">
        <v>15</v>
      </c>
      <c r="C415" s="359" t="str">
        <f>'FR-16(7)(v)-1 Functional'!C415</f>
        <v>SALES</v>
      </c>
      <c r="D415" s="344" t="str">
        <f>'FR-16(7)(v)-1 Functional'!D415</f>
        <v>SE19</v>
      </c>
      <c r="E415" s="196"/>
      <c r="F415" s="479">
        <f>'FR-16(7)(v)-4 DISTR Classified'!G415</f>
        <v>0</v>
      </c>
      <c r="G415" s="349">
        <f t="shared" si="137"/>
        <v>0</v>
      </c>
      <c r="H415" s="347">
        <f>ROUND($F$415*VLOOKUP($D$415,ALLOCTABLE_DISTR_DEMAND,$H$10,FALSE),0)</f>
        <v>0</v>
      </c>
      <c r="I415" s="347">
        <f t="shared" si="138"/>
        <v>0</v>
      </c>
      <c r="J415" s="347">
        <f t="shared" si="139"/>
        <v>0</v>
      </c>
      <c r="K415" s="502">
        <f t="shared" si="140"/>
        <v>0</v>
      </c>
      <c r="L415" s="502">
        <f t="shared" si="141"/>
        <v>0</v>
      </c>
    </row>
    <row r="416" spans="1:12">
      <c r="A416" s="333">
        <v>16</v>
      </c>
      <c r="C416" s="332" t="str">
        <f>'FR-16(7)(v)-1 Functional'!C416</f>
        <v xml:space="preserve"> TOT ADMIN &amp; GEN LESS REG EXP</v>
      </c>
      <c r="D416" s="344" t="s">
        <v>343</v>
      </c>
      <c r="E416" s="196"/>
      <c r="F416" s="503">
        <f t="shared" ref="F416:L416" si="142">SUM(F410:F415)</f>
        <v>2501551</v>
      </c>
      <c r="G416" s="503">
        <f>SUM(G410:G415)</f>
        <v>1526921</v>
      </c>
      <c r="H416" s="503">
        <f t="shared" si="142"/>
        <v>689853</v>
      </c>
      <c r="I416" s="503">
        <f t="shared" si="142"/>
        <v>228592</v>
      </c>
      <c r="J416" s="503">
        <f t="shared" si="142"/>
        <v>56185</v>
      </c>
      <c r="K416" s="477">
        <f t="shared" si="142"/>
        <v>2501551</v>
      </c>
      <c r="L416" s="477">
        <f t="shared" si="142"/>
        <v>0</v>
      </c>
    </row>
    <row r="417" spans="1:12">
      <c r="A417" s="333">
        <v>17</v>
      </c>
      <c r="C417" s="332" t="str">
        <f>'FR-16(7)(v)-1 Functional'!C417</f>
        <v>AMORTIZATION RATE CASE EXPENSE</v>
      </c>
      <c r="D417" s="344" t="str">
        <f>'FR-16(7)(v)-1 Functional'!D417</f>
        <v>AG39</v>
      </c>
      <c r="E417" s="196"/>
      <c r="F417" s="479">
        <f>'FR-16(7)(v)-4 DISTR Classified'!G417</f>
        <v>41346</v>
      </c>
      <c r="G417" s="349">
        <f t="shared" ref="G417:G430" si="143">F417-SUM(H417:J417)</f>
        <v>25237</v>
      </c>
      <c r="H417" s="347">
        <f>ROUND($F$417*VLOOKUP($D$417,ALLOCTABLE_DISTR_DEMAND,$H$10,FALSE),0)</f>
        <v>11402</v>
      </c>
      <c r="I417" s="347">
        <f t="shared" ref="I417:I430" si="144">ROUND(F417*VLOOKUP(D417,ALLOCTABLE_DISTR_DEMAND,$I$10,FALSE),0)</f>
        <v>3778</v>
      </c>
      <c r="J417" s="347">
        <f t="shared" ref="J417:J430" si="145">ROUND(F417*VLOOKUP(D417,ALLOCTABLE_DISTR_DEMAND,$J$10,FALSE),0)</f>
        <v>929</v>
      </c>
      <c r="K417" s="347">
        <f t="shared" ref="K417:K430" si="146">SUM(G417:J417)</f>
        <v>41346</v>
      </c>
      <c r="L417" s="347">
        <f t="shared" ref="L417:L430" si="147">F417-K417</f>
        <v>0</v>
      </c>
    </row>
    <row r="418" spans="1:12">
      <c r="A418" s="333">
        <v>18</v>
      </c>
      <c r="C418" s="332" t="str">
        <f>'FR-16(7)(v)-1 Functional'!C418</f>
        <v>INCENTIVE COMPENSATION</v>
      </c>
      <c r="D418" s="344" t="str">
        <f>'FR-16(7)(v)-1 Functional'!D418</f>
        <v>AG39</v>
      </c>
      <c r="E418" s="196"/>
      <c r="F418" s="479">
        <f>'FR-16(7)(v)-4 DISTR Classified'!G418</f>
        <v>-99600</v>
      </c>
      <c r="G418" s="349">
        <f t="shared" si="143"/>
        <v>-60795</v>
      </c>
      <c r="H418" s="347">
        <f>ROUND($F$418*VLOOKUP($D$418,ALLOCTABLE_DISTR_DEMAND,$H$10,FALSE),0)</f>
        <v>-27467</v>
      </c>
      <c r="I418" s="347">
        <f t="shared" si="144"/>
        <v>-9101</v>
      </c>
      <c r="J418" s="347">
        <f t="shared" si="145"/>
        <v>-2237</v>
      </c>
      <c r="K418" s="347">
        <f t="shared" si="146"/>
        <v>-99600</v>
      </c>
      <c r="L418" s="347">
        <f t="shared" si="147"/>
        <v>0</v>
      </c>
    </row>
    <row r="419" spans="1:12">
      <c r="A419" s="333">
        <v>19</v>
      </c>
      <c r="C419" s="332" t="str">
        <f>'FR-16(7)(v)-1 Functional'!C419</f>
        <v>ELIMINATE MISCELLANEOUS EXPENSES</v>
      </c>
      <c r="D419" s="344" t="str">
        <f>'FR-16(7)(v)-1 Functional'!D419</f>
        <v>AG39</v>
      </c>
      <c r="E419" s="196"/>
      <c r="F419" s="479">
        <f>'FR-16(7)(v)-4 DISTR Classified'!G419</f>
        <v>-115695</v>
      </c>
      <c r="G419" s="349">
        <f t="shared" si="143"/>
        <v>-70619</v>
      </c>
      <c r="H419" s="347">
        <f>ROUND($F$419*VLOOKUP($D$419,ALLOCTABLE_DISTR_DEMAND,$H$10,FALSE),0)</f>
        <v>-31905</v>
      </c>
      <c r="I419" s="347">
        <f t="shared" si="144"/>
        <v>-10572</v>
      </c>
      <c r="J419" s="347">
        <f t="shared" si="145"/>
        <v>-2599</v>
      </c>
      <c r="K419" s="347">
        <f t="shared" si="146"/>
        <v>-115695</v>
      </c>
      <c r="L419" s="347">
        <f t="shared" si="147"/>
        <v>0</v>
      </c>
    </row>
    <row r="420" spans="1:12">
      <c r="A420" s="333">
        <v>20</v>
      </c>
      <c r="C420" s="332" t="str">
        <f>'FR-16(7)(v)-1 Functional'!C420</f>
        <v>ELIMINATE NON-JURISDICTIONAL EXPENSES</v>
      </c>
      <c r="D420" s="344" t="str">
        <f>'FR-16(7)(v)-1 Functional'!D420</f>
        <v>NP29</v>
      </c>
      <c r="E420" s="196"/>
      <c r="F420" s="479">
        <f>'FR-16(7)(v)-4 DISTR Classified'!G420</f>
        <v>0</v>
      </c>
      <c r="G420" s="349">
        <f t="shared" si="143"/>
        <v>0</v>
      </c>
      <c r="H420" s="347">
        <f>ROUND($F$420*VLOOKUP($D$420,ALLOCTABLE_DISTR_DEMAND,$H$10,FALSE),0)</f>
        <v>0</v>
      </c>
      <c r="I420" s="347">
        <f t="shared" si="144"/>
        <v>0</v>
      </c>
      <c r="J420" s="347">
        <f t="shared" si="145"/>
        <v>0</v>
      </c>
      <c r="K420" s="347">
        <f t="shared" si="146"/>
        <v>0</v>
      </c>
      <c r="L420" s="347">
        <f t="shared" si="147"/>
        <v>0</v>
      </c>
    </row>
    <row r="421" spans="1:12">
      <c r="A421" s="333">
        <v>21</v>
      </c>
      <c r="C421" s="332" t="str">
        <f>'FR-16(7)(v)-1 Functional'!C421</f>
        <v xml:space="preserve">AMORTIZATION OF DEFERRED EXP </v>
      </c>
      <c r="D421" s="344" t="str">
        <f>'FR-16(7)(v)-1 Functional'!D421</f>
        <v>AG39</v>
      </c>
      <c r="E421" s="196"/>
      <c r="F421" s="479">
        <f>'FR-16(7)(v)-4 DISTR Classified'!G421</f>
        <v>195070</v>
      </c>
      <c r="G421" s="349">
        <f t="shared" si="143"/>
        <v>119070</v>
      </c>
      <c r="H421" s="347">
        <f>ROUND($F$421*VLOOKUP($D$421,ALLOCTABLE_DISTR_DEMAND,$H$10,FALSE),0)</f>
        <v>53794</v>
      </c>
      <c r="I421" s="347">
        <f t="shared" si="144"/>
        <v>17825</v>
      </c>
      <c r="J421" s="347">
        <f t="shared" si="145"/>
        <v>4381</v>
      </c>
      <c r="K421" s="347">
        <f t="shared" si="146"/>
        <v>195070</v>
      </c>
      <c r="L421" s="347">
        <f t="shared" si="147"/>
        <v>0</v>
      </c>
    </row>
    <row r="422" spans="1:12">
      <c r="A422" s="333">
        <v>22</v>
      </c>
      <c r="C422" s="332" t="str">
        <f>'FR-16(7)(v)-1 Functional'!C422</f>
        <v>STATE REG COMMISSION EXPENSES</v>
      </c>
      <c r="D422" s="344" t="str">
        <f>'FR-16(7)(v)-1 Functional'!D422</f>
        <v>AG39</v>
      </c>
      <c r="E422" s="196"/>
      <c r="F422" s="479">
        <f>'FR-16(7)(v)-4 DISTR Classified'!G422</f>
        <v>0</v>
      </c>
      <c r="G422" s="349">
        <f t="shared" si="143"/>
        <v>0</v>
      </c>
      <c r="H422" s="347">
        <f>ROUND($F$422*VLOOKUP($D$422,ALLOCTABLE_DISTR_DEMAND,$H$10,FALSE),0)</f>
        <v>0</v>
      </c>
      <c r="I422" s="347">
        <f t="shared" si="144"/>
        <v>0</v>
      </c>
      <c r="J422" s="347">
        <f t="shared" si="145"/>
        <v>0</v>
      </c>
      <c r="K422" s="347">
        <f t="shared" si="146"/>
        <v>0</v>
      </c>
      <c r="L422" s="347">
        <f t="shared" si="147"/>
        <v>0</v>
      </c>
    </row>
    <row r="423" spans="1:12">
      <c r="A423" s="333">
        <v>23</v>
      </c>
      <c r="C423" s="332" t="str">
        <f>'FR-16(7)(v)-1 Functional'!C423</f>
        <v>STATE REG COM EXP ANN ADJ.</v>
      </c>
      <c r="D423" s="344" t="str">
        <f>'FR-16(7)(v)-1 Functional'!D423</f>
        <v>AG39</v>
      </c>
      <c r="E423" s="196"/>
      <c r="F423" s="479">
        <f>'FR-16(7)(v)-4 DISTR Classified'!G423</f>
        <v>0</v>
      </c>
      <c r="G423" s="349">
        <f t="shared" si="143"/>
        <v>0</v>
      </c>
      <c r="H423" s="347">
        <f>ROUND($F$423*VLOOKUP($D$423,ALLOCTABLE_DISTR_DEMAND,$H$10,FALSE),0)</f>
        <v>0</v>
      </c>
      <c r="I423" s="347">
        <f t="shared" si="144"/>
        <v>0</v>
      </c>
      <c r="J423" s="347">
        <f t="shared" si="145"/>
        <v>0</v>
      </c>
      <c r="K423" s="347">
        <f t="shared" si="146"/>
        <v>0</v>
      </c>
      <c r="L423" s="347">
        <f t="shared" si="147"/>
        <v>0</v>
      </c>
    </row>
    <row r="424" spans="1:12">
      <c r="A424" s="333">
        <v>24</v>
      </c>
      <c r="C424" s="332" t="str">
        <f>'FR-16(7)(v)-1 Functional'!C424</f>
        <v>AMORTIZE CAMERA WORK</v>
      </c>
      <c r="D424" s="344" t="str">
        <f>'FR-16(7)(v)-1 Functional'!D424</f>
        <v>AG39</v>
      </c>
      <c r="E424" s="196"/>
      <c r="F424" s="479">
        <f>'FR-16(7)(v)-4 DISTR Classified'!G424</f>
        <v>0</v>
      </c>
      <c r="G424" s="349">
        <f t="shared" si="143"/>
        <v>0</v>
      </c>
      <c r="H424" s="347">
        <f>ROUND($F$424*VLOOKUP($D$424,ALLOCTABLE_DISTR_DEMAND,$H$10,FALSE),0)</f>
        <v>0</v>
      </c>
      <c r="I424" s="347">
        <f t="shared" si="144"/>
        <v>0</v>
      </c>
      <c r="J424" s="347">
        <f t="shared" si="145"/>
        <v>0</v>
      </c>
      <c r="K424" s="347">
        <f t="shared" ref="K424:K429" si="148">SUM(G424:J424)</f>
        <v>0</v>
      </c>
      <c r="L424" s="347">
        <f t="shared" ref="L424:L429" si="149">F424-K424</f>
        <v>0</v>
      </c>
    </row>
    <row r="425" spans="1:12">
      <c r="A425" s="333">
        <v>25</v>
      </c>
      <c r="C425" s="332" t="str">
        <f>'FR-16(7)(v)-1 Functional'!C425</f>
        <v>ELIMINATE MERGER EXPENSE</v>
      </c>
      <c r="D425" s="344" t="str">
        <f>'FR-16(7)(v)-1 Functional'!D425</f>
        <v>AG39</v>
      </c>
      <c r="E425" s="196"/>
      <c r="F425" s="479">
        <f>'FR-16(7)(v)-4 DISTR Classified'!G425</f>
        <v>0</v>
      </c>
      <c r="G425" s="349">
        <f t="shared" si="143"/>
        <v>0</v>
      </c>
      <c r="H425" s="347">
        <f>ROUND($F$425*VLOOKUP($D$425,ALLOCTABLE_DISTR_DEMAND,$H$10,FALSE),0)</f>
        <v>0</v>
      </c>
      <c r="I425" s="347">
        <f t="shared" si="144"/>
        <v>0</v>
      </c>
      <c r="J425" s="347">
        <f t="shared" si="145"/>
        <v>0</v>
      </c>
      <c r="K425" s="347">
        <f t="shared" si="148"/>
        <v>0</v>
      </c>
      <c r="L425" s="347">
        <f t="shared" si="149"/>
        <v>0</v>
      </c>
    </row>
    <row r="426" spans="1:12">
      <c r="A426" s="333">
        <v>26</v>
      </c>
      <c r="C426" s="332" t="str">
        <f>'FR-16(7)(v)-1 Functional'!C426</f>
        <v>SMART GRID AMORTIZATION ADJUSTMENT</v>
      </c>
      <c r="D426" s="344" t="str">
        <f>'FR-16(7)(v)-1 Functional'!D426</f>
        <v>K413</v>
      </c>
      <c r="E426" s="196"/>
      <c r="F426" s="479">
        <f>'FR-16(7)(v)-4 DISTR Classified'!G426</f>
        <v>0</v>
      </c>
      <c r="G426" s="349">
        <f t="shared" si="143"/>
        <v>0</v>
      </c>
      <c r="H426" s="347">
        <f>ROUND($F$426*VLOOKUP($D$426,ALLOCTABLE_DISTR_DEMAND,$H$10,FALSE),0)</f>
        <v>0</v>
      </c>
      <c r="I426" s="347">
        <f t="shared" si="144"/>
        <v>0</v>
      </c>
      <c r="J426" s="347">
        <f t="shared" si="145"/>
        <v>0</v>
      </c>
      <c r="K426" s="347">
        <f t="shared" si="148"/>
        <v>0</v>
      </c>
      <c r="L426" s="347">
        <f t="shared" si="149"/>
        <v>0</v>
      </c>
    </row>
    <row r="427" spans="1:12">
      <c r="A427" s="333">
        <v>27</v>
      </c>
      <c r="C427" s="332" t="str">
        <f>'FR-16(7)(v)-1 Functional'!C427</f>
        <v>AMORTIZE 2011 SMART GRID DEFERRED O&amp;M</v>
      </c>
      <c r="D427" s="344" t="str">
        <f>'FR-16(7)(v)-1 Functional'!D427</f>
        <v>K413</v>
      </c>
      <c r="E427" s="196"/>
      <c r="F427" s="479">
        <f>'FR-16(7)(v)-4 DISTR Classified'!G427</f>
        <v>0</v>
      </c>
      <c r="G427" s="349">
        <f t="shared" si="143"/>
        <v>0</v>
      </c>
      <c r="H427" s="347">
        <f>ROUND($F$427*VLOOKUP($D$427,ALLOCTABLE_DISTR_DEMAND,$H$10,FALSE),0)</f>
        <v>0</v>
      </c>
      <c r="I427" s="347">
        <f t="shared" si="144"/>
        <v>0</v>
      </c>
      <c r="J427" s="347">
        <f t="shared" si="145"/>
        <v>0</v>
      </c>
      <c r="K427" s="347">
        <f t="shared" si="148"/>
        <v>0</v>
      </c>
      <c r="L427" s="347">
        <f t="shared" si="149"/>
        <v>0</v>
      </c>
    </row>
    <row r="428" spans="1:12">
      <c r="A428" s="333">
        <v>28</v>
      </c>
      <c r="C428" s="332" t="str">
        <f>'FR-16(7)(v)-1 Functional'!C428</f>
        <v>INCREASED MEDICAL COSTS</v>
      </c>
      <c r="D428" s="344" t="str">
        <f>'FR-16(7)(v)-1 Functional'!D428</f>
        <v>AG39</v>
      </c>
      <c r="E428" s="196"/>
      <c r="F428" s="479">
        <f>'FR-16(7)(v)-4 DISTR Classified'!G428</f>
        <v>0</v>
      </c>
      <c r="G428" s="349">
        <f t="shared" si="143"/>
        <v>0</v>
      </c>
      <c r="H428" s="347">
        <f>ROUND($F$428*VLOOKUP($D$428,ALLOCTABLE_DISTR_DEMAND,$H$10,FALSE),0)</f>
        <v>0</v>
      </c>
      <c r="I428" s="347">
        <f t="shared" si="144"/>
        <v>0</v>
      </c>
      <c r="J428" s="347">
        <f t="shared" si="145"/>
        <v>0</v>
      </c>
      <c r="K428" s="347">
        <f t="shared" si="148"/>
        <v>0</v>
      </c>
      <c r="L428" s="347">
        <f t="shared" si="149"/>
        <v>0</v>
      </c>
    </row>
    <row r="429" spans="1:12">
      <c r="A429" s="333">
        <v>29</v>
      </c>
      <c r="C429" s="332" t="str">
        <f>'FR-16(7)(v)-1 Functional'!C429</f>
        <v>AMORTIZE GAS FURNACE PROGRAM</v>
      </c>
      <c r="D429" s="344" t="str">
        <f>'FR-16(7)(v)-1 Functional'!D429</f>
        <v>NP29</v>
      </c>
      <c r="E429" s="196"/>
      <c r="F429" s="479">
        <f>'FR-16(7)(v)-4 DISTR Classified'!G429</f>
        <v>0</v>
      </c>
      <c r="G429" s="349">
        <f t="shared" si="143"/>
        <v>0</v>
      </c>
      <c r="H429" s="347">
        <f>ROUND($F$429*VLOOKUP($D$429,ALLOCTABLE_DISTR_DEMAND,$H$10,FALSE),0)</f>
        <v>0</v>
      </c>
      <c r="I429" s="347">
        <f t="shared" si="144"/>
        <v>0</v>
      </c>
      <c r="J429" s="347">
        <f t="shared" si="145"/>
        <v>0</v>
      </c>
      <c r="K429" s="347">
        <f t="shared" si="148"/>
        <v>0</v>
      </c>
      <c r="L429" s="347">
        <f t="shared" si="149"/>
        <v>0</v>
      </c>
    </row>
    <row r="430" spans="1:12">
      <c r="A430" s="333">
        <v>30</v>
      </c>
      <c r="C430" s="359" t="str">
        <f>'FR-16(7)(v)-1 Functional'!C430</f>
        <v>AMORTIZATION OF MGP DEFERRED EXP</v>
      </c>
      <c r="D430" s="344" t="str">
        <f>'FR-16(7)(v)-1 Functional'!D430</f>
        <v>NP29</v>
      </c>
      <c r="E430" s="196"/>
      <c r="F430" s="479">
        <f>'FR-16(7)(v)-4 DISTR Classified'!G430</f>
        <v>0</v>
      </c>
      <c r="G430" s="349">
        <f t="shared" si="143"/>
        <v>0</v>
      </c>
      <c r="H430" s="347">
        <f>ROUND($F$430*VLOOKUP($D$430,ALLOCTABLE_DISTR_DEMAND,$H$10,FALSE),0)</f>
        <v>0</v>
      </c>
      <c r="I430" s="347">
        <f t="shared" si="144"/>
        <v>0</v>
      </c>
      <c r="J430" s="347">
        <f t="shared" si="145"/>
        <v>0</v>
      </c>
      <c r="K430" s="347">
        <f t="shared" si="146"/>
        <v>0</v>
      </c>
      <c r="L430" s="347">
        <f t="shared" si="147"/>
        <v>0</v>
      </c>
    </row>
    <row r="431" spans="1:12">
      <c r="A431" s="333">
        <v>31</v>
      </c>
      <c r="C431" s="332" t="str">
        <f>'FR-16(7)(v)-1 Functional'!C431</f>
        <v xml:space="preserve">  TOTAL ADMIN. &amp; GENERAL</v>
      </c>
      <c r="D431" s="344"/>
      <c r="E431" s="196" t="s">
        <v>343</v>
      </c>
      <c r="F431" s="348">
        <f t="shared" ref="F431:L431" si="150">SUM(F416:F430)</f>
        <v>2522672</v>
      </c>
      <c r="G431" s="348">
        <f>SUM(G416:G430)</f>
        <v>1539814</v>
      </c>
      <c r="H431" s="348">
        <f t="shared" si="150"/>
        <v>695677</v>
      </c>
      <c r="I431" s="348">
        <f t="shared" si="150"/>
        <v>230522</v>
      </c>
      <c r="J431" s="348">
        <f t="shared" si="150"/>
        <v>56659</v>
      </c>
      <c r="K431" s="348">
        <f t="shared" si="150"/>
        <v>2522672</v>
      </c>
      <c r="L431" s="348">
        <f t="shared" si="150"/>
        <v>0</v>
      </c>
    </row>
    <row r="432" spans="1:12">
      <c r="A432" s="333">
        <v>32</v>
      </c>
      <c r="D432" s="344"/>
      <c r="E432" s="196"/>
      <c r="F432" s="335"/>
      <c r="I432" s="332"/>
      <c r="J432" s="347"/>
      <c r="K432" s="347"/>
      <c r="L432" s="347"/>
    </row>
    <row r="433" spans="1:12">
      <c r="A433" s="333">
        <v>33</v>
      </c>
      <c r="C433" s="332" t="str">
        <f>'FR-16(7)(v)-1 Functional'!C433</f>
        <v>TOTAL O &amp; M EXPENSE</v>
      </c>
      <c r="D433" s="344"/>
      <c r="E433" s="196"/>
      <c r="F433" s="347">
        <f t="shared" ref="F433:L433" si="151">F431+F407+F403+F389+F378+F364+F360</f>
        <v>10068183</v>
      </c>
      <c r="G433" s="347">
        <f>G431+G407+G403+G389+G378+G364+G360</f>
        <v>6145478</v>
      </c>
      <c r="H433" s="347">
        <f t="shared" si="151"/>
        <v>2776499</v>
      </c>
      <c r="I433" s="347">
        <f t="shared" si="151"/>
        <v>920064</v>
      </c>
      <c r="J433" s="347">
        <f t="shared" si="151"/>
        <v>226142</v>
      </c>
      <c r="K433" s="347">
        <f t="shared" si="151"/>
        <v>10068183</v>
      </c>
      <c r="L433" s="347">
        <f t="shared" si="151"/>
        <v>0</v>
      </c>
    </row>
    <row r="434" spans="1:12">
      <c r="B434" s="343"/>
      <c r="C434" s="196"/>
      <c r="D434" s="344"/>
      <c r="E434" s="196"/>
      <c r="G434" s="196"/>
      <c r="H434" s="342"/>
      <c r="I434" s="342"/>
      <c r="J434" s="354"/>
      <c r="K434" s="196"/>
      <c r="L434" s="196"/>
    </row>
    <row r="435" spans="1:12">
      <c r="A435" s="343" t="str">
        <f>co_name</f>
        <v>DUKE ENERGY KENTUCKY, INC.</v>
      </c>
      <c r="C435" s="196"/>
      <c r="D435" s="344"/>
      <c r="E435" s="196"/>
      <c r="F435" s="344"/>
      <c r="G435" s="342"/>
      <c r="H435" s="342"/>
      <c r="I435" s="196"/>
      <c r="K435" s="361" t="str">
        <f>$K$1</f>
        <v>FR-16(7)(v)-5</v>
      </c>
      <c r="L435" s="196"/>
    </row>
    <row r="436" spans="1:12">
      <c r="A436" s="343" t="str">
        <f>$A$2</f>
        <v>DISTRIBUTION DEMAND ALLOCATED - GAS COST OF SERVICE</v>
      </c>
      <c r="C436" s="196"/>
      <c r="D436" s="344"/>
      <c r="E436" s="196"/>
      <c r="F436" s="344"/>
      <c r="G436" s="342"/>
      <c r="H436" s="342"/>
      <c r="I436" s="196"/>
      <c r="K436" s="361" t="str">
        <f>$K$2</f>
        <v>WITNESS RESPONSIBLE:</v>
      </c>
      <c r="L436" s="196"/>
    </row>
    <row r="437" spans="1:12">
      <c r="A437" s="343" t="str">
        <f>case_name</f>
        <v>CASE NO: 2018-00261</v>
      </c>
      <c r="C437" s="196"/>
      <c r="D437" s="344"/>
      <c r="E437" s="196"/>
      <c r="F437" s="344"/>
      <c r="G437" s="342"/>
      <c r="H437" s="342"/>
      <c r="I437" s="196"/>
      <c r="K437" s="361" t="str">
        <f>Witness</f>
        <v>JAMES E. ZIOLKOWSKI</v>
      </c>
      <c r="L437" s="196"/>
    </row>
    <row r="438" spans="1:12">
      <c r="A438" s="343" t="str">
        <f>data_filing</f>
        <v>DATA: 12 MONTH FORECASTED PERIOD</v>
      </c>
      <c r="C438" s="196"/>
      <c r="D438" s="344"/>
      <c r="E438" s="196"/>
      <c r="F438" s="344"/>
      <c r="G438" s="342"/>
      <c r="H438" s="342"/>
      <c r="I438" s="196"/>
      <c r="K438" s="361" t="str">
        <f>"PAGE "&amp;Pages-8&amp;" OF "&amp;Pages</f>
        <v>PAGE 10 OF 18</v>
      </c>
      <c r="L438" s="196"/>
    </row>
    <row r="439" spans="1:12">
      <c r="A439" s="343" t="str">
        <f>type</f>
        <v xml:space="preserve">TYPE OF FILING: "X" ORIGINAL   UPDATED    REVISED  </v>
      </c>
      <c r="C439" s="196"/>
      <c r="D439" s="344"/>
      <c r="E439" s="196"/>
      <c r="F439" s="344"/>
      <c r="G439" s="342"/>
      <c r="H439" s="342"/>
      <c r="I439" s="196"/>
      <c r="J439" s="344"/>
      <c r="K439" s="196"/>
      <c r="L439" s="196"/>
    </row>
    <row r="440" spans="1:12">
      <c r="B440" s="343"/>
      <c r="C440" s="196"/>
      <c r="D440" s="344"/>
      <c r="E440" s="196"/>
      <c r="F440" s="344"/>
      <c r="G440" s="196"/>
      <c r="H440" s="342"/>
      <c r="I440" s="342"/>
      <c r="J440" s="354"/>
      <c r="K440" s="196"/>
      <c r="L440" s="196"/>
    </row>
    <row r="441" spans="1:12">
      <c r="B441" s="343"/>
      <c r="C441" s="196"/>
      <c r="D441" s="344"/>
      <c r="E441" s="196"/>
      <c r="F441" s="344" t="str">
        <f>$F$7</f>
        <v>TOTAL</v>
      </c>
      <c r="G441" s="196"/>
      <c r="H441" s="342"/>
      <c r="I441" s="342"/>
      <c r="J441" s="354"/>
      <c r="K441" s="196"/>
      <c r="L441" s="196"/>
    </row>
    <row r="442" spans="1:12">
      <c r="A442" s="344" t="s">
        <v>914</v>
      </c>
      <c r="B442" s="196"/>
      <c r="C442" s="196"/>
      <c r="D442" s="344"/>
      <c r="E442" s="196"/>
      <c r="F442" s="344" t="str">
        <f>$F$8</f>
        <v>DISTRIBUTION</v>
      </c>
      <c r="G442" s="344" t="s">
        <v>418</v>
      </c>
      <c r="H442" s="354" t="s">
        <v>864</v>
      </c>
      <c r="I442" s="354" t="s">
        <v>865</v>
      </c>
      <c r="J442" s="354" t="s">
        <v>549</v>
      </c>
      <c r="K442" s="344" t="s">
        <v>229</v>
      </c>
      <c r="L442" s="344" t="s">
        <v>342</v>
      </c>
    </row>
    <row r="443" spans="1:12">
      <c r="A443" s="346" t="s">
        <v>915</v>
      </c>
      <c r="B443" s="345" t="s">
        <v>55</v>
      </c>
      <c r="C443" s="345"/>
      <c r="D443" s="346" t="s">
        <v>337</v>
      </c>
      <c r="E443" s="345"/>
      <c r="F443" s="344" t="str">
        <f>$F$9</f>
        <v>DEMAND</v>
      </c>
      <c r="G443" s="346" t="s">
        <v>338</v>
      </c>
      <c r="H443" s="355" t="s">
        <v>405</v>
      </c>
      <c r="I443" s="355" t="s">
        <v>405</v>
      </c>
      <c r="J443" s="355" t="s">
        <v>550</v>
      </c>
      <c r="K443" s="346" t="s">
        <v>341</v>
      </c>
      <c r="L443" s="346" t="s">
        <v>340</v>
      </c>
    </row>
    <row r="444" spans="1:12">
      <c r="C444" s="578" t="s">
        <v>349</v>
      </c>
      <c r="D444" s="344"/>
      <c r="E444" s="196"/>
      <c r="F444" s="762"/>
      <c r="G444" s="633">
        <f>$G$10</f>
        <v>3</v>
      </c>
      <c r="H444" s="633">
        <f>$H$10</f>
        <v>4</v>
      </c>
      <c r="I444" s="633">
        <f>$I$10</f>
        <v>5</v>
      </c>
      <c r="J444" s="633">
        <f>$J$10</f>
        <v>6</v>
      </c>
      <c r="K444" s="510"/>
      <c r="L444" s="510"/>
    </row>
    <row r="445" spans="1:12">
      <c r="A445" s="333">
        <v>1</v>
      </c>
      <c r="B445" s="353" t="s">
        <v>56</v>
      </c>
      <c r="C445" s="353"/>
      <c r="D445" s="344"/>
      <c r="E445" s="196"/>
      <c r="H445" s="353"/>
      <c r="J445" s="353"/>
    </row>
    <row r="446" spans="1:12">
      <c r="A446" s="333">
        <v>2</v>
      </c>
      <c r="B446" s="353"/>
      <c r="C446" s="511" t="str">
        <f>'FR-16(7)(v)-1 Functional'!C446</f>
        <v>PRODUCTION DEPRECIATION</v>
      </c>
      <c r="D446" s="344" t="str">
        <f>'FR-16(7)(v)-1 Functional'!D446</f>
        <v>P229</v>
      </c>
      <c r="E446" s="196"/>
      <c r="F446" s="479">
        <f>'FR-16(7)(v)-4 DISTR Classified'!G446</f>
        <v>0</v>
      </c>
      <c r="G446" s="349">
        <f>F446-SUM(H446:J446)</f>
        <v>0</v>
      </c>
      <c r="H446" s="349">
        <f>ROUND($F$446*VLOOKUP($D$446,ALLOCTABLE_DISTR_DEMAND,$H$10,FALSE),0)</f>
        <v>0</v>
      </c>
      <c r="I446" s="349">
        <f>ROUND(F446*VLOOKUP(D446,ALLOCTABLE_DISTR_DEMAND,$I$10,FALSE),0)</f>
        <v>0</v>
      </c>
      <c r="J446" s="349">
        <f>ROUND(F446*VLOOKUP(D446,ALLOCTABLE_DISTR_DEMAND,$J$10,FALSE),0)</f>
        <v>0</v>
      </c>
      <c r="K446" s="347">
        <f>SUM(G446:J446)</f>
        <v>0</v>
      </c>
      <c r="L446" s="347">
        <f>F446-K446</f>
        <v>0</v>
      </c>
    </row>
    <row r="447" spans="1:12">
      <c r="A447" s="333">
        <v>3</v>
      </c>
      <c r="B447" s="353"/>
      <c r="C447" s="353" t="str">
        <f>'FR-16(7)(v)-1 Functional'!C447</f>
        <v xml:space="preserve">  TOTAL PRODUCTION DEPREC EXP.</v>
      </c>
      <c r="D447" s="344"/>
      <c r="E447" s="196"/>
      <c r="F447" s="348">
        <f t="shared" ref="F447:L447" si="152">SUM(F446:F446)</f>
        <v>0</v>
      </c>
      <c r="G447" s="348">
        <f>SUM(G446:G446)</f>
        <v>0</v>
      </c>
      <c r="H447" s="348">
        <f t="shared" si="152"/>
        <v>0</v>
      </c>
      <c r="I447" s="348">
        <f t="shared" si="152"/>
        <v>0</v>
      </c>
      <c r="J447" s="348">
        <f t="shared" si="152"/>
        <v>0</v>
      </c>
      <c r="K447" s="348">
        <f t="shared" si="152"/>
        <v>0</v>
      </c>
      <c r="L447" s="348">
        <f t="shared" si="152"/>
        <v>0</v>
      </c>
    </row>
    <row r="448" spans="1:12">
      <c r="A448" s="333">
        <v>4</v>
      </c>
      <c r="B448" s="353"/>
      <c r="C448" s="353"/>
      <c r="D448" s="344"/>
      <c r="E448" s="196"/>
      <c r="F448" s="353"/>
      <c r="G448" s="353"/>
      <c r="H448" s="353"/>
      <c r="J448" s="353"/>
    </row>
    <row r="449" spans="1:12">
      <c r="A449" s="333">
        <v>5</v>
      </c>
      <c r="B449" s="511" t="s">
        <v>57</v>
      </c>
      <c r="C449" s="511"/>
      <c r="D449" s="344"/>
      <c r="E449" s="196"/>
      <c r="F449" s="349"/>
      <c r="G449" s="353"/>
      <c r="H449" s="353"/>
      <c r="J449" s="349"/>
      <c r="K449" s="347"/>
      <c r="L449" s="347"/>
    </row>
    <row r="450" spans="1:12">
      <c r="A450" s="333">
        <v>6</v>
      </c>
      <c r="B450" s="353"/>
      <c r="C450" s="353" t="str">
        <f>'FR-16(7)(v)-1 Functional'!C450</f>
        <v xml:space="preserve">  TOTAL TRANSMISSION DEP. EXP.</v>
      </c>
      <c r="D450" s="344"/>
      <c r="E450" s="196"/>
      <c r="F450" s="348">
        <f t="shared" ref="F450:L450" si="153">SUM(F449)</f>
        <v>0</v>
      </c>
      <c r="G450" s="762">
        <f t="shared" si="153"/>
        <v>0</v>
      </c>
      <c r="H450" s="762">
        <f t="shared" si="153"/>
        <v>0</v>
      </c>
      <c r="I450" s="348">
        <f t="shared" si="153"/>
        <v>0</v>
      </c>
      <c r="J450" s="348">
        <f t="shared" si="153"/>
        <v>0</v>
      </c>
      <c r="K450" s="348">
        <f t="shared" si="153"/>
        <v>0</v>
      </c>
      <c r="L450" s="348">
        <f t="shared" si="153"/>
        <v>0</v>
      </c>
    </row>
    <row r="451" spans="1:12">
      <c r="A451" s="333">
        <v>7</v>
      </c>
      <c r="B451" s="353"/>
      <c r="C451" s="353"/>
      <c r="D451" s="344"/>
      <c r="E451" s="196"/>
      <c r="F451" s="353"/>
      <c r="G451" s="353"/>
      <c r="H451" s="353"/>
      <c r="J451" s="353"/>
    </row>
    <row r="452" spans="1:12">
      <c r="A452" s="333">
        <v>8</v>
      </c>
      <c r="B452" s="353" t="s">
        <v>58</v>
      </c>
      <c r="C452" s="353"/>
      <c r="D452" s="344"/>
      <c r="E452" s="196"/>
      <c r="F452" s="353"/>
      <c r="G452" s="353"/>
      <c r="H452" s="353"/>
      <c r="J452" s="353"/>
    </row>
    <row r="453" spans="1:12">
      <c r="A453" s="333">
        <v>9</v>
      </c>
      <c r="B453" s="353"/>
      <c r="C453" s="511" t="str">
        <f>'FR-16(7)(v)-1 Functional'!C453</f>
        <v>DISTRIBUTION DEPRECIATION</v>
      </c>
      <c r="D453" s="344" t="str">
        <f>'FR-16(7)(v)-1 Functional'!D453</f>
        <v>D249</v>
      </c>
      <c r="E453" s="196"/>
      <c r="F453" s="479">
        <f>'FR-16(7)(v)-4 DISTR Classified'!G453</f>
        <v>6676440</v>
      </c>
      <c r="G453" s="349">
        <f>F453-SUM(H453:J453)</f>
        <v>3730661</v>
      </c>
      <c r="H453" s="349">
        <f>ROUND($F$453*VLOOKUP($D$453,ALLOCTABLE_DISTR_DEMAND,$H$10,FALSE),0)</f>
        <v>2019490</v>
      </c>
      <c r="I453" s="349">
        <f>ROUND(F453*VLOOKUP(D453,ALLOCTABLE_DISTR_DEMAND,$I$10,FALSE),0)</f>
        <v>721389</v>
      </c>
      <c r="J453" s="349">
        <f>ROUND(F453*VLOOKUP(D453,ALLOCTABLE_DISTR_DEMAND,$J$10,FALSE),0)</f>
        <v>204900</v>
      </c>
      <c r="K453" s="347">
        <f>SUM(G453:J453)</f>
        <v>6676440</v>
      </c>
      <c r="L453" s="347">
        <f>F453-K453</f>
        <v>0</v>
      </c>
    </row>
    <row r="454" spans="1:12">
      <c r="A454" s="333">
        <v>10</v>
      </c>
      <c r="B454" s="353"/>
      <c r="C454" s="353" t="str">
        <f>'FR-16(7)(v)-1 Functional'!C454</f>
        <v xml:space="preserve">  TOTAL DIST. DEPREC EXP.</v>
      </c>
      <c r="D454" s="344"/>
      <c r="E454" s="196"/>
      <c r="F454" s="348">
        <f t="shared" ref="F454:L454" si="154">SUM(F453:F453)</f>
        <v>6676440</v>
      </c>
      <c r="G454" s="348">
        <f>SUM(G453:G453)</f>
        <v>3730661</v>
      </c>
      <c r="H454" s="348">
        <f t="shared" si="154"/>
        <v>2019490</v>
      </c>
      <c r="I454" s="348">
        <f t="shared" si="154"/>
        <v>721389</v>
      </c>
      <c r="J454" s="348">
        <f t="shared" si="154"/>
        <v>204900</v>
      </c>
      <c r="K454" s="348">
        <f t="shared" si="154"/>
        <v>6676440</v>
      </c>
      <c r="L454" s="348">
        <f t="shared" si="154"/>
        <v>0</v>
      </c>
    </row>
    <row r="455" spans="1:12">
      <c r="A455" s="333">
        <v>11</v>
      </c>
      <c r="B455" s="353"/>
      <c r="C455" s="353"/>
      <c r="D455" s="344"/>
      <c r="E455" s="196"/>
      <c r="F455" s="353" t="s">
        <v>343</v>
      </c>
      <c r="G455" s="353"/>
      <c r="H455" s="353"/>
      <c r="J455" s="353"/>
    </row>
    <row r="456" spans="1:12">
      <c r="A456" s="333">
        <v>12</v>
      </c>
      <c r="B456" s="353" t="s">
        <v>59</v>
      </c>
      <c r="C456" s="353"/>
      <c r="D456" s="344"/>
      <c r="E456" s="196"/>
      <c r="F456" s="353"/>
      <c r="G456" s="353"/>
      <c r="H456" s="353"/>
      <c r="J456" s="353"/>
    </row>
    <row r="457" spans="1:12">
      <c r="A457" s="333">
        <v>13</v>
      </c>
      <c r="B457" s="353"/>
      <c r="C457" s="511" t="str">
        <f>'FR-16(7)(v)-1 Functional'!C457</f>
        <v>GENERAL DEPRECIATION</v>
      </c>
      <c r="D457" s="344" t="str">
        <f>'FR-16(7)(v)-1 Functional'!D457</f>
        <v>G229</v>
      </c>
      <c r="E457" s="196"/>
      <c r="F457" s="479">
        <f>'FR-16(7)(v)-4 DISTR Classified'!G457</f>
        <v>788482</v>
      </c>
      <c r="G457" s="349">
        <f>F457-SUM(H457:J457)</f>
        <v>481282</v>
      </c>
      <c r="H457" s="349">
        <f>ROUND($F$457*VLOOKUP($D$457,ALLOCTABLE_DISTR_DEMAND,$H$10,FALSE),0)</f>
        <v>217440</v>
      </c>
      <c r="I457" s="349">
        <f>ROUND(F457*VLOOKUP(D457,ALLOCTABLE_DISTR_DEMAND,$I$10,FALSE),0)</f>
        <v>72051</v>
      </c>
      <c r="J457" s="349">
        <f>ROUND(F457*VLOOKUP(D457,ALLOCTABLE_DISTR_DEMAND,$J$10,FALSE),0)</f>
        <v>17709</v>
      </c>
      <c r="K457" s="347">
        <f>SUM(G457:J457)</f>
        <v>788482</v>
      </c>
      <c r="L457" s="347">
        <f>F457-K457</f>
        <v>0</v>
      </c>
    </row>
    <row r="458" spans="1:12">
      <c r="A458" s="333">
        <v>14</v>
      </c>
      <c r="B458" s="353"/>
      <c r="C458" s="353" t="str">
        <f>'FR-16(7)(v)-1 Functional'!C458</f>
        <v xml:space="preserve">  TOTAL GENERAL DEPREC EXP.</v>
      </c>
      <c r="D458" s="344"/>
      <c r="E458" s="196"/>
      <c r="F458" s="348">
        <f t="shared" ref="F458:L458" si="155">SUM(F457:F457)</f>
        <v>788482</v>
      </c>
      <c r="G458" s="348">
        <f>SUM(G457:G457)</f>
        <v>481282</v>
      </c>
      <c r="H458" s="348">
        <f t="shared" si="155"/>
        <v>217440</v>
      </c>
      <c r="I458" s="348">
        <f t="shared" si="155"/>
        <v>72051</v>
      </c>
      <c r="J458" s="348">
        <f t="shared" si="155"/>
        <v>17709</v>
      </c>
      <c r="K458" s="348">
        <f t="shared" si="155"/>
        <v>788482</v>
      </c>
      <c r="L458" s="348">
        <f t="shared" si="155"/>
        <v>0</v>
      </c>
    </row>
    <row r="459" spans="1:12">
      <c r="A459" s="333">
        <v>15</v>
      </c>
      <c r="B459" s="353"/>
      <c r="C459" s="353"/>
      <c r="D459" s="344"/>
      <c r="E459" s="196"/>
      <c r="F459" s="353"/>
      <c r="G459" s="353"/>
      <c r="H459" s="353"/>
      <c r="J459" s="353"/>
    </row>
    <row r="460" spans="1:12">
      <c r="A460" s="333">
        <v>16</v>
      </c>
      <c r="B460" s="353" t="s">
        <v>60</v>
      </c>
      <c r="C460" s="353"/>
      <c r="D460" s="344"/>
      <c r="E460" s="196"/>
      <c r="F460" s="476"/>
      <c r="G460" s="349"/>
      <c r="H460" s="349"/>
      <c r="I460" s="349"/>
      <c r="J460" s="349"/>
      <c r="K460" s="347"/>
      <c r="L460" s="347"/>
    </row>
    <row r="461" spans="1:12">
      <c r="A461" s="333">
        <v>17</v>
      </c>
      <c r="B461" s="353"/>
      <c r="C461" s="511" t="str">
        <f>'FR-16(7)(v)-1 Functional'!C461</f>
        <v>COMMON DEPRECIATION</v>
      </c>
      <c r="D461" s="344" t="str">
        <f>'FR-16(7)(v)-1 Functional'!D461</f>
        <v>C229</v>
      </c>
      <c r="E461" s="196"/>
      <c r="F461" s="479">
        <f>'FR-16(7)(v)-4 DISTR Classified'!G461</f>
        <v>45774</v>
      </c>
      <c r="G461" s="349">
        <f>F461-SUM(H461:J461)</f>
        <v>27940</v>
      </c>
      <c r="H461" s="349">
        <f>ROUND($F$461*VLOOKUP($D$461,ALLOCTABLE_DISTR_DEMAND,$H$10,FALSE),0)</f>
        <v>12623</v>
      </c>
      <c r="I461" s="349">
        <f>ROUND(F461*VLOOKUP(D461,ALLOCTABLE_DISTR_DEMAND,$I$10,FALSE),0)</f>
        <v>4183</v>
      </c>
      <c r="J461" s="349">
        <f>ROUND(F461*VLOOKUP(D461,ALLOCTABLE_DISTR_DEMAND,$J$10,FALSE),0)</f>
        <v>1028</v>
      </c>
      <c r="K461" s="347">
        <f>SUM(G461:J461)</f>
        <v>45774</v>
      </c>
      <c r="L461" s="347">
        <f>F461-K461</f>
        <v>0</v>
      </c>
    </row>
    <row r="462" spans="1:12">
      <c r="A462" s="333">
        <v>18</v>
      </c>
      <c r="B462" s="353"/>
      <c r="C462" s="353" t="str">
        <f>'FR-16(7)(v)-1 Functional'!C462</f>
        <v xml:space="preserve">  TOTAL COM &amp; OTHER DEPREC EXP.</v>
      </c>
      <c r="D462" s="344"/>
      <c r="E462" s="196"/>
      <c r="F462" s="348">
        <f t="shared" ref="F462:L462" si="156">SUM(F461:F461)</f>
        <v>45774</v>
      </c>
      <c r="G462" s="348">
        <f>SUM(G461:G461)</f>
        <v>27940</v>
      </c>
      <c r="H462" s="348">
        <f t="shared" si="156"/>
        <v>12623</v>
      </c>
      <c r="I462" s="348">
        <f t="shared" si="156"/>
        <v>4183</v>
      </c>
      <c r="J462" s="348">
        <f t="shared" si="156"/>
        <v>1028</v>
      </c>
      <c r="K462" s="348">
        <f t="shared" si="156"/>
        <v>45774</v>
      </c>
      <c r="L462" s="348">
        <f t="shared" si="156"/>
        <v>0</v>
      </c>
    </row>
    <row r="463" spans="1:12">
      <c r="A463" s="333">
        <v>19</v>
      </c>
      <c r="B463" s="353"/>
      <c r="C463" s="353"/>
      <c r="D463" s="344"/>
      <c r="E463" s="196"/>
      <c r="G463" s="353"/>
      <c r="H463" s="353"/>
      <c r="J463" s="353"/>
    </row>
    <row r="464" spans="1:12">
      <c r="A464" s="333">
        <v>20</v>
      </c>
      <c r="B464" s="353"/>
      <c r="C464" s="353"/>
      <c r="D464" s="344"/>
      <c r="E464" s="196"/>
      <c r="G464" s="353"/>
      <c r="H464" s="353"/>
      <c r="J464" s="353"/>
    </row>
    <row r="465" spans="1:13">
      <c r="A465" s="333">
        <v>21</v>
      </c>
      <c r="B465" s="353" t="s">
        <v>61</v>
      </c>
      <c r="C465" s="353"/>
      <c r="D465" s="344"/>
      <c r="E465" s="332" t="s">
        <v>343</v>
      </c>
      <c r="F465" s="347">
        <f t="shared" ref="F465:L465" si="157">F462+F458+F454+F450+F447</f>
        <v>7510696</v>
      </c>
      <c r="G465" s="349">
        <f>G462+G458+G454+G450+G447</f>
        <v>4239883</v>
      </c>
      <c r="H465" s="349">
        <f t="shared" si="157"/>
        <v>2249553</v>
      </c>
      <c r="I465" s="349">
        <f t="shared" si="157"/>
        <v>797623</v>
      </c>
      <c r="J465" s="349">
        <f t="shared" si="157"/>
        <v>223637</v>
      </c>
      <c r="K465" s="347">
        <f t="shared" si="157"/>
        <v>7510696</v>
      </c>
      <c r="L465" s="347">
        <f t="shared" si="157"/>
        <v>0</v>
      </c>
    </row>
    <row r="466" spans="1:13">
      <c r="B466" s="343"/>
      <c r="C466" s="196"/>
      <c r="D466" s="344"/>
      <c r="E466" s="196"/>
      <c r="G466" s="196"/>
      <c r="H466" s="196"/>
      <c r="I466" s="196"/>
      <c r="J466" s="344"/>
      <c r="K466" s="196"/>
      <c r="L466" s="196"/>
    </row>
    <row r="467" spans="1:13">
      <c r="A467" s="343" t="str">
        <f>co_name</f>
        <v>DUKE ENERGY KENTUCKY, INC.</v>
      </c>
      <c r="C467" s="196"/>
      <c r="D467" s="344"/>
      <c r="E467" s="196"/>
      <c r="F467" s="344"/>
      <c r="G467" s="342"/>
      <c r="H467" s="342"/>
      <c r="I467" s="196"/>
      <c r="K467" s="361" t="str">
        <f>$K$1</f>
        <v>FR-16(7)(v)-5</v>
      </c>
      <c r="L467" s="196"/>
    </row>
    <row r="468" spans="1:13">
      <c r="A468" s="343" t="str">
        <f>$A$2</f>
        <v>DISTRIBUTION DEMAND ALLOCATED - GAS COST OF SERVICE</v>
      </c>
      <c r="C468" s="196"/>
      <c r="D468" s="344"/>
      <c r="E468" s="196"/>
      <c r="F468" s="344"/>
      <c r="G468" s="342"/>
      <c r="H468" s="342"/>
      <c r="I468" s="196"/>
      <c r="K468" s="361" t="str">
        <f>$K$2</f>
        <v>WITNESS RESPONSIBLE:</v>
      </c>
      <c r="L468" s="196"/>
    </row>
    <row r="469" spans="1:13">
      <c r="A469" s="343" t="str">
        <f>case_name</f>
        <v>CASE NO: 2018-00261</v>
      </c>
      <c r="C469" s="196"/>
      <c r="D469" s="344"/>
      <c r="E469" s="196"/>
      <c r="F469" s="344"/>
      <c r="G469" s="342"/>
      <c r="H469" s="342"/>
      <c r="I469" s="196"/>
      <c r="K469" s="361" t="str">
        <f>Witness</f>
        <v>JAMES E. ZIOLKOWSKI</v>
      </c>
      <c r="L469" s="196"/>
    </row>
    <row r="470" spans="1:13">
      <c r="A470" s="343" t="str">
        <f>data_filing</f>
        <v>DATA: 12 MONTH FORECASTED PERIOD</v>
      </c>
      <c r="C470" s="196"/>
      <c r="D470" s="344"/>
      <c r="E470" s="196"/>
      <c r="F470" s="344"/>
      <c r="G470" s="342"/>
      <c r="H470" s="342"/>
      <c r="I470" s="196"/>
      <c r="K470" s="361" t="str">
        <f>"PAGE "&amp;Pages-7&amp;" OF "&amp;Pages</f>
        <v>PAGE 11 OF 18</v>
      </c>
      <c r="L470" s="196"/>
    </row>
    <row r="471" spans="1:13">
      <c r="A471" s="343" t="str">
        <f>type</f>
        <v xml:space="preserve">TYPE OF FILING: "X" ORIGINAL   UPDATED    REVISED  </v>
      </c>
      <c r="C471" s="196"/>
      <c r="D471" s="344"/>
      <c r="E471" s="196"/>
      <c r="F471" s="344"/>
      <c r="G471" s="342"/>
      <c r="H471" s="342"/>
      <c r="I471" s="196"/>
      <c r="J471" s="344"/>
      <c r="K471" s="196"/>
      <c r="L471" s="196"/>
    </row>
    <row r="472" spans="1:13">
      <c r="B472" s="343"/>
      <c r="C472" s="196"/>
      <c r="D472" s="344"/>
      <c r="E472" s="196"/>
      <c r="F472" s="344"/>
      <c r="G472" s="196"/>
      <c r="H472" s="196"/>
      <c r="I472" s="196"/>
      <c r="J472" s="344"/>
      <c r="K472" s="196"/>
      <c r="L472" s="196"/>
    </row>
    <row r="473" spans="1:13">
      <c r="B473" s="343"/>
      <c r="C473" s="196"/>
      <c r="D473" s="344"/>
      <c r="E473" s="196"/>
      <c r="F473" s="344" t="str">
        <f>$F$7</f>
        <v>TOTAL</v>
      </c>
      <c r="G473" s="196"/>
      <c r="H473" s="196"/>
      <c r="I473" s="196"/>
      <c r="J473" s="344"/>
      <c r="K473" s="196"/>
      <c r="L473" s="196"/>
    </row>
    <row r="474" spans="1:13">
      <c r="A474" s="344" t="s">
        <v>914</v>
      </c>
      <c r="B474" s="196"/>
      <c r="C474" s="196"/>
      <c r="D474" s="344"/>
      <c r="E474" s="196"/>
      <c r="F474" s="344" t="str">
        <f>$F$8</f>
        <v>DISTRIBUTION</v>
      </c>
      <c r="G474" s="344" t="s">
        <v>418</v>
      </c>
      <c r="H474" s="344" t="s">
        <v>864</v>
      </c>
      <c r="I474" s="344" t="s">
        <v>865</v>
      </c>
      <c r="J474" s="344" t="s">
        <v>549</v>
      </c>
      <c r="K474" s="344" t="s">
        <v>229</v>
      </c>
      <c r="L474" s="344" t="s">
        <v>342</v>
      </c>
    </row>
    <row r="475" spans="1:13">
      <c r="A475" s="346" t="s">
        <v>915</v>
      </c>
      <c r="B475" s="345" t="s">
        <v>62</v>
      </c>
      <c r="C475" s="345"/>
      <c r="D475" s="346" t="s">
        <v>337</v>
      </c>
      <c r="E475" s="345"/>
      <c r="F475" s="344" t="str">
        <f>$F$9</f>
        <v>DEMAND</v>
      </c>
      <c r="G475" s="346" t="s">
        <v>338</v>
      </c>
      <c r="H475" s="346" t="s">
        <v>405</v>
      </c>
      <c r="I475" s="346" t="s">
        <v>405</v>
      </c>
      <c r="J475" s="346" t="s">
        <v>550</v>
      </c>
      <c r="K475" s="346" t="s">
        <v>341</v>
      </c>
      <c r="L475" s="346" t="s">
        <v>340</v>
      </c>
      <c r="M475" s="365"/>
    </row>
    <row r="476" spans="1:13">
      <c r="C476" s="578" t="s">
        <v>350</v>
      </c>
      <c r="D476" s="344"/>
      <c r="E476" s="196"/>
      <c r="F476" s="762"/>
      <c r="G476" s="633">
        <f>$G$10</f>
        <v>3</v>
      </c>
      <c r="H476" s="633">
        <f>$H$10</f>
        <v>4</v>
      </c>
      <c r="I476" s="633">
        <f>$I$10</f>
        <v>5</v>
      </c>
      <c r="J476" s="633">
        <f>$J$10</f>
        <v>6</v>
      </c>
      <c r="K476" s="510"/>
      <c r="L476" s="510"/>
    </row>
    <row r="477" spans="1:13">
      <c r="A477" s="333">
        <v>1</v>
      </c>
      <c r="B477" s="332" t="s">
        <v>63</v>
      </c>
      <c r="D477" s="344"/>
      <c r="E477" s="196"/>
      <c r="I477" s="332"/>
    </row>
    <row r="478" spans="1:13">
      <c r="A478" s="333">
        <v>2</v>
      </c>
      <c r="B478" s="332" t="s">
        <v>64</v>
      </c>
      <c r="D478" s="344"/>
      <c r="E478" s="196"/>
      <c r="I478" s="332"/>
    </row>
    <row r="479" spans="1:13">
      <c r="A479" s="333">
        <v>3</v>
      </c>
      <c r="C479" s="332" t="str">
        <f>'FR-16(7)(v)-1 Functional'!C479</f>
        <v>REAL ESTATE &amp; PROPERTY TAX</v>
      </c>
      <c r="D479" s="344" t="str">
        <f>'FR-16(7)(v)-1 Functional'!D479</f>
        <v>NP29</v>
      </c>
      <c r="E479" s="196"/>
      <c r="F479" s="479">
        <f>'FR-16(7)(v)-4 DISTR Classified'!G479</f>
        <v>1839955</v>
      </c>
      <c r="G479" s="349">
        <f>F479-SUM(H479:J479)</f>
        <v>1030817</v>
      </c>
      <c r="H479" s="347">
        <f>ROUND($F$479*VLOOKUP($D$479,ALLOCTABLE_DISTR_DEMAND,$H$10,FALSE),0)</f>
        <v>555151</v>
      </c>
      <c r="I479" s="347">
        <f>ROUND(F479*VLOOKUP(D479,ALLOCTABLE_DISTR_DEMAND,$I$10,FALSE),0)</f>
        <v>197942</v>
      </c>
      <c r="J479" s="347">
        <f>ROUND(F479*VLOOKUP(D479,ALLOCTABLE_DISTR_DEMAND,$J$10,FALSE),0)</f>
        <v>56045</v>
      </c>
      <c r="K479" s="347">
        <f>SUM($G$479:$J$479)</f>
        <v>1839955</v>
      </c>
      <c r="L479" s="347">
        <f>F479-$K$479</f>
        <v>0</v>
      </c>
    </row>
    <row r="480" spans="1:13">
      <c r="A480" s="333">
        <v>4</v>
      </c>
      <c r="C480" s="359" t="str">
        <f>'FR-16(7)(v)-1 Functional'!C480</f>
        <v>ANNUALIZE PROPERTY TAX</v>
      </c>
      <c r="D480" s="344" t="str">
        <f>'FR-16(7)(v)-1 Functional'!D480</f>
        <v>NP29</v>
      </c>
      <c r="E480" s="196" t="s">
        <v>343</v>
      </c>
      <c r="F480" s="479">
        <f>'FR-16(7)(v)-4 DISTR Classified'!G480</f>
        <v>0</v>
      </c>
      <c r="G480" s="349">
        <f>F480-SUM(H480:J480)</f>
        <v>0</v>
      </c>
      <c r="H480" s="347">
        <f>ROUND($F$480*VLOOKUP($D$480,ALLOCTABLE_DISTR_DEMAND,$H$10,FALSE),0)</f>
        <v>0</v>
      </c>
      <c r="I480" s="347">
        <f>ROUND(F480*VLOOKUP(D480,ALLOCTABLE_DISTR_DEMAND,$I$10,FALSE),0)</f>
        <v>0</v>
      </c>
      <c r="J480" s="347">
        <f>ROUND(F480*VLOOKUP(D480,ALLOCTABLE_DISTR_DEMAND,$J$10,FALSE),0)</f>
        <v>0</v>
      </c>
      <c r="K480" s="347">
        <f>SUM($G$480:$J$480)</f>
        <v>0</v>
      </c>
      <c r="L480" s="347">
        <f>F480-$K$480</f>
        <v>0</v>
      </c>
    </row>
    <row r="481" spans="1:12">
      <c r="A481" s="333">
        <v>5</v>
      </c>
      <c r="C481" s="332" t="str">
        <f>'FR-16(7)(v)-1 Functional'!C481</f>
        <v xml:space="preserve">  TOTAL REAL ESTATE &amp; PROPERTY TAX</v>
      </c>
      <c r="D481" s="344"/>
      <c r="E481" s="196"/>
      <c r="F481" s="348">
        <f>SUM(F479:F480)</f>
        <v>1839955</v>
      </c>
      <c r="G481" s="348">
        <f>SUM($G$479:$G$480)</f>
        <v>1030817</v>
      </c>
      <c r="H481" s="348">
        <f>SUM($H$479:$H$480)</f>
        <v>555151</v>
      </c>
      <c r="I481" s="348">
        <f>SUM($I$479:$I$480)</f>
        <v>197942</v>
      </c>
      <c r="J481" s="348">
        <f>SUM($J$479:$J$480)</f>
        <v>56045</v>
      </c>
      <c r="K481" s="348">
        <f>SUM($K$479:$K$480)</f>
        <v>1839955</v>
      </c>
      <c r="L481" s="348">
        <f>SUM($L$479:$L$480)</f>
        <v>0</v>
      </c>
    </row>
    <row r="482" spans="1:12">
      <c r="A482" s="333">
        <v>6</v>
      </c>
      <c r="D482" s="344"/>
      <c r="E482" s="196"/>
      <c r="F482" s="353"/>
      <c r="I482" s="332"/>
    </row>
    <row r="483" spans="1:12">
      <c r="A483" s="333">
        <v>7</v>
      </c>
      <c r="B483" s="332" t="s">
        <v>65</v>
      </c>
      <c r="D483" s="344"/>
      <c r="E483" s="196"/>
      <c r="F483" s="353"/>
      <c r="I483" s="332"/>
    </row>
    <row r="484" spans="1:12">
      <c r="A484" s="333">
        <v>8</v>
      </c>
      <c r="C484" s="332" t="str">
        <f>'FR-16(7)(v)-1 Functional'!C484</f>
        <v>PAYROLL &amp; HIGHWAY</v>
      </c>
      <c r="D484" s="344" t="str">
        <f>'FR-16(7)(v)-1 Functional'!D484</f>
        <v>AG39</v>
      </c>
      <c r="E484" s="196"/>
      <c r="F484" s="479">
        <f>'FR-16(7)(v)-4 DISTR Classified'!G484</f>
        <v>254671</v>
      </c>
      <c r="G484" s="349">
        <f>F484-SUM(H484:J484)</f>
        <v>155448</v>
      </c>
      <c r="H484" s="347">
        <f>ROUND($F$484*VLOOKUP($D$484,ALLOCTABLE_DISTR_DEMAND,$H$10,FALSE),0)</f>
        <v>70231</v>
      </c>
      <c r="I484" s="347">
        <f>ROUND(F484*VLOOKUP(D484,ALLOCTABLE_DISTR_DEMAND,$I$10,FALSE),0)</f>
        <v>23272</v>
      </c>
      <c r="J484" s="347">
        <f>ROUND(F484*VLOOKUP(D484,ALLOCTABLE_DISTR_DEMAND,$J$10,FALSE),0)</f>
        <v>5720</v>
      </c>
      <c r="K484" s="347">
        <f>SUM($G$484:$J$484)</f>
        <v>254671</v>
      </c>
      <c r="L484" s="347">
        <f>F484-$K$484</f>
        <v>0</v>
      </c>
    </row>
    <row r="485" spans="1:12">
      <c r="A485" s="333">
        <v>9</v>
      </c>
      <c r="C485" s="332" t="str">
        <f>'FR-16(7)(v)-1 Functional'!C485</f>
        <v>UNEMPLOYMENT COMPENSATION</v>
      </c>
      <c r="D485" s="354" t="str">
        <f>'FR-16(7)(v)-1 Functional'!D485</f>
        <v>AG39</v>
      </c>
      <c r="E485" s="196"/>
      <c r="F485" s="479">
        <f>'FR-16(7)(v)-4 DISTR Classified'!G485</f>
        <v>0</v>
      </c>
      <c r="G485" s="349">
        <f>F485-SUM(H485:J485)</f>
        <v>0</v>
      </c>
      <c r="H485" s="347">
        <f>ROUND($F$485*VLOOKUP($D$485,ALLOCTABLE_DISTR_DEMAND,$H$10,FALSE),0)</f>
        <v>0</v>
      </c>
      <c r="I485" s="347">
        <f>ROUND(F485*VLOOKUP(D485,ALLOCTABLE_DISTR_DEMAND,$I$10,FALSE),0)</f>
        <v>0</v>
      </c>
      <c r="J485" s="347">
        <f>ROUND(F485*VLOOKUP(D485,ALLOCTABLE_DISTR_DEMAND,$J$10,FALSE),0)</f>
        <v>0</v>
      </c>
      <c r="K485" s="347">
        <f>SUM($G$485:$J$485)</f>
        <v>0</v>
      </c>
      <c r="L485" s="347">
        <f>F485-$K$485</f>
        <v>0</v>
      </c>
    </row>
    <row r="486" spans="1:12">
      <c r="A486" s="333">
        <v>10</v>
      </c>
      <c r="C486" s="332" t="str">
        <f>'FR-16(7)(v)-1 Functional'!C486</f>
        <v>OHIO EXCISE TAX</v>
      </c>
      <c r="D486" s="354" t="str">
        <f>'FR-16(7)(v)-1 Functional'!D486</f>
        <v>OM39</v>
      </c>
      <c r="E486" s="196"/>
      <c r="F486" s="479">
        <f>'FR-16(7)(v)-4 DISTR Classified'!G486</f>
        <v>0</v>
      </c>
      <c r="G486" s="349">
        <f>F486-SUM(H486:J486)</f>
        <v>0</v>
      </c>
      <c r="H486" s="347">
        <f>ROUND($F$486*VLOOKUP($D$486,ALLOCTABLE_DISTR_DEMAND,$H$10,FALSE),0)</f>
        <v>0</v>
      </c>
      <c r="I486" s="347">
        <f>ROUND(F486*VLOOKUP(D486,ALLOCTABLE_DISTR_DEMAND,$I$10,FALSE),0)</f>
        <v>0</v>
      </c>
      <c r="J486" s="347">
        <f>ROUND(F486*VLOOKUP(D486,ALLOCTABLE_DISTR_DEMAND,$J$10,FALSE),0)</f>
        <v>0</v>
      </c>
      <c r="K486" s="347">
        <f>SUM($G$486:$J$486)</f>
        <v>0</v>
      </c>
      <c r="L486" s="347">
        <f>F486-$K$486</f>
        <v>0</v>
      </c>
    </row>
    <row r="487" spans="1:12">
      <c r="A487" s="333">
        <v>11</v>
      </c>
      <c r="C487" s="359" t="str">
        <f>'FR-16(7)(v)-1 Functional'!C487</f>
        <v>STATE TAX RIDER</v>
      </c>
      <c r="D487" s="354" t="str">
        <f>'FR-16(7)(v)-1 Functional'!D487</f>
        <v>OM39</v>
      </c>
      <c r="E487" s="196"/>
      <c r="F487" s="479">
        <f>'FR-16(7)(v)-4 DISTR Classified'!G487</f>
        <v>0</v>
      </c>
      <c r="G487" s="349">
        <f>F487-SUM(H487:J487)</f>
        <v>0</v>
      </c>
      <c r="H487" s="347">
        <f>ROUND($F$487*VLOOKUP($D$487,ALLOCTABLE_DISTR_DEMAND,$H$10,FALSE),0)</f>
        <v>0</v>
      </c>
      <c r="I487" s="347">
        <f>ROUND(F487*VLOOKUP(D487,ALLOCTABLE_DISTR_DEMAND,$I$10,FALSE),0)</f>
        <v>0</v>
      </c>
      <c r="J487" s="347">
        <f>ROUND(F487*VLOOKUP(D487,ALLOCTABLE_DISTR_DEMAND,$J$10,FALSE),0)</f>
        <v>0</v>
      </c>
      <c r="K487" s="347">
        <f>SUM($G$487:$J$487)</f>
        <v>0</v>
      </c>
      <c r="L487" s="347">
        <f>F487-$K$487</f>
        <v>0</v>
      </c>
    </row>
    <row r="488" spans="1:12">
      <c r="A488" s="333">
        <v>12</v>
      </c>
      <c r="C488" s="332" t="str">
        <f>'FR-16(7)(v)-1 Functional'!C488</f>
        <v xml:space="preserve">  TOTAL MISCELLANEOUS TAXES</v>
      </c>
      <c r="D488" s="354"/>
      <c r="E488" s="196"/>
      <c r="F488" s="348">
        <f>SUM(F484:F487)</f>
        <v>254671</v>
      </c>
      <c r="G488" s="348">
        <f>SUM($G$484:$G$487)</f>
        <v>155448</v>
      </c>
      <c r="H488" s="348">
        <f>SUM($H$484:$H$487)</f>
        <v>70231</v>
      </c>
      <c r="I488" s="348">
        <f>SUM($I$484:$I$487)</f>
        <v>23272</v>
      </c>
      <c r="J488" s="348">
        <f>SUM($J$484:$J$487)</f>
        <v>5720</v>
      </c>
      <c r="K488" s="348">
        <f>SUM($K$484:$K$487)</f>
        <v>254671</v>
      </c>
      <c r="L488" s="348">
        <f>SUM($L$484:$L$487)</f>
        <v>0</v>
      </c>
    </row>
    <row r="489" spans="1:12">
      <c r="A489" s="333">
        <v>13</v>
      </c>
      <c r="D489" s="344"/>
      <c r="E489" s="196"/>
      <c r="F489" s="353"/>
      <c r="I489" s="332"/>
    </row>
    <row r="490" spans="1:12">
      <c r="A490" s="333">
        <v>14</v>
      </c>
      <c r="B490" s="332" t="s">
        <v>66</v>
      </c>
      <c r="D490" s="344"/>
      <c r="E490" s="196"/>
      <c r="F490" s="353"/>
      <c r="I490" s="332"/>
    </row>
    <row r="491" spans="1:12">
      <c r="A491" s="333">
        <v>15</v>
      </c>
      <c r="C491" s="332" t="str">
        <f>'FR-16(7)(v)-1 Functional'!C491</f>
        <v>PSC MAINT. EXP ON INCREASE</v>
      </c>
      <c r="D491" s="344" t="str">
        <f>'FR-16(7)(v)-1 Functional'!D491</f>
        <v>AG39</v>
      </c>
      <c r="E491" s="196"/>
      <c r="F491" s="479">
        <f>'FR-16(7)(v)-4 DISTR Classified'!G491</f>
        <v>7574</v>
      </c>
      <c r="G491" s="349">
        <f>F491-SUM(H491:J491)</f>
        <v>4623</v>
      </c>
      <c r="H491" s="347">
        <f>ROUND($F$491*VLOOKUP($D$491,ALLOCTABLE_DISTR_DEMAND,$H$10,FALSE),0)</f>
        <v>2089</v>
      </c>
      <c r="I491" s="347">
        <f>ROUND(F491*VLOOKUP(D491,ALLOCTABLE_DISTR_DEMAND,$I$10,FALSE),0)</f>
        <v>692</v>
      </c>
      <c r="J491" s="347">
        <f>ROUND(F491*VLOOKUP(D491,ALLOCTABLE_DISTR_DEMAND,$J$10,FALSE),0)</f>
        <v>170</v>
      </c>
      <c r="K491" s="347">
        <f>SUM($G$491:$J$491)</f>
        <v>7574</v>
      </c>
      <c r="L491" s="347">
        <f>F491-$K$491</f>
        <v>0</v>
      </c>
    </row>
    <row r="492" spans="1:12">
      <c r="A492" s="333">
        <v>16</v>
      </c>
      <c r="C492" s="359" t="str">
        <f>'FR-16(7)(v)-1 Functional'!C492</f>
        <v>RESERVED FOR FUTURE USE</v>
      </c>
      <c r="D492" s="344" t="str">
        <f>'FR-16(7)(v)-1 Functional'!D492</f>
        <v>AG39</v>
      </c>
      <c r="E492" s="196"/>
      <c r="F492" s="479">
        <f>'FR-16(7)(v)-4 DISTR Classified'!G492</f>
        <v>0</v>
      </c>
      <c r="G492" s="349">
        <f>F492-SUM(H492:J492)</f>
        <v>0</v>
      </c>
      <c r="H492" s="347">
        <f>ROUND($F$492*VLOOKUP($D$492,ALLOCTABLE_DISTR_DEMAND,$H$10,FALSE),0)</f>
        <v>0</v>
      </c>
      <c r="I492" s="347">
        <f>ROUND(F492*VLOOKUP(D492,ALLOCTABLE_DISTR_DEMAND,$I$10,FALSE),0)</f>
        <v>0</v>
      </c>
      <c r="J492" s="347">
        <f>ROUND(F492*VLOOKUP(D492,ALLOCTABLE_DISTR_DEMAND,$J$10,FALSE),0)</f>
        <v>0</v>
      </c>
      <c r="K492" s="347">
        <f>SUM($G$492:$J$492)</f>
        <v>0</v>
      </c>
      <c r="L492" s="347">
        <f>F492-$K$492</f>
        <v>0</v>
      </c>
    </row>
    <row r="493" spans="1:12">
      <c r="A493" s="333">
        <v>17</v>
      </c>
      <c r="C493" s="332" t="str">
        <f>'FR-16(7)(v)-1 Functional'!C493</f>
        <v xml:space="preserve">  TOTAL MISCELLANEOUS EXPENSES</v>
      </c>
      <c r="D493" s="344"/>
      <c r="E493" s="196"/>
      <c r="F493" s="480">
        <f>SUM(F491:F492)</f>
        <v>7574</v>
      </c>
      <c r="G493" s="348">
        <f>SUM($G$491:$G$492)</f>
        <v>4623</v>
      </c>
      <c r="H493" s="348">
        <f>SUM($H$491:$H$492)</f>
        <v>2089</v>
      </c>
      <c r="I493" s="348">
        <f>SUM($I$491:$I$492)</f>
        <v>692</v>
      </c>
      <c r="J493" s="348">
        <f>SUM($J$491:$J$492)</f>
        <v>170</v>
      </c>
      <c r="K493" s="348">
        <f>SUM($K$491:$K$492)</f>
        <v>7574</v>
      </c>
      <c r="L493" s="348">
        <f>SUM($L$491:$L$492)</f>
        <v>0</v>
      </c>
    </row>
    <row r="494" spans="1:12">
      <c r="A494" s="333">
        <v>18</v>
      </c>
      <c r="D494" s="344"/>
      <c r="E494" s="196"/>
      <c r="I494" s="332"/>
    </row>
    <row r="495" spans="1:12">
      <c r="A495" s="333">
        <v>19</v>
      </c>
      <c r="B495" s="332" t="s">
        <v>67</v>
      </c>
      <c r="D495" s="344"/>
      <c r="E495" s="196" t="s">
        <v>343</v>
      </c>
      <c r="F495" s="347">
        <f>F488+F481+F493</f>
        <v>2102200</v>
      </c>
      <c r="G495" s="347">
        <f>$G$488+$G$481+$G$493</f>
        <v>1190888</v>
      </c>
      <c r="H495" s="347">
        <f>$H$488+$H$481+$H$493</f>
        <v>627471</v>
      </c>
      <c r="I495" s="347">
        <f>$I$488+$I$481+$I$493</f>
        <v>221906</v>
      </c>
      <c r="J495" s="347">
        <f>$J$488+$J$481+$J$493</f>
        <v>61935</v>
      </c>
      <c r="K495" s="347">
        <f>$K$488+$K$481+$K$493</f>
        <v>2102200</v>
      </c>
      <c r="L495" s="347">
        <f>$L$488+$L$481+$L$493</f>
        <v>0</v>
      </c>
    </row>
    <row r="496" spans="1:12">
      <c r="A496" s="333">
        <v>20</v>
      </c>
      <c r="D496" s="344"/>
      <c r="E496" s="196"/>
      <c r="I496" s="332"/>
    </row>
    <row r="497" spans="1:12">
      <c r="A497" s="333">
        <v>21</v>
      </c>
      <c r="B497" s="332" t="s">
        <v>40</v>
      </c>
      <c r="D497" s="344"/>
      <c r="E497" s="196"/>
      <c r="I497" s="332"/>
    </row>
    <row r="498" spans="1:12">
      <c r="A498" s="333">
        <v>22</v>
      </c>
      <c r="C498" s="332" t="str">
        <f>'FR-16(7)(v)-1 Functional'!C498</f>
        <v>TOTAL O&amp;M EXPENSE</v>
      </c>
      <c r="D498" s="344"/>
      <c r="E498" s="196"/>
      <c r="F498" s="347">
        <f t="shared" ref="F498:L498" si="158">F433</f>
        <v>10068183</v>
      </c>
      <c r="G498" s="347">
        <f>G433</f>
        <v>6145478</v>
      </c>
      <c r="H498" s="347">
        <f t="shared" si="158"/>
        <v>2776499</v>
      </c>
      <c r="I498" s="347">
        <f t="shared" si="158"/>
        <v>920064</v>
      </c>
      <c r="J498" s="347">
        <f t="shared" si="158"/>
        <v>226142</v>
      </c>
      <c r="K498" s="347">
        <f t="shared" si="158"/>
        <v>10068183</v>
      </c>
      <c r="L498" s="347">
        <f t="shared" si="158"/>
        <v>0</v>
      </c>
    </row>
    <row r="499" spans="1:12">
      <c r="A499" s="333">
        <v>23</v>
      </c>
      <c r="C499" s="332" t="str">
        <f>'FR-16(7)(v)-1 Functional'!C499</f>
        <v>TOTAL DEPRECIATION EXPENSE</v>
      </c>
      <c r="D499" s="344"/>
      <c r="E499" s="196"/>
      <c r="F499" s="347">
        <f t="shared" ref="F499:L499" si="159">F465</f>
        <v>7510696</v>
      </c>
      <c r="G499" s="347">
        <f>G465</f>
        <v>4239883</v>
      </c>
      <c r="H499" s="347">
        <f t="shared" si="159"/>
        <v>2249553</v>
      </c>
      <c r="I499" s="347">
        <f t="shared" si="159"/>
        <v>797623</v>
      </c>
      <c r="J499" s="347">
        <f t="shared" si="159"/>
        <v>223637</v>
      </c>
      <c r="K499" s="347">
        <f t="shared" si="159"/>
        <v>7510696</v>
      </c>
      <c r="L499" s="347">
        <f t="shared" si="159"/>
        <v>0</v>
      </c>
    </row>
    <row r="500" spans="1:12">
      <c r="A500" s="333">
        <v>24</v>
      </c>
      <c r="C500" s="359" t="str">
        <f>'FR-16(7)(v)-1 Functional'!C500</f>
        <v>TOTAL OTHER TAX &amp; MISC EXPENSE</v>
      </c>
      <c r="D500" s="344"/>
      <c r="E500" s="196"/>
      <c r="F500" s="347">
        <f>F495</f>
        <v>2102200</v>
      </c>
      <c r="G500" s="347">
        <f>$G$495</f>
        <v>1190888</v>
      </c>
      <c r="H500" s="347">
        <f>$H$495</f>
        <v>627471</v>
      </c>
      <c r="I500" s="347">
        <f>$I$495</f>
        <v>221906</v>
      </c>
      <c r="J500" s="347">
        <f>$J$495</f>
        <v>61935</v>
      </c>
      <c r="K500" s="347">
        <f>$K$495</f>
        <v>2102200</v>
      </c>
      <c r="L500" s="347">
        <f>$L$495</f>
        <v>0</v>
      </c>
    </row>
    <row r="501" spans="1:12">
      <c r="A501" s="333">
        <v>25</v>
      </c>
      <c r="C501" s="332" t="str">
        <f>'FR-16(7)(v)-1 Functional'!C501</f>
        <v xml:space="preserve">  TOTAL OPER EXP EXCL INCOME &amp; REV TAX</v>
      </c>
      <c r="D501" s="344"/>
      <c r="E501" s="196"/>
      <c r="F501" s="348">
        <f>SUM(F498:F500)</f>
        <v>19681079</v>
      </c>
      <c r="G501" s="348">
        <f>SUM($G$498:$G$500)</f>
        <v>11576249</v>
      </c>
      <c r="H501" s="348">
        <f>SUM($H$498:$H$500)</f>
        <v>5653523</v>
      </c>
      <c r="I501" s="348">
        <f>SUM($I$498:$I$500)</f>
        <v>1939593</v>
      </c>
      <c r="J501" s="348">
        <f>SUM($J$498:$J$500)</f>
        <v>511714</v>
      </c>
      <c r="K501" s="348">
        <f>SUM($K$498:$K$500)</f>
        <v>19681079</v>
      </c>
      <c r="L501" s="348">
        <f>SUM($L$498:$L$500)</f>
        <v>0</v>
      </c>
    </row>
    <row r="502" spans="1:12">
      <c r="B502" s="343"/>
      <c r="C502" s="196"/>
      <c r="D502" s="344"/>
      <c r="E502" s="196"/>
      <c r="G502" s="196"/>
      <c r="H502" s="196"/>
      <c r="I502" s="196"/>
      <c r="J502" s="344"/>
      <c r="K502" s="196"/>
      <c r="L502" s="196"/>
    </row>
    <row r="503" spans="1:12">
      <c r="A503" s="343" t="str">
        <f>co_name</f>
        <v>DUKE ENERGY KENTUCKY, INC.</v>
      </c>
      <c r="C503" s="196"/>
      <c r="D503" s="344"/>
      <c r="E503" s="196"/>
      <c r="F503" s="344"/>
      <c r="G503" s="342"/>
      <c r="H503" s="342"/>
      <c r="I503" s="196"/>
      <c r="K503" s="361" t="str">
        <f>$K$1</f>
        <v>FR-16(7)(v)-5</v>
      </c>
      <c r="L503" s="196"/>
    </row>
    <row r="504" spans="1:12">
      <c r="A504" s="343" t="str">
        <f>$A$2</f>
        <v>DISTRIBUTION DEMAND ALLOCATED - GAS COST OF SERVICE</v>
      </c>
      <c r="C504" s="196"/>
      <c r="D504" s="344"/>
      <c r="E504" s="196"/>
      <c r="F504" s="344"/>
      <c r="G504" s="342"/>
      <c r="H504" s="342"/>
      <c r="I504" s="196"/>
      <c r="K504" s="361" t="str">
        <f>$K$2</f>
        <v>WITNESS RESPONSIBLE:</v>
      </c>
      <c r="L504" s="196"/>
    </row>
    <row r="505" spans="1:12">
      <c r="A505" s="343" t="str">
        <f>case_name</f>
        <v>CASE NO: 2018-00261</v>
      </c>
      <c r="C505" s="196"/>
      <c r="D505" s="344"/>
      <c r="E505" s="196"/>
      <c r="F505" s="344"/>
      <c r="G505" s="342"/>
      <c r="H505" s="342"/>
      <c r="I505" s="196"/>
      <c r="K505" s="361" t="str">
        <f>Witness</f>
        <v>JAMES E. ZIOLKOWSKI</v>
      </c>
      <c r="L505" s="196"/>
    </row>
    <row r="506" spans="1:12">
      <c r="A506" s="343" t="str">
        <f>data_filing</f>
        <v>DATA: 12 MONTH FORECASTED PERIOD</v>
      </c>
      <c r="C506" s="196"/>
      <c r="D506" s="344"/>
      <c r="E506" s="196"/>
      <c r="F506" s="344"/>
      <c r="G506" s="342"/>
      <c r="H506" s="342"/>
      <c r="I506" s="196"/>
      <c r="K506" s="361" t="str">
        <f>"PAGE "&amp;Pages-6&amp;" OF "&amp;Pages</f>
        <v>PAGE 12 OF 18</v>
      </c>
      <c r="L506" s="196"/>
    </row>
    <row r="507" spans="1:12">
      <c r="A507" s="343" t="str">
        <f>type</f>
        <v xml:space="preserve">TYPE OF FILING: "X" ORIGINAL   UPDATED    REVISED  </v>
      </c>
      <c r="C507" s="196"/>
      <c r="D507" s="344"/>
      <c r="E507" s="196"/>
      <c r="F507" s="344"/>
      <c r="G507" s="342"/>
      <c r="H507" s="342"/>
      <c r="I507" s="196"/>
      <c r="J507" s="344"/>
      <c r="K507" s="196"/>
      <c r="L507" s="196"/>
    </row>
    <row r="508" spans="1:12">
      <c r="B508" s="343"/>
      <c r="C508" s="196"/>
      <c r="D508" s="344"/>
      <c r="E508" s="196"/>
      <c r="F508" s="344"/>
      <c r="G508" s="196"/>
      <c r="H508" s="196"/>
      <c r="I508" s="196"/>
      <c r="J508" s="344"/>
      <c r="K508" s="196"/>
      <c r="L508" s="196"/>
    </row>
    <row r="509" spans="1:12">
      <c r="B509" s="343"/>
      <c r="C509" s="196"/>
      <c r="D509" s="344"/>
      <c r="E509" s="196"/>
      <c r="F509" s="344" t="str">
        <f>$F$7</f>
        <v>TOTAL</v>
      </c>
      <c r="G509" s="196"/>
      <c r="H509" s="196"/>
      <c r="I509" s="196"/>
      <c r="J509" s="344"/>
      <c r="K509" s="196"/>
      <c r="L509" s="196"/>
    </row>
    <row r="510" spans="1:12">
      <c r="A510" s="344" t="s">
        <v>914</v>
      </c>
      <c r="B510" s="196"/>
      <c r="C510" s="196"/>
      <c r="D510" s="344"/>
      <c r="E510" s="196"/>
      <c r="F510" s="344" t="str">
        <f>$F$8</f>
        <v>DISTRIBUTION</v>
      </c>
      <c r="G510" s="344" t="s">
        <v>418</v>
      </c>
      <c r="H510" s="344" t="s">
        <v>864</v>
      </c>
      <c r="I510" s="344" t="s">
        <v>865</v>
      </c>
      <c r="J510" s="344" t="s">
        <v>549</v>
      </c>
      <c r="K510" s="344" t="s">
        <v>229</v>
      </c>
      <c r="L510" s="344" t="s">
        <v>342</v>
      </c>
    </row>
    <row r="511" spans="1:12">
      <c r="A511" s="346" t="s">
        <v>915</v>
      </c>
      <c r="B511" s="345" t="str">
        <f>'FR-16(7)(v)-1 Functional'!B511</f>
        <v>FEDERAL INCOME TAX BASED ON RETURN</v>
      </c>
      <c r="C511" s="345"/>
      <c r="D511" s="346" t="s">
        <v>337</v>
      </c>
      <c r="E511" s="345"/>
      <c r="F511" s="344" t="str">
        <f>$F$9</f>
        <v>DEMAND</v>
      </c>
      <c r="G511" s="346" t="s">
        <v>338</v>
      </c>
      <c r="H511" s="346" t="s">
        <v>405</v>
      </c>
      <c r="I511" s="346" t="s">
        <v>405</v>
      </c>
      <c r="J511" s="346" t="s">
        <v>550</v>
      </c>
      <c r="K511" s="346" t="s">
        <v>341</v>
      </c>
      <c r="L511" s="346" t="s">
        <v>340</v>
      </c>
    </row>
    <row r="512" spans="1:12">
      <c r="C512" s="578" t="s">
        <v>351</v>
      </c>
      <c r="D512" s="344"/>
      <c r="E512" s="196"/>
      <c r="F512" s="761"/>
      <c r="G512" s="633">
        <f>$G$10</f>
        <v>3</v>
      </c>
      <c r="H512" s="633">
        <f>$H$10</f>
        <v>4</v>
      </c>
      <c r="I512" s="633">
        <f>$I$10</f>
        <v>5</v>
      </c>
      <c r="J512" s="633">
        <f>$J$10</f>
        <v>6</v>
      </c>
    </row>
    <row r="513" spans="1:12">
      <c r="A513" s="333">
        <v>1</v>
      </c>
      <c r="B513" s="332" t="s">
        <v>69</v>
      </c>
      <c r="D513" s="344"/>
      <c r="E513" s="196"/>
      <c r="I513" s="332"/>
    </row>
    <row r="514" spans="1:12">
      <c r="A514" s="333">
        <v>2</v>
      </c>
      <c r="B514" s="332" t="s">
        <v>70</v>
      </c>
      <c r="D514" s="344"/>
      <c r="E514" s="196"/>
      <c r="F514" s="332" t="s">
        <v>343</v>
      </c>
      <c r="I514" s="332"/>
    </row>
    <row r="515" spans="1:12">
      <c r="A515" s="333">
        <v>3</v>
      </c>
      <c r="C515" s="359" t="str">
        <f>'FR-16(7)(v)-1 Functional'!C515</f>
        <v>AUTO PROC INTEREST DED</v>
      </c>
      <c r="D515" s="344" t="str">
        <f>'FR-16(7)(v)-1 Functional'!D515</f>
        <v>RB99</v>
      </c>
      <c r="E515" s="196"/>
      <c r="F515" s="479">
        <f>'FR-16(7)(v)-4 DISTR Classified'!G515</f>
        <v>3667723</v>
      </c>
      <c r="G515" s="349">
        <f>F515-SUM(H515:J515)</f>
        <v>2052604</v>
      </c>
      <c r="H515" s="347">
        <f>ROUND($F$515*VLOOKUP($D$515,ALLOCTABLE_DISTR_DEMAND,$H$10,FALSE),0)</f>
        <v>1107799</v>
      </c>
      <c r="I515" s="347">
        <f>ROUND(F515*VLOOKUP(D515,ALLOCTABLE_DISTR_DEMAND,$I$10,FALSE),0)</f>
        <v>395271</v>
      </c>
      <c r="J515" s="347">
        <f>ROUND(F515*VLOOKUP(D515,ALLOCTABLE_DISTR_DEMAND,$J$10,FALSE),0)</f>
        <v>112049</v>
      </c>
      <c r="K515" s="347">
        <f>SUM($G$515:$J$515)</f>
        <v>3667723</v>
      </c>
      <c r="L515" s="347">
        <f>F515-$K$515</f>
        <v>0</v>
      </c>
    </row>
    <row r="516" spans="1:12">
      <c r="A516" s="333">
        <v>4</v>
      </c>
      <c r="C516" s="332" t="str">
        <f>'FR-16(7)(v)-1 Functional'!C516</f>
        <v xml:space="preserve">  TOTAL INTEREST EXPENSE</v>
      </c>
      <c r="D516" s="344"/>
      <c r="E516" s="196"/>
      <c r="F516" s="348">
        <f>F515</f>
        <v>3667723</v>
      </c>
      <c r="G516" s="348">
        <f>$G$515</f>
        <v>2052604</v>
      </c>
      <c r="H516" s="348">
        <f>$H$515</f>
        <v>1107799</v>
      </c>
      <c r="I516" s="348">
        <f>$I$515</f>
        <v>395271</v>
      </c>
      <c r="J516" s="348">
        <f>$J$515</f>
        <v>112049</v>
      </c>
      <c r="K516" s="348">
        <f>$K$515</f>
        <v>3667723</v>
      </c>
      <c r="L516" s="348">
        <f>$L$515</f>
        <v>0</v>
      </c>
    </row>
    <row r="517" spans="1:12">
      <c r="A517" s="333">
        <v>5</v>
      </c>
      <c r="D517" s="344"/>
      <c r="E517" s="196"/>
      <c r="F517" s="353"/>
      <c r="I517" s="332"/>
    </row>
    <row r="518" spans="1:12">
      <c r="A518" s="333">
        <v>6</v>
      </c>
      <c r="B518" s="332" t="s">
        <v>71</v>
      </c>
      <c r="D518" s="344"/>
      <c r="E518" s="196"/>
      <c r="F518" s="353"/>
      <c r="I518" s="332"/>
    </row>
    <row r="519" spans="1:12">
      <c r="A519" s="333">
        <v>7</v>
      </c>
      <c r="C519" s="332" t="str">
        <f>'FR-16(7)(v)-1 Functional'!C519</f>
        <v>DEPREC EXCESS TAX-BOOK</v>
      </c>
      <c r="D519" s="344" t="str">
        <f>'FR-16(7)(v)-1 Functional'!D519</f>
        <v>DE49</v>
      </c>
      <c r="E519" s="196"/>
      <c r="F519" s="479">
        <f>'FR-16(7)(v)-4 DISTR Classified'!G519</f>
        <v>3322936</v>
      </c>
      <c r="G519" s="349">
        <f>F519-SUM(H519:J519)</f>
        <v>1875830</v>
      </c>
      <c r="H519" s="347">
        <f>ROUND($F$519*VLOOKUP($D$519,ALLOCTABLE_DISTR_DEMAND,$H$10,FALSE),0)</f>
        <v>995253</v>
      </c>
      <c r="I519" s="347">
        <f>ROUND(F519*VLOOKUP(D519,ALLOCTABLE_DISTR_DEMAND,$I$10,FALSE),0)</f>
        <v>352896</v>
      </c>
      <c r="J519" s="347">
        <f>ROUND(F519*VLOOKUP(D519,ALLOCTABLE_DISTR_DEMAND,$J$10,FALSE),0)</f>
        <v>98957</v>
      </c>
      <c r="K519" s="347">
        <f>SUM($G$519:$J$519)</f>
        <v>3322936</v>
      </c>
      <c r="L519" s="347">
        <f>F519-$K$519</f>
        <v>0</v>
      </c>
    </row>
    <row r="520" spans="1:12">
      <c r="A520" s="333">
        <v>8</v>
      </c>
      <c r="C520" s="332" t="str">
        <f>'FR-16(7)(v)-1 Functional'!C520</f>
        <v>PERMANENT DIFFERENCES</v>
      </c>
      <c r="D520" s="344" t="str">
        <f>'FR-16(7)(v)-1 Functional'!D520</f>
        <v>AG39</v>
      </c>
      <c r="E520" s="196"/>
      <c r="F520" s="479">
        <f>'FR-16(7)(v)-4 DISTR Classified'!G520</f>
        <v>-35796</v>
      </c>
      <c r="G520" s="349">
        <f>F520-SUM(H520:J520)</f>
        <v>-21850</v>
      </c>
      <c r="H520" s="347">
        <f>ROUND($F$520*VLOOKUP($D$520,ALLOCTABLE_DISTR_DEMAND,$H$10,FALSE),0)</f>
        <v>-9871</v>
      </c>
      <c r="I520" s="347">
        <f>ROUND(F520*VLOOKUP(D520,ALLOCTABLE_DISTR_DEMAND,$I$10,FALSE),0)</f>
        <v>-3271</v>
      </c>
      <c r="J520" s="347">
        <f>ROUND(F520*VLOOKUP(D520,ALLOCTABLE_DISTR_DEMAND,$J$10,FALSE),0)</f>
        <v>-804</v>
      </c>
      <c r="K520" s="347">
        <f>SUM($G$520:$J$520)</f>
        <v>-35796</v>
      </c>
      <c r="L520" s="347">
        <f>F520-$K$520</f>
        <v>0</v>
      </c>
    </row>
    <row r="521" spans="1:12">
      <c r="A521" s="333">
        <v>9</v>
      </c>
      <c r="C521" s="359" t="str">
        <f>'FR-16(7)(v)-1 Functional'!C521</f>
        <v>TEMPORARY DIFFERENCES</v>
      </c>
      <c r="D521" s="344" t="str">
        <f>'FR-16(7)(v)-1 Functional'!D521</f>
        <v>DE49</v>
      </c>
      <c r="E521" s="196"/>
      <c r="F521" s="479">
        <f>'FR-16(7)(v)-4 DISTR Classified'!G521</f>
        <v>120535</v>
      </c>
      <c r="G521" s="349">
        <f>F521-SUM(H521:J521)</f>
        <v>68043</v>
      </c>
      <c r="H521" s="347">
        <f>ROUND($F$521*VLOOKUP($D$521,ALLOCTABLE_DISTR_DEMAND,$H$10,FALSE),0)</f>
        <v>36101</v>
      </c>
      <c r="I521" s="347">
        <f>ROUND(F521*VLOOKUP(D521,ALLOCTABLE_DISTR_DEMAND,$I$10,FALSE),0)</f>
        <v>12801</v>
      </c>
      <c r="J521" s="347">
        <f>ROUND(F521*VLOOKUP(D521,ALLOCTABLE_DISTR_DEMAND,$J$10,FALSE),0)</f>
        <v>3590</v>
      </c>
      <c r="K521" s="347">
        <f>SUM($G$521:$J$521)</f>
        <v>120535</v>
      </c>
      <c r="L521" s="347">
        <f>F521-$K$521</f>
        <v>0</v>
      </c>
    </row>
    <row r="522" spans="1:12">
      <c r="A522" s="333">
        <v>10</v>
      </c>
      <c r="C522" s="332" t="str">
        <f>'FR-16(7)(v)-1 Functional'!C522</f>
        <v xml:space="preserve">  TOTAL OTHER DEDUCTIONS</v>
      </c>
      <c r="D522" s="344"/>
      <c r="E522" s="196"/>
      <c r="F522" s="348">
        <f>SUM(F519:F521)</f>
        <v>3407675</v>
      </c>
      <c r="G522" s="348">
        <f>SUM($G$519:$G$521)</f>
        <v>1922023</v>
      </c>
      <c r="H522" s="348">
        <f>SUM($H$519:$H$521)</f>
        <v>1021483</v>
      </c>
      <c r="I522" s="348">
        <f>SUM($I$519:$I$521)</f>
        <v>362426</v>
      </c>
      <c r="J522" s="348">
        <f>SUM($J$519:$J$521)</f>
        <v>101743</v>
      </c>
      <c r="K522" s="348">
        <f>SUM($K$519:$K$521)</f>
        <v>3407675</v>
      </c>
      <c r="L522" s="480">
        <f>SUM($L$519:$L$521)</f>
        <v>0</v>
      </c>
    </row>
    <row r="523" spans="1:12">
      <c r="A523" s="333">
        <v>11</v>
      </c>
      <c r="D523" s="344"/>
      <c r="E523" s="196"/>
      <c r="F523" s="353"/>
      <c r="I523" s="332"/>
    </row>
    <row r="524" spans="1:12">
      <c r="A524" s="333">
        <v>12</v>
      </c>
      <c r="B524" s="332" t="s">
        <v>72</v>
      </c>
      <c r="D524" s="344"/>
      <c r="E524" s="196"/>
      <c r="F524" s="349">
        <f>F522+F516</f>
        <v>7075398</v>
      </c>
      <c r="G524" s="347">
        <f>$G$522+$G$516</f>
        <v>3974627</v>
      </c>
      <c r="H524" s="347">
        <f>$H$522+$H$516</f>
        <v>2129282</v>
      </c>
      <c r="I524" s="347">
        <f>$I$522+$I$516</f>
        <v>757697</v>
      </c>
      <c r="J524" s="347">
        <f>$J$522+$J$516</f>
        <v>213792</v>
      </c>
      <c r="K524" s="347">
        <f>$K$522+$K$516</f>
        <v>7075398</v>
      </c>
      <c r="L524" s="347">
        <f>$L$522+$L$516</f>
        <v>0</v>
      </c>
    </row>
    <row r="525" spans="1:12">
      <c r="A525" s="333">
        <v>13</v>
      </c>
      <c r="D525" s="344"/>
      <c r="E525" s="196"/>
      <c r="F525" s="353"/>
      <c r="I525" s="332"/>
    </row>
    <row r="526" spans="1:12">
      <c r="A526" s="333">
        <v>14</v>
      </c>
      <c r="B526" s="340" t="s">
        <v>544</v>
      </c>
      <c r="D526" s="344"/>
      <c r="E526" s="196"/>
      <c r="F526" s="353"/>
      <c r="I526" s="332"/>
    </row>
    <row r="527" spans="1:12">
      <c r="A527" s="333">
        <v>15</v>
      </c>
      <c r="C527" s="332" t="str">
        <f>'FR-16(7)(v)-1 Functional'!C527</f>
        <v>DEFERRED INCOME TAXES - NET</v>
      </c>
      <c r="D527" s="344" t="str">
        <f>'FR-16(7)(v)-1 Functional'!D527</f>
        <v>OM39</v>
      </c>
      <c r="E527" s="196"/>
      <c r="F527" s="479">
        <f>'FR-16(7)(v)-4 DISTR Classified'!G527</f>
        <v>212646</v>
      </c>
      <c r="G527" s="349">
        <f>F527-SUM(H527:J527)</f>
        <v>129797</v>
      </c>
      <c r="H527" s="347">
        <f>ROUND($F$527*VLOOKUP($D$527,ALLOCTABLE_DISTR_DEMAND,$H$10,FALSE),0)</f>
        <v>58641</v>
      </c>
      <c r="I527" s="347">
        <f>ROUND(F527*VLOOKUP(D527,ALLOCTABLE_DISTR_DEMAND,$I$10,FALSE),0)</f>
        <v>19432</v>
      </c>
      <c r="J527" s="347">
        <f>ROUND(F527*VLOOKUP(D527,ALLOCTABLE_DISTR_DEMAND,$J$10,FALSE),0)</f>
        <v>4776</v>
      </c>
      <c r="K527" s="347">
        <f>SUM($G$527:$J$527)</f>
        <v>212646</v>
      </c>
      <c r="L527" s="347">
        <f>F527-$K$527</f>
        <v>0</v>
      </c>
    </row>
    <row r="528" spans="1:12">
      <c r="A528" s="333">
        <v>16</v>
      </c>
      <c r="C528" s="332" t="str">
        <f>'FR-16(7)(v)-1 Functional'!C528</f>
        <v>AMORT OF DEFERRED MERGER COST</v>
      </c>
      <c r="D528" s="344" t="str">
        <f>'FR-16(7)(v)-1 Functional'!D528</f>
        <v>AG39</v>
      </c>
      <c r="E528" s="196"/>
      <c r="F528" s="479">
        <f>'FR-16(7)(v)-4 DISTR Classified'!G528</f>
        <v>0</v>
      </c>
      <c r="G528" s="349">
        <f>F528-SUM(H528:J528)</f>
        <v>0</v>
      </c>
      <c r="H528" s="347">
        <f>ROUND($F$528*VLOOKUP($D$528,ALLOCTABLE_DISTR_DEMAND,$H$10,FALSE),0)</f>
        <v>0</v>
      </c>
      <c r="I528" s="347">
        <f>ROUND(F528*VLOOKUP(D528,ALLOCTABLE_DISTR_DEMAND,$I$10,FALSE),0)</f>
        <v>0</v>
      </c>
      <c r="J528" s="347">
        <f>ROUND(F528*VLOOKUP(D528,ALLOCTABLE_DISTR_DEMAND,$J$10,FALSE),0)</f>
        <v>0</v>
      </c>
      <c r="K528" s="347">
        <f>SUM($G$528:$J$528)</f>
        <v>0</v>
      </c>
      <c r="L528" s="347">
        <f>F528-$K$528</f>
        <v>0</v>
      </c>
    </row>
    <row r="529" spans="1:12">
      <c r="A529" s="333">
        <v>17</v>
      </c>
      <c r="C529" s="618" t="str">
        <f>'FR-16(7)(v)-1 Functional'!C529</f>
        <v>DIT ADJUSTMENT - S/L DEPRECIATION</v>
      </c>
      <c r="D529" s="344" t="str">
        <f>'FR-16(7)(v)-1 Functional'!D529</f>
        <v>DE49</v>
      </c>
      <c r="E529" s="196"/>
      <c r="F529" s="479">
        <f>'FR-16(7)(v)-4 DISTR Classified'!G529</f>
        <v>0</v>
      </c>
      <c r="G529" s="349">
        <f>F529-SUM(H529:J529)</f>
        <v>0</v>
      </c>
      <c r="H529" s="347">
        <f>ROUND($F$529*VLOOKUP($D$529,ALLOCTABLE_DISTR_DEMAND,$H$10,FALSE),0)</f>
        <v>0</v>
      </c>
      <c r="I529" s="347">
        <f>ROUND(F529*VLOOKUP(D529,ALLOCTABLE_DISTR_DEMAND,$I$10,FALSE),0)</f>
        <v>0</v>
      </c>
      <c r="J529" s="347">
        <f>ROUND(F529*VLOOKUP(D529,ALLOCTABLE_DISTR_DEMAND,$J$10,FALSE),0)</f>
        <v>0</v>
      </c>
      <c r="K529" s="347">
        <f>SUM($G$529:$J$529)</f>
        <v>0</v>
      </c>
      <c r="L529" s="347">
        <f>F529-$K$529</f>
        <v>0</v>
      </c>
    </row>
    <row r="530" spans="1:12">
      <c r="A530" s="333">
        <v>18</v>
      </c>
      <c r="C530" s="332" t="str">
        <f>'FR-16(7)(v)-1 Functional'!C530</f>
        <v>DIT ADJUSTMENT - ARAM</v>
      </c>
      <c r="D530" s="344" t="str">
        <f>'FR-16(7)(v)-1 Functional'!D530</f>
        <v>K201</v>
      </c>
      <c r="E530" s="196"/>
      <c r="F530" s="479">
        <f>'FR-16(7)(v)-4 DISTR Classified'!G530</f>
        <v>0</v>
      </c>
      <c r="G530" s="349">
        <f>F530-SUM(H530:J530)</f>
        <v>0</v>
      </c>
      <c r="H530" s="347">
        <f>ROUND($F$530*VLOOKUP($D$530,ALLOCTABLE_DISTR_DEMAND,$H$10,FALSE),0)</f>
        <v>0</v>
      </c>
      <c r="I530" s="347">
        <f>ROUND(F530*VLOOKUP(D530,ALLOCTABLE_DISTR_DEMAND,$I$10,FALSE),0)</f>
        <v>0</v>
      </c>
      <c r="J530" s="347">
        <f>ROUND(F530*VLOOKUP(D530,ALLOCTABLE_DISTR_DEMAND,$J$10,FALSE),0)</f>
        <v>0</v>
      </c>
      <c r="K530" s="347">
        <f>SUM($G$530:$J$530)</f>
        <v>0</v>
      </c>
      <c r="L530" s="347">
        <f>F530-$K$530</f>
        <v>0</v>
      </c>
    </row>
    <row r="531" spans="1:12">
      <c r="A531" s="333">
        <v>19</v>
      </c>
      <c r="C531" s="359" t="s">
        <v>1495</v>
      </c>
      <c r="D531" s="344" t="str">
        <f>'FR-16(7)(v)-1 Functional'!D531</f>
        <v>AG39</v>
      </c>
      <c r="E531" s="196"/>
      <c r="F531" s="479">
        <f>'FR-16(7)(v)-4 DISTR Classified'!G531</f>
        <v>-210483</v>
      </c>
      <c r="G531" s="349">
        <f>F531-SUM(H531:J531)</f>
        <v>-128477</v>
      </c>
      <c r="H531" s="347">
        <f>ROUND($F$531*VLOOKUP($D$531,ALLOCTABLE_DISTR_DEMAND,$H$10,FALSE),0)</f>
        <v>-58045</v>
      </c>
      <c r="I531" s="347">
        <f>ROUND(F531*VLOOKUP(D531,ALLOCTABLE_DISTR_DEMAND,$I$10,FALSE),0)</f>
        <v>-19234</v>
      </c>
      <c r="J531" s="347">
        <f>ROUND(F531*VLOOKUP(D531,ALLOCTABLE_DISTR_DEMAND,$J$10,FALSE),0)</f>
        <v>-4727</v>
      </c>
      <c r="K531" s="347">
        <f>SUM($G$531:$J$531)</f>
        <v>-210483</v>
      </c>
      <c r="L531" s="347">
        <f>F531-$K$531</f>
        <v>0</v>
      </c>
    </row>
    <row r="532" spans="1:12">
      <c r="A532" s="333">
        <v>20</v>
      </c>
      <c r="C532" s="332" t="str">
        <f>'FR-16(7)(v)-1 Functional'!C532</f>
        <v xml:space="preserve">  TOTAL FED DEF IT (410 &amp; 411)</v>
      </c>
      <c r="D532" s="344"/>
      <c r="E532" s="196"/>
      <c r="F532" s="348">
        <f>SUM(F527:F531)</f>
        <v>2163</v>
      </c>
      <c r="G532" s="348">
        <f>SUM($G$527:$G$531)</f>
        <v>1320</v>
      </c>
      <c r="H532" s="348">
        <f>SUM($H$527:$H$531)</f>
        <v>596</v>
      </c>
      <c r="I532" s="348">
        <f>SUM($I$527:$I$531)</f>
        <v>198</v>
      </c>
      <c r="J532" s="348">
        <f>SUM($J$527:$J$531)</f>
        <v>49</v>
      </c>
      <c r="K532" s="348">
        <f>SUM($K$527:$K$531)</f>
        <v>2163</v>
      </c>
      <c r="L532" s="480">
        <f>SUM($L$527:$L$531)</f>
        <v>0</v>
      </c>
    </row>
    <row r="533" spans="1:12">
      <c r="A533" s="333">
        <v>21</v>
      </c>
      <c r="D533" s="344"/>
      <c r="E533" s="196"/>
      <c r="F533" s="353"/>
      <c r="I533" s="332"/>
    </row>
    <row r="534" spans="1:12">
      <c r="A534" s="333">
        <v>22</v>
      </c>
      <c r="B534" s="332" t="s">
        <v>419</v>
      </c>
      <c r="D534" s="344"/>
      <c r="E534" s="196"/>
      <c r="F534" s="353"/>
      <c r="I534" s="332"/>
    </row>
    <row r="535" spans="1:12">
      <c r="A535" s="333">
        <v>23</v>
      </c>
      <c r="C535" s="359" t="str">
        <f>'FR-16(7)(v)-1 Functional'!C535</f>
        <v>AMORTIZE ITC</v>
      </c>
      <c r="D535" s="344" t="str">
        <f>'FR-16(7)(v)-1 Functional'!D535</f>
        <v>NP29</v>
      </c>
      <c r="E535" s="196"/>
      <c r="F535" s="479">
        <f>'FR-16(7)(v)-4 DISTR Classified'!G535</f>
        <v>35866</v>
      </c>
      <c r="G535" s="512">
        <f>ROUND($F$535*VLOOKUP($D$535,ALLOCTABLE_DISTR_DEMAND,$G$10,FALSE),0)</f>
        <v>20094</v>
      </c>
      <c r="H535" s="512">
        <f>ROUND($F$535*VLOOKUP($D$535,ALLOCTABLE_DISTR_DEMAND,$H$10,FALSE),0)</f>
        <v>10821</v>
      </c>
      <c r="I535" s="512">
        <f>ROUND(F535*VLOOKUP(D535,ALLOCTABLE_DISTR_DEMAND,$I$10,FALSE),0)</f>
        <v>3858</v>
      </c>
      <c r="J535" s="512">
        <f>ROUND(F535*VLOOKUP(D535,ALLOCTABLE_DISTR_DEMAND,$J$10,FALSE),0)</f>
        <v>1092</v>
      </c>
      <c r="K535" s="512">
        <f>SUM($G$535:$J$535)</f>
        <v>35865</v>
      </c>
      <c r="L535" s="512">
        <f>F535-$K$535</f>
        <v>1</v>
      </c>
    </row>
    <row r="536" spans="1:12">
      <c r="A536" s="333">
        <v>24</v>
      </c>
      <c r="C536" s="332" t="str">
        <f>'FR-16(7)(v)-1 Functional'!C536</f>
        <v xml:space="preserve">  TOTAL AMORTIZED ITC</v>
      </c>
      <c r="D536" s="344"/>
      <c r="E536" s="196"/>
      <c r="F536" s="348">
        <f>SUM(F535:F535)</f>
        <v>35866</v>
      </c>
      <c r="G536" s="348">
        <f>SUM($G$535:$G$535)</f>
        <v>20094</v>
      </c>
      <c r="H536" s="348">
        <f>SUM($H$535:$H$535)</f>
        <v>10821</v>
      </c>
      <c r="I536" s="348">
        <f>SUM($I$535:$I$535)</f>
        <v>3858</v>
      </c>
      <c r="J536" s="348">
        <f>SUM($J$535:$J$535)</f>
        <v>1092</v>
      </c>
      <c r="K536" s="348">
        <f>SUM($K$535:$K$535)</f>
        <v>35865</v>
      </c>
      <c r="L536" s="348">
        <f>SUM($L$535:$L$535)</f>
        <v>1</v>
      </c>
    </row>
    <row r="537" spans="1:12">
      <c r="A537" s="333">
        <v>25</v>
      </c>
      <c r="D537" s="344"/>
      <c r="E537" s="196"/>
      <c r="F537" s="510"/>
      <c r="G537" s="510"/>
      <c r="H537" s="510"/>
      <c r="I537" s="510"/>
      <c r="J537" s="510"/>
      <c r="K537" s="510"/>
      <c r="L537" s="510"/>
    </row>
    <row r="538" spans="1:12" ht="15.75">
      <c r="A538" s="333">
        <v>26</v>
      </c>
      <c r="B538" s="332" t="s">
        <v>73</v>
      </c>
      <c r="D538" s="735"/>
      <c r="E538" s="1"/>
      <c r="F538" s="510"/>
      <c r="G538" s="510"/>
      <c r="H538" s="510"/>
      <c r="I538" s="510"/>
      <c r="J538" s="510"/>
      <c r="K538" s="510"/>
      <c r="L538" s="510"/>
    </row>
    <row r="539" spans="1:12">
      <c r="A539" s="333">
        <v>27</v>
      </c>
      <c r="C539" s="332" t="str">
        <f>'FR-16(7)(v)-1 Functional'!C539</f>
        <v>PROV INVEST TAX CREDIT</v>
      </c>
      <c r="D539" s="344" t="s">
        <v>315</v>
      </c>
      <c r="F539" s="479">
        <v>0</v>
      </c>
      <c r="G539" s="512">
        <f>ROUND($F$539*VLOOKUP($D$539,ALLOCTABLE_DISTR_DEMAND,$G$10,FALSE),0)</f>
        <v>0</v>
      </c>
      <c r="H539" s="512">
        <f>ROUND($F$539*VLOOKUP($D$539,ALLOCTABLE_DISTR_DEMAND,$H$10,FALSE),0)</f>
        <v>0</v>
      </c>
      <c r="I539" s="512">
        <f>ROUND(F539*VLOOKUP(D539,ALLOCTABLE_DISTR_DEMAND,$I$10,FALSE),0)</f>
        <v>0</v>
      </c>
      <c r="J539" s="512">
        <f>ROUND(F539*VLOOKUP(D539,ALLOCTABLE_DISTR_DEMAND,$J$10,FALSE),0)</f>
        <v>0</v>
      </c>
      <c r="K539" s="512">
        <f>SUM($G$539:$J$539)</f>
        <v>0</v>
      </c>
      <c r="L539" s="513">
        <f>F539-$K$539</f>
        <v>0</v>
      </c>
    </row>
    <row r="540" spans="1:12" ht="15.75">
      <c r="A540" s="333">
        <v>28</v>
      </c>
      <c r="C540" s="339" t="str">
        <f>'FR-16(7)(v)-1 Functional'!C540</f>
        <v xml:space="preserve">  TEST YEAR INV TAX CREDIT</v>
      </c>
      <c r="D540" s="735"/>
      <c r="E540" s="1"/>
      <c r="F540" s="348">
        <f>SUM(F539:F539)</f>
        <v>0</v>
      </c>
      <c r="G540" s="480">
        <f>SUM($G$539:$G$539)</f>
        <v>0</v>
      </c>
      <c r="H540" s="480">
        <f>SUM($H$539:$H$539)</f>
        <v>0</v>
      </c>
      <c r="I540" s="480">
        <f>SUM($I$539:$I$539)</f>
        <v>0</v>
      </c>
      <c r="J540" s="480">
        <f>SUM($J$539:$J$539)</f>
        <v>0</v>
      </c>
      <c r="K540" s="480">
        <f>SUM($K$539:$K$539)</f>
        <v>0</v>
      </c>
      <c r="L540" s="480">
        <f>SUM($L$539:$L$539)</f>
        <v>0</v>
      </c>
    </row>
    <row r="541" spans="1:12" ht="15.75">
      <c r="A541" s="333">
        <v>29</v>
      </c>
      <c r="B541" s="193"/>
      <c r="C541" s="193"/>
      <c r="D541" s="735"/>
      <c r="E541" s="1"/>
      <c r="F541" s="510"/>
      <c r="G541" s="510"/>
      <c r="H541" s="510"/>
      <c r="I541" s="510"/>
      <c r="J541" s="510"/>
      <c r="K541" s="510"/>
      <c r="L541" s="510"/>
    </row>
    <row r="542" spans="1:12" ht="15.75">
      <c r="A542" s="333">
        <v>30</v>
      </c>
      <c r="B542" s="332" t="s">
        <v>40</v>
      </c>
      <c r="C542" s="193"/>
      <c r="D542" s="735"/>
      <c r="E542" s="1"/>
      <c r="F542" s="510"/>
      <c r="G542" s="510"/>
      <c r="H542" s="510"/>
      <c r="I542" s="510"/>
      <c r="J542" s="510"/>
      <c r="K542" s="510"/>
      <c r="L542" s="510"/>
    </row>
    <row r="543" spans="1:12">
      <c r="A543" s="333">
        <v>31</v>
      </c>
      <c r="C543" s="332" t="str">
        <f>'FR-16(7)(v)-1 Functional'!C543</f>
        <v>TOTAL FED DEF IT (410 &amp; 411)</v>
      </c>
      <c r="D543" s="344"/>
      <c r="E543" s="196"/>
      <c r="F543" s="349">
        <f>F532</f>
        <v>2163</v>
      </c>
      <c r="G543" s="347">
        <f>$G$532</f>
        <v>1320</v>
      </c>
      <c r="H543" s="347">
        <f>$H$532</f>
        <v>596</v>
      </c>
      <c r="I543" s="347">
        <f>$I$532</f>
        <v>198</v>
      </c>
      <c r="J543" s="347">
        <f>$J$532</f>
        <v>49</v>
      </c>
      <c r="K543" s="347">
        <f>$K$532</f>
        <v>2163</v>
      </c>
      <c r="L543" s="347">
        <f>$L$532</f>
        <v>0</v>
      </c>
    </row>
    <row r="544" spans="1:12">
      <c r="A544" s="333">
        <v>32</v>
      </c>
      <c r="C544" s="359" t="str">
        <f>'FR-16(7)(v)-1 Functional'!C544</f>
        <v>TOTAL AMORTIZED ITC</v>
      </c>
      <c r="D544" s="344"/>
      <c r="E544" s="196"/>
      <c r="F544" s="349">
        <f>-F536</f>
        <v>-35866</v>
      </c>
      <c r="G544" s="347">
        <f>-$G$536</f>
        <v>-20094</v>
      </c>
      <c r="H544" s="347">
        <f>-$H$536</f>
        <v>-10821</v>
      </c>
      <c r="I544" s="347">
        <f>-$I$536</f>
        <v>-3858</v>
      </c>
      <c r="J544" s="347">
        <f>-$J$536</f>
        <v>-1092</v>
      </c>
      <c r="K544" s="347">
        <f>-$K$536</f>
        <v>-35865</v>
      </c>
      <c r="L544" s="347">
        <f>-$L$536</f>
        <v>-1</v>
      </c>
    </row>
    <row r="545" spans="1:12">
      <c r="A545" s="333">
        <v>33</v>
      </c>
      <c r="C545" s="332" t="str">
        <f>'FR-16(7)(v)-1 Functional'!C545</f>
        <v xml:space="preserve">  TOTAL FEDERAL TAX ADJUSTMENTS</v>
      </c>
      <c r="D545" s="344"/>
      <c r="E545" s="196"/>
      <c r="F545" s="348">
        <f>SUM(F543:F544)</f>
        <v>-33703</v>
      </c>
      <c r="G545" s="348">
        <f>SUM($G$543:$G$544)</f>
        <v>-18774</v>
      </c>
      <c r="H545" s="348">
        <f>SUM($H$543:$H$544)</f>
        <v>-10225</v>
      </c>
      <c r="I545" s="348">
        <f>SUM($I$543:$I$544)</f>
        <v>-3660</v>
      </c>
      <c r="J545" s="348">
        <f>SUM($J$543:$J$544)</f>
        <v>-1043</v>
      </c>
      <c r="K545" s="348">
        <f>SUM($K$543:$K$544)</f>
        <v>-33702</v>
      </c>
      <c r="L545" s="348">
        <f>SUM($L$543:$L$544)</f>
        <v>-1</v>
      </c>
    </row>
    <row r="546" spans="1:12">
      <c r="A546" s="333">
        <v>34</v>
      </c>
      <c r="D546" s="344"/>
      <c r="E546" s="196"/>
      <c r="F546" s="353"/>
      <c r="I546" s="332"/>
    </row>
    <row r="547" spans="1:12">
      <c r="A547" s="333">
        <v>35</v>
      </c>
      <c r="B547" s="332" t="s">
        <v>74</v>
      </c>
      <c r="D547" s="344"/>
      <c r="E547" s="196"/>
      <c r="F547" s="353"/>
      <c r="I547" s="332"/>
    </row>
    <row r="548" spans="1:12">
      <c r="A548" s="333">
        <v>36</v>
      </c>
      <c r="C548" s="332" t="str">
        <f>'FR-16(7)(v)-1 Functional'!C548</f>
        <v>RETURN ON RATE BASE</v>
      </c>
      <c r="D548" s="344"/>
      <c r="E548" s="196"/>
      <c r="F548" s="349">
        <f t="shared" ref="F548:L548" si="160">F334</f>
        <v>12218452</v>
      </c>
      <c r="G548" s="347">
        <f>G334</f>
        <v>6837950</v>
      </c>
      <c r="H548" s="347">
        <f t="shared" si="160"/>
        <v>3690419</v>
      </c>
      <c r="I548" s="347">
        <f t="shared" si="160"/>
        <v>1316796</v>
      </c>
      <c r="J548" s="347">
        <f t="shared" si="160"/>
        <v>373287</v>
      </c>
      <c r="K548" s="347">
        <f t="shared" si="160"/>
        <v>12218452</v>
      </c>
      <c r="L548" s="347">
        <f t="shared" si="160"/>
        <v>0</v>
      </c>
    </row>
    <row r="549" spans="1:12">
      <c r="A549" s="333">
        <v>37</v>
      </c>
      <c r="C549" s="332" t="str">
        <f>'FR-16(7)(v)-1 Functional'!C549</f>
        <v>NET DEDUCTIONS AND ADDITIONS</v>
      </c>
      <c r="D549" s="344"/>
      <c r="E549" s="196"/>
      <c r="F549" s="349">
        <f>-F524</f>
        <v>-7075398</v>
      </c>
      <c r="G549" s="347">
        <f>-$G$524</f>
        <v>-3974627</v>
      </c>
      <c r="H549" s="347">
        <f>-$H$524</f>
        <v>-2129282</v>
      </c>
      <c r="I549" s="347">
        <f>-$I$524</f>
        <v>-757697</v>
      </c>
      <c r="J549" s="347">
        <f>-$J$524</f>
        <v>-213792</v>
      </c>
      <c r="K549" s="347">
        <f>-$K$524</f>
        <v>-7075398</v>
      </c>
      <c r="L549" s="347">
        <f>-$L$524</f>
        <v>0</v>
      </c>
    </row>
    <row r="550" spans="1:12">
      <c r="A550" s="333">
        <v>38</v>
      </c>
      <c r="C550" s="332" t="s">
        <v>1496</v>
      </c>
      <c r="D550" s="344"/>
      <c r="E550" s="196"/>
      <c r="F550" s="349">
        <f>F591</f>
        <v>244855</v>
      </c>
      <c r="G550" s="349">
        <f t="shared" ref="G550:L550" si="161">G591</f>
        <v>137177</v>
      </c>
      <c r="H550" s="349">
        <f t="shared" si="161"/>
        <v>73878</v>
      </c>
      <c r="I550" s="349">
        <f t="shared" si="161"/>
        <v>26342</v>
      </c>
      <c r="J550" s="349">
        <f t="shared" si="161"/>
        <v>7458</v>
      </c>
      <c r="K550" s="349">
        <f t="shared" si="161"/>
        <v>244855</v>
      </c>
      <c r="L550" s="349">
        <f t="shared" si="161"/>
        <v>0</v>
      </c>
    </row>
    <row r="551" spans="1:12">
      <c r="A551" s="333">
        <v>39</v>
      </c>
      <c r="C551" s="359" t="str">
        <f>'FR-16(7)(v)-1 Functional'!C551</f>
        <v>TOTAL FEDERAL TAX ADJUSTMENTS</v>
      </c>
      <c r="D551" s="344"/>
      <c r="E551" s="196"/>
      <c r="F551" s="349">
        <f>F545</f>
        <v>-33703</v>
      </c>
      <c r="G551" s="347">
        <f>$G$545</f>
        <v>-18774</v>
      </c>
      <c r="H551" s="347">
        <f>$H$545</f>
        <v>-10225</v>
      </c>
      <c r="I551" s="347">
        <f>$I$545</f>
        <v>-3660</v>
      </c>
      <c r="J551" s="347">
        <f>$J$545</f>
        <v>-1043</v>
      </c>
      <c r="K551" s="347">
        <f>$K$545</f>
        <v>-33702</v>
      </c>
      <c r="L551" s="347">
        <f>$L$545</f>
        <v>-1</v>
      </c>
    </row>
    <row r="552" spans="1:12">
      <c r="A552" s="333">
        <v>40</v>
      </c>
      <c r="C552" s="332" t="str">
        <f>'FR-16(7)(v)-1 Functional'!C552</f>
        <v xml:space="preserve">  BASE FOR FIT COMPUATION</v>
      </c>
      <c r="D552" s="344"/>
      <c r="E552" s="196"/>
      <c r="F552" s="348">
        <f>SUM(F548:F551)</f>
        <v>5354206</v>
      </c>
      <c r="G552" s="348">
        <f>SUM($G$548:$G$551)</f>
        <v>2981726</v>
      </c>
      <c r="H552" s="348">
        <f>SUM($H$548:$H$551)</f>
        <v>1624790</v>
      </c>
      <c r="I552" s="348">
        <f>SUM($I$548:$I$551)</f>
        <v>581781</v>
      </c>
      <c r="J552" s="348">
        <f>SUM($J$548:$J$551)</f>
        <v>165910</v>
      </c>
      <c r="K552" s="348">
        <f>SUM($K$548:$K$551)</f>
        <v>5354207</v>
      </c>
      <c r="L552" s="348">
        <f>SUM($L$548:$L$551)</f>
        <v>-1</v>
      </c>
    </row>
    <row r="553" spans="1:12">
      <c r="A553" s="333">
        <v>41</v>
      </c>
      <c r="D553" s="344"/>
      <c r="E553" s="196"/>
      <c r="F553" s="353"/>
      <c r="I553" s="332"/>
    </row>
    <row r="554" spans="1:12">
      <c r="A554" s="333">
        <v>42</v>
      </c>
      <c r="C554" s="332" t="str">
        <f>'FR-16(7)(v)-1 Functional'!C554</f>
        <v>FIT FACTOR K190/(1-K190)</v>
      </c>
      <c r="D554" s="344"/>
      <c r="E554" s="196"/>
      <c r="F554" s="356">
        <f>ROUND(F692/(1-F692),9)</f>
        <v>0.26582278500000001</v>
      </c>
      <c r="G554" s="350">
        <f>ROUND(G692/(1-G692),9)</f>
        <v>0.26582278500000001</v>
      </c>
      <c r="H554" s="350">
        <f>ROUND(H692/(1-H692),9)</f>
        <v>0.26582278500000001</v>
      </c>
      <c r="I554" s="350">
        <f>ROUND(I692/(1-I692),9)</f>
        <v>0.26582278500000001</v>
      </c>
      <c r="J554" s="350">
        <f>ROUND(J692/(1-J692),9)</f>
        <v>0.26582278500000001</v>
      </c>
      <c r="K554" s="350"/>
      <c r="L554" s="350">
        <f>ROUND(K692/(1-K692),9)</f>
        <v>0.26582278500000001</v>
      </c>
    </row>
    <row r="555" spans="1:12">
      <c r="A555" s="333">
        <v>43</v>
      </c>
      <c r="C555" s="332" t="str">
        <f>'FR-16(7)(v)-1 Functional'!C555</f>
        <v>PRELIM FED INCOME TAX</v>
      </c>
      <c r="D555" s="344"/>
      <c r="E555" s="196"/>
      <c r="F555" s="349">
        <f>ROUND(F554*F552,0)</f>
        <v>1423270</v>
      </c>
      <c r="G555" s="347">
        <f>ROUND($G$552*$G$554,0)</f>
        <v>792611</v>
      </c>
      <c r="H555" s="347">
        <f>ROUND($H$552*$H$554,0)</f>
        <v>431906</v>
      </c>
      <c r="I555" s="347">
        <f>ROUND($I$552*$I$554,0)</f>
        <v>154651</v>
      </c>
      <c r="J555" s="347">
        <f>ROUND($J$552*$J$554,0)</f>
        <v>44103</v>
      </c>
      <c r="K555" s="347">
        <f>SUM($G$555:$J$555)</f>
        <v>1423271</v>
      </c>
      <c r="L555" s="347">
        <f>ROUND($L$552*$L$554,0)</f>
        <v>0</v>
      </c>
    </row>
    <row r="556" spans="1:12">
      <c r="A556" s="333">
        <v>44</v>
      </c>
      <c r="C556" s="359" t="str">
        <f>'FR-16(7)(v)-1 Functional'!C556</f>
        <v>TOTAL FEDERAL TAX ADJUSTMENTS</v>
      </c>
      <c r="D556" s="344"/>
      <c r="E556" s="196"/>
      <c r="F556" s="349">
        <f>F545</f>
        <v>-33703</v>
      </c>
      <c r="G556" s="347">
        <f>$G$545</f>
        <v>-18774</v>
      </c>
      <c r="H556" s="347">
        <f>$H$545</f>
        <v>-10225</v>
      </c>
      <c r="I556" s="347">
        <f>$I$545</f>
        <v>-3660</v>
      </c>
      <c r="J556" s="347">
        <f>$J$545</f>
        <v>-1043</v>
      </c>
      <c r="K556" s="347">
        <f>$K$545</f>
        <v>-33702</v>
      </c>
      <c r="L556" s="347">
        <f>$L$545</f>
        <v>-1</v>
      </c>
    </row>
    <row r="557" spans="1:12">
      <c r="A557" s="333">
        <v>45</v>
      </c>
      <c r="C557" s="353" t="str">
        <f>'FR-16(7)(v)-1 Functional'!C557</f>
        <v xml:space="preserve">  NET FED INCOME TAX ALLOWABLE</v>
      </c>
      <c r="D557" s="344"/>
      <c r="E557" s="196"/>
      <c r="F557" s="348">
        <f>SUM(F555:F556)</f>
        <v>1389567</v>
      </c>
      <c r="G557" s="348">
        <f>SUM($G$555:$G$556)</f>
        <v>773837</v>
      </c>
      <c r="H557" s="348">
        <f>SUM($H$555:$H$556)</f>
        <v>421681</v>
      </c>
      <c r="I557" s="348">
        <f>SUM($I$555:$I$556)</f>
        <v>150991</v>
      </c>
      <c r="J557" s="348">
        <f>SUM($J$555:$J$556)</f>
        <v>43060</v>
      </c>
      <c r="K557" s="348">
        <f>SUM($K$555:$K$556)</f>
        <v>1389569</v>
      </c>
      <c r="L557" s="348">
        <f>SUM($L$555:$L$556)</f>
        <v>-1</v>
      </c>
    </row>
    <row r="558" spans="1:12">
      <c r="A558" s="333">
        <v>46</v>
      </c>
      <c r="D558" s="344"/>
      <c r="E558" s="196"/>
      <c r="F558" s="353"/>
      <c r="I558" s="332"/>
    </row>
    <row r="559" spans="1:12">
      <c r="A559" s="333">
        <v>47</v>
      </c>
      <c r="B559" s="332" t="s">
        <v>68</v>
      </c>
      <c r="D559" s="344"/>
      <c r="E559" s="196"/>
      <c r="F559" s="353"/>
      <c r="I559" s="332"/>
    </row>
    <row r="560" spans="1:12">
      <c r="A560" s="333">
        <v>48</v>
      </c>
      <c r="B560" s="332" t="s">
        <v>75</v>
      </c>
      <c r="D560" s="344"/>
      <c r="E560" s="196"/>
      <c r="F560" s="353"/>
      <c r="I560" s="332"/>
    </row>
    <row r="561" spans="1:12">
      <c r="A561" s="333">
        <v>49</v>
      </c>
      <c r="C561" s="332" t="str">
        <f>'FR-16(7)(v)-1 Functional'!C561</f>
        <v>PRELIM FEDERAL INCOME TAX</v>
      </c>
      <c r="D561" s="344"/>
      <c r="E561" s="196"/>
      <c r="F561" s="349">
        <f>F555</f>
        <v>1423270</v>
      </c>
      <c r="G561" s="347">
        <f>$G$555</f>
        <v>792611</v>
      </c>
      <c r="H561" s="347">
        <f>$H$555</f>
        <v>431906</v>
      </c>
      <c r="I561" s="347">
        <f>$I$555</f>
        <v>154651</v>
      </c>
      <c r="J561" s="347">
        <f>$J$555</f>
        <v>44103</v>
      </c>
      <c r="K561" s="347">
        <f>$K$555</f>
        <v>1423271</v>
      </c>
      <c r="L561" s="347">
        <f>$L$555</f>
        <v>0</v>
      </c>
    </row>
    <row r="562" spans="1:12">
      <c r="A562" s="333">
        <v>50</v>
      </c>
      <c r="C562" s="359" t="str">
        <f>'FR-16(7)(v)-1 Functional'!C562</f>
        <v>TEST YEAR INV TAX CREDIT</v>
      </c>
      <c r="D562" s="344"/>
      <c r="E562" s="196"/>
      <c r="F562" s="347">
        <f>-F540</f>
        <v>0</v>
      </c>
      <c r="G562" s="626">
        <f>-$G$540</f>
        <v>0</v>
      </c>
      <c r="H562" s="626">
        <f>-$H$540</f>
        <v>0</v>
      </c>
      <c r="I562" s="347">
        <f>-$I$540</f>
        <v>0</v>
      </c>
      <c r="J562" s="347">
        <f>-$J$540</f>
        <v>0</v>
      </c>
      <c r="K562" s="347">
        <f>-$K$540</f>
        <v>0</v>
      </c>
      <c r="L562" s="347">
        <f>-$L$540</f>
        <v>0</v>
      </c>
    </row>
    <row r="563" spans="1:12">
      <c r="A563" s="333">
        <v>51</v>
      </c>
      <c r="C563" s="332" t="str">
        <f>'FR-16(7)(v)-1 Functional'!C563</f>
        <v xml:space="preserve">  NET FED INCOME TAX PAYABLE</v>
      </c>
      <c r="D563" s="344"/>
      <c r="E563" s="196"/>
      <c r="F563" s="348">
        <f>SUM(F560:F562)</f>
        <v>1423270</v>
      </c>
      <c r="G563" s="348">
        <f>SUM($G$560:$G$562)</f>
        <v>792611</v>
      </c>
      <c r="H563" s="348">
        <f>SUM($H$560:$H$562)</f>
        <v>431906</v>
      </c>
      <c r="I563" s="348">
        <f>SUM($I$560:$I$562)</f>
        <v>154651</v>
      </c>
      <c r="J563" s="348">
        <f>SUM($J$560:$J$562)</f>
        <v>44103</v>
      </c>
      <c r="K563" s="348">
        <f>SUM($K$560:$K$562)</f>
        <v>1423271</v>
      </c>
      <c r="L563" s="348">
        <f>SUM($L$560:$L$562)</f>
        <v>0</v>
      </c>
    </row>
    <row r="564" spans="1:12">
      <c r="A564" s="333">
        <v>52</v>
      </c>
      <c r="D564" s="344"/>
      <c r="E564" s="196"/>
      <c r="I564" s="332"/>
    </row>
    <row r="565" spans="1:12">
      <c r="A565" s="333">
        <v>53</v>
      </c>
      <c r="B565" s="332" t="s">
        <v>76</v>
      </c>
      <c r="D565" s="344"/>
      <c r="E565" s="196"/>
      <c r="F565" s="332">
        <f>ROUND((F693*(1-F692))+((1-F693)*(1-F692)*F694)+F692,5)</f>
        <v>0.24925</v>
      </c>
      <c r="G565" s="332">
        <f>ROUND((G693*(1-G692))+((1-G693)*(1-G692)*G694)+G692,5)</f>
        <v>0.24925</v>
      </c>
      <c r="H565" s="332">
        <f>ROUND((H693*(1-H692))+((1-H693)*(1-H692)*H694)+H692,5)</f>
        <v>0.24925</v>
      </c>
      <c r="I565" s="332">
        <f>ROUND((I693*(1-I692))+((1-I693)*(1-I692)*I694)+I692,7)</f>
        <v>0.24925120000000001</v>
      </c>
      <c r="J565" s="332">
        <f>ROUND((J693*(1-J692))+((1-J693)*(1-J692)*J694)+J692,5)</f>
        <v>0.24925</v>
      </c>
      <c r="L565" s="332">
        <f>ROUND((K693*(1-K692))+((1-K693)*(1-K692)*K694)+K692,5)</f>
        <v>0.24925</v>
      </c>
    </row>
    <row r="566" spans="1:12">
      <c r="B566" s="343"/>
      <c r="C566" s="196"/>
      <c r="D566" s="344"/>
      <c r="E566" s="196"/>
      <c r="G566" s="196"/>
      <c r="H566" s="196"/>
      <c r="I566" s="196"/>
      <c r="J566" s="344"/>
      <c r="K566" s="196"/>
      <c r="L566" s="196"/>
    </row>
    <row r="567" spans="1:12">
      <c r="A567" s="343" t="str">
        <f>co_name</f>
        <v>DUKE ENERGY KENTUCKY, INC.</v>
      </c>
      <c r="C567" s="196"/>
      <c r="D567" s="344"/>
      <c r="E567" s="196"/>
      <c r="F567" s="344"/>
      <c r="G567" s="342"/>
      <c r="H567" s="342"/>
      <c r="I567" s="196"/>
      <c r="K567" s="361" t="str">
        <f>$K$1</f>
        <v>FR-16(7)(v)-5</v>
      </c>
      <c r="L567" s="196"/>
    </row>
    <row r="568" spans="1:12">
      <c r="A568" s="343" t="str">
        <f>$A$2</f>
        <v>DISTRIBUTION DEMAND ALLOCATED - GAS COST OF SERVICE</v>
      </c>
      <c r="C568" s="196"/>
      <c r="D568" s="344"/>
      <c r="E568" s="196"/>
      <c r="F568" s="344"/>
      <c r="G568" s="342"/>
      <c r="H568" s="342"/>
      <c r="I568" s="196"/>
      <c r="K568" s="361" t="str">
        <f>$K$2</f>
        <v>WITNESS RESPONSIBLE:</v>
      </c>
      <c r="L568" s="196"/>
    </row>
    <row r="569" spans="1:12">
      <c r="A569" s="343" t="str">
        <f>case_name</f>
        <v>CASE NO: 2018-00261</v>
      </c>
      <c r="C569" s="196"/>
      <c r="D569" s="344"/>
      <c r="E569" s="196"/>
      <c r="F569" s="344"/>
      <c r="G569" s="342"/>
      <c r="H569" s="342"/>
      <c r="I569" s="196"/>
      <c r="K569" s="361" t="str">
        <f>Witness</f>
        <v>JAMES E. ZIOLKOWSKI</v>
      </c>
      <c r="L569" s="196"/>
    </row>
    <row r="570" spans="1:12">
      <c r="A570" s="343" t="str">
        <f>data_filing</f>
        <v>DATA: 12 MONTH FORECASTED PERIOD</v>
      </c>
      <c r="C570" s="196"/>
      <c r="D570" s="344"/>
      <c r="E570" s="196"/>
      <c r="F570" s="344"/>
      <c r="G570" s="342"/>
      <c r="H570" s="342"/>
      <c r="I570" s="196"/>
      <c r="K570" s="361" t="str">
        <f>"PAGE "&amp;Pages-5&amp;" OF "&amp;Pages</f>
        <v>PAGE 13 OF 18</v>
      </c>
      <c r="L570" s="196"/>
    </row>
    <row r="571" spans="1:12">
      <c r="A571" s="343" t="str">
        <f>type</f>
        <v xml:space="preserve">TYPE OF FILING: "X" ORIGINAL   UPDATED    REVISED  </v>
      </c>
      <c r="C571" s="196"/>
      <c r="D571" s="344"/>
      <c r="E571" s="196"/>
      <c r="F571" s="344"/>
      <c r="G571" s="342"/>
      <c r="H571" s="342"/>
      <c r="I571" s="196"/>
      <c r="J571" s="344"/>
      <c r="K571" s="196"/>
      <c r="L571" s="196"/>
    </row>
    <row r="573" spans="1:12">
      <c r="F573" s="344" t="str">
        <f>$F$7</f>
        <v>TOTAL</v>
      </c>
      <c r="G573" s="196"/>
      <c r="H573" s="196"/>
      <c r="I573" s="196"/>
      <c r="J573" s="344"/>
      <c r="K573" s="196"/>
      <c r="L573" s="196"/>
    </row>
    <row r="574" spans="1:12">
      <c r="A574" s="344" t="s">
        <v>914</v>
      </c>
      <c r="B574" s="1392"/>
      <c r="C574" s="1091"/>
      <c r="D574" s="1091"/>
      <c r="E574" s="342"/>
      <c r="F574" s="344" t="str">
        <f>$F$8</f>
        <v>DISTRIBUTION</v>
      </c>
      <c r="G574" s="344" t="s">
        <v>418</v>
      </c>
      <c r="H574" s="344" t="s">
        <v>864</v>
      </c>
      <c r="I574" s="344" t="s">
        <v>865</v>
      </c>
      <c r="J574" s="344" t="s">
        <v>549</v>
      </c>
      <c r="K574" s="344" t="s">
        <v>229</v>
      </c>
      <c r="L574" s="344" t="s">
        <v>342</v>
      </c>
    </row>
    <row r="575" spans="1:12">
      <c r="A575" s="346" t="s">
        <v>915</v>
      </c>
      <c r="B575" s="1394" t="s">
        <v>1453</v>
      </c>
      <c r="C575" s="1395"/>
      <c r="D575" s="1396" t="s">
        <v>1454</v>
      </c>
      <c r="E575" s="1397"/>
      <c r="F575" s="344" t="str">
        <f>$F$9</f>
        <v>DEMAND</v>
      </c>
      <c r="G575" s="346" t="s">
        <v>338</v>
      </c>
      <c r="H575" s="346" t="s">
        <v>405</v>
      </c>
      <c r="I575" s="346" t="s">
        <v>405</v>
      </c>
      <c r="J575" s="346" t="s">
        <v>550</v>
      </c>
      <c r="K575" s="346" t="s">
        <v>341</v>
      </c>
      <c r="L575" s="346" t="s">
        <v>340</v>
      </c>
    </row>
    <row r="576" spans="1:12" ht="15">
      <c r="A576" s="1398"/>
      <c r="B576" s="1399"/>
      <c r="C576" s="1400" t="s">
        <v>1455</v>
      </c>
      <c r="D576" s="1401"/>
      <c r="E576" s="342"/>
      <c r="F576" s="761"/>
      <c r="G576" s="633">
        <f>$G$10</f>
        <v>3</v>
      </c>
      <c r="H576" s="633">
        <f>$H$10</f>
        <v>4</v>
      </c>
      <c r="I576" s="633">
        <f>$I$10</f>
        <v>5</v>
      </c>
      <c r="J576" s="633">
        <f>$J$10</f>
        <v>6</v>
      </c>
    </row>
    <row r="577" spans="1:12">
      <c r="A577" s="968">
        <v>1</v>
      </c>
      <c r="B577" s="1405" t="s">
        <v>1456</v>
      </c>
      <c r="C577" s="1392"/>
      <c r="D577" s="1392"/>
      <c r="E577" s="342"/>
    </row>
    <row r="578" spans="1:12">
      <c r="A578" s="968">
        <v>2</v>
      </c>
      <c r="B578" s="1409" t="s">
        <v>1457</v>
      </c>
      <c r="C578" s="1392"/>
      <c r="D578" s="1410" t="s">
        <v>315</v>
      </c>
      <c r="E578" s="342"/>
      <c r="F578" s="335">
        <f>'FR-16(7)(v)-4 DISTR Classified'!G578</f>
        <v>3084628</v>
      </c>
      <c r="G578" s="349">
        <f>F578-SUM(H578:J578)</f>
        <v>1728132</v>
      </c>
      <c r="H578" s="347">
        <f>ROUND($F578*VLOOKUP($D578,ALLOCTABLE_DISTR_DEMAND,$H$10,FALSE),0)</f>
        <v>930694</v>
      </c>
      <c r="I578" s="347">
        <f>ROUND(F578*VLOOKUP(D578,ALLOCTABLE_DISTR_DEMAND,$I$10,FALSE),0)</f>
        <v>331844</v>
      </c>
      <c r="J578" s="347">
        <f>ROUND(F578*VLOOKUP(D578,ALLOCTABLE_DISTR_DEMAND,$J$10,FALSE),0)</f>
        <v>93958</v>
      </c>
      <c r="K578" s="347">
        <f>SUM(G578:J578)</f>
        <v>3084628</v>
      </c>
      <c r="L578" s="347">
        <f>F578-K578</f>
        <v>0</v>
      </c>
    </row>
    <row r="579" spans="1:12">
      <c r="A579" s="968">
        <v>3</v>
      </c>
      <c r="B579" s="1409" t="s">
        <v>1171</v>
      </c>
      <c r="C579" s="1411"/>
      <c r="D579" s="1410" t="s">
        <v>315</v>
      </c>
      <c r="E579" s="342"/>
      <c r="F579" s="1498">
        <f>'FR-16(7)(v)-4 DISTR Classified'!G579</f>
        <v>0</v>
      </c>
      <c r="G579" s="1491">
        <f>F579-SUM(H579:J579)</f>
        <v>0</v>
      </c>
      <c r="H579" s="1491">
        <f>ROUND($F579*VLOOKUP($D579,ALLOCTABLE_DISTR_DEMAND,$H$10,FALSE),0)</f>
        <v>0</v>
      </c>
      <c r="I579" s="1492">
        <f>ROUND(F579*VLOOKUP(D579,ALLOCTABLE_DISTR_DEMAND,$I$10,FALSE),0)</f>
        <v>0</v>
      </c>
      <c r="J579" s="1491">
        <f>ROUND(F579*VLOOKUP(D579,ALLOCTABLE_DISTR_DEMAND,$J$10,FALSE),0)</f>
        <v>0</v>
      </c>
      <c r="K579" s="1491">
        <f>SUM(G579:J579)</f>
        <v>0</v>
      </c>
      <c r="L579" s="1491">
        <f>F579-K579</f>
        <v>0</v>
      </c>
    </row>
    <row r="580" spans="1:12">
      <c r="A580" s="968">
        <v>4</v>
      </c>
      <c r="B580" s="1413" t="s">
        <v>1458</v>
      </c>
      <c r="C580" s="1392"/>
      <c r="D580" s="1414"/>
      <c r="E580" s="342"/>
      <c r="F580" s="335">
        <f>SUM(F578:F579)</f>
        <v>3084628</v>
      </c>
      <c r="G580" s="335">
        <f t="shared" ref="G580:L580" si="162">SUM(G578:G579)</f>
        <v>1728132</v>
      </c>
      <c r="H580" s="335">
        <f t="shared" si="162"/>
        <v>930694</v>
      </c>
      <c r="I580" s="335">
        <f t="shared" si="162"/>
        <v>331844</v>
      </c>
      <c r="J580" s="335">
        <f t="shared" si="162"/>
        <v>93958</v>
      </c>
      <c r="K580" s="335">
        <f t="shared" si="162"/>
        <v>3084628</v>
      </c>
      <c r="L580" s="335">
        <f t="shared" si="162"/>
        <v>0</v>
      </c>
    </row>
    <row r="581" spans="1:12" ht="15">
      <c r="A581" s="968">
        <v>5</v>
      </c>
      <c r="B581" s="1398"/>
      <c r="C581" s="1401"/>
      <c r="D581" s="1415"/>
      <c r="E581" s="342"/>
    </row>
    <row r="582" spans="1:12">
      <c r="A582" s="968">
        <v>6</v>
      </c>
      <c r="B582" s="1416" t="s">
        <v>1459</v>
      </c>
      <c r="C582" s="1392"/>
      <c r="D582" s="1414"/>
      <c r="E582" s="342"/>
    </row>
    <row r="583" spans="1:12">
      <c r="A583" s="968">
        <v>7</v>
      </c>
      <c r="B583" s="1417" t="s">
        <v>1460</v>
      </c>
      <c r="C583" s="1392"/>
      <c r="D583" s="1414"/>
      <c r="E583" s="342"/>
    </row>
    <row r="584" spans="1:12">
      <c r="A584" s="968">
        <v>8</v>
      </c>
      <c r="B584" s="1418" t="s">
        <v>1461</v>
      </c>
      <c r="C584" s="1411"/>
      <c r="D584" s="1410" t="s">
        <v>315</v>
      </c>
      <c r="E584" s="342"/>
      <c r="F584" s="1498">
        <f>'FR-16(7)(v)-4 DISTR Classified'!G584</f>
        <v>244855</v>
      </c>
      <c r="G584" s="1499">
        <f>F584-SUM(H584:J584)</f>
        <v>137177</v>
      </c>
      <c r="H584" s="1499">
        <f>ROUND($F584*VLOOKUP($D584,ALLOCTABLE_DISTR_DEMAND,$H$10,FALSE),0)</f>
        <v>73878</v>
      </c>
      <c r="I584" s="1500">
        <f>ROUND(F584*VLOOKUP(D584,ALLOCTABLE_DISTR_DEMAND,$I$10,FALSE),0)</f>
        <v>26342</v>
      </c>
      <c r="J584" s="1499">
        <f>ROUND(F584*VLOOKUP(D584,ALLOCTABLE_DISTR_DEMAND,$J$10,FALSE),0)</f>
        <v>7458</v>
      </c>
      <c r="K584" s="1499">
        <f>SUM(G584:J584)</f>
        <v>244855</v>
      </c>
      <c r="L584" s="1499">
        <f>F584-K584</f>
        <v>0</v>
      </c>
    </row>
    <row r="585" spans="1:12">
      <c r="A585" s="968">
        <v>9</v>
      </c>
      <c r="B585" s="1413" t="s">
        <v>1463</v>
      </c>
      <c r="C585" s="1392"/>
      <c r="D585" s="1414"/>
      <c r="E585" s="342"/>
      <c r="F585" s="335">
        <f>SUM(F584)</f>
        <v>244855</v>
      </c>
      <c r="G585" s="335">
        <f t="shared" ref="G585:L585" si="163">SUM(G584)</f>
        <v>137177</v>
      </c>
      <c r="H585" s="335">
        <f t="shared" si="163"/>
        <v>73878</v>
      </c>
      <c r="I585" s="335">
        <f t="shared" si="163"/>
        <v>26342</v>
      </c>
      <c r="J585" s="335">
        <f t="shared" si="163"/>
        <v>7458</v>
      </c>
      <c r="K585" s="335">
        <f t="shared" si="163"/>
        <v>244855</v>
      </c>
      <c r="L585" s="335">
        <f t="shared" si="163"/>
        <v>0</v>
      </c>
    </row>
    <row r="586" spans="1:12">
      <c r="A586" s="968">
        <v>10</v>
      </c>
      <c r="B586" s="1090"/>
      <c r="C586" s="1392"/>
      <c r="D586" s="1414"/>
      <c r="E586" s="342"/>
    </row>
    <row r="587" spans="1:12">
      <c r="A587" s="968">
        <v>11</v>
      </c>
      <c r="B587" s="1419" t="s">
        <v>1464</v>
      </c>
      <c r="C587" s="1420"/>
      <c r="D587" s="1421"/>
      <c r="E587" s="342"/>
    </row>
    <row r="588" spans="1:12">
      <c r="A588" s="968">
        <v>12</v>
      </c>
      <c r="B588" s="1409" t="s">
        <v>1465</v>
      </c>
      <c r="C588" s="1411"/>
      <c r="D588" s="1410" t="s">
        <v>315</v>
      </c>
      <c r="E588" s="342"/>
      <c r="F588" s="1494">
        <f>'FR-16(7)(v)-4 DISTR Classified'!G588</f>
        <v>0</v>
      </c>
      <c r="G588" s="1493">
        <f>F588-SUM(H588:J588)</f>
        <v>0</v>
      </c>
      <c r="H588" s="1493">
        <f>ROUND($F588*VLOOKUP($D588,ALLOCTABLE_DISTR_DEMAND,$H$10,FALSE),0)</f>
        <v>0</v>
      </c>
      <c r="I588" s="1494">
        <f>ROUND(F588*VLOOKUP(D588,ALLOCTABLE_DISTR_DEMAND,$I$10,FALSE),0)</f>
        <v>0</v>
      </c>
      <c r="J588" s="1494">
        <f>ROUND(F588*VLOOKUP(D588,ALLOCTABLE_DISTR_DEMAND,$J$10,FALSE),0)</f>
        <v>0</v>
      </c>
      <c r="K588" s="1494">
        <f>SUM(G588:J588)</f>
        <v>0</v>
      </c>
      <c r="L588" s="1494">
        <f>F588-K588</f>
        <v>0</v>
      </c>
    </row>
    <row r="589" spans="1:12">
      <c r="A589" s="968">
        <v>13</v>
      </c>
      <c r="B589" s="1413" t="s">
        <v>1466</v>
      </c>
      <c r="C589" s="1392"/>
      <c r="D589" s="1414"/>
      <c r="E589" s="342"/>
      <c r="F589" s="335">
        <f>SUM(F588)</f>
        <v>0</v>
      </c>
      <c r="G589" s="335">
        <f t="shared" ref="G589:L589" si="164">SUM(G588)</f>
        <v>0</v>
      </c>
      <c r="H589" s="335">
        <f t="shared" si="164"/>
        <v>0</v>
      </c>
      <c r="I589" s="335">
        <f t="shared" si="164"/>
        <v>0</v>
      </c>
      <c r="J589" s="335">
        <f t="shared" si="164"/>
        <v>0</v>
      </c>
      <c r="K589" s="335">
        <f t="shared" si="164"/>
        <v>0</v>
      </c>
      <c r="L589" s="335">
        <f t="shared" si="164"/>
        <v>0</v>
      </c>
    </row>
    <row r="590" spans="1:12">
      <c r="A590" s="968">
        <v>14</v>
      </c>
      <c r="B590" s="1392"/>
      <c r="C590" s="1392"/>
      <c r="D590" s="1414"/>
      <c r="E590" s="342"/>
    </row>
    <row r="591" spans="1:12">
      <c r="A591" s="968">
        <v>15</v>
      </c>
      <c r="B591" s="1392" t="s">
        <v>1467</v>
      </c>
      <c r="C591" s="1392"/>
      <c r="D591" s="1414"/>
      <c r="E591" s="342"/>
      <c r="F591" s="1291">
        <f>F589+F585</f>
        <v>244855</v>
      </c>
      <c r="G591" s="1291">
        <f t="shared" ref="G591:L591" si="165">G589+G585</f>
        <v>137177</v>
      </c>
      <c r="H591" s="1291">
        <f t="shared" si="165"/>
        <v>73878</v>
      </c>
      <c r="I591" s="1291">
        <f t="shared" si="165"/>
        <v>26342</v>
      </c>
      <c r="J591" s="1291">
        <f t="shared" si="165"/>
        <v>7458</v>
      </c>
      <c r="K591" s="1291">
        <f t="shared" si="165"/>
        <v>244855</v>
      </c>
      <c r="L591" s="1291">
        <f t="shared" si="165"/>
        <v>0</v>
      </c>
    </row>
    <row r="592" spans="1:12">
      <c r="A592" s="968">
        <v>16</v>
      </c>
      <c r="B592" s="1392"/>
      <c r="C592" s="1392"/>
      <c r="D592" s="1414"/>
      <c r="E592" s="342"/>
    </row>
    <row r="593" spans="1:12">
      <c r="A593" s="968">
        <v>17</v>
      </c>
      <c r="B593" s="1422" t="s">
        <v>68</v>
      </c>
      <c r="C593" s="1423"/>
      <c r="D593" s="968"/>
      <c r="E593" s="342"/>
    </row>
    <row r="594" spans="1:12">
      <c r="A594" s="968">
        <v>18</v>
      </c>
      <c r="B594" s="1417" t="s">
        <v>1468</v>
      </c>
      <c r="C594" s="1392"/>
      <c r="D594" s="1414"/>
      <c r="E594" s="342"/>
    </row>
    <row r="595" spans="1:12">
      <c r="A595" s="968">
        <v>19</v>
      </c>
      <c r="B595" s="1392" t="s">
        <v>43</v>
      </c>
      <c r="C595" s="1392"/>
      <c r="D595" s="1414"/>
      <c r="E595" s="342"/>
      <c r="F595" s="479">
        <f>F334</f>
        <v>12218452</v>
      </c>
      <c r="G595" s="479">
        <f t="shared" ref="G595:L595" si="166">G334</f>
        <v>6837950</v>
      </c>
      <c r="H595" s="479">
        <f t="shared" si="166"/>
        <v>3690419</v>
      </c>
      <c r="I595" s="479">
        <f t="shared" si="166"/>
        <v>1316796</v>
      </c>
      <c r="J595" s="479">
        <f t="shared" si="166"/>
        <v>373287</v>
      </c>
      <c r="K595" s="479">
        <f t="shared" si="166"/>
        <v>12218452</v>
      </c>
      <c r="L595" s="479">
        <f t="shared" si="166"/>
        <v>0</v>
      </c>
    </row>
    <row r="596" spans="1:12">
      <c r="A596" s="968">
        <v>20</v>
      </c>
      <c r="B596" s="1392" t="s">
        <v>199</v>
      </c>
      <c r="C596" s="1392"/>
      <c r="D596" s="1414"/>
      <c r="E596" s="342"/>
      <c r="F596" s="479">
        <f>F557</f>
        <v>1389567</v>
      </c>
      <c r="G596" s="479">
        <f t="shared" ref="G596:L596" si="167">G557</f>
        <v>773837</v>
      </c>
      <c r="H596" s="479">
        <f t="shared" si="167"/>
        <v>421681</v>
      </c>
      <c r="I596" s="479">
        <f t="shared" si="167"/>
        <v>150991</v>
      </c>
      <c r="J596" s="479">
        <f t="shared" si="167"/>
        <v>43060</v>
      </c>
      <c r="K596" s="479">
        <f t="shared" si="167"/>
        <v>1389569</v>
      </c>
      <c r="L596" s="479">
        <f t="shared" si="167"/>
        <v>-1</v>
      </c>
    </row>
    <row r="597" spans="1:12">
      <c r="A597" s="968">
        <v>21</v>
      </c>
      <c r="B597" s="1392" t="s">
        <v>1469</v>
      </c>
      <c r="C597" s="1392"/>
      <c r="D597" s="1414"/>
      <c r="E597" s="342"/>
      <c r="F597" s="479">
        <f>-F524</f>
        <v>-7075398</v>
      </c>
      <c r="G597" s="479">
        <f t="shared" ref="G597:L597" si="168">-G524</f>
        <v>-3974627</v>
      </c>
      <c r="H597" s="479">
        <f t="shared" si="168"/>
        <v>-2129282</v>
      </c>
      <c r="I597" s="479">
        <f t="shared" si="168"/>
        <v>-757697</v>
      </c>
      <c r="J597" s="479">
        <f t="shared" si="168"/>
        <v>-213792</v>
      </c>
      <c r="K597" s="479">
        <f t="shared" si="168"/>
        <v>-7075398</v>
      </c>
      <c r="L597" s="479">
        <f t="shared" si="168"/>
        <v>0</v>
      </c>
    </row>
    <row r="598" spans="1:12">
      <c r="A598" s="968">
        <v>22</v>
      </c>
      <c r="B598" s="1392" t="s">
        <v>1470</v>
      </c>
      <c r="C598" s="1392"/>
      <c r="D598" s="1414"/>
      <c r="E598" s="342"/>
      <c r="F598" s="479">
        <f>-F580</f>
        <v>-3084628</v>
      </c>
      <c r="G598" s="479">
        <f t="shared" ref="G598:L598" si="169">-G580</f>
        <v>-1728132</v>
      </c>
      <c r="H598" s="479">
        <f t="shared" si="169"/>
        <v>-930694</v>
      </c>
      <c r="I598" s="479">
        <f t="shared" si="169"/>
        <v>-331844</v>
      </c>
      <c r="J598" s="479">
        <f t="shared" si="169"/>
        <v>-93958</v>
      </c>
      <c r="K598" s="479">
        <f t="shared" si="169"/>
        <v>-3084628</v>
      </c>
      <c r="L598" s="479">
        <f t="shared" si="169"/>
        <v>0</v>
      </c>
    </row>
    <row r="599" spans="1:12">
      <c r="A599" s="968">
        <v>23</v>
      </c>
      <c r="B599" s="1411" t="s">
        <v>1471</v>
      </c>
      <c r="C599" s="1411"/>
      <c r="D599" s="1414"/>
      <c r="E599" s="342"/>
      <c r="F599" s="1495">
        <f>F591</f>
        <v>244855</v>
      </c>
      <c r="G599" s="1495">
        <f t="shared" ref="G599:L599" si="170">G591</f>
        <v>137177</v>
      </c>
      <c r="H599" s="1495">
        <f t="shared" si="170"/>
        <v>73878</v>
      </c>
      <c r="I599" s="1495">
        <f t="shared" si="170"/>
        <v>26342</v>
      </c>
      <c r="J599" s="1495">
        <f t="shared" si="170"/>
        <v>7458</v>
      </c>
      <c r="K599" s="1495">
        <f t="shared" si="170"/>
        <v>244855</v>
      </c>
      <c r="L599" s="1495">
        <f t="shared" si="170"/>
        <v>0</v>
      </c>
    </row>
    <row r="600" spans="1:12">
      <c r="A600" s="968">
        <v>24</v>
      </c>
      <c r="B600" s="1090" t="s">
        <v>1472</v>
      </c>
      <c r="C600" s="1392"/>
      <c r="D600" s="1414"/>
      <c r="E600" s="342"/>
      <c r="F600" s="1291">
        <f t="shared" ref="F600:L600" si="171">SUM(F595:F599)</f>
        <v>3692848</v>
      </c>
      <c r="G600" s="1291">
        <f t="shared" si="171"/>
        <v>2046205</v>
      </c>
      <c r="H600" s="1291">
        <f t="shared" si="171"/>
        <v>1126002</v>
      </c>
      <c r="I600" s="1291">
        <f t="shared" si="171"/>
        <v>404588</v>
      </c>
      <c r="J600" s="1291">
        <f t="shared" si="171"/>
        <v>116055</v>
      </c>
      <c r="K600" s="1291">
        <f t="shared" si="171"/>
        <v>3692850</v>
      </c>
      <c r="L600" s="1291">
        <f t="shared" si="171"/>
        <v>-1</v>
      </c>
    </row>
    <row r="601" spans="1:12">
      <c r="A601" s="968">
        <v>25</v>
      </c>
      <c r="B601" s="1392"/>
      <c r="C601" s="1392"/>
      <c r="D601" s="1414"/>
      <c r="E601" s="342"/>
    </row>
    <row r="602" spans="1:12">
      <c r="A602" s="968">
        <v>26</v>
      </c>
      <c r="B602" s="1392" t="s">
        <v>1473</v>
      </c>
      <c r="C602" s="1392"/>
      <c r="D602" s="1414"/>
      <c r="E602" s="342"/>
      <c r="F602" s="1429">
        <f t="shared" ref="F602:L602" si="172">ROUND(SIT/(1-SIT),8)</f>
        <v>5.2282660000000002E-2</v>
      </c>
      <c r="G602" s="1429">
        <f t="shared" si="172"/>
        <v>5.2282660000000002E-2</v>
      </c>
      <c r="H602" s="1429">
        <f t="shared" si="172"/>
        <v>5.2282660000000002E-2</v>
      </c>
      <c r="I602" s="1429">
        <f t="shared" si="172"/>
        <v>5.2282660000000002E-2</v>
      </c>
      <c r="J602" s="1429">
        <f t="shared" si="172"/>
        <v>5.2282660000000002E-2</v>
      </c>
      <c r="K602" s="1429">
        <f t="shared" si="172"/>
        <v>5.2282660000000002E-2</v>
      </c>
      <c r="L602" s="1429">
        <f t="shared" si="172"/>
        <v>5.2282660000000002E-2</v>
      </c>
    </row>
    <row r="603" spans="1:12">
      <c r="A603" s="968">
        <v>27</v>
      </c>
      <c r="B603" s="1392" t="s">
        <v>1474</v>
      </c>
      <c r="C603" s="1392"/>
      <c r="D603" s="1433" t="s">
        <v>1475</v>
      </c>
      <c r="E603" s="342"/>
      <c r="F603" s="1434">
        <f t="shared" ref="F603:L603" si="173">ROUND(F600*F602,0)</f>
        <v>193072</v>
      </c>
      <c r="G603" s="1434">
        <f t="shared" si="173"/>
        <v>106981</v>
      </c>
      <c r="H603" s="1434">
        <f t="shared" si="173"/>
        <v>58870</v>
      </c>
      <c r="I603" s="1434">
        <f t="shared" si="173"/>
        <v>21153</v>
      </c>
      <c r="J603" s="1434">
        <f t="shared" si="173"/>
        <v>6068</v>
      </c>
      <c r="K603" s="1434">
        <f t="shared" si="173"/>
        <v>193072</v>
      </c>
      <c r="L603" s="1434">
        <f t="shared" si="173"/>
        <v>0</v>
      </c>
    </row>
    <row r="604" spans="1:12">
      <c r="A604" s="968">
        <v>28</v>
      </c>
      <c r="B604" s="1411" t="s">
        <v>1476</v>
      </c>
      <c r="C604" s="1411"/>
      <c r="D604" s="1414"/>
      <c r="E604" s="1435"/>
      <c r="F604" s="1434">
        <f t="shared" ref="F604:L604" si="174">F591</f>
        <v>244855</v>
      </c>
      <c r="G604" s="1434">
        <f t="shared" si="174"/>
        <v>137177</v>
      </c>
      <c r="H604" s="1434">
        <f t="shared" si="174"/>
        <v>73878</v>
      </c>
      <c r="I604" s="1434">
        <f t="shared" si="174"/>
        <v>26342</v>
      </c>
      <c r="J604" s="1434">
        <f t="shared" si="174"/>
        <v>7458</v>
      </c>
      <c r="K604" s="1434">
        <f t="shared" si="174"/>
        <v>244855</v>
      </c>
      <c r="L604" s="1434">
        <f t="shared" si="174"/>
        <v>0</v>
      </c>
    </row>
    <row r="605" spans="1:12">
      <c r="A605" s="968">
        <v>29</v>
      </c>
      <c r="B605" s="1090" t="s">
        <v>1477</v>
      </c>
      <c r="C605" s="1392"/>
      <c r="D605" s="1414"/>
      <c r="E605" s="342"/>
      <c r="F605" s="1439">
        <f t="shared" ref="F605:L605" si="175">F604+F603</f>
        <v>437927</v>
      </c>
      <c r="G605" s="1439">
        <f t="shared" si="175"/>
        <v>244158</v>
      </c>
      <c r="H605" s="1439">
        <f t="shared" si="175"/>
        <v>132748</v>
      </c>
      <c r="I605" s="1439">
        <f t="shared" si="175"/>
        <v>47495</v>
      </c>
      <c r="J605" s="1439">
        <f t="shared" si="175"/>
        <v>13526</v>
      </c>
      <c r="K605" s="1439">
        <f t="shared" si="175"/>
        <v>437927</v>
      </c>
      <c r="L605" s="1439">
        <f t="shared" si="175"/>
        <v>0</v>
      </c>
    </row>
    <row r="606" spans="1:12">
      <c r="A606" s="968">
        <v>30</v>
      </c>
      <c r="B606" s="1392"/>
      <c r="C606" s="1392"/>
      <c r="D606" s="1414"/>
      <c r="E606" s="342"/>
    </row>
    <row r="607" spans="1:12">
      <c r="A607" s="968">
        <v>31</v>
      </c>
      <c r="B607" s="1392" t="s">
        <v>1478</v>
      </c>
      <c r="C607" s="1392"/>
      <c r="D607" s="1414"/>
      <c r="E607" s="342"/>
    </row>
    <row r="608" spans="1:12">
      <c r="A608" s="968">
        <v>32</v>
      </c>
      <c r="B608" s="1392" t="s">
        <v>1474</v>
      </c>
      <c r="C608" s="1392"/>
      <c r="D608" s="1414"/>
      <c r="E608" s="342"/>
      <c r="F608" s="1434">
        <f t="shared" ref="F608:L608" si="176">F603</f>
        <v>193072</v>
      </c>
      <c r="G608" s="1434">
        <f t="shared" si="176"/>
        <v>106981</v>
      </c>
      <c r="H608" s="1434">
        <f t="shared" si="176"/>
        <v>58870</v>
      </c>
      <c r="I608" s="1434">
        <f t="shared" si="176"/>
        <v>21153</v>
      </c>
      <c r="J608" s="1434">
        <f t="shared" si="176"/>
        <v>6068</v>
      </c>
      <c r="K608" s="1434">
        <f t="shared" si="176"/>
        <v>193072</v>
      </c>
      <c r="L608" s="1434">
        <f t="shared" si="176"/>
        <v>0</v>
      </c>
    </row>
    <row r="609" spans="1:12">
      <c r="A609" s="968">
        <v>33</v>
      </c>
      <c r="B609" s="1411" t="s">
        <v>1464</v>
      </c>
      <c r="C609" s="1411"/>
      <c r="D609" s="1414"/>
      <c r="E609" s="342"/>
      <c r="F609" s="1434">
        <f t="shared" ref="F609:L609" si="177">F589</f>
        <v>0</v>
      </c>
      <c r="G609" s="1434">
        <f t="shared" si="177"/>
        <v>0</v>
      </c>
      <c r="H609" s="1434">
        <f t="shared" si="177"/>
        <v>0</v>
      </c>
      <c r="I609" s="1434">
        <f t="shared" si="177"/>
        <v>0</v>
      </c>
      <c r="J609" s="1434">
        <f t="shared" si="177"/>
        <v>0</v>
      </c>
      <c r="K609" s="1434">
        <f t="shared" si="177"/>
        <v>0</v>
      </c>
      <c r="L609" s="1434">
        <f t="shared" si="177"/>
        <v>0</v>
      </c>
    </row>
    <row r="610" spans="1:12">
      <c r="A610" s="968">
        <v>34</v>
      </c>
      <c r="B610" s="1090" t="s">
        <v>1479</v>
      </c>
      <c r="C610" s="1392"/>
      <c r="D610" s="1414"/>
      <c r="E610" s="342"/>
      <c r="F610" s="1439">
        <f t="shared" ref="F610:L610" si="178">F608+F609</f>
        <v>193072</v>
      </c>
      <c r="G610" s="1439">
        <f t="shared" si="178"/>
        <v>106981</v>
      </c>
      <c r="H610" s="1439">
        <f t="shared" si="178"/>
        <v>58870</v>
      </c>
      <c r="I610" s="1439">
        <f t="shared" si="178"/>
        <v>21153</v>
      </c>
      <c r="J610" s="1439">
        <f t="shared" si="178"/>
        <v>6068</v>
      </c>
      <c r="K610" s="1439">
        <f t="shared" si="178"/>
        <v>193072</v>
      </c>
      <c r="L610" s="1439">
        <f t="shared" si="178"/>
        <v>0</v>
      </c>
    </row>
    <row r="611" spans="1:12">
      <c r="A611" s="968">
        <v>35</v>
      </c>
      <c r="B611" s="1392"/>
      <c r="C611" s="1392"/>
      <c r="D611" s="1392"/>
      <c r="E611" s="342"/>
    </row>
    <row r="612" spans="1:12">
      <c r="A612" s="968">
        <v>36</v>
      </c>
      <c r="B612" s="1392" t="s">
        <v>76</v>
      </c>
      <c r="C612" s="1392"/>
      <c r="D612" s="1392"/>
      <c r="E612" s="342"/>
      <c r="F612" s="1443">
        <f t="shared" ref="F612:L612" si="179">(SIT*(1-FIT))+((1-SIT)*(1-FIT)*RevTax)+FIT</f>
        <v>0.24925115</v>
      </c>
      <c r="G612" s="1443">
        <f t="shared" si="179"/>
        <v>0.24925115</v>
      </c>
      <c r="H612" s="1443">
        <f t="shared" si="179"/>
        <v>0.24925115</v>
      </c>
      <c r="I612" s="1443">
        <f t="shared" si="179"/>
        <v>0.24925115</v>
      </c>
      <c r="J612" s="1443">
        <f t="shared" si="179"/>
        <v>0.24925115</v>
      </c>
      <c r="K612" s="1443">
        <f t="shared" si="179"/>
        <v>0.24925115</v>
      </c>
      <c r="L612" s="1443">
        <f t="shared" si="179"/>
        <v>0.24925115</v>
      </c>
    </row>
    <row r="614" spans="1:12">
      <c r="A614" s="343" t="str">
        <f>co_name</f>
        <v>DUKE ENERGY KENTUCKY, INC.</v>
      </c>
      <c r="C614" s="196"/>
      <c r="D614" s="344"/>
      <c r="E614" s="196"/>
      <c r="F614" s="344"/>
      <c r="G614" s="342"/>
      <c r="H614" s="342"/>
      <c r="I614" s="196"/>
      <c r="K614" s="361" t="str">
        <f>$K$1</f>
        <v>FR-16(7)(v)-5</v>
      </c>
      <c r="L614" s="196"/>
    </row>
    <row r="615" spans="1:12">
      <c r="A615" s="343" t="str">
        <f>$A$2</f>
        <v>DISTRIBUTION DEMAND ALLOCATED - GAS COST OF SERVICE</v>
      </c>
      <c r="C615" s="196"/>
      <c r="D615" s="344"/>
      <c r="E615" s="196"/>
      <c r="F615" s="344"/>
      <c r="G615" s="342"/>
      <c r="H615" s="342"/>
      <c r="I615" s="196"/>
      <c r="K615" s="361" t="str">
        <f>$K$2</f>
        <v>WITNESS RESPONSIBLE:</v>
      </c>
      <c r="L615" s="196"/>
    </row>
    <row r="616" spans="1:12">
      <c r="A616" s="343" t="str">
        <f>case_name</f>
        <v>CASE NO: 2018-00261</v>
      </c>
      <c r="C616" s="196"/>
      <c r="D616" s="344"/>
      <c r="E616" s="196"/>
      <c r="F616" s="344"/>
      <c r="G616" s="342"/>
      <c r="H616" s="342"/>
      <c r="I616" s="196"/>
      <c r="K616" s="361" t="str">
        <f>Witness</f>
        <v>JAMES E. ZIOLKOWSKI</v>
      </c>
      <c r="L616" s="196"/>
    </row>
    <row r="617" spans="1:12">
      <c r="A617" s="343" t="str">
        <f>data_filing</f>
        <v>DATA: 12 MONTH FORECASTED PERIOD</v>
      </c>
      <c r="C617" s="196"/>
      <c r="D617" s="344"/>
      <c r="E617" s="196"/>
      <c r="F617" s="344"/>
      <c r="G617" s="342"/>
      <c r="H617" s="342"/>
      <c r="I617" s="196"/>
      <c r="K617" s="361" t="str">
        <f>"PAGE "&amp;Pages-4&amp;" OF "&amp;Pages</f>
        <v>PAGE 14 OF 18</v>
      </c>
      <c r="L617" s="196"/>
    </row>
    <row r="618" spans="1:12">
      <c r="A618" s="343" t="str">
        <f>type</f>
        <v xml:space="preserve">TYPE OF FILING: "X" ORIGINAL   UPDATED    REVISED  </v>
      </c>
      <c r="C618" s="196"/>
      <c r="D618" s="344"/>
      <c r="E618" s="196"/>
      <c r="F618" s="344"/>
      <c r="G618" s="342"/>
      <c r="H618" s="342"/>
      <c r="I618" s="196"/>
      <c r="J618" s="344"/>
      <c r="K618" s="196"/>
      <c r="L618" s="196"/>
    </row>
    <row r="619" spans="1:12">
      <c r="B619" s="343"/>
      <c r="C619" s="196"/>
      <c r="D619" s="344"/>
      <c r="E619" s="196"/>
      <c r="F619" s="344"/>
      <c r="G619" s="196"/>
      <c r="H619" s="196"/>
      <c r="I619" s="196"/>
      <c r="J619" s="344"/>
      <c r="K619" s="196"/>
      <c r="L619" s="196"/>
    </row>
    <row r="620" spans="1:12">
      <c r="B620" s="343"/>
      <c r="C620" s="196"/>
      <c r="D620" s="344"/>
      <c r="E620" s="196"/>
      <c r="F620" s="344" t="str">
        <f>$F$7</f>
        <v>TOTAL</v>
      </c>
      <c r="G620" s="196"/>
      <c r="H620" s="196"/>
      <c r="I620" s="196"/>
      <c r="J620" s="344"/>
      <c r="K620" s="196"/>
      <c r="L620" s="196"/>
    </row>
    <row r="621" spans="1:12">
      <c r="A621" s="344" t="s">
        <v>914</v>
      </c>
      <c r="B621" s="196"/>
      <c r="C621" s="196"/>
      <c r="D621" s="344"/>
      <c r="E621" s="196"/>
      <c r="F621" s="344" t="str">
        <f>$F$8</f>
        <v>DISTRIBUTION</v>
      </c>
      <c r="G621" s="344" t="s">
        <v>418</v>
      </c>
      <c r="H621" s="344" t="s">
        <v>864</v>
      </c>
      <c r="I621" s="344" t="s">
        <v>865</v>
      </c>
      <c r="J621" s="344" t="s">
        <v>549</v>
      </c>
      <c r="K621" s="344" t="s">
        <v>229</v>
      </c>
      <c r="L621" s="344" t="s">
        <v>342</v>
      </c>
    </row>
    <row r="622" spans="1:12">
      <c r="A622" s="346" t="s">
        <v>915</v>
      </c>
      <c r="B622" s="345" t="s">
        <v>77</v>
      </c>
      <c r="C622" s="345"/>
      <c r="D622" s="346" t="s">
        <v>337</v>
      </c>
      <c r="E622" s="345"/>
      <c r="F622" s="344" t="str">
        <f>$F$9</f>
        <v>DEMAND</v>
      </c>
      <c r="G622" s="346" t="s">
        <v>338</v>
      </c>
      <c r="H622" s="346" t="s">
        <v>405</v>
      </c>
      <c r="I622" s="346" t="s">
        <v>405</v>
      </c>
      <c r="J622" s="346" t="s">
        <v>550</v>
      </c>
      <c r="K622" s="346" t="s">
        <v>341</v>
      </c>
      <c r="L622" s="346" t="s">
        <v>340</v>
      </c>
    </row>
    <row r="623" spans="1:12">
      <c r="C623" s="578" t="s">
        <v>352</v>
      </c>
      <c r="D623" s="344"/>
      <c r="E623" s="196"/>
      <c r="F623" s="761"/>
      <c r="G623" s="633">
        <f>$G$10</f>
        <v>3</v>
      </c>
      <c r="H623" s="633">
        <f>$H$10</f>
        <v>4</v>
      </c>
      <c r="I623" s="633">
        <f>$I$10</f>
        <v>5</v>
      </c>
      <c r="J623" s="633">
        <f>$J$10</f>
        <v>6</v>
      </c>
    </row>
    <row r="624" spans="1:12">
      <c r="A624" s="333">
        <v>1</v>
      </c>
      <c r="B624" s="332" t="s">
        <v>78</v>
      </c>
      <c r="D624" s="344"/>
      <c r="E624" s="196"/>
      <c r="I624" s="332"/>
    </row>
    <row r="625" spans="1:12">
      <c r="A625" s="333">
        <v>2</v>
      </c>
      <c r="C625" s="332" t="str">
        <f>'FR-16(7)(v)-1 Functional'!C625</f>
        <v>MISC SERVICE REVENUE</v>
      </c>
      <c r="D625" s="344" t="str">
        <f>'FR-16(7)(v)-1 Functional'!D625</f>
        <v>K401</v>
      </c>
      <c r="E625" s="196"/>
      <c r="F625" s="479">
        <f>'FR-16(7)(v)-4 DISTR Classified'!G625</f>
        <v>0</v>
      </c>
      <c r="G625" s="349">
        <f>F625-SUM(H625:J625)</f>
        <v>0</v>
      </c>
      <c r="H625" s="347">
        <f>ROUND($F$625*VLOOKUP($D$625,ALLOCTABLE_DISTR_DEMAND,$H$10,FALSE),0)</f>
        <v>0</v>
      </c>
      <c r="I625" s="347">
        <f>ROUND(F625*VLOOKUP(D625,ALLOCTABLE_DISTR_DEMAND,$I$10,FALSE),0)</f>
        <v>0</v>
      </c>
      <c r="J625" s="347">
        <f>ROUND(F625*VLOOKUP(D625,ALLOCTABLE_DISTR_DEMAND,$J$10,FALSE),0)</f>
        <v>0</v>
      </c>
      <c r="K625" s="347">
        <f>SUM($G$625:$J$625)</f>
        <v>0</v>
      </c>
      <c r="L625" s="347">
        <f>F625-$K$625</f>
        <v>0</v>
      </c>
    </row>
    <row r="626" spans="1:12">
      <c r="A626" s="333">
        <v>3</v>
      </c>
      <c r="C626" s="332" t="str">
        <f>'FR-16(7)(v)-1 Functional'!C626</f>
        <v>INTERDEPARTMENTAL</v>
      </c>
      <c r="D626" s="344" t="str">
        <f>'FR-16(7)(v)-1 Functional'!D626</f>
        <v>AG39</v>
      </c>
      <c r="E626" s="196"/>
      <c r="F626" s="479">
        <f>'FR-16(7)(v)-4 DISTR Classified'!G626</f>
        <v>9973</v>
      </c>
      <c r="G626" s="349">
        <f>F626-SUM(H626:J626)</f>
        <v>6088</v>
      </c>
      <c r="H626" s="347">
        <f>ROUND($F$626*VLOOKUP($D$626,ALLOCTABLE_DISTR_DEMAND,$H$10,FALSE),0)</f>
        <v>2750</v>
      </c>
      <c r="I626" s="347">
        <f>ROUND(F626*VLOOKUP(D626,ALLOCTABLE_DISTR_DEMAND,$I$10,FALSE),0)</f>
        <v>911</v>
      </c>
      <c r="J626" s="347">
        <f>ROUND(F626*VLOOKUP(D626,ALLOCTABLE_DISTR_DEMAND,$J$10,FALSE),0)</f>
        <v>224</v>
      </c>
      <c r="K626" s="347">
        <f>SUM($G$626:$J$626)</f>
        <v>9973</v>
      </c>
      <c r="L626" s="347">
        <f>F626-$K$626</f>
        <v>0</v>
      </c>
    </row>
    <row r="627" spans="1:12">
      <c r="A627" s="333">
        <v>4</v>
      </c>
      <c r="C627" s="332" t="str">
        <f>'FR-16(7)(v)-1 Functional'!C627</f>
        <v>OTH MISC REVENUE</v>
      </c>
      <c r="D627" s="344" t="str">
        <f>'FR-16(7)(v)-1 Functional'!D627</f>
        <v>K401</v>
      </c>
      <c r="E627" s="196"/>
      <c r="F627" s="479">
        <f>'FR-16(7)(v)-4 DISTR Classified'!G627</f>
        <v>0</v>
      </c>
      <c r="G627" s="349">
        <f>F627-SUM(H627:J627)</f>
        <v>0</v>
      </c>
      <c r="H627" s="347">
        <f>ROUND($F$627*VLOOKUP($D$627,ALLOCTABLE_DISTR_DEMAND,$H$10,FALSE),0)</f>
        <v>0</v>
      </c>
      <c r="I627" s="347">
        <f>ROUND(F627*VLOOKUP(D627,ALLOCTABLE_DISTR_DEMAND,$I$10,FALSE),0)</f>
        <v>0</v>
      </c>
      <c r="J627" s="347">
        <f>ROUND(F627*VLOOKUP(D627,ALLOCTABLE_DISTR_DEMAND,$J$10,FALSE),0)</f>
        <v>0</v>
      </c>
      <c r="K627" s="347">
        <f>SUM($G$627:$J$627)</f>
        <v>0</v>
      </c>
      <c r="L627" s="347">
        <f>F627-$K$627</f>
        <v>0</v>
      </c>
    </row>
    <row r="628" spans="1:12">
      <c r="A628" s="333">
        <v>5</v>
      </c>
      <c r="C628" s="332" t="str">
        <f>'FR-16(7)(v)-1 Functional'!C628</f>
        <v>RENTS</v>
      </c>
      <c r="D628" s="344" t="str">
        <f>'FR-16(7)(v)-1 Functional'!D628</f>
        <v>D249</v>
      </c>
      <c r="E628" s="196"/>
      <c r="F628" s="479">
        <f>'FR-16(7)(v)-4 DISTR Classified'!G628</f>
        <v>8015</v>
      </c>
      <c r="G628" s="349">
        <f>F628-SUM(H628:J628)</f>
        <v>4479</v>
      </c>
      <c r="H628" s="347">
        <f>ROUND($F$628*VLOOKUP($D$628,ALLOCTABLE_DISTR_DEMAND,$H$10,FALSE),0)</f>
        <v>2424</v>
      </c>
      <c r="I628" s="347">
        <f>ROUND(F628*VLOOKUP(D628,ALLOCTABLE_DISTR_DEMAND,$I$10,FALSE),0)</f>
        <v>866</v>
      </c>
      <c r="J628" s="347">
        <f>ROUND(F628*VLOOKUP(D628,ALLOCTABLE_DISTR_DEMAND,$J$10,FALSE),0)</f>
        <v>246</v>
      </c>
      <c r="K628" s="347">
        <f>SUM($G$628:$J$628)</f>
        <v>8015</v>
      </c>
      <c r="L628" s="347">
        <f>F628-$K$628</f>
        <v>0</v>
      </c>
    </row>
    <row r="629" spans="1:12">
      <c r="A629" s="333">
        <v>6</v>
      </c>
      <c r="C629" s="359" t="str">
        <f>'FR-16(7)(v)-1 Functional'!C629</f>
        <v>IT TRANSPORT SPECIAL CONTRACTS</v>
      </c>
      <c r="D629" s="344" t="str">
        <f>'FR-16(7)(v)-1 Functional'!D629</f>
        <v>AG39</v>
      </c>
      <c r="E629" s="196"/>
      <c r="F629" s="479">
        <f>'FR-16(7)(v)-4 DISTR Classified'!G629</f>
        <v>0</v>
      </c>
      <c r="G629" s="349">
        <f>F629-SUM(H629:J629)</f>
        <v>0</v>
      </c>
      <c r="H629" s="347">
        <f>ROUND($F$629*VLOOKUP($D$629,ALLOCTABLE_DISTR_DEMAND,$H$10,FALSE),0)</f>
        <v>0</v>
      </c>
      <c r="I629" s="347">
        <f>ROUND(F629*VLOOKUP(D629,ALLOCTABLE_DISTR_DEMAND,$I$10,FALSE),0)</f>
        <v>0</v>
      </c>
      <c r="J629" s="347">
        <f>ROUND(F629*VLOOKUP(D629,ALLOCTABLE_DISTR_DEMAND,$J$10,FALSE),0)</f>
        <v>0</v>
      </c>
      <c r="K629" s="347">
        <f>SUM($G$629:$J$629)</f>
        <v>0</v>
      </c>
      <c r="L629" s="347">
        <f>F629-$K$629</f>
        <v>0</v>
      </c>
    </row>
    <row r="630" spans="1:12">
      <c r="A630" s="333">
        <v>7</v>
      </c>
      <c r="C630" s="332" t="str">
        <f>'FR-16(7)(v)-1 Functional'!C630</f>
        <v xml:space="preserve">  TOTAL OTHER OPERATING REVS</v>
      </c>
      <c r="D630" s="344"/>
      <c r="E630" s="196"/>
      <c r="F630" s="348">
        <f>SUM(F625:F629)</f>
        <v>17988</v>
      </c>
      <c r="G630" s="348">
        <f>SUM($G$625:$G$629)</f>
        <v>10567</v>
      </c>
      <c r="H630" s="348">
        <f>SUM($H$625:$H$629)</f>
        <v>5174</v>
      </c>
      <c r="I630" s="348">
        <f>SUM($I$625:$I$629)</f>
        <v>1777</v>
      </c>
      <c r="J630" s="348">
        <f>SUM($J$625:$J$629)</f>
        <v>470</v>
      </c>
      <c r="K630" s="348">
        <f>SUM($K$625:$K$629)</f>
        <v>17988</v>
      </c>
      <c r="L630" s="348">
        <f>SUM($L$625:$L$629)</f>
        <v>0</v>
      </c>
    </row>
    <row r="631" spans="1:12">
      <c r="A631" s="333">
        <v>8</v>
      </c>
      <c r="D631" s="344"/>
      <c r="E631" s="196"/>
      <c r="I631" s="332"/>
    </row>
    <row r="632" spans="1:12">
      <c r="A632" s="333">
        <v>9</v>
      </c>
      <c r="B632" s="332" t="s">
        <v>77</v>
      </c>
      <c r="D632" s="344"/>
      <c r="E632" s="196"/>
      <c r="I632" s="332"/>
    </row>
    <row r="633" spans="1:12">
      <c r="A633" s="333">
        <v>10</v>
      </c>
      <c r="C633" s="332" t="str">
        <f>'FR-16(7)(v)-1 Functional'!C633</f>
        <v>TOTAL OP EXP EXC INC &amp; REV TAX</v>
      </c>
      <c r="D633" s="344"/>
      <c r="E633" s="196"/>
      <c r="F633" s="347">
        <f>F501</f>
        <v>19681079</v>
      </c>
      <c r="G633" s="347">
        <f>$G$501</f>
        <v>11576249</v>
      </c>
      <c r="H633" s="347">
        <f>$H$501</f>
        <v>5653523</v>
      </c>
      <c r="I633" s="347">
        <f>$I$501</f>
        <v>1939593</v>
      </c>
      <c r="J633" s="347">
        <f>$J$501</f>
        <v>511714</v>
      </c>
      <c r="K633" s="347">
        <f>$K$501</f>
        <v>19681079</v>
      </c>
      <c r="L633" s="347">
        <f>$L$501</f>
        <v>0</v>
      </c>
    </row>
    <row r="634" spans="1:12">
      <c r="A634" s="333">
        <v>11</v>
      </c>
      <c r="C634" s="332" t="str">
        <f>'FR-16(7)(v)-1 Functional'!C634</f>
        <v>RETURN ON RATE BASE</v>
      </c>
      <c r="D634" s="344"/>
      <c r="E634" s="196"/>
      <c r="F634" s="347">
        <f t="shared" ref="F634:L634" si="180">F334</f>
        <v>12218452</v>
      </c>
      <c r="G634" s="347">
        <f t="shared" si="180"/>
        <v>6837950</v>
      </c>
      <c r="H634" s="347">
        <f t="shared" si="180"/>
        <v>3690419</v>
      </c>
      <c r="I634" s="347">
        <f t="shared" si="180"/>
        <v>1316796</v>
      </c>
      <c r="J634" s="347">
        <f t="shared" si="180"/>
        <v>373287</v>
      </c>
      <c r="K634" s="347">
        <f t="shared" si="180"/>
        <v>12218452</v>
      </c>
      <c r="L634" s="347">
        <f t="shared" si="180"/>
        <v>0</v>
      </c>
    </row>
    <row r="635" spans="1:12">
      <c r="A635" s="333">
        <v>12</v>
      </c>
      <c r="C635" s="332" t="str">
        <f>'FR-16(7)(v)-1 Functional'!C635</f>
        <v>NET FED INCOME TAX ALLOWABLE</v>
      </c>
      <c r="D635" s="344"/>
      <c r="E635" s="196"/>
      <c r="F635" s="347">
        <f>F557</f>
        <v>1389567</v>
      </c>
      <c r="G635" s="347">
        <f>$G$557</f>
        <v>773837</v>
      </c>
      <c r="H635" s="347">
        <f>$H$557</f>
        <v>421681</v>
      </c>
      <c r="I635" s="347">
        <f>$I$557</f>
        <v>150991</v>
      </c>
      <c r="J635" s="347">
        <f>$J$557</f>
        <v>43060</v>
      </c>
      <c r="K635" s="347">
        <f>$K$557</f>
        <v>1389569</v>
      </c>
      <c r="L635" s="347">
        <f>$L$557</f>
        <v>-1</v>
      </c>
    </row>
    <row r="636" spans="1:12">
      <c r="A636" s="333">
        <v>13</v>
      </c>
      <c r="C636" s="359" t="str">
        <f>'FR-16(7)(v)-1 Functional'!C636</f>
        <v>TOTAL OTHER OPERATING REVENUES</v>
      </c>
      <c r="D636" s="344"/>
      <c r="E636" s="196"/>
      <c r="F636" s="347">
        <f>-F630</f>
        <v>-17988</v>
      </c>
      <c r="G636" s="347">
        <f>-$G$630</f>
        <v>-10567</v>
      </c>
      <c r="H636" s="347">
        <f>-$H$630</f>
        <v>-5174</v>
      </c>
      <c r="I636" s="347">
        <f>-$I$630</f>
        <v>-1777</v>
      </c>
      <c r="J636" s="347">
        <f>-$J$630</f>
        <v>-470</v>
      </c>
      <c r="K636" s="347">
        <f>-$K$630</f>
        <v>-17988</v>
      </c>
      <c r="L636" s="347">
        <f>-$L$630</f>
        <v>0</v>
      </c>
    </row>
    <row r="637" spans="1:12">
      <c r="A637" s="333">
        <v>14</v>
      </c>
      <c r="C637" s="332" t="str">
        <f>'FR-16(7)(v)-1 Functional'!C637</f>
        <v xml:space="preserve">  SUBTOTAL B</v>
      </c>
      <c r="D637" s="344"/>
      <c r="E637" s="196"/>
      <c r="F637" s="348">
        <f>SUM(F632:F636)</f>
        <v>33271110</v>
      </c>
      <c r="G637" s="348">
        <f>SUM($G$632:$G$636)</f>
        <v>19177469</v>
      </c>
      <c r="H637" s="348">
        <f>SUM($H$632:$H$636)</f>
        <v>9760449</v>
      </c>
      <c r="I637" s="348">
        <f>SUM($I$632:$I$636)</f>
        <v>3405603</v>
      </c>
      <c r="J637" s="348">
        <f>SUM($J$632:$J$636)</f>
        <v>927591</v>
      </c>
      <c r="K637" s="348">
        <f>SUM($K$632:$K$636)</f>
        <v>33271112</v>
      </c>
      <c r="L637" s="348">
        <f>$K$637-F637</f>
        <v>2</v>
      </c>
    </row>
    <row r="638" spans="1:12">
      <c r="A638" s="333">
        <v>15</v>
      </c>
      <c r="D638" s="344"/>
      <c r="E638" s="196"/>
      <c r="I638" s="332"/>
    </row>
    <row r="639" spans="1:12">
      <c r="A639" s="333">
        <v>16</v>
      </c>
      <c r="C639" s="332" t="str">
        <f>'FR-16(7)(v)-1 Functional'!C639</f>
        <v>TOTAL OTHER OPERATING REVENUES</v>
      </c>
      <c r="D639" s="344"/>
      <c r="E639" s="196"/>
      <c r="F639" s="347">
        <f>-F636</f>
        <v>17988</v>
      </c>
      <c r="G639" s="347">
        <f>-$G$636</f>
        <v>10567</v>
      </c>
      <c r="H639" s="347">
        <f>-$H$636</f>
        <v>5174</v>
      </c>
      <c r="I639" s="347">
        <f>-$I$636</f>
        <v>1777</v>
      </c>
      <c r="J639" s="347">
        <f>-$J$636</f>
        <v>470</v>
      </c>
      <c r="K639" s="347">
        <f>-$K$636</f>
        <v>17988</v>
      </c>
      <c r="L639" s="347">
        <f>-$L$636</f>
        <v>0</v>
      </c>
    </row>
    <row r="640" spans="1:12">
      <c r="A640" s="333">
        <v>17</v>
      </c>
      <c r="C640" s="359" t="str">
        <f>'FR-16(7)(v)-1 Functional'!C640</f>
        <v>LESS: REVS EXCL FROM REV TAX CALC</v>
      </c>
      <c r="D640" s="344"/>
      <c r="E640" s="196"/>
      <c r="F640" s="349">
        <f t="shared" ref="F640:L640" si="181">F855</f>
        <v>0</v>
      </c>
      <c r="G640" s="347">
        <f>G855</f>
        <v>0</v>
      </c>
      <c r="H640" s="347">
        <f t="shared" si="181"/>
        <v>0</v>
      </c>
      <c r="I640" s="347">
        <f t="shared" si="181"/>
        <v>0</v>
      </c>
      <c r="J640" s="347">
        <f t="shared" si="181"/>
        <v>0</v>
      </c>
      <c r="K640" s="347">
        <f t="shared" si="181"/>
        <v>0</v>
      </c>
      <c r="L640" s="347">
        <f t="shared" si="181"/>
        <v>0</v>
      </c>
    </row>
    <row r="641" spans="1:12">
      <c r="A641" s="333">
        <v>18</v>
      </c>
      <c r="C641" s="332" t="str">
        <f>'FR-16(7)(v)-1 Functional'!C641</f>
        <v>OTHER OPERATING REVS TO BE TAXED</v>
      </c>
      <c r="D641" s="344"/>
      <c r="E641" s="196"/>
      <c r="F641" s="348">
        <f>F639-F640</f>
        <v>17988</v>
      </c>
      <c r="G641" s="348">
        <f>G639-G640</f>
        <v>10567</v>
      </c>
      <c r="H641" s="348">
        <f>H639-H640</f>
        <v>5174</v>
      </c>
      <c r="I641" s="348">
        <f>$I$639-I640</f>
        <v>1777</v>
      </c>
      <c r="J641" s="348">
        <f>$J$639-J640</f>
        <v>470</v>
      </c>
      <c r="K641" s="348">
        <f>$K$639-K640</f>
        <v>17988</v>
      </c>
      <c r="L641" s="348">
        <f>$L$639-L640</f>
        <v>0</v>
      </c>
    </row>
    <row r="642" spans="1:12">
      <c r="A642" s="333">
        <v>19</v>
      </c>
      <c r="D642" s="344"/>
      <c r="E642" s="196"/>
      <c r="I642" s="332"/>
    </row>
    <row r="643" spans="1:12">
      <c r="A643" s="333">
        <v>20</v>
      </c>
      <c r="C643" s="332" t="str">
        <f>'FR-16(7)(v)-1 Functional'!C643</f>
        <v>REVENUE TAX FACTOR</v>
      </c>
      <c r="D643" s="344"/>
      <c r="E643" s="196"/>
      <c r="F643" s="350">
        <f t="shared" ref="F643:L643" si="182">ROUND(F694/(1-F694),8)</f>
        <v>0</v>
      </c>
      <c r="G643" s="350">
        <f t="shared" si="182"/>
        <v>0</v>
      </c>
      <c r="H643" s="350">
        <f t="shared" si="182"/>
        <v>0</v>
      </c>
      <c r="I643" s="350">
        <f t="shared" si="182"/>
        <v>0</v>
      </c>
      <c r="J643" s="350">
        <f t="shared" si="182"/>
        <v>0</v>
      </c>
      <c r="K643" s="350">
        <f t="shared" si="182"/>
        <v>0</v>
      </c>
      <c r="L643" s="350">
        <f t="shared" si="182"/>
        <v>0</v>
      </c>
    </row>
    <row r="644" spans="1:12">
      <c r="A644" s="333">
        <v>21</v>
      </c>
      <c r="C644" s="332" t="str">
        <f>'FR-16(7)(v)-1 Functional'!C644</f>
        <v>REVENUE TAX ON OTHER OPER. REVS</v>
      </c>
      <c r="D644" s="344"/>
      <c r="E644" s="196"/>
      <c r="F644" s="347">
        <f>ROUND(F643*F641,0)</f>
        <v>0</v>
      </c>
      <c r="G644" s="347">
        <f>F644-SUM(H644:J644)</f>
        <v>0</v>
      </c>
      <c r="H644" s="347">
        <f>ROUND(H643*H641,0)</f>
        <v>0</v>
      </c>
      <c r="I644" s="347">
        <f>ROUND(I643*I641,0)</f>
        <v>0</v>
      </c>
      <c r="J644" s="347">
        <f>ROUND(J643*J641,0)</f>
        <v>0</v>
      </c>
      <c r="K644" s="347">
        <f>SUM(G644:J644)</f>
        <v>0</v>
      </c>
      <c r="L644" s="347">
        <f>ROUND(L643*L641,0)</f>
        <v>0</v>
      </c>
    </row>
    <row r="645" spans="1:12">
      <c r="A645" s="333">
        <v>22</v>
      </c>
      <c r="C645" s="332" t="str">
        <f>'FR-16(7)(v)-1 Functional'!C645</f>
        <v>REVENUE TAX ON COST OF SERVICE</v>
      </c>
      <c r="D645" s="344"/>
      <c r="E645" s="196"/>
      <c r="F645" s="512">
        <f>ROUND(F643*F637,0)</f>
        <v>0</v>
      </c>
      <c r="G645" s="512">
        <f>F645-SUM(H645:J645)</f>
        <v>0</v>
      </c>
      <c r="H645" s="512">
        <f>ROUND(H643*$H$637,0)</f>
        <v>0</v>
      </c>
      <c r="I645" s="512">
        <f>ROUND(I643*$I$637,0)</f>
        <v>0</v>
      </c>
      <c r="J645" s="512">
        <f>ROUND(J643*$J$637,0)</f>
        <v>0</v>
      </c>
      <c r="K645" s="347">
        <f>SUM(G645:J645)</f>
        <v>0</v>
      </c>
      <c r="L645" s="512">
        <f>ROUND(L643*$L$637,0)</f>
        <v>0</v>
      </c>
    </row>
    <row r="646" spans="1:12">
      <c r="A646" s="333">
        <v>23</v>
      </c>
      <c r="C646" s="359" t="str">
        <f>'FR-16(7)(v)-1 Functional'!C646</f>
        <v>TOTAL REVENUE TAX</v>
      </c>
      <c r="D646" s="344"/>
      <c r="E646" s="196"/>
      <c r="F646" s="510">
        <f>F645+F644</f>
        <v>0</v>
      </c>
      <c r="G646" s="510">
        <f>G645+G644</f>
        <v>0</v>
      </c>
      <c r="H646" s="510">
        <f>H645+H644</f>
        <v>0</v>
      </c>
      <c r="I646" s="510">
        <f>I645+I644</f>
        <v>0</v>
      </c>
      <c r="J646" s="510">
        <f>J645+J644</f>
        <v>0</v>
      </c>
      <c r="K646" s="347">
        <f>SUM(G646:J646)</f>
        <v>0</v>
      </c>
      <c r="L646" s="510">
        <f>L645+L644</f>
        <v>0</v>
      </c>
    </row>
    <row r="647" spans="1:12">
      <c r="A647" s="333">
        <v>24</v>
      </c>
      <c r="C647" s="332" t="str">
        <f>'FR-16(7)(v)-1 Functional'!C647</f>
        <v xml:space="preserve">  TOTAL GAS COST OF SERVICE</v>
      </c>
      <c r="D647" s="344"/>
      <c r="E647" s="196"/>
      <c r="F647" s="348">
        <f>F646+F637</f>
        <v>33271110</v>
      </c>
      <c r="G647" s="348">
        <f>G646+$G$637</f>
        <v>19177469</v>
      </c>
      <c r="H647" s="348">
        <f>H646+$H$637</f>
        <v>9760449</v>
      </c>
      <c r="I647" s="348">
        <f>I646+$I$637</f>
        <v>3405603</v>
      </c>
      <c r="J647" s="348">
        <f>J646+$J$637</f>
        <v>927591</v>
      </c>
      <c r="K647" s="348">
        <f>K646+$K$637</f>
        <v>33271112</v>
      </c>
      <c r="L647" s="348">
        <f>L646+$L$637</f>
        <v>2</v>
      </c>
    </row>
    <row r="648" spans="1:12">
      <c r="A648" s="333">
        <v>25</v>
      </c>
      <c r="D648" s="344"/>
      <c r="E648" s="196"/>
      <c r="I648" s="332"/>
    </row>
    <row r="649" spans="1:12">
      <c r="A649" s="333">
        <v>26</v>
      </c>
      <c r="B649" s="332" t="s">
        <v>850</v>
      </c>
      <c r="D649" s="344"/>
      <c r="E649" s="196"/>
      <c r="F649" s="349">
        <f t="shared" ref="F649:L649" si="183">F745</f>
        <v>30193663</v>
      </c>
      <c r="G649" s="347">
        <f t="shared" si="183"/>
        <v>20762035</v>
      </c>
      <c r="H649" s="347">
        <f t="shared" si="183"/>
        <v>7350779</v>
      </c>
      <c r="I649" s="347">
        <f t="shared" si="183"/>
        <v>1597864</v>
      </c>
      <c r="J649" s="347">
        <f t="shared" si="183"/>
        <v>482985</v>
      </c>
      <c r="K649" s="347">
        <f t="shared" si="183"/>
        <v>30193663</v>
      </c>
      <c r="L649" s="347">
        <f t="shared" si="183"/>
        <v>0</v>
      </c>
    </row>
    <row r="650" spans="1:12">
      <c r="A650" s="333">
        <v>27</v>
      </c>
      <c r="B650" s="332" t="s">
        <v>79</v>
      </c>
      <c r="D650" s="344"/>
      <c r="E650" s="196"/>
      <c r="F650" s="347">
        <f t="shared" ref="F650:L650" si="184">-F647</f>
        <v>-33271110</v>
      </c>
      <c r="G650" s="347">
        <f t="shared" si="184"/>
        <v>-19177469</v>
      </c>
      <c r="H650" s="347">
        <f t="shared" si="184"/>
        <v>-9760449</v>
      </c>
      <c r="I650" s="347">
        <f t="shared" si="184"/>
        <v>-3405603</v>
      </c>
      <c r="J650" s="347">
        <f t="shared" si="184"/>
        <v>-927591</v>
      </c>
      <c r="K650" s="347">
        <f t="shared" si="184"/>
        <v>-33271112</v>
      </c>
      <c r="L650" s="347">
        <f t="shared" si="184"/>
        <v>-2</v>
      </c>
    </row>
    <row r="651" spans="1:12">
      <c r="A651" s="333">
        <v>28</v>
      </c>
      <c r="B651" s="332" t="s">
        <v>80</v>
      </c>
      <c r="D651" s="344"/>
      <c r="E651" s="196"/>
      <c r="F651" s="347">
        <f>F650+F649</f>
        <v>-3077447</v>
      </c>
      <c r="G651" s="347">
        <f>G650+G649</f>
        <v>1584566</v>
      </c>
      <c r="H651" s="347">
        <f>H650+H649</f>
        <v>-2409670</v>
      </c>
      <c r="I651" s="347">
        <f>I650+I649</f>
        <v>-1807739</v>
      </c>
      <c r="J651" s="347">
        <f>J650+J649</f>
        <v>-444606</v>
      </c>
      <c r="K651" s="347">
        <f>SUM(G651:J651)</f>
        <v>-3077449</v>
      </c>
      <c r="L651" s="347">
        <f>L650+L649</f>
        <v>-2</v>
      </c>
    </row>
    <row r="652" spans="1:12">
      <c r="A652" s="333">
        <v>29</v>
      </c>
      <c r="B652" s="332" t="s">
        <v>76</v>
      </c>
      <c r="D652" s="344"/>
      <c r="E652" s="196"/>
      <c r="F652" s="350">
        <f>F565</f>
        <v>0.24925</v>
      </c>
      <c r="G652" s="350">
        <f>$G$565</f>
        <v>0.24925</v>
      </c>
      <c r="H652" s="350">
        <f>$H$565</f>
        <v>0.24925</v>
      </c>
      <c r="I652" s="350">
        <f>$I$565</f>
        <v>0.24925120000000001</v>
      </c>
      <c r="J652" s="350">
        <f>$J$565</f>
        <v>0.24925</v>
      </c>
      <c r="K652" s="350">
        <f>$L$565</f>
        <v>0.24925</v>
      </c>
      <c r="L652" s="350">
        <f>$L$565</f>
        <v>0.24925</v>
      </c>
    </row>
    <row r="653" spans="1:12">
      <c r="A653" s="333">
        <v>30</v>
      </c>
      <c r="B653" s="332" t="s">
        <v>81</v>
      </c>
      <c r="D653" s="344"/>
      <c r="E653" s="196"/>
      <c r="F653" s="347">
        <f>ROUND(F652*F651,0)</f>
        <v>-767054</v>
      </c>
      <c r="G653" s="349">
        <f>F653-SUM(H653:J653)</f>
        <v>394955</v>
      </c>
      <c r="H653" s="347">
        <f>ROUND(H652*H651,0)</f>
        <v>-600610</v>
      </c>
      <c r="I653" s="347">
        <f>ROUND(I652*I651,0)</f>
        <v>-450581</v>
      </c>
      <c r="J653" s="347">
        <f>ROUND(J652*J651,0)</f>
        <v>-110818</v>
      </c>
      <c r="K653" s="347">
        <f>SUM(G653:J653)</f>
        <v>-767054</v>
      </c>
      <c r="L653" s="347">
        <f>ROUND(L652*L651,0)</f>
        <v>0</v>
      </c>
    </row>
    <row r="654" spans="1:12">
      <c r="A654" s="333">
        <v>31</v>
      </c>
      <c r="B654" s="332" t="s">
        <v>82</v>
      </c>
      <c r="D654" s="344"/>
      <c r="E654" s="196"/>
      <c r="F654" s="347">
        <f>F651-F653</f>
        <v>-2310393</v>
      </c>
      <c r="G654" s="347">
        <f>G651-G653</f>
        <v>1189611</v>
      </c>
      <c r="H654" s="347">
        <f>H651-H653</f>
        <v>-1809060</v>
      </c>
      <c r="I654" s="347">
        <f>I651-I653</f>
        <v>-1357158</v>
      </c>
      <c r="J654" s="347">
        <f>J651-J653</f>
        <v>-333788</v>
      </c>
      <c r="K654" s="347">
        <f>SUM(G654:J654)</f>
        <v>-2310395</v>
      </c>
      <c r="L654" s="347">
        <f>L651-L653</f>
        <v>-2</v>
      </c>
    </row>
    <row r="655" spans="1:12">
      <c r="A655" s="532"/>
      <c r="B655" s="584"/>
      <c r="C655" s="584"/>
      <c r="D655" s="736"/>
      <c r="E655" s="584"/>
      <c r="F655" s="532"/>
      <c r="G655" s="532"/>
      <c r="H655" s="532"/>
      <c r="I655" s="532"/>
      <c r="J655" s="532"/>
      <c r="K655" s="532"/>
      <c r="L655" s="532"/>
    </row>
    <row r="656" spans="1:12">
      <c r="A656" s="343" t="str">
        <f>co_name</f>
        <v>DUKE ENERGY KENTUCKY, INC.</v>
      </c>
      <c r="C656" s="196"/>
      <c r="D656" s="344"/>
      <c r="E656" s="196"/>
      <c r="F656" s="344"/>
      <c r="G656" s="342"/>
      <c r="H656" s="342"/>
      <c r="I656" s="196"/>
      <c r="K656" s="361" t="str">
        <f>$K$1</f>
        <v>FR-16(7)(v)-5</v>
      </c>
      <c r="L656" s="196"/>
    </row>
    <row r="657" spans="1:12">
      <c r="A657" s="343" t="str">
        <f>$A$2</f>
        <v>DISTRIBUTION DEMAND ALLOCATED - GAS COST OF SERVICE</v>
      </c>
      <c r="C657" s="196"/>
      <c r="D657" s="344"/>
      <c r="E657" s="196"/>
      <c r="F657" s="344"/>
      <c r="G657" s="342"/>
      <c r="H657" s="342"/>
      <c r="I657" s="196"/>
      <c r="K657" s="361" t="str">
        <f>$K$2</f>
        <v>WITNESS RESPONSIBLE:</v>
      </c>
      <c r="L657" s="196"/>
    </row>
    <row r="658" spans="1:12">
      <c r="A658" s="343" t="str">
        <f>case_name</f>
        <v>CASE NO: 2018-00261</v>
      </c>
      <c r="C658" s="196"/>
      <c r="D658" s="344"/>
      <c r="E658" s="196"/>
      <c r="F658" s="344"/>
      <c r="G658" s="342"/>
      <c r="H658" s="342"/>
      <c r="I658" s="196"/>
      <c r="K658" s="361" t="str">
        <f>Witness</f>
        <v>JAMES E. ZIOLKOWSKI</v>
      </c>
      <c r="L658" s="196"/>
    </row>
    <row r="659" spans="1:12">
      <c r="A659" s="343" t="str">
        <f>data_filing</f>
        <v>DATA: 12 MONTH FORECASTED PERIOD</v>
      </c>
      <c r="C659" s="196"/>
      <c r="D659" s="344"/>
      <c r="E659" s="196"/>
      <c r="F659" s="344"/>
      <c r="G659" s="342"/>
      <c r="H659" s="342"/>
      <c r="I659" s="196"/>
      <c r="K659" s="361" t="str">
        <f>"PAGE "&amp;Pages-3&amp;" OF "&amp;Pages</f>
        <v>PAGE 15 OF 18</v>
      </c>
      <c r="L659" s="196"/>
    </row>
    <row r="660" spans="1:12">
      <c r="A660" s="343" t="str">
        <f>type</f>
        <v xml:space="preserve">TYPE OF FILING: "X" ORIGINAL   UPDATED    REVISED  </v>
      </c>
      <c r="C660" s="196"/>
      <c r="D660" s="344"/>
      <c r="E660" s="196"/>
      <c r="F660" s="344"/>
      <c r="G660" s="342"/>
      <c r="H660" s="342"/>
      <c r="I660" s="196"/>
      <c r="J660" s="344"/>
      <c r="K660" s="196"/>
      <c r="L660" s="196"/>
    </row>
    <row r="661" spans="1:12">
      <c r="B661" s="343"/>
      <c r="C661" s="196"/>
      <c r="D661" s="344"/>
      <c r="E661" s="196"/>
      <c r="F661" s="344"/>
      <c r="G661" s="196"/>
      <c r="H661" s="196"/>
      <c r="I661" s="196"/>
      <c r="J661" s="344"/>
      <c r="K661" s="196"/>
      <c r="L661" s="196"/>
    </row>
    <row r="662" spans="1:12">
      <c r="B662" s="343"/>
      <c r="C662" s="196"/>
      <c r="D662" s="344"/>
      <c r="E662" s="196"/>
      <c r="F662" s="344" t="str">
        <f>$F$7</f>
        <v>TOTAL</v>
      </c>
      <c r="G662" s="196"/>
      <c r="H662" s="196"/>
      <c r="I662" s="196"/>
      <c r="J662" s="344"/>
      <c r="K662" s="196"/>
      <c r="L662" s="196"/>
    </row>
    <row r="663" spans="1:12">
      <c r="A663" s="344" t="s">
        <v>914</v>
      </c>
      <c r="B663" s="196"/>
      <c r="C663" s="196"/>
      <c r="D663" s="344"/>
      <c r="E663" s="196"/>
      <c r="F663" s="344" t="str">
        <f>$F$8</f>
        <v>DISTRIBUTION</v>
      </c>
      <c r="G663" s="344" t="s">
        <v>418</v>
      </c>
      <c r="H663" s="344" t="s">
        <v>864</v>
      </c>
      <c r="I663" s="344" t="s">
        <v>865</v>
      </c>
      <c r="J663" s="344" t="s">
        <v>549</v>
      </c>
      <c r="K663" s="344" t="s">
        <v>229</v>
      </c>
      <c r="L663" s="344" t="s">
        <v>342</v>
      </c>
    </row>
    <row r="664" spans="1:12">
      <c r="A664" s="346" t="s">
        <v>915</v>
      </c>
      <c r="B664" s="345" t="s">
        <v>83</v>
      </c>
      <c r="C664" s="345"/>
      <c r="D664" s="346" t="s">
        <v>337</v>
      </c>
      <c r="E664" s="345"/>
      <c r="F664" s="344" t="str">
        <f>$F$9</f>
        <v>DEMAND</v>
      </c>
      <c r="G664" s="346" t="s">
        <v>338</v>
      </c>
      <c r="H664" s="346" t="s">
        <v>405</v>
      </c>
      <c r="I664" s="346" t="s">
        <v>405</v>
      </c>
      <c r="J664" s="346" t="s">
        <v>550</v>
      </c>
      <c r="K664" s="346" t="s">
        <v>341</v>
      </c>
      <c r="L664" s="346" t="s">
        <v>340</v>
      </c>
    </row>
    <row r="665" spans="1:12">
      <c r="C665" s="578" t="s">
        <v>353</v>
      </c>
      <c r="D665" s="344"/>
      <c r="E665" s="196"/>
      <c r="F665" s="761"/>
      <c r="G665" s="633">
        <f>$G$10</f>
        <v>3</v>
      </c>
      <c r="H665" s="633">
        <f>$H$10</f>
        <v>4</v>
      </c>
      <c r="I665" s="633">
        <f>$I$10</f>
        <v>5</v>
      </c>
      <c r="J665" s="633">
        <f>$J$10</f>
        <v>6</v>
      </c>
    </row>
    <row r="666" spans="1:12">
      <c r="A666" s="333">
        <v>1</v>
      </c>
      <c r="B666" s="332" t="s">
        <v>84</v>
      </c>
      <c r="D666" s="344"/>
      <c r="E666" s="196"/>
      <c r="I666" s="332"/>
    </row>
    <row r="667" spans="1:12">
      <c r="A667" s="333">
        <v>2</v>
      </c>
      <c r="B667" s="332" t="s">
        <v>85</v>
      </c>
      <c r="D667" s="344"/>
      <c r="E667" s="196"/>
      <c r="G667" s="519" t="s">
        <v>339</v>
      </c>
      <c r="I667" s="332"/>
    </row>
    <row r="668" spans="1:12">
      <c r="A668" s="333">
        <v>3</v>
      </c>
      <c r="C668" s="332" t="str">
        <f>'FR-16(7)(v)-1 Functional'!C668</f>
        <v>LONG TERM DEBT</v>
      </c>
      <c r="D668" s="344"/>
      <c r="E668" s="196"/>
      <c r="F668" s="479">
        <f>'FR-16(7)(v)-1 Functional'!$F$668</f>
        <v>518128763</v>
      </c>
      <c r="G668" s="350">
        <f>IF($F$673=0,0,ROUND(F668/$F$673,5))</f>
        <v>0.42338999999999999</v>
      </c>
      <c r="I668" s="332"/>
    </row>
    <row r="669" spans="1:12">
      <c r="A669" s="333">
        <v>4</v>
      </c>
      <c r="C669" s="332" t="str">
        <f>'FR-16(7)(v)-1 Functional'!C669</f>
        <v>PREFERRED STOCK</v>
      </c>
      <c r="D669" s="344"/>
      <c r="E669" s="196"/>
      <c r="F669" s="479">
        <f>'FR-16(7)(v)-1 Functional'!$F$669</f>
        <v>0</v>
      </c>
      <c r="G669" s="350">
        <f>IF($F$673=0,0,ROUND(F669/$F$673,5))</f>
        <v>0</v>
      </c>
      <c r="I669" s="332"/>
    </row>
    <row r="670" spans="1:12">
      <c r="A670" s="333">
        <v>5</v>
      </c>
      <c r="C670" s="332" t="str">
        <f>'FR-16(7)(v)-1 Functional'!C670</f>
        <v>COMMON STOCK</v>
      </c>
      <c r="D670" s="344"/>
      <c r="E670" s="196"/>
      <c r="F670" s="479">
        <f>'FR-16(7)(v)-1 Functional'!$F$670</f>
        <v>621113054</v>
      </c>
      <c r="G670" s="350">
        <f>1-G668-G669-G671-G672</f>
        <v>0.50755000000000006</v>
      </c>
      <c r="I670" s="332"/>
    </row>
    <row r="671" spans="1:12">
      <c r="A671" s="333">
        <v>6</v>
      </c>
      <c r="C671" s="332" t="str">
        <f>'FR-16(7)(v)-1 Functional'!C671</f>
        <v>SHORT TERM DEBT</v>
      </c>
      <c r="D671" s="344"/>
      <c r="E671" s="196"/>
      <c r="F671" s="479">
        <f>'FR-16(7)(v)-1 Functional'!$F$671</f>
        <v>84508435</v>
      </c>
      <c r="G671" s="350">
        <f>IF($F$673=0,0,ROUND(F671/$F$673,5))</f>
        <v>6.9059999999999996E-2</v>
      </c>
      <c r="I671" s="332"/>
    </row>
    <row r="672" spans="1:12">
      <c r="A672" s="333">
        <v>7</v>
      </c>
      <c r="C672" s="332" t="str">
        <f>'FR-16(7)(v)-1 Functional'!C672</f>
        <v>UNAMORTIZED DISCOUNT</v>
      </c>
      <c r="D672" s="344"/>
      <c r="E672" s="196"/>
      <c r="F672" s="479">
        <f>'FR-16(7)(v)-1 Functional'!$F$672</f>
        <v>0</v>
      </c>
      <c r="G672" s="350">
        <f>IF($F$673=0,0,ROUND(F672/$F$673,5))</f>
        <v>0</v>
      </c>
      <c r="I672" s="332"/>
    </row>
    <row r="673" spans="1:9">
      <c r="A673" s="333">
        <v>8</v>
      </c>
      <c r="C673" s="332" t="str">
        <f>'FR-16(7)(v)-1 Functional'!C673</f>
        <v xml:space="preserve">  TOTAL</v>
      </c>
      <c r="D673" s="344"/>
      <c r="E673" s="196"/>
      <c r="F673" s="480">
        <f>SUM(F667:F672)</f>
        <v>1223750252</v>
      </c>
      <c r="G673" s="521">
        <f>SUM(G668:G672)</f>
        <v>1</v>
      </c>
      <c r="I673" s="332"/>
    </row>
    <row r="674" spans="1:9">
      <c r="A674" s="333">
        <v>9</v>
      </c>
      <c r="D674" s="344"/>
      <c r="E674" s="196"/>
      <c r="I674" s="332"/>
    </row>
    <row r="675" spans="1:9">
      <c r="A675" s="333">
        <v>10</v>
      </c>
      <c r="B675" s="332" t="s">
        <v>86</v>
      </c>
      <c r="D675" s="344"/>
      <c r="E675" s="196"/>
      <c r="I675" s="332"/>
    </row>
    <row r="676" spans="1:9">
      <c r="A676" s="333">
        <v>11</v>
      </c>
      <c r="C676" s="332" t="str">
        <f>'FR-16(7)(v)-1 Functional'!C676</f>
        <v>LONG TERM DEBT</v>
      </c>
      <c r="D676" s="344"/>
      <c r="E676" s="196"/>
      <c r="F676" s="586">
        <f>'FR-16(7)(v)-1 Functional'!$F$676</f>
        <v>4.3979999999999998E-2</v>
      </c>
      <c r="G676" s="522"/>
      <c r="I676" s="332"/>
    </row>
    <row r="677" spans="1:9">
      <c r="A677" s="333">
        <v>12</v>
      </c>
      <c r="C677" s="332" t="str">
        <f>'FR-16(7)(v)-1 Functional'!C677</f>
        <v>PREFERRED STOCK</v>
      </c>
      <c r="D677" s="344"/>
      <c r="E677" s="196"/>
      <c r="F677" s="586">
        <f>'FR-16(7)(v)-1 Functional'!$F$677</f>
        <v>0</v>
      </c>
      <c r="G677" s="522"/>
      <c r="I677" s="332"/>
    </row>
    <row r="678" spans="1:9">
      <c r="A678" s="333">
        <v>13</v>
      </c>
      <c r="C678" s="332" t="str">
        <f>'FR-16(7)(v)-1 Functional'!C678</f>
        <v>COMMON STOCK</v>
      </c>
      <c r="D678" s="344"/>
      <c r="E678" s="196"/>
      <c r="F678" s="586">
        <f>'FR-16(7)(v)-1 Functional'!$F$678</f>
        <v>9.9000000000000005E-2</v>
      </c>
      <c r="G678" s="522"/>
      <c r="I678" s="332"/>
    </row>
    <row r="679" spans="1:9">
      <c r="A679" s="333">
        <v>14</v>
      </c>
      <c r="C679" s="332" t="str">
        <f>'FR-16(7)(v)-1 Functional'!C679</f>
        <v>SHORT TERM DEBT</v>
      </c>
      <c r="D679" s="344"/>
      <c r="E679" s="196"/>
      <c r="F679" s="586">
        <f>'FR-16(7)(v)-1 Functional'!$F$679</f>
        <v>4.2500000000000003E-2</v>
      </c>
      <c r="G679" s="522"/>
      <c r="I679" s="332"/>
    </row>
    <row r="680" spans="1:9">
      <c r="A680" s="333">
        <v>15</v>
      </c>
      <c r="C680" s="332" t="str">
        <f>'FR-16(7)(v)-1 Functional'!C680</f>
        <v>UNAMORTIZED DISCOUNT</v>
      </c>
      <c r="D680" s="344"/>
      <c r="E680" s="196"/>
      <c r="F680" s="586">
        <f>'FR-16(7)(v)-1 Functional'!$F$680</f>
        <v>0</v>
      </c>
      <c r="G680" s="522"/>
      <c r="I680" s="332"/>
    </row>
    <row r="681" spans="1:9">
      <c r="A681" s="333">
        <v>16</v>
      </c>
      <c r="D681" s="344"/>
      <c r="E681" s="196"/>
      <c r="I681" s="332"/>
    </row>
    <row r="682" spans="1:9">
      <c r="A682" s="333">
        <v>17</v>
      </c>
      <c r="B682" s="332" t="s">
        <v>87</v>
      </c>
      <c r="D682" s="344"/>
      <c r="E682" s="196"/>
      <c r="I682" s="332"/>
    </row>
    <row r="683" spans="1:9">
      <c r="A683" s="333">
        <v>18</v>
      </c>
      <c r="C683" s="332" t="str">
        <f>'FR-16(7)(v)-1 Functional'!C683</f>
        <v>LONG TERM DEBT</v>
      </c>
      <c r="D683" s="344"/>
      <c r="E683" s="196"/>
      <c r="F683" s="350">
        <f>ROUND(G668*F676,5)</f>
        <v>1.8620000000000001E-2</v>
      </c>
      <c r="G683" s="520"/>
      <c r="I683" s="332"/>
    </row>
    <row r="684" spans="1:9">
      <c r="A684" s="333">
        <v>19</v>
      </c>
      <c r="C684" s="332" t="str">
        <f>'FR-16(7)(v)-1 Functional'!C684</f>
        <v>PREFERRED STOCK</v>
      </c>
      <c r="D684" s="344"/>
      <c r="E684" s="196"/>
      <c r="F684" s="350">
        <f>ROUND(G669*F677,5)</f>
        <v>0</v>
      </c>
      <c r="G684" s="520"/>
      <c r="I684" s="332"/>
    </row>
    <row r="685" spans="1:9">
      <c r="A685" s="333">
        <v>20</v>
      </c>
      <c r="C685" s="332" t="str">
        <f>'FR-16(7)(v)-1 Functional'!C685</f>
        <v>COMMON STOCK</v>
      </c>
      <c r="D685" s="344"/>
      <c r="E685" s="196"/>
      <c r="F685" s="350">
        <f>ROUND(G670*F678,5)</f>
        <v>5.0250000000000003E-2</v>
      </c>
      <c r="G685" s="520"/>
      <c r="I685" s="332"/>
    </row>
    <row r="686" spans="1:9">
      <c r="A686" s="333">
        <v>21</v>
      </c>
      <c r="C686" s="332" t="str">
        <f>'FR-16(7)(v)-1 Functional'!C686</f>
        <v>SHORT TERM DEBT</v>
      </c>
      <c r="D686" s="344"/>
      <c r="E686" s="196"/>
      <c r="F686" s="350">
        <f>ROUND(G671*F679,5)</f>
        <v>2.9399999999999999E-3</v>
      </c>
      <c r="G686" s="520"/>
      <c r="I686" s="332"/>
    </row>
    <row r="687" spans="1:9">
      <c r="A687" s="333">
        <v>22</v>
      </c>
      <c r="C687" s="332" t="str">
        <f>'FR-16(7)(v)-1 Functional'!C687</f>
        <v>UNAMORTIZED DISCOUNT</v>
      </c>
      <c r="D687" s="344"/>
      <c r="E687" s="196"/>
      <c r="F687" s="350">
        <f>ROUND(G672*F680,5)</f>
        <v>0</v>
      </c>
      <c r="G687" s="520"/>
      <c r="H687" s="353"/>
      <c r="I687" s="332"/>
    </row>
    <row r="688" spans="1:9">
      <c r="A688" s="333">
        <v>23</v>
      </c>
      <c r="C688" s="332" t="str">
        <f>'FR-16(7)(v)-1 Functional'!C688</f>
        <v xml:space="preserve">  TOT RATE OF RETURN ALLOWABLE</v>
      </c>
      <c r="D688" s="344"/>
      <c r="E688" s="196"/>
      <c r="F688" s="1487">
        <f>SUM(F683:F687)</f>
        <v>7.1809999999999999E-2</v>
      </c>
      <c r="G688" s="524"/>
      <c r="H688" s="353"/>
      <c r="I688" s="332"/>
    </row>
    <row r="689" spans="1:17">
      <c r="A689" s="333">
        <v>24</v>
      </c>
      <c r="D689" s="344"/>
      <c r="E689" s="196"/>
      <c r="H689" s="353"/>
      <c r="I689" s="332"/>
    </row>
    <row r="690" spans="1:17">
      <c r="A690" s="333">
        <v>25</v>
      </c>
      <c r="B690" s="332" t="s">
        <v>88</v>
      </c>
      <c r="D690" s="344"/>
      <c r="E690" s="196"/>
      <c r="F690" s="365"/>
      <c r="H690" s="353"/>
      <c r="I690" s="332"/>
    </row>
    <row r="691" spans="1:17">
      <c r="A691" s="333">
        <v>26</v>
      </c>
      <c r="C691" s="332" t="str">
        <f>'FR-16(7)(v)-1 Functional'!C691</f>
        <v>SHORT TERM DEBT COST</v>
      </c>
      <c r="D691" s="344"/>
      <c r="E691" s="196"/>
      <c r="F691" s="766">
        <v>0</v>
      </c>
      <c r="G691" s="525">
        <f t="shared" ref="G691:L691" si="185">$F$691</f>
        <v>0</v>
      </c>
      <c r="H691" s="525">
        <f t="shared" si="185"/>
        <v>0</v>
      </c>
      <c r="I691" s="525">
        <f t="shared" si="185"/>
        <v>0</v>
      </c>
      <c r="J691" s="525">
        <f t="shared" si="185"/>
        <v>0</v>
      </c>
      <c r="K691" s="525">
        <f t="shared" si="185"/>
        <v>0</v>
      </c>
      <c r="L691" s="525">
        <f t="shared" si="185"/>
        <v>0</v>
      </c>
    </row>
    <row r="692" spans="1:17">
      <c r="A692" s="333">
        <v>27</v>
      </c>
      <c r="C692" s="332" t="str">
        <f>'FR-16(7)(v)-1 Functional'!C692</f>
        <v>FEDERAL INCOME TAX RATE</v>
      </c>
      <c r="D692" s="344"/>
      <c r="E692" s="196"/>
      <c r="F692" s="525">
        <f t="shared" ref="F692:L692" si="186">FIT</f>
        <v>0.21</v>
      </c>
      <c r="G692" s="525">
        <f t="shared" si="186"/>
        <v>0.21</v>
      </c>
      <c r="H692" s="525">
        <f t="shared" si="186"/>
        <v>0.21</v>
      </c>
      <c r="I692" s="525">
        <f t="shared" si="186"/>
        <v>0.21</v>
      </c>
      <c r="J692" s="525">
        <f t="shared" si="186"/>
        <v>0.21</v>
      </c>
      <c r="K692" s="525">
        <f t="shared" si="186"/>
        <v>0.21</v>
      </c>
      <c r="L692" s="525">
        <f t="shared" si="186"/>
        <v>0.21</v>
      </c>
    </row>
    <row r="693" spans="1:17">
      <c r="A693" s="333">
        <v>28</v>
      </c>
      <c r="C693" s="332" t="str">
        <f>'FR-16(7)(v)-1 Functional'!C693</f>
        <v>STATE INCOME TAX RATE</v>
      </c>
      <c r="D693" s="344"/>
      <c r="E693" s="196"/>
      <c r="F693" s="525">
        <f t="shared" ref="F693:L693" si="187">SIT</f>
        <v>4.9685000000000007E-2</v>
      </c>
      <c r="G693" s="525">
        <f t="shared" si="187"/>
        <v>4.9685000000000007E-2</v>
      </c>
      <c r="H693" s="525">
        <f t="shared" si="187"/>
        <v>4.9685000000000007E-2</v>
      </c>
      <c r="I693" s="525">
        <f t="shared" si="187"/>
        <v>4.9685000000000007E-2</v>
      </c>
      <c r="J693" s="525">
        <f t="shared" si="187"/>
        <v>4.9685000000000007E-2</v>
      </c>
      <c r="K693" s="525">
        <f t="shared" si="187"/>
        <v>4.9685000000000007E-2</v>
      </c>
      <c r="L693" s="525">
        <f t="shared" si="187"/>
        <v>4.9685000000000007E-2</v>
      </c>
    </row>
    <row r="694" spans="1:17">
      <c r="A694" s="333">
        <v>29</v>
      </c>
      <c r="C694" s="332" t="str">
        <f>'FR-16(7)(v)-1 Functional'!C694</f>
        <v>REVENUE TAX RATE</v>
      </c>
      <c r="D694" s="344"/>
      <c r="E694" s="196"/>
      <c r="F694" s="522">
        <v>0</v>
      </c>
      <c r="G694" s="525">
        <f t="shared" ref="G694:L694" si="188">RevTax</f>
        <v>0</v>
      </c>
      <c r="H694" s="525">
        <f t="shared" si="188"/>
        <v>0</v>
      </c>
      <c r="I694" s="525">
        <f t="shared" si="188"/>
        <v>0</v>
      </c>
      <c r="J694" s="525">
        <f t="shared" si="188"/>
        <v>0</v>
      </c>
      <c r="K694" s="525">
        <f t="shared" si="188"/>
        <v>0</v>
      </c>
      <c r="L694" s="525">
        <f t="shared" si="188"/>
        <v>0</v>
      </c>
    </row>
    <row r="695" spans="1:17">
      <c r="A695" s="196"/>
      <c r="B695" s="196"/>
      <c r="C695" s="196"/>
      <c r="D695" s="344"/>
      <c r="E695" s="344"/>
      <c r="H695" s="353"/>
      <c r="J695" s="588"/>
      <c r="K695" s="353"/>
      <c r="M695" s="196"/>
      <c r="N695" s="196"/>
      <c r="O695" s="196"/>
      <c r="P695" s="196"/>
      <c r="Q695" s="196"/>
    </row>
    <row r="696" spans="1:17">
      <c r="A696" s="343" t="str">
        <f>co_name</f>
        <v>DUKE ENERGY KENTUCKY, INC.</v>
      </c>
      <c r="C696" s="196"/>
      <c r="D696" s="344"/>
      <c r="E696" s="196"/>
      <c r="F696" s="344"/>
      <c r="G696" s="342"/>
      <c r="H696" s="342"/>
      <c r="I696" s="196"/>
      <c r="K696" s="361" t="str">
        <f>$K$1</f>
        <v>FR-16(7)(v)-5</v>
      </c>
      <c r="M696" s="196"/>
      <c r="N696" s="196"/>
      <c r="O696" s="196"/>
      <c r="P696" s="196"/>
      <c r="Q696" s="196"/>
    </row>
    <row r="697" spans="1:17">
      <c r="A697" s="343" t="str">
        <f>$A$2</f>
        <v>DISTRIBUTION DEMAND ALLOCATED - GAS COST OF SERVICE</v>
      </c>
      <c r="C697" s="196"/>
      <c r="D697" s="344"/>
      <c r="E697" s="196"/>
      <c r="F697" s="344"/>
      <c r="G697" s="342"/>
      <c r="H697" s="342"/>
      <c r="I697" s="196"/>
      <c r="K697" s="361" t="str">
        <f>$K$2</f>
        <v>WITNESS RESPONSIBLE:</v>
      </c>
      <c r="M697" s="196"/>
      <c r="N697" s="196"/>
      <c r="O697" s="196"/>
      <c r="P697" s="196"/>
      <c r="Q697" s="196"/>
    </row>
    <row r="698" spans="1:17">
      <c r="A698" s="343" t="str">
        <f>case_name</f>
        <v>CASE NO: 2018-00261</v>
      </c>
      <c r="C698" s="196"/>
      <c r="D698" s="344"/>
      <c r="E698" s="196"/>
      <c r="F698" s="344"/>
      <c r="G698" s="342"/>
      <c r="H698" s="342"/>
      <c r="I698" s="196"/>
      <c r="K698" s="361" t="str">
        <f>Witness</f>
        <v>JAMES E. ZIOLKOWSKI</v>
      </c>
      <c r="M698" s="196"/>
      <c r="N698" s="196"/>
      <c r="O698" s="196"/>
      <c r="P698" s="196"/>
      <c r="Q698" s="196"/>
    </row>
    <row r="699" spans="1:17">
      <c r="A699" s="343" t="str">
        <f>data_filing</f>
        <v>DATA: 12 MONTH FORECASTED PERIOD</v>
      </c>
      <c r="C699" s="196"/>
      <c r="D699" s="344"/>
      <c r="E699" s="196"/>
      <c r="F699" s="344"/>
      <c r="G699" s="342"/>
      <c r="H699" s="342"/>
      <c r="I699" s="196"/>
      <c r="K699" s="361" t="str">
        <f>"PAGE "&amp;Pages-2&amp;" OF "&amp;Pages</f>
        <v>PAGE 16 OF 18</v>
      </c>
      <c r="M699" s="196"/>
      <c r="N699" s="196"/>
      <c r="O699" s="196"/>
      <c r="P699" s="196"/>
      <c r="Q699" s="196"/>
    </row>
    <row r="700" spans="1:17">
      <c r="A700" s="343" t="str">
        <f>type</f>
        <v xml:space="preserve">TYPE OF FILING: "X" ORIGINAL   UPDATED    REVISED  </v>
      </c>
      <c r="C700" s="196"/>
      <c r="D700" s="344"/>
      <c r="E700" s="196"/>
      <c r="F700" s="344"/>
      <c r="G700" s="342"/>
      <c r="H700" s="342"/>
      <c r="I700" s="196"/>
      <c r="J700" s="344"/>
      <c r="K700" s="196"/>
      <c r="M700" s="196"/>
      <c r="N700" s="196"/>
      <c r="O700" s="196"/>
      <c r="P700" s="196"/>
      <c r="Q700" s="196"/>
    </row>
    <row r="701" spans="1:17">
      <c r="A701" s="196"/>
      <c r="B701" s="196"/>
      <c r="C701" s="196"/>
      <c r="D701" s="344"/>
      <c r="E701" s="344"/>
      <c r="F701" s="344"/>
      <c r="H701" s="353"/>
      <c r="J701" s="588"/>
      <c r="K701" s="353"/>
      <c r="M701" s="196"/>
      <c r="N701" s="196"/>
      <c r="O701" s="196"/>
      <c r="P701" s="196"/>
      <c r="Q701" s="196"/>
    </row>
    <row r="702" spans="1:17" ht="13.5" thickBot="1">
      <c r="A702" s="196"/>
      <c r="B702" s="196"/>
      <c r="C702" s="196"/>
      <c r="D702" s="344"/>
      <c r="E702" s="344"/>
      <c r="F702" s="344" t="str">
        <f>$F$7</f>
        <v>TOTAL</v>
      </c>
      <c r="H702" s="353"/>
      <c r="J702" s="588"/>
      <c r="K702" s="353"/>
      <c r="M702" s="196"/>
      <c r="N702" s="196"/>
      <c r="O702" s="196"/>
      <c r="P702" s="196"/>
      <c r="Q702" s="196"/>
    </row>
    <row r="703" spans="1:17">
      <c r="A703" s="344" t="s">
        <v>914</v>
      </c>
      <c r="B703" s="196"/>
      <c r="C703" s="196"/>
      <c r="D703" s="344"/>
      <c r="E703" s="344"/>
      <c r="F703" s="344" t="str">
        <f>$F$8</f>
        <v>DISTRIBUTION</v>
      </c>
      <c r="G703" s="589" t="str">
        <f>$G$8</f>
        <v>RS</v>
      </c>
      <c r="H703" s="588" t="s">
        <v>864</v>
      </c>
      <c r="I703" s="588" t="s">
        <v>865</v>
      </c>
      <c r="J703" s="588" t="str">
        <f>$J$8</f>
        <v>INTERUPT</v>
      </c>
      <c r="K703" s="588" t="s">
        <v>229</v>
      </c>
      <c r="L703" s="589" t="s">
        <v>342</v>
      </c>
      <c r="M703" s="196"/>
      <c r="N703" s="196"/>
      <c r="P703" s="751" t="s">
        <v>1009</v>
      </c>
      <c r="Q703" s="196"/>
    </row>
    <row r="704" spans="1:17">
      <c r="A704" s="346" t="s">
        <v>915</v>
      </c>
      <c r="B704" s="590" t="s">
        <v>89</v>
      </c>
      <c r="C704" s="345"/>
      <c r="D704" s="591" t="s">
        <v>1011</v>
      </c>
      <c r="E704" s="591" t="s">
        <v>337</v>
      </c>
      <c r="F704" s="344" t="str">
        <f>$F$9</f>
        <v>DEMAND</v>
      </c>
      <c r="G704" s="592" t="str">
        <f>$G$9</f>
        <v>RESIDENTIAL</v>
      </c>
      <c r="H704" s="593" t="str">
        <f>$H$9</f>
        <v>GEN SERV</v>
      </c>
      <c r="I704" s="593" t="str">
        <f>H9</f>
        <v>GEN SERV</v>
      </c>
      <c r="J704" s="593" t="str">
        <f>$J$9</f>
        <v>TRANS</v>
      </c>
      <c r="K704" s="593" t="s">
        <v>341</v>
      </c>
      <c r="L704" s="592" t="s">
        <v>340</v>
      </c>
      <c r="M704" s="196"/>
      <c r="N704" s="196"/>
      <c r="P704" s="752" t="s">
        <v>1008</v>
      </c>
      <c r="Q704" s="196"/>
    </row>
    <row r="705" spans="1:17">
      <c r="A705" s="196"/>
      <c r="B705" s="594"/>
      <c r="C705" s="845" t="s">
        <v>561</v>
      </c>
      <c r="D705" s="718"/>
      <c r="E705" s="788">
        <v>1</v>
      </c>
      <c r="F705" s="827">
        <v>2</v>
      </c>
      <c r="G705" s="633">
        <v>3</v>
      </c>
      <c r="H705" s="633">
        <v>4</v>
      </c>
      <c r="I705" s="633">
        <v>5</v>
      </c>
      <c r="J705" s="633">
        <v>6</v>
      </c>
      <c r="K705" s="595"/>
      <c r="L705" s="596"/>
      <c r="M705" s="368"/>
      <c r="N705" s="196"/>
      <c r="P705" s="753"/>
      <c r="Q705" s="368"/>
    </row>
    <row r="706" spans="1:17">
      <c r="A706" s="344">
        <v>1</v>
      </c>
      <c r="B706" s="597" t="s">
        <v>90</v>
      </c>
      <c r="C706" s="490"/>
      <c r="D706" s="712"/>
      <c r="E706" s="712"/>
      <c r="F706" s="510"/>
      <c r="G706" s="510"/>
      <c r="H706" s="490"/>
      <c r="I706" s="510"/>
      <c r="J706" s="510"/>
      <c r="K706" s="510"/>
      <c r="L706" s="510"/>
      <c r="N706" s="196"/>
      <c r="P706" s="754"/>
    </row>
    <row r="707" spans="1:17">
      <c r="A707" s="344">
        <v>2</v>
      </c>
      <c r="C707" s="598" t="s">
        <v>221</v>
      </c>
      <c r="D707" s="723" t="s">
        <v>1012</v>
      </c>
      <c r="E707" s="713"/>
      <c r="F707" s="479">
        <f>'Alloc Factors Summary'!$D$16</f>
        <v>10485450</v>
      </c>
      <c r="G707" s="479">
        <f>'Alloc Factors Summary'!$D12</f>
        <v>5314682</v>
      </c>
      <c r="H707" s="479">
        <f>'Alloc Factors Summary'!$D13</f>
        <v>3027396</v>
      </c>
      <c r="I707" s="479">
        <f>'Alloc Factors Summary'!D14</f>
        <v>2143372</v>
      </c>
      <c r="J707" s="479">
        <f>'Alloc Factors Summary'!D15</f>
        <v>0</v>
      </c>
      <c r="K707" s="349">
        <f t="shared" ref="K707:K742" si="189">SUM(G707:J707)</f>
        <v>10485450</v>
      </c>
      <c r="L707" s="349">
        <f t="shared" ref="L707:L742" si="190">F707-K707</f>
        <v>0</v>
      </c>
      <c r="M707" s="196"/>
      <c r="N707" s="196"/>
      <c r="P707" s="753"/>
      <c r="Q707" s="196"/>
    </row>
    <row r="708" spans="1:17">
      <c r="A708" s="344">
        <v>3</v>
      </c>
      <c r="B708" s="196"/>
      <c r="C708" s="497" t="s">
        <v>355</v>
      </c>
      <c r="D708" s="589"/>
      <c r="E708" s="714" t="str">
        <f>'FR-16(7)(v)-1 Functional'!$E$708</f>
        <v>K201</v>
      </c>
      <c r="F708" s="356">
        <f>IF($F707=0,0,ROUND(F707/$F707,9))</f>
        <v>1</v>
      </c>
      <c r="G708" s="356">
        <f>IF($L707=0,F708-SUM(H708:J708),ROUND(G707/$F707,5))</f>
        <v>0.50687000000000004</v>
      </c>
      <c r="H708" s="356">
        <f>IF($F707=0,0,ROUND(H707/$F707,5))</f>
        <v>0.28871999999999998</v>
      </c>
      <c r="I708" s="356">
        <f>IF(F707=0,0,ROUND(I707/F707,5))</f>
        <v>0.20441000000000001</v>
      </c>
      <c r="J708" s="356">
        <f>IF(G707=0,0,ROUND(J707/F707,5))</f>
        <v>0</v>
      </c>
      <c r="K708" s="356">
        <f t="shared" si="189"/>
        <v>1</v>
      </c>
      <c r="L708" s="356">
        <f t="shared" si="190"/>
        <v>0</v>
      </c>
      <c r="M708" s="196"/>
      <c r="N708" s="196"/>
      <c r="P708" s="755">
        <f>K708</f>
        <v>1</v>
      </c>
      <c r="Q708" s="196"/>
    </row>
    <row r="709" spans="1:17">
      <c r="A709" s="344">
        <v>4</v>
      </c>
      <c r="C709" s="598" t="s">
        <v>862</v>
      </c>
      <c r="D709" s="723" t="s">
        <v>1012</v>
      </c>
      <c r="E709" s="729"/>
      <c r="F709" s="604">
        <v>100</v>
      </c>
      <c r="G709" s="586">
        <f>ROUND('Alloc Factors Summary'!$D$21*100,3)</f>
        <v>56.466999999999999</v>
      </c>
      <c r="H709" s="586">
        <f>ROUND('Alloc Factors Summary'!$D$22*100,3)</f>
        <v>29.523</v>
      </c>
      <c r="I709" s="586">
        <f>ROUND('Alloc Factors Summary'!D23*100,3)</f>
        <v>10.913</v>
      </c>
      <c r="J709" s="586">
        <f>ROUND('Alloc Factors Summary'!D24*100,3)</f>
        <v>3.097</v>
      </c>
      <c r="K709" s="356">
        <f t="shared" si="189"/>
        <v>99.999999999999986</v>
      </c>
      <c r="L709" s="356">
        <f t="shared" si="190"/>
        <v>0</v>
      </c>
      <c r="N709" s="196"/>
      <c r="P709" s="754"/>
    </row>
    <row r="710" spans="1:17">
      <c r="A710" s="344">
        <v>5</v>
      </c>
      <c r="B710" s="196"/>
      <c r="C710" s="497" t="s">
        <v>355</v>
      </c>
      <c r="D710" s="589"/>
      <c r="E710" s="714" t="str">
        <f>'FR-16(7)(v)-1 Functional'!$E$710</f>
        <v>K203</v>
      </c>
      <c r="F710" s="356">
        <f>IF($F709=0,0,ROUND(F709/$F709,9))</f>
        <v>1</v>
      </c>
      <c r="G710" s="356">
        <f>IF($L709=0,F710-SUM(H710:J710),ROUND(G709/$F709,5))</f>
        <v>0.56467000000000001</v>
      </c>
      <c r="H710" s="356">
        <f>IF($F709=0,0,ROUND(H709/$F709,5))</f>
        <v>0.29522999999999999</v>
      </c>
      <c r="I710" s="356">
        <f>IF(F709=0,0,ROUND(I709/F709,5))</f>
        <v>0.10913</v>
      </c>
      <c r="J710" s="356">
        <f>IF(G709=0,0,ROUND(J709/F709,5))</f>
        <v>3.0970000000000001E-2</v>
      </c>
      <c r="K710" s="356">
        <f t="shared" si="189"/>
        <v>1</v>
      </c>
      <c r="L710" s="356">
        <f t="shared" si="190"/>
        <v>0</v>
      </c>
      <c r="M710" s="196"/>
      <c r="N710" s="196"/>
      <c r="P710" s="755">
        <f>K710</f>
        <v>1</v>
      </c>
      <c r="Q710" s="196"/>
    </row>
    <row r="711" spans="1:17">
      <c r="A711" s="344">
        <v>6</v>
      </c>
      <c r="C711" s="598" t="s">
        <v>863</v>
      </c>
      <c r="D711" s="723" t="s">
        <v>1012</v>
      </c>
      <c r="E711" s="729"/>
      <c r="F711" s="604">
        <v>100</v>
      </c>
      <c r="G711" s="586">
        <f>ROUND('Alloc Factors Summary'!$E21*100,3)</f>
        <v>58.337000000000003</v>
      </c>
      <c r="H711" s="586">
        <f>ROUND('Alloc Factors Summary'!$E22*100,3)</f>
        <v>30.48</v>
      </c>
      <c r="I711" s="586">
        <f>ROUND('Alloc Factors Summary'!E23*100,3)</f>
        <v>11.183</v>
      </c>
      <c r="J711" s="586">
        <f>ROUND('Alloc Factors Summary'!E24*100,3)</f>
        <v>0</v>
      </c>
      <c r="K711" s="356">
        <f t="shared" si="189"/>
        <v>100</v>
      </c>
      <c r="L711" s="356">
        <f t="shared" si="190"/>
        <v>0</v>
      </c>
      <c r="N711" s="196"/>
      <c r="P711" s="754"/>
    </row>
    <row r="712" spans="1:17">
      <c r="A712" s="344">
        <v>7</v>
      </c>
      <c r="B712" s="196"/>
      <c r="C712" s="497" t="s">
        <v>355</v>
      </c>
      <c r="D712" s="589"/>
      <c r="E712" s="714" t="str">
        <f>'FR-16(7)(v)-1 Functional'!$E$712</f>
        <v>K205</v>
      </c>
      <c r="F712" s="356">
        <f>IF($F711=0,0,ROUND(F711/$F711,9))</f>
        <v>1</v>
      </c>
      <c r="G712" s="356">
        <f>IF($L711=0,F712-SUM(H712:J712),ROUND(G711/$F711,5))</f>
        <v>0.58336999999999994</v>
      </c>
      <c r="H712" s="356">
        <f>IF($F711=0,0,ROUND(H711/$F711,5))</f>
        <v>0.30480000000000002</v>
      </c>
      <c r="I712" s="356">
        <f>IF(F711=0,0,ROUND(I711/F711,5))</f>
        <v>0.11183</v>
      </c>
      <c r="J712" s="356">
        <f>IF(G711=0,0,ROUND(J711/F711,5))</f>
        <v>0</v>
      </c>
      <c r="K712" s="356">
        <f t="shared" si="189"/>
        <v>0.99999999999999989</v>
      </c>
      <c r="L712" s="356">
        <f t="shared" si="190"/>
        <v>0</v>
      </c>
      <c r="M712" s="196"/>
      <c r="N712" s="196"/>
      <c r="P712" s="755">
        <f>K712</f>
        <v>0.99999999999999989</v>
      </c>
      <c r="Q712" s="196"/>
    </row>
    <row r="713" spans="1:17">
      <c r="A713" s="344">
        <v>8</v>
      </c>
      <c r="B713" s="196"/>
      <c r="C713" s="598" t="s">
        <v>406</v>
      </c>
      <c r="D713" s="723" t="s">
        <v>1012</v>
      </c>
      <c r="E713" s="729"/>
      <c r="F713" s="479">
        <f>'Alloc Factors Summary'!$D$34</f>
        <v>12030761</v>
      </c>
      <c r="G713" s="479">
        <f>'Alloc Factors Summary'!$D30</f>
        <v>5314682</v>
      </c>
      <c r="H713" s="479">
        <f>'Alloc Factors Summary'!$D31</f>
        <v>3027396</v>
      </c>
      <c r="I713" s="479">
        <f>'Alloc Factors Summary'!D32</f>
        <v>2143372</v>
      </c>
      <c r="J713" s="479">
        <f>'Alloc Factors Summary'!D33</f>
        <v>1545311</v>
      </c>
      <c r="K713" s="349">
        <f t="shared" si="189"/>
        <v>12030761</v>
      </c>
      <c r="L713" s="349">
        <f t="shared" si="190"/>
        <v>0</v>
      </c>
      <c r="M713" s="196"/>
      <c r="N713" s="196"/>
      <c r="P713" s="753"/>
      <c r="Q713" s="196"/>
    </row>
    <row r="714" spans="1:17">
      <c r="A714" s="344">
        <v>9</v>
      </c>
      <c r="B714" s="196"/>
      <c r="C714" s="497" t="s">
        <v>355</v>
      </c>
      <c r="D714" s="589"/>
      <c r="E714" s="714" t="str">
        <f>'FR-16(7)(v)-1 Functional'!$E$714</f>
        <v>K300</v>
      </c>
      <c r="F714" s="356">
        <f>IF($F713=0,0,ROUND(F713/$F713,9))</f>
        <v>1</v>
      </c>
      <c r="G714" s="356">
        <f>IF($L713=0,F714-SUM(H714:J714),ROUND(G713/$F713,5))</f>
        <v>0.44175000000000009</v>
      </c>
      <c r="H714" s="356">
        <f>IF($F713=0,0,ROUND(H713/$F713,5))</f>
        <v>0.25163999999999997</v>
      </c>
      <c r="I714" s="356">
        <f>IF(F713=0,0,ROUND(I713/F713,5))</f>
        <v>0.17816000000000001</v>
      </c>
      <c r="J714" s="356">
        <f>IF(G713=0,0,ROUND(J713/F713,5))</f>
        <v>0.12845000000000001</v>
      </c>
      <c r="K714" s="356">
        <f t="shared" si="189"/>
        <v>1</v>
      </c>
      <c r="L714" s="356">
        <f t="shared" si="190"/>
        <v>0</v>
      </c>
      <c r="M714" s="196"/>
      <c r="N714" s="196"/>
      <c r="P714" s="755">
        <f>K714</f>
        <v>1</v>
      </c>
      <c r="Q714" s="196"/>
    </row>
    <row r="715" spans="1:17">
      <c r="A715" s="344">
        <v>10</v>
      </c>
      <c r="C715" s="598" t="s">
        <v>375</v>
      </c>
      <c r="D715" s="723" t="s">
        <v>1012</v>
      </c>
      <c r="E715" s="729"/>
      <c r="F715" s="479">
        <f>'Alloc Factors Summary'!$D$43</f>
        <v>10485450</v>
      </c>
      <c r="G715" s="479">
        <f>'Alloc Factors Summary'!D39</f>
        <v>5314682</v>
      </c>
      <c r="H715" s="479">
        <f>'Alloc Factors Summary'!D40</f>
        <v>3027396</v>
      </c>
      <c r="I715" s="479">
        <f>'Alloc Factors Summary'!D41</f>
        <v>2143372</v>
      </c>
      <c r="J715" s="479">
        <f>'Alloc Factors Summary'!D42</f>
        <v>0</v>
      </c>
      <c r="K715" s="349">
        <f t="shared" si="189"/>
        <v>10485450</v>
      </c>
      <c r="L715" s="349">
        <f t="shared" si="190"/>
        <v>0</v>
      </c>
      <c r="N715" s="196"/>
      <c r="P715" s="754"/>
    </row>
    <row r="716" spans="1:17">
      <c r="A716" s="344">
        <v>11</v>
      </c>
      <c r="B716" s="196"/>
      <c r="C716" s="497" t="s">
        <v>355</v>
      </c>
      <c r="D716" s="589"/>
      <c r="E716" s="714" t="str">
        <f>'FR-16(7)(v)-1 Functional'!$E$716</f>
        <v>K301</v>
      </c>
      <c r="F716" s="356">
        <f>IF($F715=0,0,ROUND(F715/$F715,9))</f>
        <v>1</v>
      </c>
      <c r="G716" s="356">
        <f>IF($L715=0,F716-SUM(H716:J716),ROUND(G715/$F715,5))</f>
        <v>0.50687000000000004</v>
      </c>
      <c r="H716" s="356">
        <f>IF($F715=0,0,ROUND(H715/$F715,5))</f>
        <v>0.28871999999999998</v>
      </c>
      <c r="I716" s="356">
        <f>IF(F715=0,0,ROUND(I715/F715,5))</f>
        <v>0.20441000000000001</v>
      </c>
      <c r="J716" s="356">
        <f>IF(G715=0,0,ROUND(J715/F715,5))</f>
        <v>0</v>
      </c>
      <c r="K716" s="356">
        <f t="shared" si="189"/>
        <v>1</v>
      </c>
      <c r="L716" s="356">
        <f t="shared" si="190"/>
        <v>0</v>
      </c>
      <c r="M716" s="196"/>
      <c r="N716" s="196"/>
      <c r="P716" s="755">
        <f>K716</f>
        <v>1</v>
      </c>
      <c r="Q716" s="196"/>
    </row>
    <row r="717" spans="1:17">
      <c r="A717" s="344">
        <v>12</v>
      </c>
      <c r="C717" s="598" t="s">
        <v>222</v>
      </c>
      <c r="D717" s="723" t="s">
        <v>1012</v>
      </c>
      <c r="E717" s="729"/>
      <c r="F717" s="479">
        <f>'Alloc Factors Summary'!$D$64</f>
        <v>98442</v>
      </c>
      <c r="G717" s="479">
        <f>'Alloc Factors Summary'!D60</f>
        <v>91382</v>
      </c>
      <c r="H717" s="479">
        <f>'Alloc Factors Summary'!D61</f>
        <v>6943</v>
      </c>
      <c r="I717" s="479">
        <f>'Alloc Factors Summary'!D62</f>
        <v>95</v>
      </c>
      <c r="J717" s="479">
        <f>'Alloc Factors Summary'!D63</f>
        <v>22</v>
      </c>
      <c r="K717" s="349">
        <f t="shared" si="189"/>
        <v>98442</v>
      </c>
      <c r="L717" s="349">
        <f t="shared" si="190"/>
        <v>0</v>
      </c>
      <c r="N717" s="196"/>
      <c r="P717" s="754"/>
    </row>
    <row r="718" spans="1:17">
      <c r="A718" s="344">
        <v>13</v>
      </c>
      <c r="B718" s="196"/>
      <c r="C718" s="497" t="s">
        <v>355</v>
      </c>
      <c r="D718" s="589"/>
      <c r="E718" s="714" t="str">
        <f>'FR-16(7)(v)-1 Functional'!$E$718</f>
        <v>K401</v>
      </c>
      <c r="F718" s="356">
        <f>IF($F717=0,0,ROUND(F717/$F717,9))</f>
        <v>1</v>
      </c>
      <c r="G718" s="356">
        <f>IF($L717=0,F718-SUM(H718:J718),ROUND(G717/$F717,5))</f>
        <v>0.92827999999999999</v>
      </c>
      <c r="H718" s="356">
        <f>IF($F717=0,0,ROUND(H717/$F717,5))</f>
        <v>7.0529999999999995E-2</v>
      </c>
      <c r="I718" s="356">
        <f>IF(F717=0,0,ROUND(I717/F717,5))</f>
        <v>9.7000000000000005E-4</v>
      </c>
      <c r="J718" s="356">
        <f>IF(G717=0,0,ROUND(J717/F717,5))</f>
        <v>2.2000000000000001E-4</v>
      </c>
      <c r="K718" s="356">
        <f t="shared" si="189"/>
        <v>1</v>
      </c>
      <c r="L718" s="356">
        <f t="shared" si="190"/>
        <v>0</v>
      </c>
      <c r="M718" s="196"/>
      <c r="N718" s="196"/>
      <c r="P718" s="755">
        <f>K718</f>
        <v>1</v>
      </c>
      <c r="Q718" s="196"/>
    </row>
    <row r="719" spans="1:17">
      <c r="A719" s="344">
        <v>14</v>
      </c>
      <c r="C719" s="598" t="s">
        <v>223</v>
      </c>
      <c r="D719" s="723" t="s">
        <v>1012</v>
      </c>
      <c r="E719" s="729"/>
      <c r="F719" s="479">
        <f>'Alloc Factors Summary'!$F$76</f>
        <v>104676</v>
      </c>
      <c r="G719" s="479">
        <f>'Alloc Factors Summary'!F72</f>
        <v>91382</v>
      </c>
      <c r="H719" s="479">
        <f>'Alloc Factors Summary'!F73</f>
        <v>12541</v>
      </c>
      <c r="I719" s="479">
        <f>'Alloc Factors Summary'!F74</f>
        <v>256</v>
      </c>
      <c r="J719" s="479">
        <f>'Alloc Factors Summary'!F75</f>
        <v>497</v>
      </c>
      <c r="K719" s="349">
        <f t="shared" si="189"/>
        <v>104676</v>
      </c>
      <c r="L719" s="349">
        <f t="shared" si="190"/>
        <v>0</v>
      </c>
      <c r="M719" s="599"/>
      <c r="N719" s="196"/>
      <c r="P719" s="754"/>
    </row>
    <row r="720" spans="1:17">
      <c r="A720" s="344">
        <v>15</v>
      </c>
      <c r="B720" s="196"/>
      <c r="C720" s="497" t="s">
        <v>355</v>
      </c>
      <c r="D720" s="589"/>
      <c r="E720" s="714" t="str">
        <f>'FR-16(7)(v)-1 Functional'!$E$720</f>
        <v>K403</v>
      </c>
      <c r="F720" s="356">
        <f>IF($F719=0,0,ROUND(F719/$F719,9))</f>
        <v>1</v>
      </c>
      <c r="G720" s="356">
        <f>IF($L719=0,F720-SUM(H720:J720),ROUND(G719/$F719,5))</f>
        <v>0.87299000000000004</v>
      </c>
      <c r="H720" s="356">
        <f>IF($F719=0,0,ROUND(H719/$F719,5))</f>
        <v>0.11981</v>
      </c>
      <c r="I720" s="356">
        <f>IF(F719=0,0,ROUND(I719/F719,5))</f>
        <v>2.4499999999999999E-3</v>
      </c>
      <c r="J720" s="356">
        <f>IF(G719=0,0,ROUND(J719/F719,5))</f>
        <v>4.7499999999999999E-3</v>
      </c>
      <c r="K720" s="356">
        <f t="shared" si="189"/>
        <v>1</v>
      </c>
      <c r="L720" s="356">
        <f t="shared" si="190"/>
        <v>0</v>
      </c>
      <c r="M720" s="196"/>
      <c r="N720" s="196"/>
      <c r="P720" s="755">
        <f>K720</f>
        <v>1</v>
      </c>
      <c r="Q720" s="196"/>
    </row>
    <row r="721" spans="1:17">
      <c r="A721" s="344">
        <v>16</v>
      </c>
      <c r="C721" s="598" t="s">
        <v>385</v>
      </c>
      <c r="D721" s="723" t="s">
        <v>1012</v>
      </c>
      <c r="E721" s="729"/>
      <c r="F721" s="479">
        <f>'Alloc Factors Summary'!$G$88</f>
        <v>3624077</v>
      </c>
      <c r="G721" s="479">
        <f>'Alloc Factors Summary'!G84</f>
        <v>3364167.778123159</v>
      </c>
      <c r="H721" s="479">
        <f>'Alloc Factors Summary'!G85</f>
        <v>255601.94440381139</v>
      </c>
      <c r="I721" s="479">
        <f>'Alloc Factors Summary'!G86</f>
        <v>3497.3620507506957</v>
      </c>
      <c r="J721" s="479">
        <f>'Alloc Factors Summary'!G87</f>
        <v>809.9154222791085</v>
      </c>
      <c r="K721" s="349">
        <f t="shared" si="189"/>
        <v>3624077</v>
      </c>
      <c r="L721" s="349">
        <f t="shared" si="190"/>
        <v>0</v>
      </c>
      <c r="M721" s="599"/>
      <c r="N721" s="196"/>
      <c r="P721" s="754"/>
    </row>
    <row r="722" spans="1:17">
      <c r="A722" s="344">
        <v>17</v>
      </c>
      <c r="B722" s="196"/>
      <c r="C722" s="497" t="s">
        <v>355</v>
      </c>
      <c r="D722" s="589"/>
      <c r="E722" s="714" t="str">
        <f>'FR-16(7)(v)-1 Functional'!$E$722</f>
        <v>K405</v>
      </c>
      <c r="F722" s="356">
        <f>IF($F721=0,0,ROUND(F721/$F721,9))</f>
        <v>1</v>
      </c>
      <c r="G722" s="356">
        <f>IF($L721=0,F722-SUM(H722:J722),ROUND(G721/$F721,5))</f>
        <v>0.92827999999999999</v>
      </c>
      <c r="H722" s="356">
        <f>IF($F721=0,0,ROUND(H721/$F721,5))</f>
        <v>7.0529999999999995E-2</v>
      </c>
      <c r="I722" s="356">
        <f>IF(F721=0,0,ROUND(I721/F721,5))</f>
        <v>9.7000000000000005E-4</v>
      </c>
      <c r="J722" s="356">
        <f>IF(G721=0,0,ROUND(J721/F721,5))</f>
        <v>2.2000000000000001E-4</v>
      </c>
      <c r="K722" s="356">
        <f t="shared" si="189"/>
        <v>1</v>
      </c>
      <c r="L722" s="356">
        <f t="shared" si="190"/>
        <v>0</v>
      </c>
      <c r="M722" s="196"/>
      <c r="N722" s="196"/>
      <c r="P722" s="755">
        <f>K722</f>
        <v>1</v>
      </c>
      <c r="Q722" s="196"/>
    </row>
    <row r="723" spans="1:17">
      <c r="A723" s="344">
        <v>18</v>
      </c>
      <c r="C723" s="598" t="s">
        <v>373</v>
      </c>
      <c r="D723" s="723" t="s">
        <v>1012</v>
      </c>
      <c r="E723" s="729"/>
      <c r="F723" s="479">
        <f>'Alloc Factors Summary'!$D$98</f>
        <v>3920</v>
      </c>
      <c r="G723" s="479">
        <f>'Alloc Factors Summary'!D94</f>
        <v>3638.8679628613804</v>
      </c>
      <c r="H723" s="479">
        <f>'Alloc Factors Summary'!D95</f>
        <v>276.47305012088339</v>
      </c>
      <c r="I723" s="479">
        <f>'Alloc Factors Summary'!D96</f>
        <v>3.7829381767944579</v>
      </c>
      <c r="J723" s="479">
        <f>'Alloc Factors Summary'!D97</f>
        <v>0.8760488409418743</v>
      </c>
      <c r="K723" s="349">
        <f t="shared" si="189"/>
        <v>3920</v>
      </c>
      <c r="L723" s="349">
        <f t="shared" si="190"/>
        <v>0</v>
      </c>
      <c r="M723" s="599"/>
      <c r="N723" s="196"/>
      <c r="P723" s="754"/>
    </row>
    <row r="724" spans="1:17">
      <c r="A724" s="344">
        <v>19</v>
      </c>
      <c r="B724" s="196"/>
      <c r="C724" s="497" t="s">
        <v>355</v>
      </c>
      <c r="D724" s="589"/>
      <c r="E724" s="714" t="str">
        <f>'FR-16(7)(v)-1 Functional'!$E$724</f>
        <v>K406</v>
      </c>
      <c r="F724" s="356">
        <f>IF($F723=0,0,ROUND(F723/$F723,9))</f>
        <v>1</v>
      </c>
      <c r="G724" s="356">
        <f>IF($L723=0,F724-SUM(H724:J724),ROUND(G723/$F723,5))</f>
        <v>0.92827999999999999</v>
      </c>
      <c r="H724" s="356">
        <f>IF($F723=0,0,ROUND(H723/$F723,5))</f>
        <v>7.0529999999999995E-2</v>
      </c>
      <c r="I724" s="356">
        <f>IF(F723=0,0,ROUND(I723/F723,5))</f>
        <v>9.7000000000000005E-4</v>
      </c>
      <c r="J724" s="356">
        <f>IF(G723=0,0,ROUND(J723/F723,5))</f>
        <v>2.2000000000000001E-4</v>
      </c>
      <c r="K724" s="356">
        <f t="shared" si="189"/>
        <v>1</v>
      </c>
      <c r="L724" s="356">
        <f t="shared" si="190"/>
        <v>0</v>
      </c>
      <c r="M724" s="196"/>
      <c r="N724" s="196"/>
      <c r="P724" s="755">
        <f>K724</f>
        <v>1</v>
      </c>
      <c r="Q724" s="196"/>
    </row>
    <row r="725" spans="1:17">
      <c r="A725" s="344">
        <v>20</v>
      </c>
      <c r="C725" s="598" t="s">
        <v>1035</v>
      </c>
      <c r="D725" s="723" t="s">
        <v>1012</v>
      </c>
      <c r="E725" s="729"/>
      <c r="F725" s="479">
        <f>'Alloc Factors Summary'!$G$108</f>
        <v>140653.00000000003</v>
      </c>
      <c r="G725" s="479">
        <f>'Alloc Factors Summary'!G104</f>
        <v>130565.73866845452</v>
      </c>
      <c r="H725" s="479">
        <f>'Alloc Factors Summary'!G105</f>
        <v>9920.0928363909716</v>
      </c>
      <c r="I725" s="479">
        <f>'Alloc Factors Summary'!G106</f>
        <v>135.73510290323236</v>
      </c>
      <c r="J725" s="479">
        <f>'Alloc Factors Summary'!G107</f>
        <v>31.43339225127486</v>
      </c>
      <c r="K725" s="349">
        <f t="shared" si="189"/>
        <v>140653.00000000003</v>
      </c>
      <c r="L725" s="349">
        <f t="shared" si="190"/>
        <v>0</v>
      </c>
      <c r="M725" s="599"/>
      <c r="N725" s="196"/>
      <c r="P725" s="754"/>
    </row>
    <row r="726" spans="1:17">
      <c r="A726" s="344">
        <v>21</v>
      </c>
      <c r="B726" s="196"/>
      <c r="C726" s="497" t="s">
        <v>355</v>
      </c>
      <c r="D726" s="589"/>
      <c r="E726" s="714" t="str">
        <f>'FR-16(7)(v)-1 Functional'!$E$726</f>
        <v>K407</v>
      </c>
      <c r="F726" s="356">
        <f>IF($F725=0,0,ROUND(F725/$F725,9))</f>
        <v>1</v>
      </c>
      <c r="G726" s="356">
        <f>IF($L725=0,F726-SUM(H726:J726),ROUND(G725/$F725,5))</f>
        <v>0.92827999999999999</v>
      </c>
      <c r="H726" s="356">
        <f>IF($F725=0,0,ROUND(H725/$F725,5))</f>
        <v>7.0529999999999995E-2</v>
      </c>
      <c r="I726" s="356">
        <f>IF(F725=0,0,ROUND(I725/F725,5))</f>
        <v>9.7000000000000005E-4</v>
      </c>
      <c r="J726" s="356">
        <f>IF(G725=0,0,ROUND(J725/F725,5))</f>
        <v>2.2000000000000001E-4</v>
      </c>
      <c r="K726" s="356">
        <f t="shared" si="189"/>
        <v>1</v>
      </c>
      <c r="L726" s="356">
        <f t="shared" si="190"/>
        <v>0</v>
      </c>
      <c r="M726" s="196"/>
      <c r="N726" s="196"/>
      <c r="P726" s="755">
        <f>K726</f>
        <v>1</v>
      </c>
      <c r="Q726" s="196"/>
    </row>
    <row r="727" spans="1:17">
      <c r="A727" s="344">
        <v>22</v>
      </c>
      <c r="C727" s="598" t="s">
        <v>1036</v>
      </c>
      <c r="D727" s="723" t="s">
        <v>1012</v>
      </c>
      <c r="E727" s="729"/>
      <c r="F727" s="479">
        <f>'Alloc Factors Summary'!$F$118</f>
        <v>7322</v>
      </c>
      <c r="G727" s="479">
        <f>'Alloc Factors Summary'!F114</f>
        <v>6797</v>
      </c>
      <c r="H727" s="479">
        <f>'Alloc Factors Summary'!F115</f>
        <v>516</v>
      </c>
      <c r="I727" s="479">
        <f>'Alloc Factors Summary'!F116</f>
        <v>7</v>
      </c>
      <c r="J727" s="479">
        <f>'Alloc Factors Summary'!F117</f>
        <v>2</v>
      </c>
      <c r="K727" s="349">
        <f t="shared" si="189"/>
        <v>7322</v>
      </c>
      <c r="L727" s="349">
        <f t="shared" si="190"/>
        <v>0</v>
      </c>
      <c r="M727" s="599"/>
      <c r="N727" s="196"/>
      <c r="P727" s="754"/>
    </row>
    <row r="728" spans="1:17">
      <c r="A728" s="344">
        <v>23</v>
      </c>
      <c r="B728" s="196"/>
      <c r="C728" s="497" t="s">
        <v>355</v>
      </c>
      <c r="D728" s="589"/>
      <c r="E728" s="714" t="str">
        <f>'FR-16(7)(v)-1 Functional'!$E$728</f>
        <v>K408</v>
      </c>
      <c r="F728" s="356">
        <f>IF($F727=0,0,ROUND(F727/$F727,9))</f>
        <v>1</v>
      </c>
      <c r="G728" s="356">
        <f>IF($L727=0,F728-SUM(H728:J728),ROUND(G727/$F727,5))</f>
        <v>0.92830000000000001</v>
      </c>
      <c r="H728" s="356">
        <f>IF($F727=0,0,ROUND(H727/$F727,5))</f>
        <v>7.0470000000000005E-2</v>
      </c>
      <c r="I728" s="356">
        <f>IF(F727=0,0,ROUND(I727/F727,5))</f>
        <v>9.6000000000000002E-4</v>
      </c>
      <c r="J728" s="356">
        <f>IF(G727=0,0,ROUND(J727/F727,5))</f>
        <v>2.7E-4</v>
      </c>
      <c r="K728" s="356">
        <f t="shared" si="189"/>
        <v>1</v>
      </c>
      <c r="L728" s="356">
        <f t="shared" si="190"/>
        <v>0</v>
      </c>
      <c r="M728" s="196"/>
      <c r="N728" s="196"/>
      <c r="P728" s="755">
        <f>K728</f>
        <v>1</v>
      </c>
      <c r="Q728" s="196"/>
    </row>
    <row r="729" spans="1:17">
      <c r="A729" s="344">
        <v>24</v>
      </c>
      <c r="C729" s="598" t="s">
        <v>224</v>
      </c>
      <c r="D729" s="723" t="s">
        <v>1012</v>
      </c>
      <c r="E729" s="729"/>
      <c r="F729" s="479">
        <f>'Alloc Factors Summary'!$D$141</f>
        <v>22926071</v>
      </c>
      <c r="G729" s="479">
        <f>'Alloc Factors Summary'!D137</f>
        <v>18152038</v>
      </c>
      <c r="H729" s="479">
        <f>'Alloc Factors Summary'!D138</f>
        <v>4499288</v>
      </c>
      <c r="I729" s="479">
        <f>'Alloc Factors Summary'!D139</f>
        <v>184982</v>
      </c>
      <c r="J729" s="479">
        <f>'Alloc Factors Summary'!D140</f>
        <v>89763</v>
      </c>
      <c r="K729" s="607">
        <f t="shared" si="189"/>
        <v>22926071</v>
      </c>
      <c r="L729" s="349">
        <f t="shared" si="190"/>
        <v>0</v>
      </c>
      <c r="N729" s="196"/>
      <c r="P729" s="754"/>
    </row>
    <row r="730" spans="1:17">
      <c r="A730" s="344">
        <v>25</v>
      </c>
      <c r="B730" s="196"/>
      <c r="C730" s="497" t="s">
        <v>355</v>
      </c>
      <c r="D730" s="589"/>
      <c r="E730" s="714" t="str">
        <f>'FR-16(7)(v)-1 Functional'!$E$730</f>
        <v>K413</v>
      </c>
      <c r="F730" s="356">
        <f>IF($F729=0,0,ROUND(F729/$F729,9))</f>
        <v>1</v>
      </c>
      <c r="G730" s="356">
        <f>IF($L729=0,F730-SUM(H730:J730),ROUND(G729/$F729,5))</f>
        <v>0.79176000000000002</v>
      </c>
      <c r="H730" s="356">
        <f>IF($F729=0,0,ROUND(H729/$F729,5))</f>
        <v>0.19625000000000001</v>
      </c>
      <c r="I730" s="356">
        <f>IF(F729=0,0,ROUND(I729/F729,5))</f>
        <v>8.0700000000000008E-3</v>
      </c>
      <c r="J730" s="356">
        <f>IF(G729=0,0,ROUND(J729/F729,5))</f>
        <v>3.9199999999999999E-3</v>
      </c>
      <c r="K730" s="356">
        <f t="shared" si="189"/>
        <v>1</v>
      </c>
      <c r="L730" s="356">
        <f t="shared" si="190"/>
        <v>0</v>
      </c>
      <c r="M730" s="196"/>
      <c r="N730" s="196"/>
      <c r="P730" s="755">
        <f>K730</f>
        <v>1</v>
      </c>
      <c r="Q730" s="196"/>
    </row>
    <row r="731" spans="1:17">
      <c r="A731" s="344">
        <v>26</v>
      </c>
      <c r="C731" s="669" t="s">
        <v>1014</v>
      </c>
      <c r="D731" s="723" t="s">
        <v>1012</v>
      </c>
      <c r="E731" s="729"/>
      <c r="F731" s="609">
        <f>ROUND('Alloc Factors Summary'!H171*100,0)</f>
        <v>100</v>
      </c>
      <c r="G731" s="609">
        <f>'Alloc Factors Summary'!H167*100</f>
        <v>62.194000000000003</v>
      </c>
      <c r="H731" s="609">
        <f>'Alloc Factors Summary'!H168*100</f>
        <v>25.984999999999996</v>
      </c>
      <c r="I731" s="609">
        <f>'Alloc Factors Summary'!H169*100</f>
        <v>9.2089999999999996</v>
      </c>
      <c r="J731" s="609">
        <f>'Alloc Factors Summary'!H170*100</f>
        <v>2.6119999999999997</v>
      </c>
      <c r="K731" s="610">
        <f t="shared" si="189"/>
        <v>100</v>
      </c>
      <c r="L731" s="610">
        <f t="shared" si="190"/>
        <v>0</v>
      </c>
      <c r="N731" s="196"/>
      <c r="P731" s="754"/>
    </row>
    <row r="732" spans="1:17">
      <c r="A732" s="344">
        <v>27</v>
      </c>
      <c r="B732" s="196"/>
      <c r="C732" s="497" t="s">
        <v>355</v>
      </c>
      <c r="D732" s="589"/>
      <c r="E732" s="714" t="str">
        <f>'FR-16(7)(v)-1 Functional'!$E$732</f>
        <v>K415</v>
      </c>
      <c r="F732" s="356">
        <f>IF($F731=0,0,ROUND(F731/$F731,9))</f>
        <v>1</v>
      </c>
      <c r="G732" s="356">
        <f>IF($L731=0,F732-SUM(H732:J732),ROUND(G731/$F731,5))</f>
        <v>0.62193999999999994</v>
      </c>
      <c r="H732" s="356">
        <f>IF($F731=0,0,ROUND(H731/$F731,5))</f>
        <v>0.25985000000000003</v>
      </c>
      <c r="I732" s="356">
        <f>IF(F731=0,0,ROUND(I731/F731,5))</f>
        <v>9.2090000000000005E-2</v>
      </c>
      <c r="J732" s="356">
        <f>IF(G731=0,0,ROUND(J731/F731,5))</f>
        <v>2.6120000000000001E-2</v>
      </c>
      <c r="K732" s="356">
        <f t="shared" si="189"/>
        <v>1</v>
      </c>
      <c r="L732" s="356">
        <f t="shared" si="190"/>
        <v>0</v>
      </c>
      <c r="M732" s="196"/>
      <c r="N732" s="196"/>
      <c r="P732" s="755">
        <f>K732</f>
        <v>1</v>
      </c>
      <c r="Q732" s="196"/>
    </row>
    <row r="733" spans="1:17">
      <c r="A733" s="344">
        <v>28</v>
      </c>
      <c r="C733" s="598" t="s">
        <v>376</v>
      </c>
      <c r="D733" s="723" t="s">
        <v>1012</v>
      </c>
      <c r="E733" s="729"/>
      <c r="F733" s="479">
        <f>'Alloc Factors Summary'!$D$151</f>
        <v>138304</v>
      </c>
      <c r="G733" s="479">
        <f>'Alloc Factors Summary'!D147</f>
        <v>91382</v>
      </c>
      <c r="H733" s="479">
        <f>'Alloc Factors Summary'!D148</f>
        <v>45530</v>
      </c>
      <c r="I733" s="479">
        <f>'Alloc Factors Summary'!D149</f>
        <v>1130</v>
      </c>
      <c r="J733" s="479">
        <f>'Alloc Factors Summary'!D150</f>
        <v>262</v>
      </c>
      <c r="K733" s="349">
        <f t="shared" si="189"/>
        <v>138304</v>
      </c>
      <c r="L733" s="349">
        <f t="shared" si="190"/>
        <v>0</v>
      </c>
      <c r="N733" s="196"/>
      <c r="P733" s="754"/>
    </row>
    <row r="734" spans="1:17">
      <c r="A734" s="344">
        <v>29</v>
      </c>
      <c r="B734" s="196"/>
      <c r="C734" s="497" t="s">
        <v>355</v>
      </c>
      <c r="D734" s="589"/>
      <c r="E734" s="714" t="str">
        <f>'FR-16(7)(v)-1 Functional'!$E$734</f>
        <v>K417</v>
      </c>
      <c r="F734" s="356">
        <f>IF($F733=0,0,ROUND(F733/$F733,9))</f>
        <v>1</v>
      </c>
      <c r="G734" s="356">
        <f>IF($L733=0,F734-SUM(H734:J734),ROUND(G733/$F733,5))</f>
        <v>0.66073999999999999</v>
      </c>
      <c r="H734" s="356">
        <f>IF($F733=0,0,ROUND(H733/$F733,5))</f>
        <v>0.32919999999999999</v>
      </c>
      <c r="I734" s="356">
        <f>IF(F733=0,0,ROUND(I733/F733,5))</f>
        <v>8.1700000000000002E-3</v>
      </c>
      <c r="J734" s="356">
        <f>IF(G733=0,0,ROUND(J733/F733,5))</f>
        <v>1.89E-3</v>
      </c>
      <c r="K734" s="356">
        <f t="shared" si="189"/>
        <v>1</v>
      </c>
      <c r="L734" s="356">
        <f t="shared" si="190"/>
        <v>0</v>
      </c>
      <c r="M734" s="196"/>
      <c r="N734" s="196"/>
      <c r="P734" s="755">
        <f>K734</f>
        <v>1</v>
      </c>
      <c r="Q734" s="196"/>
    </row>
    <row r="735" spans="1:17">
      <c r="A735" s="344">
        <v>30</v>
      </c>
      <c r="B735" s="491"/>
      <c r="C735" s="598" t="s">
        <v>226</v>
      </c>
      <c r="D735" s="723" t="s">
        <v>1012</v>
      </c>
      <c r="E735" s="745"/>
      <c r="F735" s="349">
        <f>'Alloc Factors Summary'!$D$62+'Alloc Factors Summary'!$D$63</f>
        <v>117</v>
      </c>
      <c r="G735" s="614">
        <v>0</v>
      </c>
      <c r="H735" s="614">
        <v>0</v>
      </c>
      <c r="I735" s="349">
        <f>'Alloc Factors Summary'!D62</f>
        <v>95</v>
      </c>
      <c r="J735" s="349">
        <f>'Alloc Factors Summary'!D63</f>
        <v>22</v>
      </c>
      <c r="K735" s="349">
        <f t="shared" si="189"/>
        <v>117</v>
      </c>
      <c r="L735" s="349">
        <f t="shared" si="190"/>
        <v>0</v>
      </c>
      <c r="M735" s="606"/>
      <c r="N735" s="196"/>
      <c r="P735" s="757"/>
      <c r="Q735" s="606"/>
    </row>
    <row r="736" spans="1:17">
      <c r="A736" s="344">
        <v>31</v>
      </c>
      <c r="B736" s="196"/>
      <c r="C736" s="497" t="str">
        <f>C734</f>
        <v>RATIO TO TOTAL GAS</v>
      </c>
      <c r="D736" s="589"/>
      <c r="E736" s="714" t="str">
        <f>'FR-16(7)(v)-1 Functional'!$E$736</f>
        <v>K431</v>
      </c>
      <c r="F736" s="356">
        <f>IF($F735=0,0,ROUND(F735/$F735,9))</f>
        <v>1</v>
      </c>
      <c r="G736" s="356">
        <f>IF($L735=0,F736-SUM(H736:J736),ROUND(G735/$F735,5))</f>
        <v>0</v>
      </c>
      <c r="H736" s="356">
        <f>IF($F735=0,0,ROUND(H735/$F735,5))</f>
        <v>0</v>
      </c>
      <c r="I736" s="356">
        <f>IF(F735=0,0,ROUND(I735/F735,5))</f>
        <v>0.81196999999999997</v>
      </c>
      <c r="J736" s="356">
        <f>IF(F735=0,0,ROUND(J735/F735,5))</f>
        <v>0.18803</v>
      </c>
      <c r="K736" s="356">
        <f t="shared" si="189"/>
        <v>1</v>
      </c>
      <c r="L736" s="350">
        <f t="shared" si="190"/>
        <v>0</v>
      </c>
      <c r="M736" s="196"/>
      <c r="N736" s="196"/>
      <c r="P736" s="755">
        <f>K736</f>
        <v>1</v>
      </c>
      <c r="Q736" s="196"/>
    </row>
    <row r="737" spans="1:17">
      <c r="A737" s="344">
        <v>32</v>
      </c>
      <c r="C737" s="608" t="s">
        <v>407</v>
      </c>
      <c r="D737" s="723" t="s">
        <v>1012</v>
      </c>
      <c r="E737" s="729"/>
      <c r="F737" s="479">
        <f>'Alloc Factors Summary'!$D$159</f>
        <v>3688683</v>
      </c>
      <c r="G737" s="492">
        <v>0</v>
      </c>
      <c r="H737" s="492">
        <v>0</v>
      </c>
      <c r="I737" s="479">
        <f>'Alloc Factors Summary'!D157</f>
        <v>2143372</v>
      </c>
      <c r="J737" s="479">
        <f>'Alloc Factors Summary'!D158</f>
        <v>1545311</v>
      </c>
      <c r="K737" s="349">
        <f t="shared" si="189"/>
        <v>3688683</v>
      </c>
      <c r="L737" s="349">
        <f t="shared" si="190"/>
        <v>0</v>
      </c>
      <c r="N737" s="196"/>
      <c r="P737" s="754"/>
    </row>
    <row r="738" spans="1:17">
      <c r="A738" s="344">
        <v>33</v>
      </c>
      <c r="B738" s="196"/>
      <c r="C738" s="497" t="s">
        <v>355</v>
      </c>
      <c r="D738" s="589"/>
      <c r="E738" s="714" t="str">
        <f>'FR-16(7)(v)-1 Functional'!$E$738</f>
        <v>K595</v>
      </c>
      <c r="F738" s="356">
        <f>IF($F737=0,0,ROUND(F737/$F737,9))</f>
        <v>1</v>
      </c>
      <c r="G738" s="356">
        <f>IF($L737=0,F738-SUM(H738:J738),ROUND(G737/$F737,5))</f>
        <v>0</v>
      </c>
      <c r="H738" s="356">
        <f>IF($F737=0,0,ROUND(H737/$F737,5))</f>
        <v>0</v>
      </c>
      <c r="I738" s="356">
        <f>IF(F737=0,0,ROUND(I737/F737,5))</f>
        <v>0.58106999999999998</v>
      </c>
      <c r="J738" s="356">
        <f>IF(F737=0,0,ROUND(J737/F737,5))</f>
        <v>0.41893000000000002</v>
      </c>
      <c r="K738" s="356">
        <f t="shared" si="189"/>
        <v>1</v>
      </c>
      <c r="L738" s="350">
        <f t="shared" si="190"/>
        <v>0</v>
      </c>
      <c r="M738" s="196"/>
      <c r="N738" s="196"/>
      <c r="P738" s="755">
        <f>K738</f>
        <v>1</v>
      </c>
      <c r="Q738" s="196"/>
    </row>
    <row r="739" spans="1:17">
      <c r="A739" s="344">
        <v>34</v>
      </c>
      <c r="B739" s="599"/>
      <c r="C739" s="598" t="s">
        <v>225</v>
      </c>
      <c r="D739" s="723" t="s">
        <v>1012</v>
      </c>
      <c r="E739" s="729"/>
      <c r="F739" s="476">
        <v>1</v>
      </c>
      <c r="G739" s="476">
        <v>0</v>
      </c>
      <c r="H739" s="476">
        <v>1</v>
      </c>
      <c r="I739" s="476">
        <v>0</v>
      </c>
      <c r="J739" s="476">
        <v>0</v>
      </c>
      <c r="K739" s="349">
        <f t="shared" si="189"/>
        <v>1</v>
      </c>
      <c r="L739" s="349">
        <f t="shared" si="190"/>
        <v>0</v>
      </c>
      <c r="M739" s="599"/>
      <c r="N739" s="196"/>
      <c r="P739" s="759"/>
      <c r="Q739" s="599"/>
    </row>
    <row r="740" spans="1:17">
      <c r="A740" s="344">
        <v>35</v>
      </c>
      <c r="B740" s="196"/>
      <c r="C740" s="497" t="s">
        <v>355</v>
      </c>
      <c r="D740" s="589"/>
      <c r="E740" s="714" t="str">
        <f>'FR-16(7)(v)-1 Functional'!$E$740</f>
        <v>K597</v>
      </c>
      <c r="F740" s="356">
        <f>IF($F739=0,0,ROUND(F739/$F739,9))</f>
        <v>1</v>
      </c>
      <c r="G740" s="356">
        <f>IF($L739=0,F740-SUM(H740:J740),ROUND(G739/$F739,5))</f>
        <v>0</v>
      </c>
      <c r="H740" s="356">
        <f>IF($F739=0,0,ROUND(H739/$F739,5))</f>
        <v>1</v>
      </c>
      <c r="I740" s="356">
        <f>IF(F739=0,0,ROUND(I739/F739,5))</f>
        <v>0</v>
      </c>
      <c r="J740" s="356">
        <f>IF(G739=0,0,ROUND(J739/F739,5))</f>
        <v>0</v>
      </c>
      <c r="K740" s="356">
        <f t="shared" si="189"/>
        <v>1</v>
      </c>
      <c r="L740" s="356">
        <f t="shared" si="190"/>
        <v>0</v>
      </c>
      <c r="M740" s="196"/>
      <c r="N740" s="196"/>
      <c r="P740" s="755">
        <f>K740</f>
        <v>1</v>
      </c>
      <c r="Q740" s="196"/>
    </row>
    <row r="741" spans="1:17">
      <c r="A741" s="344">
        <v>36</v>
      </c>
      <c r="C741" s="598" t="s">
        <v>433</v>
      </c>
      <c r="D741" s="627"/>
      <c r="E741" s="746"/>
      <c r="F741" s="494">
        <v>1</v>
      </c>
      <c r="G741" s="477">
        <v>1</v>
      </c>
      <c r="H741" s="476">
        <v>0</v>
      </c>
      <c r="I741" s="476">
        <v>0</v>
      </c>
      <c r="J741" s="476">
        <v>0</v>
      </c>
      <c r="K741" s="349">
        <f t="shared" si="189"/>
        <v>1</v>
      </c>
      <c r="L741" s="347">
        <f t="shared" si="190"/>
        <v>0</v>
      </c>
      <c r="N741" s="196"/>
      <c r="P741" s="754"/>
    </row>
    <row r="742" spans="1:17">
      <c r="A742" s="344">
        <v>37</v>
      </c>
      <c r="C742" s="497" t="s">
        <v>355</v>
      </c>
      <c r="D742" s="589"/>
      <c r="E742" s="714" t="str">
        <f>'FR-16(7)(v)-1 Functional'!$E$742</f>
        <v>K903</v>
      </c>
      <c r="F742" s="356">
        <f>IF($F741=0,0,ROUND(F741/$F741,9))</f>
        <v>1</v>
      </c>
      <c r="G742" s="356">
        <f>IF($L741=0,F742-SUM(H742:J742),ROUND(G741/$F741,5))</f>
        <v>1</v>
      </c>
      <c r="H742" s="356">
        <f>IF($F741=0,0,ROUND(H741/$F741,5))</f>
        <v>0</v>
      </c>
      <c r="I742" s="356">
        <f>IF(F741=0,0,ROUND(I741/F741,5))</f>
        <v>0</v>
      </c>
      <c r="J742" s="356">
        <f>IF(G741=0,0,ROUND(J741/F741,5))</f>
        <v>0</v>
      </c>
      <c r="K742" s="356">
        <f t="shared" si="189"/>
        <v>1</v>
      </c>
      <c r="L742" s="350">
        <f t="shared" si="190"/>
        <v>0</v>
      </c>
      <c r="N742" s="196"/>
      <c r="P742" s="755">
        <f>K742</f>
        <v>1</v>
      </c>
    </row>
    <row r="743" spans="1:17">
      <c r="A743" s="344">
        <v>38</v>
      </c>
      <c r="B743" s="365"/>
      <c r="C743" s="365"/>
      <c r="D743" s="724"/>
      <c r="E743" s="333"/>
      <c r="H743" s="353"/>
      <c r="J743" s="353"/>
      <c r="K743" s="353"/>
      <c r="N743" s="196"/>
      <c r="P743" s="758"/>
    </row>
    <row r="744" spans="1:17">
      <c r="A744" s="344">
        <v>39</v>
      </c>
      <c r="C744" s="598" t="s">
        <v>108</v>
      </c>
      <c r="D744" s="354" t="str">
        <f>'FR-16(7)(v)-3 PROD Comm Alloc'!D744</f>
        <v>K901</v>
      </c>
      <c r="E744" s="714" t="str">
        <f>'FR-16(7)(v)-1 Functional'!$E$744</f>
        <v>R600</v>
      </c>
      <c r="F744" s="479">
        <f>'FR-16(7)(v)-4 DISTR Classified'!G744</f>
        <v>30193663</v>
      </c>
      <c r="G744" s="347">
        <f>F744-SUM(H744:J744)</f>
        <v>20762035</v>
      </c>
      <c r="H744" s="347">
        <f>ROUND($F$744*VLOOKUP($D$744,ALLOCTABLE_DISTR_DEMAND,$H$10,FALSE),0)</f>
        <v>7350779</v>
      </c>
      <c r="I744" s="347">
        <f>ROUND(F744*VLOOKUP(D744,ALLOCTABLE_DISTR_DEMAND,$I$10,FALSE),0)</f>
        <v>1597864</v>
      </c>
      <c r="J744" s="347">
        <f>ROUND(F744*VLOOKUP(D744,ALLOCTABLE_DISTR_DEMAND,$J$10,FALSE),0)</f>
        <v>482985</v>
      </c>
      <c r="K744" s="347">
        <f>SUM(G744:J744)</f>
        <v>30193663</v>
      </c>
      <c r="L744" s="349">
        <f>F744-K744</f>
        <v>0</v>
      </c>
      <c r="N744" s="196"/>
      <c r="P744" s="754"/>
    </row>
    <row r="745" spans="1:17">
      <c r="A745" s="344">
        <v>40</v>
      </c>
      <c r="C745" s="598" t="s">
        <v>850</v>
      </c>
      <c r="D745" s="354" t="str">
        <f>'FR-16(7)(v)-3 PROD Comm Alloc'!D745</f>
        <v>K902</v>
      </c>
      <c r="E745" s="714" t="str">
        <f>'FR-16(7)(v)-1 Functional'!$E$745</f>
        <v>R602</v>
      </c>
      <c r="F745" s="479">
        <f>'FR-16(7)(v)-4 DISTR Classified'!G745</f>
        <v>30193663</v>
      </c>
      <c r="G745" s="347">
        <f>F745-SUM(H745:J745)</f>
        <v>20762035</v>
      </c>
      <c r="H745" s="347">
        <f>ROUND($F$745*VLOOKUP($D$745,ALLOCTABLE_DISTR_DEMAND,$H$10,FALSE),0)</f>
        <v>7350779</v>
      </c>
      <c r="I745" s="347">
        <f>ROUND(F745*VLOOKUP(D745,ALLOCTABLE_DISTR_DEMAND,$I$10,FALSE),0)</f>
        <v>1597864</v>
      </c>
      <c r="J745" s="347">
        <f>ROUND(F745*VLOOKUP(D745,ALLOCTABLE_DISTR_DEMAND,$J$10,FALSE),0)</f>
        <v>482985</v>
      </c>
      <c r="K745" s="347">
        <f>SUM(G745:J745)</f>
        <v>30193663</v>
      </c>
      <c r="L745" s="349">
        <f>F745-K745</f>
        <v>0</v>
      </c>
      <c r="N745" s="196"/>
      <c r="P745" s="754"/>
    </row>
    <row r="746" spans="1:17">
      <c r="E746" s="333"/>
      <c r="H746" s="353"/>
      <c r="J746" s="353"/>
      <c r="K746" s="353"/>
      <c r="N746" s="196"/>
      <c r="P746" s="754"/>
    </row>
    <row r="747" spans="1:17">
      <c r="A747" s="343" t="str">
        <f>co_name</f>
        <v>DUKE ENERGY KENTUCKY, INC.</v>
      </c>
      <c r="C747" s="196"/>
      <c r="D747" s="344"/>
      <c r="E747" s="196"/>
      <c r="F747" s="344"/>
      <c r="G747" s="342"/>
      <c r="H747" s="342"/>
      <c r="I747" s="196"/>
      <c r="K747" s="361" t="str">
        <f>$K$1</f>
        <v>FR-16(7)(v)-5</v>
      </c>
      <c r="N747" s="196"/>
      <c r="P747" s="754"/>
    </row>
    <row r="748" spans="1:17">
      <c r="A748" s="343" t="str">
        <f>$A$2</f>
        <v>DISTRIBUTION DEMAND ALLOCATED - GAS COST OF SERVICE</v>
      </c>
      <c r="C748" s="196"/>
      <c r="D748" s="344"/>
      <c r="E748" s="196"/>
      <c r="F748" s="344"/>
      <c r="G748" s="342"/>
      <c r="H748" s="342"/>
      <c r="I748" s="196"/>
      <c r="K748" s="361" t="str">
        <f>$K$2</f>
        <v>WITNESS RESPONSIBLE:</v>
      </c>
      <c r="N748" s="196"/>
      <c r="P748" s="754"/>
    </row>
    <row r="749" spans="1:17">
      <c r="A749" s="343" t="str">
        <f>case_name</f>
        <v>CASE NO: 2018-00261</v>
      </c>
      <c r="C749" s="196"/>
      <c r="D749" s="344"/>
      <c r="E749" s="196"/>
      <c r="F749" s="344"/>
      <c r="G749" s="342"/>
      <c r="H749" s="342"/>
      <c r="I749" s="196"/>
      <c r="K749" s="361" t="str">
        <f>Witness</f>
        <v>JAMES E. ZIOLKOWSKI</v>
      </c>
      <c r="N749" s="196"/>
      <c r="P749" s="754"/>
    </row>
    <row r="750" spans="1:17">
      <c r="A750" s="343" t="str">
        <f>data_filing</f>
        <v>DATA: 12 MONTH FORECASTED PERIOD</v>
      </c>
      <c r="C750" s="196"/>
      <c r="D750" s="344"/>
      <c r="E750" s="196"/>
      <c r="F750" s="344"/>
      <c r="G750" s="342"/>
      <c r="H750" s="342"/>
      <c r="I750" s="196"/>
      <c r="K750" s="361" t="str">
        <f>"PAGE "&amp;Pages-1&amp;" OF "&amp;Pages</f>
        <v>PAGE 17 OF 18</v>
      </c>
      <c r="N750" s="196"/>
      <c r="P750" s="754"/>
    </row>
    <row r="751" spans="1:17">
      <c r="A751" s="343" t="str">
        <f>type</f>
        <v xml:space="preserve">TYPE OF FILING: "X" ORIGINAL   UPDATED    REVISED  </v>
      </c>
      <c r="C751" s="196"/>
      <c r="D751" s="344"/>
      <c r="E751" s="196"/>
      <c r="F751" s="344"/>
      <c r="G751" s="342"/>
      <c r="H751" s="342"/>
      <c r="I751" s="196"/>
      <c r="J751" s="344"/>
      <c r="K751" s="196"/>
      <c r="N751" s="196"/>
      <c r="P751" s="754"/>
    </row>
    <row r="752" spans="1:17">
      <c r="B752" s="196"/>
      <c r="E752" s="333"/>
      <c r="F752" s="344"/>
      <c r="H752" s="353"/>
      <c r="J752" s="588"/>
      <c r="K752" s="353"/>
      <c r="N752" s="196"/>
      <c r="P752" s="754"/>
    </row>
    <row r="753" spans="1:17">
      <c r="B753" s="196"/>
      <c r="E753" s="333"/>
      <c r="F753" s="344" t="s">
        <v>229</v>
      </c>
      <c r="H753" s="353"/>
      <c r="J753" s="588"/>
      <c r="K753" s="353"/>
      <c r="N753" s="196"/>
      <c r="P753" s="754"/>
    </row>
    <row r="754" spans="1:17">
      <c r="A754" s="344" t="s">
        <v>914</v>
      </c>
      <c r="B754" s="196"/>
      <c r="C754" s="196"/>
      <c r="D754" s="344"/>
      <c r="E754" s="344"/>
      <c r="F754" s="344" t="str">
        <f>$F$8</f>
        <v>DISTRIBUTION</v>
      </c>
      <c r="G754" s="589" t="str">
        <f>$G$8</f>
        <v>RS</v>
      </c>
      <c r="H754" s="588" t="str">
        <f>$H$8</f>
        <v>GS</v>
      </c>
      <c r="I754" s="588" t="s">
        <v>865</v>
      </c>
      <c r="J754" s="588" t="str">
        <f>$J$8</f>
        <v>INTERUPT</v>
      </c>
      <c r="K754" s="588" t="s">
        <v>229</v>
      </c>
      <c r="L754" s="589" t="s">
        <v>342</v>
      </c>
      <c r="M754" s="196"/>
      <c r="N754" s="196"/>
      <c r="P754" s="753"/>
      <c r="Q754" s="196"/>
    </row>
    <row r="755" spans="1:17">
      <c r="A755" s="346" t="s">
        <v>915</v>
      </c>
      <c r="B755" s="590" t="s">
        <v>89</v>
      </c>
      <c r="C755" s="345"/>
      <c r="D755" s="591" t="s">
        <v>1011</v>
      </c>
      <c r="E755" s="591" t="s">
        <v>337</v>
      </c>
      <c r="F755" s="344" t="str">
        <f>$F$9</f>
        <v>DEMAND</v>
      </c>
      <c r="G755" s="592" t="str">
        <f>$G$9</f>
        <v>RESIDENTIAL</v>
      </c>
      <c r="H755" s="593" t="str">
        <f>$H$9</f>
        <v>GEN SERV</v>
      </c>
      <c r="I755" s="593" t="s">
        <v>405</v>
      </c>
      <c r="J755" s="593" t="str">
        <f>$J$9</f>
        <v>TRANS</v>
      </c>
      <c r="K755" s="593" t="s">
        <v>341</v>
      </c>
      <c r="L755" s="592" t="s">
        <v>340</v>
      </c>
      <c r="M755" s="196"/>
      <c r="N755" s="196"/>
      <c r="P755" s="753"/>
      <c r="Q755" s="196"/>
    </row>
    <row r="756" spans="1:17">
      <c r="C756" s="846" t="s">
        <v>562</v>
      </c>
      <c r="E756" s="633">
        <v>1</v>
      </c>
      <c r="F756" s="820">
        <v>2</v>
      </c>
      <c r="G756" s="633">
        <v>3</v>
      </c>
      <c r="H756" s="633">
        <v>4</v>
      </c>
      <c r="I756" s="633">
        <v>5</v>
      </c>
      <c r="J756" s="633">
        <v>6</v>
      </c>
      <c r="K756" s="353"/>
      <c r="M756" s="196"/>
      <c r="N756" s="196"/>
      <c r="P756" s="754"/>
    </row>
    <row r="757" spans="1:17">
      <c r="A757" s="344">
        <v>1</v>
      </c>
      <c r="B757" s="605"/>
      <c r="C757" s="660" t="s">
        <v>1022</v>
      </c>
      <c r="D757" s="725" t="s">
        <v>1013</v>
      </c>
      <c r="E757" s="716"/>
      <c r="F757" s="349">
        <f t="shared" ref="F757:K757" si="191">F771</f>
        <v>148411114</v>
      </c>
      <c r="G757" s="349">
        <f t="shared" si="191"/>
        <v>83803304</v>
      </c>
      <c r="H757" s="349">
        <f t="shared" si="191"/>
        <v>43815413</v>
      </c>
      <c r="I757" s="349">
        <f t="shared" si="191"/>
        <v>16196105</v>
      </c>
      <c r="J757" s="349">
        <f t="shared" si="191"/>
        <v>4596292</v>
      </c>
      <c r="K757" s="349">
        <f t="shared" si="191"/>
        <v>148411114</v>
      </c>
      <c r="L757" s="349">
        <f t="shared" ref="L757:L764" si="192">F757-K757</f>
        <v>0</v>
      </c>
      <c r="M757" s="196"/>
      <c r="N757" s="196"/>
      <c r="P757" s="756"/>
      <c r="Q757" s="605"/>
    </row>
    <row r="758" spans="1:17">
      <c r="A758" s="344">
        <v>2</v>
      </c>
      <c r="B758" s="196"/>
      <c r="C758" s="497" t="s">
        <v>355</v>
      </c>
      <c r="D758" s="589"/>
      <c r="E758" s="714" t="str">
        <f>'FR-16(7)(v)-1 Functional'!$E$758</f>
        <v>K667</v>
      </c>
      <c r="F758" s="356">
        <f>IF($F757=0,0,ROUND(F757/$F757,9))</f>
        <v>1</v>
      </c>
      <c r="G758" s="356">
        <f>IF($L757=0,F758-SUM(H758:J758),ROUND(G757/$F757,5))</f>
        <v>0.56467000000000001</v>
      </c>
      <c r="H758" s="356">
        <f>IF($F757=0,0,ROUND(H757/$F757,5))</f>
        <v>0.29522999999999999</v>
      </c>
      <c r="I758" s="356">
        <f>IF($F757=0,0,ROUND(I757/$F757,5))</f>
        <v>0.10913</v>
      </c>
      <c r="J758" s="356">
        <f>IF($F757=0,0,ROUND(J757/$F757,5))</f>
        <v>3.0970000000000001E-2</v>
      </c>
      <c r="K758" s="356">
        <f>SUM(G758:J758)</f>
        <v>1</v>
      </c>
      <c r="L758" s="356">
        <f t="shared" si="192"/>
        <v>0</v>
      </c>
      <c r="M758" s="196"/>
      <c r="N758" s="196"/>
      <c r="P758" s="755">
        <f>K758</f>
        <v>1</v>
      </c>
      <c r="Q758" s="196"/>
    </row>
    <row r="759" spans="1:17">
      <c r="A759" s="344">
        <v>3</v>
      </c>
      <c r="B759" s="605"/>
      <c r="C759" s="660" t="s">
        <v>1031</v>
      </c>
      <c r="D759" s="725" t="s">
        <v>1013</v>
      </c>
      <c r="E759" s="729"/>
      <c r="F759" s="349">
        <f t="shared" ref="F759:K759" si="193">F778</f>
        <v>0</v>
      </c>
      <c r="G759" s="349">
        <f t="shared" si="193"/>
        <v>0</v>
      </c>
      <c r="H759" s="349">
        <f t="shared" si="193"/>
        <v>0</v>
      </c>
      <c r="I759" s="349">
        <f t="shared" si="193"/>
        <v>0</v>
      </c>
      <c r="J759" s="349">
        <f t="shared" si="193"/>
        <v>0</v>
      </c>
      <c r="K759" s="349">
        <f t="shared" si="193"/>
        <v>0</v>
      </c>
      <c r="L759" s="349">
        <f t="shared" si="192"/>
        <v>0</v>
      </c>
      <c r="M759" s="196"/>
      <c r="N759" s="196"/>
      <c r="P759" s="756"/>
      <c r="Q759" s="605"/>
    </row>
    <row r="760" spans="1:17">
      <c r="A760" s="344">
        <v>4</v>
      </c>
      <c r="B760" s="196"/>
      <c r="C760" s="497" t="s">
        <v>355</v>
      </c>
      <c r="D760" s="589"/>
      <c r="E760" s="714" t="str">
        <f>'FR-16(7)(v)-1 Functional'!$E$760</f>
        <v>K697</v>
      </c>
      <c r="F760" s="356">
        <f>IF($F759=0,0,ROUND(F759/$F759,9))</f>
        <v>0</v>
      </c>
      <c r="G760" s="356">
        <f>IF($L759=0,F760-SUM(H760:J760),ROUND(G759/$F759,5))</f>
        <v>0</v>
      </c>
      <c r="H760" s="356">
        <f>IF($F759=0,0,ROUND(H759/$F759,5))</f>
        <v>0</v>
      </c>
      <c r="I760" s="356">
        <f>IF($F759=0,0,ROUND(I759/$F759,5))</f>
        <v>0</v>
      </c>
      <c r="J760" s="356">
        <f>IF($F759=0,0,ROUND(J759/$F759,5))</f>
        <v>0</v>
      </c>
      <c r="K760" s="356">
        <f>SUM(G760:J760)</f>
        <v>0</v>
      </c>
      <c r="L760" s="356">
        <f t="shared" si="192"/>
        <v>0</v>
      </c>
      <c r="M760" s="196"/>
      <c r="N760" s="196"/>
      <c r="P760" s="755">
        <f>K760</f>
        <v>0</v>
      </c>
      <c r="Q760" s="196"/>
    </row>
    <row r="761" spans="1:17">
      <c r="A761" s="344">
        <v>5</v>
      </c>
      <c r="B761" s="606"/>
      <c r="C761" s="660" t="s">
        <v>108</v>
      </c>
      <c r="D761" s="725" t="s">
        <v>1013</v>
      </c>
      <c r="E761" s="729"/>
      <c r="F761" s="349">
        <f>'FR-16(7)(v)-3 PROD Comm Alloc'!F761</f>
        <v>95287873</v>
      </c>
      <c r="G761" s="349">
        <f>'FR-16(7)(v)-3 PROD Comm Alloc'!G761</f>
        <v>65522695</v>
      </c>
      <c r="H761" s="349">
        <f>'FR-16(7)(v)-3 PROD Comm Alloc'!H761</f>
        <v>23198247</v>
      </c>
      <c r="I761" s="349">
        <f>'FR-16(7)(v)-3 PROD Comm Alloc'!I761</f>
        <v>5042683</v>
      </c>
      <c r="J761" s="349">
        <f>'FR-16(7)(v)-3 PROD Comm Alloc'!J761</f>
        <v>1524248</v>
      </c>
      <c r="K761" s="347">
        <f>SUM(G761:J761)</f>
        <v>95287873</v>
      </c>
      <c r="L761" s="349">
        <f t="shared" si="192"/>
        <v>0</v>
      </c>
      <c r="M761" s="196"/>
      <c r="N761" s="196"/>
      <c r="P761" s="757"/>
      <c r="Q761" s="606"/>
    </row>
    <row r="762" spans="1:17">
      <c r="A762" s="344">
        <v>6</v>
      </c>
      <c r="B762" s="196"/>
      <c r="C762" s="497" t="s">
        <v>355</v>
      </c>
      <c r="D762" s="589"/>
      <c r="E762" s="714" t="str">
        <f>'FR-16(7)(v)-1 Functional'!$E$762</f>
        <v>K901</v>
      </c>
      <c r="F762" s="356">
        <f>IF($F761=0,0,ROUND(F761/$F761,9))</f>
        <v>1</v>
      </c>
      <c r="G762" s="356">
        <f>IF($L761=0,F762-SUM(H762:J762),ROUND(G761/$F761,5))</f>
        <v>0.68762889699999996</v>
      </c>
      <c r="H762" s="356">
        <f>IF($F761=0,0,ROUND(H761/$F761,9))</f>
        <v>0.24345434799999999</v>
      </c>
      <c r="I762" s="356">
        <f>IF($F761=0,0,ROUND(I761/$F761,9))</f>
        <v>5.2920512000000003E-2</v>
      </c>
      <c r="J762" s="356">
        <f>IF($F761=0,0,ROUND(J761/$F761,9))</f>
        <v>1.5996243E-2</v>
      </c>
      <c r="K762" s="356">
        <f>SUM(G762:J762)</f>
        <v>1</v>
      </c>
      <c r="L762" s="356">
        <f t="shared" si="192"/>
        <v>0</v>
      </c>
      <c r="M762" s="196"/>
      <c r="N762" s="196"/>
      <c r="P762" s="755">
        <f>K762</f>
        <v>1</v>
      </c>
      <c r="Q762" s="196"/>
    </row>
    <row r="763" spans="1:17">
      <c r="A763" s="344">
        <v>7</v>
      </c>
      <c r="C763" s="660" t="s">
        <v>850</v>
      </c>
      <c r="D763" s="725" t="s">
        <v>1013</v>
      </c>
      <c r="E763" s="729"/>
      <c r="F763" s="349">
        <f>'FR-16(7)(v)-3 PROD Comm Alloc'!F763</f>
        <v>95287873</v>
      </c>
      <c r="G763" s="349">
        <f>'FR-16(7)(v)-3 PROD Comm Alloc'!G763</f>
        <v>65522695</v>
      </c>
      <c r="H763" s="349">
        <f>'FR-16(7)(v)-3 PROD Comm Alloc'!H763</f>
        <v>23198247</v>
      </c>
      <c r="I763" s="349">
        <f>'FR-16(7)(v)-3 PROD Comm Alloc'!I763</f>
        <v>5042683</v>
      </c>
      <c r="J763" s="349">
        <f>'FR-16(7)(v)-3 PROD Comm Alloc'!J763</f>
        <v>1524248</v>
      </c>
      <c r="K763" s="347">
        <f>SUM(G763:J763)</f>
        <v>95287873</v>
      </c>
      <c r="L763" s="349">
        <f t="shared" si="192"/>
        <v>0</v>
      </c>
      <c r="M763" s="196"/>
      <c r="N763" s="196"/>
      <c r="P763" s="758"/>
    </row>
    <row r="764" spans="1:17">
      <c r="A764" s="344">
        <v>8</v>
      </c>
      <c r="C764" s="497" t="s">
        <v>355</v>
      </c>
      <c r="D764" s="589"/>
      <c r="E764" s="714" t="s">
        <v>1201</v>
      </c>
      <c r="F764" s="356">
        <f>IF($F763=0,0,ROUND(F763/$F763,9))</f>
        <v>1</v>
      </c>
      <c r="G764" s="356">
        <f>IF($L763=0,F764-SUM(H764:J764),ROUND(G763/$F763,5))</f>
        <v>0.68762889699999996</v>
      </c>
      <c r="H764" s="356">
        <f>IF($F763=0,0,ROUND(H763/$F763,9))</f>
        <v>0.24345434799999999</v>
      </c>
      <c r="I764" s="356">
        <f>IF($F763=0,0,ROUND(I763/$F763,9))</f>
        <v>5.2920512000000003E-2</v>
      </c>
      <c r="J764" s="356">
        <f>IF($F763=0,0,ROUND(J763/$F763,9))</f>
        <v>1.5996243E-2</v>
      </c>
      <c r="K764" s="356">
        <f>SUM(G764:J764)</f>
        <v>1</v>
      </c>
      <c r="L764" s="356">
        <f t="shared" si="192"/>
        <v>0</v>
      </c>
      <c r="M764" s="196"/>
      <c r="N764" s="196"/>
      <c r="P764" s="758"/>
    </row>
    <row r="765" spans="1:17">
      <c r="A765" s="344">
        <v>9</v>
      </c>
      <c r="E765" s="746"/>
      <c r="F765" s="353"/>
      <c r="G765" s="353"/>
      <c r="H765" s="353"/>
      <c r="J765" s="353"/>
      <c r="K765" s="353"/>
      <c r="L765" s="353"/>
      <c r="M765" s="196"/>
      <c r="N765" s="196"/>
      <c r="P765" s="758"/>
    </row>
    <row r="766" spans="1:17">
      <c r="A766" s="344">
        <v>10</v>
      </c>
      <c r="B766" s="708" t="s">
        <v>92</v>
      </c>
      <c r="C766" s="709"/>
      <c r="D766" s="726"/>
      <c r="E766" s="729"/>
      <c r="F766" s="625"/>
      <c r="G766" s="625"/>
      <c r="H766" s="625"/>
      <c r="I766" s="625"/>
      <c r="J766" s="625"/>
      <c r="K766" s="625"/>
      <c r="L766" s="625"/>
      <c r="M766" s="196"/>
      <c r="N766" s="196"/>
      <c r="P766" s="759"/>
      <c r="Q766" s="599"/>
    </row>
    <row r="767" spans="1:17">
      <c r="A767" s="344">
        <v>11</v>
      </c>
      <c r="B767" s="659"/>
      <c r="C767" s="660" t="s">
        <v>1025</v>
      </c>
      <c r="D767" s="725"/>
      <c r="E767" s="729"/>
      <c r="F767" s="349">
        <f>'FR-16(7)(v)-4 DISTR Classified'!$G$71</f>
        <v>238095190</v>
      </c>
      <c r="G767" s="349">
        <f t="shared" ref="G767:K768" si="194">G71</f>
        <v>134445211</v>
      </c>
      <c r="H767" s="349">
        <f t="shared" si="194"/>
        <v>70292843</v>
      </c>
      <c r="I767" s="349">
        <f t="shared" si="194"/>
        <v>25983328</v>
      </c>
      <c r="J767" s="349">
        <f t="shared" si="194"/>
        <v>7373808</v>
      </c>
      <c r="K767" s="349">
        <f t="shared" si="194"/>
        <v>238095190</v>
      </c>
      <c r="L767" s="349">
        <f>F767-K767</f>
        <v>0</v>
      </c>
      <c r="M767" s="599"/>
      <c r="N767" s="196"/>
      <c r="P767" s="759"/>
      <c r="Q767" s="599"/>
    </row>
    <row r="768" spans="1:17">
      <c r="A768" s="344">
        <v>12</v>
      </c>
      <c r="B768" s="659"/>
      <c r="C768" s="660" t="s">
        <v>1026</v>
      </c>
      <c r="D768" s="725"/>
      <c r="E768" s="713"/>
      <c r="F768" s="349">
        <f>'FR-16(7)(v)-4 DISTR Classified'!$G$72</f>
        <v>0</v>
      </c>
      <c r="G768" s="349">
        <f t="shared" si="194"/>
        <v>0</v>
      </c>
      <c r="H768" s="349">
        <f t="shared" si="194"/>
        <v>0</v>
      </c>
      <c r="I768" s="349">
        <f t="shared" si="194"/>
        <v>0</v>
      </c>
      <c r="J768" s="349">
        <f t="shared" si="194"/>
        <v>0</v>
      </c>
      <c r="K768" s="349">
        <f t="shared" si="194"/>
        <v>0</v>
      </c>
      <c r="L768" s="349">
        <f>F768-K768</f>
        <v>0</v>
      </c>
      <c r="M768" s="599"/>
      <c r="N768" s="196"/>
      <c r="P768" s="759"/>
      <c r="Q768" s="599"/>
    </row>
    <row r="769" spans="1:17">
      <c r="A769" s="344">
        <v>13</v>
      </c>
      <c r="B769" s="659"/>
      <c r="C769" s="660" t="s">
        <v>1023</v>
      </c>
      <c r="D769" s="725"/>
      <c r="E769" s="713"/>
      <c r="F769" s="349">
        <f>-'FR-16(7)(v)-4 DISTR Classified'!$G$125</f>
        <v>-89684076</v>
      </c>
      <c r="G769" s="349">
        <f t="shared" ref="G769:K770" si="195">-G125</f>
        <v>-50641907</v>
      </c>
      <c r="H769" s="349">
        <f t="shared" si="195"/>
        <v>-26477430</v>
      </c>
      <c r="I769" s="349">
        <f t="shared" si="195"/>
        <v>-9787223</v>
      </c>
      <c r="J769" s="349">
        <f t="shared" si="195"/>
        <v>-2777516</v>
      </c>
      <c r="K769" s="349">
        <f t="shared" si="195"/>
        <v>-89684076</v>
      </c>
      <c r="L769" s="349">
        <f>F769-K769</f>
        <v>0</v>
      </c>
      <c r="M769" s="599"/>
      <c r="N769" s="196"/>
      <c r="P769" s="759"/>
      <c r="Q769" s="599"/>
    </row>
    <row r="770" spans="1:17">
      <c r="A770" s="344">
        <v>14</v>
      </c>
      <c r="B770" s="659"/>
      <c r="C770" s="660" t="s">
        <v>1024</v>
      </c>
      <c r="D770" s="725"/>
      <c r="E770" s="717"/>
      <c r="F770" s="349">
        <f>-'FR-16(7)(v)-4 DISTR Classified'!$G$126</f>
        <v>0</v>
      </c>
      <c r="G770" s="670">
        <f t="shared" si="195"/>
        <v>0</v>
      </c>
      <c r="H770" s="670">
        <f t="shared" si="195"/>
        <v>0</v>
      </c>
      <c r="I770" s="670">
        <f t="shared" si="195"/>
        <v>0</v>
      </c>
      <c r="J770" s="670">
        <f t="shared" si="195"/>
        <v>0</v>
      </c>
      <c r="K770" s="670">
        <f t="shared" si="195"/>
        <v>0</v>
      </c>
      <c r="L770" s="349">
        <f>F770-K770</f>
        <v>0</v>
      </c>
      <c r="M770" s="599"/>
      <c r="N770" s="196"/>
      <c r="P770" s="759"/>
      <c r="Q770" s="599"/>
    </row>
    <row r="771" spans="1:17">
      <c r="A771" s="344">
        <v>15</v>
      </c>
      <c r="B771" s="659"/>
      <c r="C771" s="710" t="s">
        <v>1033</v>
      </c>
      <c r="D771" s="725"/>
      <c r="E771" s="713"/>
      <c r="F771" s="765">
        <f t="shared" ref="F771:L771" si="196">SUM(F767:F770)</f>
        <v>148411114</v>
      </c>
      <c r="G771" s="765">
        <f t="shared" si="196"/>
        <v>83803304</v>
      </c>
      <c r="H771" s="765">
        <f t="shared" si="196"/>
        <v>43815413</v>
      </c>
      <c r="I771" s="765">
        <f t="shared" si="196"/>
        <v>16196105</v>
      </c>
      <c r="J771" s="765">
        <f t="shared" si="196"/>
        <v>4596292</v>
      </c>
      <c r="K771" s="765">
        <f t="shared" si="196"/>
        <v>148411114</v>
      </c>
      <c r="L771" s="765">
        <f t="shared" si="196"/>
        <v>0</v>
      </c>
      <c r="M771" s="599"/>
      <c r="N771" s="196"/>
      <c r="P771" s="759"/>
      <c r="Q771" s="599"/>
    </row>
    <row r="772" spans="1:17">
      <c r="A772" s="344">
        <v>16</v>
      </c>
      <c r="B772" s="659"/>
      <c r="C772" s="659"/>
      <c r="D772" s="713"/>
      <c r="E772" s="713"/>
      <c r="F772" s="353"/>
      <c r="G772" s="353"/>
      <c r="H772" s="353"/>
      <c r="J772" s="353"/>
      <c r="K772" s="353"/>
      <c r="L772" s="353"/>
      <c r="M772" s="599"/>
      <c r="N772" s="196"/>
      <c r="P772" s="759"/>
      <c r="Q772" s="599"/>
    </row>
    <row r="773" spans="1:17">
      <c r="A773" s="344">
        <v>17</v>
      </c>
      <c r="B773" s="711" t="s">
        <v>93</v>
      </c>
      <c r="C773" s="616"/>
      <c r="D773" s="713"/>
      <c r="E773" s="713"/>
      <c r="F773" s="353"/>
      <c r="G773" s="353"/>
      <c r="H773" s="353"/>
      <c r="J773" s="353"/>
      <c r="K773" s="353"/>
      <c r="L773" s="353"/>
      <c r="M773" s="599"/>
      <c r="N773" s="196"/>
      <c r="P773" s="759"/>
      <c r="Q773" s="599"/>
    </row>
    <row r="774" spans="1:17">
      <c r="A774" s="344">
        <v>18</v>
      </c>
      <c r="B774" s="659"/>
      <c r="C774" s="660" t="s">
        <v>1027</v>
      </c>
      <c r="D774" s="713"/>
      <c r="E774" s="713"/>
      <c r="F774" s="349">
        <f>'FR-16(7)(v)-4 DISTR Classified'!$G$73</f>
        <v>0</v>
      </c>
      <c r="G774" s="349">
        <f>G73</f>
        <v>0</v>
      </c>
      <c r="H774" s="349">
        <f>H73</f>
        <v>0</v>
      </c>
      <c r="I774" s="349">
        <f>I73</f>
        <v>0</v>
      </c>
      <c r="J774" s="349">
        <f>J73</f>
        <v>0</v>
      </c>
      <c r="K774" s="349">
        <f>K73</f>
        <v>0</v>
      </c>
      <c r="L774" s="349">
        <f>F774-K774</f>
        <v>0</v>
      </c>
      <c r="M774" s="599"/>
      <c r="N774" s="196"/>
      <c r="P774" s="759"/>
      <c r="Q774" s="599"/>
    </row>
    <row r="775" spans="1:17">
      <c r="A775" s="344">
        <v>19</v>
      </c>
      <c r="B775" s="659"/>
      <c r="C775" s="660" t="s">
        <v>1028</v>
      </c>
      <c r="D775" s="713"/>
      <c r="E775" s="713"/>
      <c r="F775" s="349">
        <f>'FR-16(7)(v)-4 DISTR Classified'!$G$75</f>
        <v>0</v>
      </c>
      <c r="G775" s="349">
        <f>G75</f>
        <v>0</v>
      </c>
      <c r="H775" s="349">
        <f>H75</f>
        <v>0</v>
      </c>
      <c r="I775" s="349">
        <f>I75</f>
        <v>0</v>
      </c>
      <c r="J775" s="349">
        <f>J75</f>
        <v>0</v>
      </c>
      <c r="K775" s="349">
        <f>K75</f>
        <v>0</v>
      </c>
      <c r="L775" s="349">
        <f>F775-K775</f>
        <v>0</v>
      </c>
      <c r="M775" s="599"/>
      <c r="N775" s="196"/>
      <c r="P775" s="759"/>
      <c r="Q775" s="599"/>
    </row>
    <row r="776" spans="1:17">
      <c r="A776" s="344">
        <v>20</v>
      </c>
      <c r="B776" s="659"/>
      <c r="C776" s="660" t="s">
        <v>1029</v>
      </c>
      <c r="D776" s="713"/>
      <c r="E776" s="713"/>
      <c r="F776" s="349">
        <f>-'FR-16(7)(v)-4 DISTR Classified'!$G$127</f>
        <v>0</v>
      </c>
      <c r="G776" s="349">
        <f>-G127</f>
        <v>0</v>
      </c>
      <c r="H776" s="349">
        <f>-H127</f>
        <v>0</v>
      </c>
      <c r="I776" s="349">
        <f>-I127</f>
        <v>0</v>
      </c>
      <c r="J776" s="349">
        <f>-J127</f>
        <v>0</v>
      </c>
      <c r="K776" s="349">
        <f>-K127</f>
        <v>0</v>
      </c>
      <c r="L776" s="349">
        <f>F776-K776</f>
        <v>0</v>
      </c>
      <c r="M776" s="599"/>
      <c r="N776" s="196"/>
      <c r="P776" s="759"/>
      <c r="Q776" s="599"/>
    </row>
    <row r="777" spans="1:17">
      <c r="A777" s="344">
        <v>21</v>
      </c>
      <c r="B777" s="659"/>
      <c r="C777" s="660" t="s">
        <v>1030</v>
      </c>
      <c r="D777" s="713"/>
      <c r="E777" s="713"/>
      <c r="F777" s="349">
        <f>-'FR-16(7)(v)-4 DISTR Classified'!$G$129</f>
        <v>0</v>
      </c>
      <c r="G777" s="670">
        <f>-G129</f>
        <v>0</v>
      </c>
      <c r="H777" s="670">
        <f>-H129</f>
        <v>0</v>
      </c>
      <c r="I777" s="670">
        <f>-I129</f>
        <v>0</v>
      </c>
      <c r="J777" s="670">
        <f>-J129</f>
        <v>0</v>
      </c>
      <c r="K777" s="670">
        <f>-K129</f>
        <v>0</v>
      </c>
      <c r="L777" s="349">
        <f>F777-K777</f>
        <v>0</v>
      </c>
      <c r="M777" s="599"/>
      <c r="N777" s="196"/>
      <c r="P777" s="759"/>
      <c r="Q777" s="599"/>
    </row>
    <row r="778" spans="1:17">
      <c r="A778" s="344">
        <v>22</v>
      </c>
      <c r="B778" s="659"/>
      <c r="C778" s="710" t="s">
        <v>1034</v>
      </c>
      <c r="D778" s="713"/>
      <c r="E778" s="713"/>
      <c r="F778" s="764">
        <f t="shared" ref="F778:L778" si="197">SUM(F774:F777)</f>
        <v>0</v>
      </c>
      <c r="G778" s="764">
        <f t="shared" si="197"/>
        <v>0</v>
      </c>
      <c r="H778" s="765">
        <f t="shared" si="197"/>
        <v>0</v>
      </c>
      <c r="I778" s="765">
        <f t="shared" si="197"/>
        <v>0</v>
      </c>
      <c r="J778" s="765">
        <f t="shared" si="197"/>
        <v>0</v>
      </c>
      <c r="K778" s="765">
        <f t="shared" si="197"/>
        <v>0</v>
      </c>
      <c r="L778" s="764">
        <f t="shared" si="197"/>
        <v>0</v>
      </c>
      <c r="M778" s="599"/>
      <c r="N778" s="196"/>
      <c r="P778" s="759"/>
      <c r="Q778" s="599"/>
    </row>
    <row r="779" spans="1:17">
      <c r="A779" s="344">
        <v>23</v>
      </c>
      <c r="E779" s="333"/>
      <c r="H779" s="353"/>
      <c r="J779" s="353"/>
      <c r="K779" s="353"/>
      <c r="N779" s="196"/>
      <c r="P779" s="758"/>
    </row>
    <row r="780" spans="1:17">
      <c r="A780" s="344">
        <v>24</v>
      </c>
      <c r="B780" s="631" t="s">
        <v>94</v>
      </c>
      <c r="C780" s="196"/>
      <c r="D780" s="718"/>
      <c r="E780" s="718"/>
      <c r="F780" s="632"/>
      <c r="G780" s="632"/>
      <c r="H780" s="633"/>
      <c r="I780" s="633"/>
      <c r="J780" s="633"/>
      <c r="K780" s="633"/>
      <c r="L780" s="632"/>
      <c r="M780" s="196"/>
      <c r="N780" s="196"/>
      <c r="P780" s="753"/>
      <c r="Q780" s="196"/>
    </row>
    <row r="781" spans="1:17">
      <c r="A781" s="344">
        <v>25</v>
      </c>
      <c r="B781" s="597" t="s">
        <v>95</v>
      </c>
      <c r="C781" s="634"/>
      <c r="D781" s="719"/>
      <c r="E781" s="719"/>
      <c r="F781" s="510"/>
      <c r="G781" s="510"/>
      <c r="H781" s="490"/>
      <c r="I781" s="490"/>
      <c r="J781" s="510"/>
      <c r="K781" s="510"/>
      <c r="L781" s="510"/>
      <c r="M781" s="196"/>
      <c r="N781" s="196"/>
      <c r="P781" s="753"/>
      <c r="Q781" s="196"/>
    </row>
    <row r="782" spans="1:17">
      <c r="A782" s="344">
        <v>26</v>
      </c>
      <c r="B782" s="196"/>
      <c r="C782" s="587" t="s">
        <v>230</v>
      </c>
      <c r="D782" s="725" t="s">
        <v>1013</v>
      </c>
      <c r="E782" s="714" t="str">
        <f>'FR-16(7)(v)-1 Functional'!$E$782</f>
        <v>P129</v>
      </c>
      <c r="F782" s="1083">
        <v>0</v>
      </c>
      <c r="G782" s="1082">
        <f>F782-SUM(H782:J782)</f>
        <v>0</v>
      </c>
      <c r="H782" s="1082">
        <f>ROUND(IF($F$59=0,0,$H$59/$F$59),5)</f>
        <v>0</v>
      </c>
      <c r="I782" s="1082">
        <f>ROUND(IF($F$59=0,0,$I$59/$F$59),5)</f>
        <v>0</v>
      </c>
      <c r="J782" s="1082">
        <f>ROUND(IF($F$59=0,0,$J$59/$F$59),5)</f>
        <v>0</v>
      </c>
      <c r="K782" s="1082">
        <f t="shared" ref="K782:K789" si="198">SUM(G782:J782)</f>
        <v>0</v>
      </c>
      <c r="L782" s="1082">
        <f t="shared" ref="L782:L789" si="199">F782-K782</f>
        <v>0</v>
      </c>
      <c r="M782" s="196"/>
      <c r="N782" s="196"/>
      <c r="P782" s="755">
        <f t="shared" ref="P782:P789" si="200">K782</f>
        <v>0</v>
      </c>
      <c r="Q782" s="196"/>
    </row>
    <row r="783" spans="1:17">
      <c r="A783" s="344">
        <v>27</v>
      </c>
      <c r="B783" s="196"/>
      <c r="C783" s="587" t="s">
        <v>231</v>
      </c>
      <c r="D783" s="725" t="s">
        <v>1013</v>
      </c>
      <c r="E783" s="714" t="str">
        <f>'FR-16(7)(v)-1 Functional'!$E$783</f>
        <v>D149</v>
      </c>
      <c r="F783" s="648">
        <v>1</v>
      </c>
      <c r="G783" s="356">
        <f>F783-SUM(H783:J783)</f>
        <v>0.56360999999999994</v>
      </c>
      <c r="H783" s="356">
        <f>ROUND(IF($F$78=0,0,H78/$F$78),5)</f>
        <v>0.29483999999999999</v>
      </c>
      <c r="I783" s="356">
        <f>ROUND(IF($F$78=0,0,I78/$F$78),5)</f>
        <v>0.10992</v>
      </c>
      <c r="J783" s="356">
        <f>ROUND(IF($F$78=0,0,J78/$F$78),5)</f>
        <v>3.1629999999999998E-2</v>
      </c>
      <c r="K783" s="356">
        <f t="shared" si="198"/>
        <v>1</v>
      </c>
      <c r="L783" s="350">
        <f t="shared" si="199"/>
        <v>0</v>
      </c>
      <c r="M783" s="196"/>
      <c r="N783" s="196"/>
      <c r="P783" s="755">
        <f t="shared" si="200"/>
        <v>1</v>
      </c>
      <c r="Q783" s="196"/>
    </row>
    <row r="784" spans="1:17">
      <c r="A784" s="344">
        <v>28</v>
      </c>
      <c r="B784" s="196"/>
      <c r="C784" s="587" t="s">
        <v>232</v>
      </c>
      <c r="D784" s="725" t="s">
        <v>1013</v>
      </c>
      <c r="E784" s="714" t="str">
        <f>'FR-16(7)(v)-1 Functional'!$E$784</f>
        <v>PD29</v>
      </c>
      <c r="F784" s="648">
        <v>1</v>
      </c>
      <c r="G784" s="356">
        <f t="shared" ref="G784:G789" si="201">F784-SUM(H784:J784)</f>
        <v>0.56360999999999994</v>
      </c>
      <c r="H784" s="356">
        <f>ROUND(IF($F$81=0,0,H81/$F$81),5)</f>
        <v>0.29483999999999999</v>
      </c>
      <c r="I784" s="356">
        <f>ROUND(IF($F$81=0,0,I81/$F$81),5)</f>
        <v>0.10992</v>
      </c>
      <c r="J784" s="356">
        <f>ROUND(IF($F$81=0,0,J81/$F$81),5)</f>
        <v>3.1629999999999998E-2</v>
      </c>
      <c r="K784" s="356">
        <f t="shared" si="198"/>
        <v>1</v>
      </c>
      <c r="L784" s="350">
        <f t="shared" si="199"/>
        <v>0</v>
      </c>
      <c r="M784" s="196"/>
      <c r="N784" s="196"/>
      <c r="P784" s="755">
        <f t="shared" si="200"/>
        <v>1</v>
      </c>
      <c r="Q784" s="196"/>
    </row>
    <row r="785" spans="1:17">
      <c r="A785" s="344">
        <v>29</v>
      </c>
      <c r="B785" s="196"/>
      <c r="C785" s="587" t="s">
        <v>233</v>
      </c>
      <c r="D785" s="725" t="s">
        <v>1013</v>
      </c>
      <c r="E785" s="714" t="str">
        <f>'FR-16(7)(v)-1 Functional'!$E$785</f>
        <v>G129</v>
      </c>
      <c r="F785" s="648">
        <v>1</v>
      </c>
      <c r="G785" s="356">
        <f t="shared" si="201"/>
        <v>0.61038999999999999</v>
      </c>
      <c r="H785" s="356">
        <f>ROUND(IF($F$90=0,0,H90/$F$90),5)</f>
        <v>0.27577000000000002</v>
      </c>
      <c r="I785" s="356">
        <f>ROUND(IF($F$90=0,0,I90/$F$90),5)</f>
        <v>9.1380000000000003E-2</v>
      </c>
      <c r="J785" s="356">
        <f>ROUND(IF($F$90=0,0,J90/$F$90),5)</f>
        <v>2.2460000000000001E-2</v>
      </c>
      <c r="K785" s="356">
        <f t="shared" si="198"/>
        <v>1</v>
      </c>
      <c r="L785" s="350">
        <f t="shared" si="199"/>
        <v>0</v>
      </c>
      <c r="M785" s="196"/>
      <c r="N785" s="196"/>
      <c r="P785" s="755">
        <f t="shared" si="200"/>
        <v>1</v>
      </c>
      <c r="Q785" s="196"/>
    </row>
    <row r="786" spans="1:17">
      <c r="A786" s="344">
        <v>30</v>
      </c>
      <c r="B786" s="196"/>
      <c r="C786" s="587" t="s">
        <v>234</v>
      </c>
      <c r="D786" s="725" t="s">
        <v>1013</v>
      </c>
      <c r="E786" s="714" t="str">
        <f>'FR-16(7)(v)-1 Functional'!$E$786</f>
        <v>C129</v>
      </c>
      <c r="F786" s="648">
        <v>1</v>
      </c>
      <c r="G786" s="356">
        <f t="shared" si="201"/>
        <v>0.61038999999999999</v>
      </c>
      <c r="H786" s="356">
        <f>ROUND(IF($F$99=0,0,H99/$F$99),5)</f>
        <v>0.27577000000000002</v>
      </c>
      <c r="I786" s="356">
        <f>ROUND(IF($F$99=0,0,I99/$F$99),5)</f>
        <v>9.1380000000000003E-2</v>
      </c>
      <c r="J786" s="356">
        <f>ROUND(IF($F$99=0,0,J99/$F$99),5)</f>
        <v>2.2460000000000001E-2</v>
      </c>
      <c r="K786" s="356">
        <f t="shared" si="198"/>
        <v>1</v>
      </c>
      <c r="L786" s="350">
        <f t="shared" si="199"/>
        <v>0</v>
      </c>
      <c r="M786" s="196"/>
      <c r="N786" s="196"/>
      <c r="P786" s="755">
        <f t="shared" si="200"/>
        <v>1</v>
      </c>
      <c r="Q786" s="196"/>
    </row>
    <row r="787" spans="1:17">
      <c r="A787" s="344">
        <v>31</v>
      </c>
      <c r="B787" s="196"/>
      <c r="C787" s="587" t="s">
        <v>235</v>
      </c>
      <c r="D787" s="725" t="s">
        <v>1013</v>
      </c>
      <c r="E787" s="714" t="str">
        <f>'FR-16(7)(v)-1 Functional'!$E$787</f>
        <v>GP19</v>
      </c>
      <c r="F787" s="648">
        <v>1</v>
      </c>
      <c r="G787" s="356">
        <f t="shared" si="201"/>
        <v>0.56557999999999997</v>
      </c>
      <c r="H787" s="356">
        <f>ROUND(IF($F$101=0,0,H101/$F$101),5)</f>
        <v>0.29404000000000002</v>
      </c>
      <c r="I787" s="356">
        <f>ROUND(IF($F$101=0,0,I101/$F$101),5)</f>
        <v>0.10914</v>
      </c>
      <c r="J787" s="356">
        <f>ROUND(IF($F$101=0,0,J101/$F$101),5)</f>
        <v>3.124E-2</v>
      </c>
      <c r="K787" s="356">
        <f t="shared" si="198"/>
        <v>1</v>
      </c>
      <c r="L787" s="350">
        <f t="shared" si="199"/>
        <v>0</v>
      </c>
      <c r="M787" s="196"/>
      <c r="N787" s="196"/>
      <c r="P787" s="755">
        <f t="shared" si="200"/>
        <v>1</v>
      </c>
      <c r="Q787" s="196"/>
    </row>
    <row r="788" spans="1:17">
      <c r="A788" s="344">
        <v>32</v>
      </c>
      <c r="B788" s="196"/>
      <c r="C788" s="587" t="s">
        <v>236</v>
      </c>
      <c r="D788" s="725" t="s">
        <v>1013</v>
      </c>
      <c r="E788" s="714" t="str">
        <f>'FR-16(7)(v)-1 Functional'!$E$788</f>
        <v>D199</v>
      </c>
      <c r="F788" s="648">
        <v>1</v>
      </c>
      <c r="G788" s="356">
        <f t="shared" si="201"/>
        <v>0.57462999999999997</v>
      </c>
      <c r="H788" s="356">
        <f>ROUND(IF($F$131=0,0,H131/$F$131),5)</f>
        <v>0.27742</v>
      </c>
      <c r="I788" s="356">
        <f>ROUND(IF($F$131=0,0,I131/$F$131),5)</f>
        <v>0.11418</v>
      </c>
      <c r="J788" s="356">
        <f>ROUND(IF($F$131=0,0,J131/$F$131),5)</f>
        <v>3.3770000000000001E-2</v>
      </c>
      <c r="K788" s="356">
        <f t="shared" si="198"/>
        <v>0.99999999999999989</v>
      </c>
      <c r="L788" s="350">
        <f t="shared" si="199"/>
        <v>0</v>
      </c>
      <c r="M788" s="196"/>
      <c r="N788" s="196"/>
      <c r="P788" s="755">
        <f t="shared" si="200"/>
        <v>0.99999999999999989</v>
      </c>
      <c r="Q788" s="196"/>
    </row>
    <row r="789" spans="1:17">
      <c r="A789" s="344">
        <v>33</v>
      </c>
      <c r="B789" s="196"/>
      <c r="C789" s="587" t="s">
        <v>237</v>
      </c>
      <c r="D789" s="725" t="s">
        <v>1013</v>
      </c>
      <c r="E789" s="714" t="str">
        <f>'FR-16(7)(v)-1 Functional'!$E$789</f>
        <v>DR19</v>
      </c>
      <c r="F789" s="648">
        <v>1</v>
      </c>
      <c r="G789" s="356">
        <f t="shared" si="201"/>
        <v>0.57722000000000007</v>
      </c>
      <c r="H789" s="356">
        <f>ROUND(IF($F$151=0,0,H151/$F$151),5)</f>
        <v>0.27729999999999999</v>
      </c>
      <c r="I789" s="356">
        <f>ROUND(IF($F$151=0,0,I151/$F$151),5)</f>
        <v>0.11253000000000001</v>
      </c>
      <c r="J789" s="356">
        <f>ROUND(IF($F$151=0,0,J151/$F$151),5)</f>
        <v>3.295E-2</v>
      </c>
      <c r="K789" s="356">
        <f t="shared" si="198"/>
        <v>1</v>
      </c>
      <c r="L789" s="350">
        <f t="shared" si="199"/>
        <v>0</v>
      </c>
      <c r="M789" s="196"/>
      <c r="N789" s="196"/>
      <c r="P789" s="755">
        <f t="shared" si="200"/>
        <v>1</v>
      </c>
      <c r="Q789" s="196"/>
    </row>
    <row r="790" spans="1:17">
      <c r="A790" s="344">
        <v>34</v>
      </c>
      <c r="B790" s="196"/>
      <c r="C790" s="196"/>
      <c r="D790" s="344"/>
      <c r="E790" s="729"/>
      <c r="F790" s="648"/>
      <c r="G790" s="356"/>
      <c r="H790" s="356"/>
      <c r="I790" s="356"/>
      <c r="J790" s="356"/>
      <c r="K790" s="356"/>
      <c r="M790" s="196"/>
      <c r="N790" s="196"/>
      <c r="P790" s="753"/>
      <c r="Q790" s="196"/>
    </row>
    <row r="791" spans="1:17">
      <c r="A791" s="344">
        <v>35</v>
      </c>
      <c r="B791" s="587" t="s">
        <v>96</v>
      </c>
      <c r="C791" s="196"/>
      <c r="D791" s="344"/>
      <c r="E791" s="729"/>
      <c r="F791" s="648"/>
      <c r="G791" s="356"/>
      <c r="H791" s="356"/>
      <c r="I791" s="356"/>
      <c r="J791" s="356"/>
      <c r="K791" s="356"/>
      <c r="M791" s="196"/>
      <c r="N791" s="196"/>
      <c r="P791" s="753"/>
      <c r="Q791" s="196"/>
    </row>
    <row r="792" spans="1:17">
      <c r="A792" s="344">
        <v>36</v>
      </c>
      <c r="B792" s="196"/>
      <c r="C792" s="587" t="s">
        <v>238</v>
      </c>
      <c r="D792" s="725" t="s">
        <v>1013</v>
      </c>
      <c r="E792" s="714" t="str">
        <f>'FR-16(7)(v)-1 Functional'!$E$792</f>
        <v>P229</v>
      </c>
      <c r="F792" s="1083">
        <v>0</v>
      </c>
      <c r="G792" s="1082">
        <f>F792-SUM(H792:J792)</f>
        <v>0</v>
      </c>
      <c r="H792" s="1082">
        <f>ROUND(IF($F$166=0,0,H166/$F$166),5)</f>
        <v>0</v>
      </c>
      <c r="I792" s="1082">
        <f>ROUND(IF($F$166=0,0,I166/$F$166),5)</f>
        <v>0</v>
      </c>
      <c r="J792" s="1082">
        <f>ROUND(IF($F$166=0,0,J166/$F$166),5)</f>
        <v>0</v>
      </c>
      <c r="K792" s="1082">
        <f>SUM(G792:J792)</f>
        <v>0</v>
      </c>
      <c r="L792" s="1082">
        <f>F792-K792</f>
        <v>0</v>
      </c>
      <c r="M792" s="196"/>
      <c r="N792" s="196"/>
      <c r="P792" s="755">
        <f>K792</f>
        <v>0</v>
      </c>
      <c r="Q792" s="196"/>
    </row>
    <row r="793" spans="1:17">
      <c r="A793" s="344">
        <v>37</v>
      </c>
      <c r="B793" s="196"/>
      <c r="C793" s="587" t="s">
        <v>239</v>
      </c>
      <c r="D793" s="725" t="s">
        <v>1013</v>
      </c>
      <c r="E793" s="714" t="str">
        <f>'FR-16(7)(v)-1 Functional'!$E$793</f>
        <v>D249</v>
      </c>
      <c r="F793" s="648">
        <v>1</v>
      </c>
      <c r="G793" s="356">
        <f>F793-SUM(H793:J793)</f>
        <v>0.55878000000000005</v>
      </c>
      <c r="H793" s="356">
        <f>ROUND(IF($F$176=0,0,H176/$F$176),5)</f>
        <v>0.30248000000000003</v>
      </c>
      <c r="I793" s="356">
        <f>ROUND(IF($F$176=0,0,I176/$F$176),5)</f>
        <v>0.10804999999999999</v>
      </c>
      <c r="J793" s="356">
        <f>ROUND(IF($F$176=0,0,J176/$F$176),5)</f>
        <v>3.0689999999999999E-2</v>
      </c>
      <c r="K793" s="356">
        <f>SUM(G793:J793)</f>
        <v>1.0000000000000002</v>
      </c>
      <c r="L793" s="350">
        <f>F793-K793</f>
        <v>0</v>
      </c>
      <c r="M793" s="196"/>
      <c r="N793" s="196"/>
      <c r="P793" s="755">
        <f>K793</f>
        <v>1.0000000000000002</v>
      </c>
      <c r="Q793" s="196"/>
    </row>
    <row r="794" spans="1:17">
      <c r="A794" s="344">
        <v>38</v>
      </c>
      <c r="B794" s="196"/>
      <c r="C794" s="587" t="s">
        <v>240</v>
      </c>
      <c r="D794" s="725" t="s">
        <v>1013</v>
      </c>
      <c r="E794" s="714" t="str">
        <f>'FR-16(7)(v)-1 Functional'!$E$794</f>
        <v>G229</v>
      </c>
      <c r="F794" s="648">
        <v>1</v>
      </c>
      <c r="G794" s="356">
        <f>F794-SUM(H794:J794)</f>
        <v>0.61038999999999999</v>
      </c>
      <c r="H794" s="356">
        <f>ROUND(IF($F$184=0,0,H184/$F$184),5)</f>
        <v>0.27577000000000002</v>
      </c>
      <c r="I794" s="356">
        <f>ROUND(IF($F$184=0,0,I184/$F$184),5)</f>
        <v>9.1380000000000003E-2</v>
      </c>
      <c r="J794" s="356">
        <f>ROUND(IF($F$184=0,0,J184/$F$184),5)</f>
        <v>2.2460000000000001E-2</v>
      </c>
      <c r="K794" s="356">
        <f>SUM(G794:J794)</f>
        <v>1</v>
      </c>
      <c r="L794" s="350">
        <f>F794-K794</f>
        <v>0</v>
      </c>
      <c r="M794" s="196"/>
      <c r="N794" s="196"/>
      <c r="P794" s="755">
        <f>K794</f>
        <v>1</v>
      </c>
      <c r="Q794" s="196"/>
    </row>
    <row r="795" spans="1:17">
      <c r="A795" s="344">
        <v>39</v>
      </c>
      <c r="B795" s="196"/>
      <c r="C795" s="587" t="s">
        <v>241</v>
      </c>
      <c r="D795" s="725" t="s">
        <v>1013</v>
      </c>
      <c r="E795" s="714" t="str">
        <f>'FR-16(7)(v)-1 Functional'!$E$795</f>
        <v>C229</v>
      </c>
      <c r="F795" s="648">
        <v>1</v>
      </c>
      <c r="G795" s="356">
        <f>F795-SUM(H795:J795)</f>
        <v>0.61038999999999999</v>
      </c>
      <c r="H795" s="356">
        <f>ROUND(IF($F$189=0,0,H189/$F$189),5)</f>
        <v>0.27577000000000002</v>
      </c>
      <c r="I795" s="356">
        <f>ROUND(IF($F$189=0,0,I189/$F$189),5)</f>
        <v>9.1380000000000003E-2</v>
      </c>
      <c r="J795" s="356">
        <f>ROUND(IF($F$189=0,0,J189/$F$189),5)</f>
        <v>2.2460000000000001E-2</v>
      </c>
      <c r="K795" s="356">
        <f>SUM(G795:J795)</f>
        <v>1</v>
      </c>
      <c r="L795" s="350">
        <f>F795-K795</f>
        <v>0</v>
      </c>
      <c r="M795" s="196"/>
      <c r="N795" s="196"/>
      <c r="P795" s="755">
        <f>K795</f>
        <v>1</v>
      </c>
      <c r="Q795" s="196"/>
    </row>
    <row r="796" spans="1:17">
      <c r="A796" s="344">
        <v>40</v>
      </c>
      <c r="B796" s="196"/>
      <c r="C796" s="587" t="s">
        <v>242</v>
      </c>
      <c r="D796" s="725" t="s">
        <v>1013</v>
      </c>
      <c r="E796" s="714" t="str">
        <f>'FR-16(7)(v)-1 Functional'!$E$796</f>
        <v>NP29</v>
      </c>
      <c r="F796" s="648">
        <v>1</v>
      </c>
      <c r="G796" s="356">
        <f>F796-SUM(H796:J796)</f>
        <v>0.56024000000000007</v>
      </c>
      <c r="H796" s="356">
        <f>ROUND(IF($F$191=0,0,H191/$F$191),5)</f>
        <v>0.30171999999999999</v>
      </c>
      <c r="I796" s="356">
        <f>ROUND(IF($F$191=0,0,I191/$F$191),5)</f>
        <v>0.10758</v>
      </c>
      <c r="J796" s="356">
        <f>ROUND(IF($F$191=0,0,J191/$F$191),5)</f>
        <v>3.0460000000000001E-2</v>
      </c>
      <c r="K796" s="356">
        <f>SUM(G796:J796)</f>
        <v>1</v>
      </c>
      <c r="L796" s="350">
        <f>F796-K796</f>
        <v>0</v>
      </c>
      <c r="M796" s="196"/>
      <c r="N796" s="196"/>
      <c r="P796" s="753"/>
      <c r="Q796" s="196"/>
    </row>
    <row r="797" spans="1:17">
      <c r="A797" s="344">
        <v>41</v>
      </c>
      <c r="B797" s="196"/>
      <c r="C797" s="587"/>
      <c r="D797" s="714"/>
      <c r="E797" s="734"/>
      <c r="F797" s="350"/>
      <c r="G797" s="356"/>
      <c r="H797" s="356"/>
      <c r="I797" s="356"/>
      <c r="J797" s="356"/>
      <c r="K797" s="356"/>
      <c r="L797" s="350"/>
      <c r="M797" s="196"/>
      <c r="N797" s="196"/>
      <c r="P797" s="753"/>
      <c r="Q797" s="196"/>
    </row>
    <row r="798" spans="1:17">
      <c r="A798" s="344">
        <v>42</v>
      </c>
      <c r="B798" s="587" t="s">
        <v>32</v>
      </c>
      <c r="C798" s="196"/>
      <c r="D798" s="344"/>
      <c r="E798" s="729"/>
      <c r="F798" s="350"/>
      <c r="G798" s="356"/>
      <c r="H798" s="356"/>
      <c r="I798" s="356"/>
      <c r="J798" s="356"/>
      <c r="K798" s="356"/>
      <c r="M798" s="196"/>
      <c r="N798" s="196"/>
      <c r="P798" s="753"/>
      <c r="Q798" s="196"/>
    </row>
    <row r="799" spans="1:17">
      <c r="A799" s="344">
        <v>43</v>
      </c>
      <c r="B799" s="196"/>
      <c r="C799" s="587" t="s">
        <v>243</v>
      </c>
      <c r="D799" s="725" t="s">
        <v>1013</v>
      </c>
      <c r="E799" s="714" t="str">
        <f>'FR-16(7)(v)-1 Functional'!$E$799</f>
        <v>W669</v>
      </c>
      <c r="F799" s="648">
        <v>1</v>
      </c>
      <c r="G799" s="356">
        <f>F799-SUM(H799:J799)</f>
        <v>0.56024000000000007</v>
      </c>
      <c r="H799" s="356">
        <f>ROUND(IF($F$304=0,0,H304/$F$304),5)</f>
        <v>0.30171999999999999</v>
      </c>
      <c r="I799" s="356">
        <f>ROUND(IF($F$304=0,0,I304/$F$304),5)</f>
        <v>0.10758</v>
      </c>
      <c r="J799" s="356">
        <f>ROUND(IF($F$304=0,0,J304/$F$304),5)</f>
        <v>3.0460000000000001E-2</v>
      </c>
      <c r="K799" s="356">
        <f>SUM(G799:J799)</f>
        <v>1</v>
      </c>
      <c r="L799" s="350">
        <f>F799-K799</f>
        <v>0</v>
      </c>
      <c r="M799" s="196"/>
      <c r="N799" s="196"/>
      <c r="P799" s="755">
        <f>K799</f>
        <v>1</v>
      </c>
      <c r="Q799" s="196"/>
    </row>
    <row r="800" spans="1:17">
      <c r="A800" s="344">
        <v>44</v>
      </c>
      <c r="B800" s="196"/>
      <c r="C800" s="587" t="s">
        <v>244</v>
      </c>
      <c r="D800" s="725" t="s">
        <v>1013</v>
      </c>
      <c r="E800" s="714" t="str">
        <f>'FR-16(7)(v)-1 Functional'!$E$800</f>
        <v>W689</v>
      </c>
      <c r="F800" s="648">
        <v>1</v>
      </c>
      <c r="G800" s="356">
        <f>IF(F310=0,0,F800-SUM(H800:J800))</f>
        <v>0.61034999999999995</v>
      </c>
      <c r="H800" s="356">
        <f>ROUND(IF($F$310=0,0,H310/$F$310),5)</f>
        <v>0.27579999999999999</v>
      </c>
      <c r="I800" s="356">
        <f>ROUND(IF($F$310=0,0,I310/$F$310),5)</f>
        <v>9.1399999999999995E-2</v>
      </c>
      <c r="J800" s="356">
        <f>ROUND(IF($F$310=0,0,J310/$F$310),5)</f>
        <v>2.2450000000000001E-2</v>
      </c>
      <c r="K800" s="356">
        <f>SUM(G800:J800)</f>
        <v>1</v>
      </c>
      <c r="L800" s="350">
        <f>F800-K800</f>
        <v>0</v>
      </c>
      <c r="M800" s="196"/>
      <c r="N800" s="196"/>
      <c r="P800" s="755">
        <f>K800</f>
        <v>1</v>
      </c>
      <c r="Q800" s="196"/>
    </row>
    <row r="801" spans="1:17">
      <c r="A801" s="344">
        <v>45</v>
      </c>
      <c r="B801" s="196"/>
      <c r="C801" s="587" t="s">
        <v>245</v>
      </c>
      <c r="D801" s="725" t="s">
        <v>1013</v>
      </c>
      <c r="E801" s="714" t="str">
        <f>'FR-16(7)(v)-1 Functional'!$E$801</f>
        <v>W729</v>
      </c>
      <c r="F801" s="648">
        <v>1</v>
      </c>
      <c r="G801" s="356">
        <f>IF(F313=0,0,F801-SUM(H801:J801))</f>
        <v>0.61038999999999999</v>
      </c>
      <c r="H801" s="356">
        <f>ROUND(IF($F$313=0,0,H313/$F$313),5)</f>
        <v>0.27577000000000002</v>
      </c>
      <c r="I801" s="356">
        <f>ROUND(IF($F$313=0,0,I313/$F$313),5)</f>
        <v>9.1380000000000003E-2</v>
      </c>
      <c r="J801" s="356">
        <f>ROUND(IF($F$313=0,0,J313/$F$313),5)</f>
        <v>2.2460000000000001E-2</v>
      </c>
      <c r="K801" s="356">
        <f>SUM(G801:J801)</f>
        <v>1</v>
      </c>
      <c r="L801" s="350">
        <f>F801-K801</f>
        <v>0</v>
      </c>
      <c r="M801" s="196"/>
      <c r="N801" s="196"/>
      <c r="P801" s="755">
        <f>K801</f>
        <v>1</v>
      </c>
      <c r="Q801" s="196"/>
    </row>
    <row r="802" spans="1:17">
      <c r="A802" s="344">
        <v>46</v>
      </c>
      <c r="B802" s="196"/>
      <c r="C802" s="587" t="s">
        <v>246</v>
      </c>
      <c r="D802" s="725" t="s">
        <v>1013</v>
      </c>
      <c r="E802" s="714" t="str">
        <f>'FR-16(7)(v)-1 Functional'!$E$802</f>
        <v>W749</v>
      </c>
      <c r="F802" s="648">
        <v>1</v>
      </c>
      <c r="G802" s="356">
        <f>IF(F319=0,0,F802-SUM(H802:J802))</f>
        <v>0</v>
      </c>
      <c r="H802" s="356">
        <f>ROUND(IF($F$319=0,0,H319/$F$319),5)</f>
        <v>0</v>
      </c>
      <c r="I802" s="356">
        <f>ROUND(IF($F$319=0,0,I319/$F$319),5)</f>
        <v>0</v>
      </c>
      <c r="J802" s="356">
        <f>ROUND(IF($F$319=0,0,J319/$F$319),5)</f>
        <v>0</v>
      </c>
      <c r="K802" s="356">
        <f>SUM(G802:J802)</f>
        <v>0</v>
      </c>
      <c r="L802" s="350">
        <f>F802-K802</f>
        <v>1</v>
      </c>
      <c r="M802" s="196"/>
      <c r="N802" s="196"/>
      <c r="P802" s="755">
        <f>K802</f>
        <v>0</v>
      </c>
      <c r="Q802" s="196"/>
    </row>
    <row r="803" spans="1:17">
      <c r="A803" s="344">
        <v>47</v>
      </c>
      <c r="B803" s="196"/>
      <c r="C803" s="587" t="s">
        <v>247</v>
      </c>
      <c r="D803" s="725" t="s">
        <v>1013</v>
      </c>
      <c r="E803" s="714" t="str">
        <f>'FR-16(7)(v)-1 Functional'!$E$803</f>
        <v>WC79</v>
      </c>
      <c r="F803" s="648">
        <v>1</v>
      </c>
      <c r="G803" s="356">
        <f>F803-SUM(H803:J803)</f>
        <v>0.59389000000000003</v>
      </c>
      <c r="H803" s="356">
        <f>ROUND(IF($F$321=0,0,H321/$F$321),5)</f>
        <v>0.28431000000000001</v>
      </c>
      <c r="I803" s="356">
        <f>ROUND(IF($F$321=0,0,I321/$F$321),5)</f>
        <v>9.6710000000000004E-2</v>
      </c>
      <c r="J803" s="356">
        <f>ROUND(IF($F$321=0,0,J321/$F$321),5)</f>
        <v>2.5090000000000001E-2</v>
      </c>
      <c r="K803" s="356">
        <f>SUM(G803:J803)</f>
        <v>1</v>
      </c>
      <c r="L803" s="350">
        <f>F803-K803</f>
        <v>0</v>
      </c>
      <c r="M803" s="196"/>
      <c r="N803" s="196"/>
      <c r="P803" s="755">
        <f>K803</f>
        <v>1</v>
      </c>
      <c r="Q803" s="196"/>
    </row>
    <row r="804" spans="1:17">
      <c r="A804" s="344"/>
      <c r="B804" s="196"/>
      <c r="C804" s="196"/>
      <c r="D804" s="344"/>
      <c r="E804" s="729"/>
      <c r="F804" s="648"/>
      <c r="G804" s="350"/>
      <c r="H804" s="356"/>
      <c r="I804" s="356"/>
      <c r="J804" s="356"/>
      <c r="K804" s="356"/>
      <c r="M804" s="196"/>
      <c r="N804" s="196"/>
      <c r="P804" s="753"/>
      <c r="Q804" s="196"/>
    </row>
    <row r="805" spans="1:17">
      <c r="A805" s="343" t="str">
        <f>co_name</f>
        <v>DUKE ENERGY KENTUCKY, INC.</v>
      </c>
      <c r="C805" s="196"/>
      <c r="D805" s="344"/>
      <c r="E805" s="196"/>
      <c r="F805" s="344"/>
      <c r="G805" s="342"/>
      <c r="H805" s="342"/>
      <c r="I805" s="196"/>
      <c r="K805" s="361" t="str">
        <f>$K$1</f>
        <v>FR-16(7)(v)-5</v>
      </c>
      <c r="N805" s="196"/>
      <c r="P805" s="754"/>
    </row>
    <row r="806" spans="1:17">
      <c r="A806" s="343" t="str">
        <f>$A$2</f>
        <v>DISTRIBUTION DEMAND ALLOCATED - GAS COST OF SERVICE</v>
      </c>
      <c r="C806" s="196"/>
      <c r="D806" s="344"/>
      <c r="E806" s="196"/>
      <c r="F806" s="344"/>
      <c r="G806" s="342"/>
      <c r="H806" s="342"/>
      <c r="I806" s="196"/>
      <c r="K806" s="361" t="str">
        <f>$K$2</f>
        <v>WITNESS RESPONSIBLE:</v>
      </c>
      <c r="N806" s="196"/>
      <c r="P806" s="754"/>
    </row>
    <row r="807" spans="1:17">
      <c r="A807" s="343" t="str">
        <f>case_name</f>
        <v>CASE NO: 2018-00261</v>
      </c>
      <c r="C807" s="196"/>
      <c r="D807" s="344"/>
      <c r="E807" s="196"/>
      <c r="F807" s="344"/>
      <c r="G807" s="342"/>
      <c r="H807" s="342"/>
      <c r="I807" s="196"/>
      <c r="K807" s="361" t="str">
        <f>Witness</f>
        <v>JAMES E. ZIOLKOWSKI</v>
      </c>
      <c r="N807" s="196"/>
      <c r="P807" s="754"/>
    </row>
    <row r="808" spans="1:17">
      <c r="A808" s="343" t="str">
        <f>data_filing</f>
        <v>DATA: 12 MONTH FORECASTED PERIOD</v>
      </c>
      <c r="C808" s="196"/>
      <c r="D808" s="344"/>
      <c r="E808" s="196"/>
      <c r="F808" s="344"/>
      <c r="G808" s="342"/>
      <c r="H808" s="342"/>
      <c r="I808" s="196"/>
      <c r="K808" s="361" t="str">
        <f>"PAGE "&amp;Pages&amp;" OF "&amp;Pages</f>
        <v>PAGE 18 OF 18</v>
      </c>
      <c r="N808" s="196"/>
      <c r="P808" s="754"/>
    </row>
    <row r="809" spans="1:17">
      <c r="A809" s="343" t="str">
        <f>type</f>
        <v xml:space="preserve">TYPE OF FILING: "X" ORIGINAL   UPDATED    REVISED  </v>
      </c>
      <c r="C809" s="196"/>
      <c r="D809" s="344"/>
      <c r="E809" s="196"/>
      <c r="F809" s="344"/>
      <c r="G809" s="342"/>
      <c r="H809" s="342"/>
      <c r="I809" s="196"/>
      <c r="J809" s="344"/>
      <c r="K809" s="196"/>
      <c r="N809" s="196"/>
      <c r="P809" s="754"/>
    </row>
    <row r="810" spans="1:17">
      <c r="B810" s="196"/>
      <c r="E810" s="333"/>
      <c r="F810" s="344"/>
      <c r="H810" s="353"/>
      <c r="J810" s="588"/>
      <c r="K810" s="353"/>
      <c r="N810" s="196"/>
      <c r="P810" s="754"/>
    </row>
    <row r="811" spans="1:17">
      <c r="B811" s="196"/>
      <c r="E811" s="333"/>
      <c r="F811" s="344" t="s">
        <v>229</v>
      </c>
      <c r="H811" s="353"/>
      <c r="J811" s="588"/>
      <c r="K811" s="353"/>
      <c r="N811" s="196"/>
      <c r="P811" s="754"/>
    </row>
    <row r="812" spans="1:17">
      <c r="A812" s="344" t="s">
        <v>914</v>
      </c>
      <c r="B812" s="196"/>
      <c r="C812" s="196"/>
      <c r="D812" s="344"/>
      <c r="E812" s="344"/>
      <c r="F812" s="344" t="str">
        <f>$F$8</f>
        <v>DISTRIBUTION</v>
      </c>
      <c r="G812" s="589" t="str">
        <f>$G$8</f>
        <v>RS</v>
      </c>
      <c r="H812" s="588" t="str">
        <f>$H$8</f>
        <v>GS</v>
      </c>
      <c r="I812" s="588" t="str">
        <f>$I$8</f>
        <v>FT-L</v>
      </c>
      <c r="J812" s="588" t="str">
        <f>$J$8</f>
        <v>INTERUPT</v>
      </c>
      <c r="K812" s="588" t="s">
        <v>229</v>
      </c>
      <c r="L812" s="589" t="s">
        <v>342</v>
      </c>
      <c r="M812" s="196"/>
      <c r="N812" s="196"/>
      <c r="P812" s="753"/>
      <c r="Q812" s="196"/>
    </row>
    <row r="813" spans="1:17">
      <c r="A813" s="346" t="s">
        <v>915</v>
      </c>
      <c r="B813" s="590" t="s">
        <v>89</v>
      </c>
      <c r="C813" s="345"/>
      <c r="D813" s="591" t="s">
        <v>1011</v>
      </c>
      <c r="E813" s="591" t="s">
        <v>337</v>
      </c>
      <c r="F813" s="344" t="str">
        <f>$F$9</f>
        <v>DEMAND</v>
      </c>
      <c r="G813" s="592" t="str">
        <f>$G$9</f>
        <v>RESIDENTIAL</v>
      </c>
      <c r="H813" s="593" t="str">
        <f>$H$9</f>
        <v>GEN SERV</v>
      </c>
      <c r="I813" s="593" t="str">
        <f>$I$9</f>
        <v>FIRM TRANS</v>
      </c>
      <c r="J813" s="593" t="str">
        <f>$J$9</f>
        <v>TRANS</v>
      </c>
      <c r="K813" s="593" t="s">
        <v>341</v>
      </c>
      <c r="L813" s="592" t="s">
        <v>340</v>
      </c>
      <c r="M813" s="196"/>
      <c r="N813" s="196"/>
      <c r="P813" s="753"/>
      <c r="Q813" s="196"/>
    </row>
    <row r="814" spans="1:17">
      <c r="C814" s="846" t="s">
        <v>1055</v>
      </c>
      <c r="E814" s="633">
        <v>1</v>
      </c>
      <c r="F814" s="820">
        <v>2</v>
      </c>
      <c r="G814" s="633">
        <v>3</v>
      </c>
      <c r="H814" s="633">
        <v>4</v>
      </c>
      <c r="I814" s="633">
        <v>5</v>
      </c>
      <c r="J814" s="633">
        <v>6</v>
      </c>
      <c r="K814" s="353"/>
      <c r="N814" s="196"/>
      <c r="P814" s="754"/>
    </row>
    <row r="815" spans="1:17">
      <c r="A815" s="344">
        <v>1</v>
      </c>
      <c r="B815" s="587" t="s">
        <v>25</v>
      </c>
      <c r="C815" s="196"/>
      <c r="D815" s="344"/>
      <c r="E815" s="729"/>
      <c r="F815" s="648"/>
      <c r="G815" s="350"/>
      <c r="H815" s="356"/>
      <c r="I815" s="356"/>
      <c r="J815" s="356"/>
      <c r="K815" s="356"/>
      <c r="M815" s="196"/>
      <c r="N815" s="196"/>
      <c r="P815" s="753"/>
      <c r="Q815" s="196"/>
    </row>
    <row r="816" spans="1:17">
      <c r="A816" s="344">
        <v>2</v>
      </c>
      <c r="B816" s="196"/>
      <c r="C816" s="587" t="s">
        <v>248</v>
      </c>
      <c r="D816" s="725" t="s">
        <v>1013</v>
      </c>
      <c r="E816" s="714" t="str">
        <f>'FR-16(7)(v)-1 Functional'!$E$816</f>
        <v>RB29</v>
      </c>
      <c r="F816" s="648">
        <v>1</v>
      </c>
      <c r="G816" s="356">
        <f>F816-SUM(H816:J816)</f>
        <v>0.55925999999999998</v>
      </c>
      <c r="H816" s="356">
        <f>ROUND(IF($F$296=0,0,H296/$F$296),5)</f>
        <v>0.30224000000000001</v>
      </c>
      <c r="I816" s="356">
        <f>ROUND(IF($F$296=0,0,I296/$F$296),5)</f>
        <v>0.10789</v>
      </c>
      <c r="J816" s="356">
        <f>ROUND(IF($F$296=0,0,J296/$F$296),5)</f>
        <v>3.0609999999999998E-2</v>
      </c>
      <c r="K816" s="356">
        <f>SUM(G816:J816)</f>
        <v>1</v>
      </c>
      <c r="L816" s="350">
        <f>F816-K816</f>
        <v>0</v>
      </c>
      <c r="M816" s="196"/>
      <c r="N816" s="196"/>
      <c r="P816" s="755">
        <f>K816</f>
        <v>1</v>
      </c>
      <c r="Q816" s="196"/>
    </row>
    <row r="817" spans="1:17">
      <c r="A817" s="344">
        <v>3</v>
      </c>
      <c r="B817" s="196"/>
      <c r="C817" s="587" t="s">
        <v>249</v>
      </c>
      <c r="D817" s="725" t="s">
        <v>1013</v>
      </c>
      <c r="E817" s="714" t="str">
        <f>'FR-16(7)(v)-1 Functional'!$E$817</f>
        <v>RB99</v>
      </c>
      <c r="F817" s="648">
        <v>1</v>
      </c>
      <c r="G817" s="356">
        <f>F817-SUM(H817:J817)</f>
        <v>0.55963999999999992</v>
      </c>
      <c r="H817" s="356">
        <f>ROUND(IF($F$331=0,0,H331/$F$331),5)</f>
        <v>0.30203999999999998</v>
      </c>
      <c r="I817" s="356">
        <f>ROUND(IF($F$331=0,0,I331/$F$331),5)</f>
        <v>0.10777</v>
      </c>
      <c r="J817" s="356">
        <f>ROUND(IF($F$331=0,0,J331/$F$331),5)</f>
        <v>3.0550000000000001E-2</v>
      </c>
      <c r="K817" s="356">
        <f>SUM(G817:J817)</f>
        <v>0.99999999999999989</v>
      </c>
      <c r="L817" s="350">
        <f>F817-K817</f>
        <v>0</v>
      </c>
      <c r="M817" s="196"/>
      <c r="N817" s="196"/>
      <c r="P817" s="755">
        <f>K817</f>
        <v>0.99999999999999989</v>
      </c>
      <c r="Q817" s="196"/>
    </row>
    <row r="818" spans="1:17">
      <c r="A818" s="344">
        <v>4</v>
      </c>
      <c r="B818" s="196"/>
      <c r="C818" s="587" t="s">
        <v>383</v>
      </c>
      <c r="D818" s="725" t="s">
        <v>1013</v>
      </c>
      <c r="E818" s="714" t="str">
        <f>'FR-16(7)(v)-1 Functional'!$E$818</f>
        <v>CW29</v>
      </c>
      <c r="F818" s="648">
        <v>0</v>
      </c>
      <c r="G818" s="356">
        <f>F818-SUM(H818:J818)</f>
        <v>0</v>
      </c>
      <c r="H818" s="649">
        <v>0</v>
      </c>
      <c r="I818" s="649">
        <v>0</v>
      </c>
      <c r="J818" s="649">
        <v>0</v>
      </c>
      <c r="K818" s="649">
        <v>0</v>
      </c>
      <c r="L818" s="350">
        <f>F818-K818</f>
        <v>0</v>
      </c>
      <c r="M818" s="196"/>
      <c r="N818" s="196"/>
      <c r="P818" s="755">
        <f>K818</f>
        <v>0</v>
      </c>
      <c r="Q818" s="196"/>
    </row>
    <row r="819" spans="1:17">
      <c r="A819" s="344">
        <v>5</v>
      </c>
      <c r="B819" s="635"/>
      <c r="C819" s="368"/>
      <c r="D819" s="585"/>
      <c r="E819" s="749"/>
      <c r="F819" s="650"/>
      <c r="G819" s="637"/>
      <c r="H819" s="637"/>
      <c r="I819" s="637"/>
      <c r="J819" s="637"/>
      <c r="K819" s="637"/>
      <c r="L819" s="636"/>
      <c r="M819" s="368"/>
      <c r="N819" s="196"/>
      <c r="P819" s="753"/>
      <c r="Q819" s="368"/>
    </row>
    <row r="820" spans="1:17">
      <c r="A820" s="344">
        <v>6</v>
      </c>
      <c r="B820" s="597" t="s">
        <v>1021</v>
      </c>
      <c r="C820" s="634"/>
      <c r="D820" s="719"/>
      <c r="E820" s="745"/>
      <c r="F820" s="651"/>
      <c r="G820" s="641"/>
      <c r="H820" s="641"/>
      <c r="I820" s="641"/>
      <c r="J820" s="641"/>
      <c r="K820" s="641"/>
      <c r="L820" s="641"/>
      <c r="M820" s="196"/>
      <c r="N820" s="196"/>
      <c r="P820" s="753"/>
      <c r="Q820" s="196"/>
    </row>
    <row r="821" spans="1:17">
      <c r="A821" s="344">
        <v>7</v>
      </c>
      <c r="B821" s="196"/>
      <c r="C821" s="587" t="s">
        <v>1016</v>
      </c>
      <c r="D821" s="725" t="s">
        <v>1013</v>
      </c>
      <c r="E821" s="714" t="str">
        <f>'FR-16(7)(v)-1 Functional'!$E$821</f>
        <v>P349</v>
      </c>
      <c r="F821" s="1083">
        <v>0</v>
      </c>
      <c r="G821" s="1082">
        <f t="shared" ref="G821:G828" si="202">F821-SUM(H821:J821)</f>
        <v>0</v>
      </c>
      <c r="H821" s="1082">
        <f>ROUND(IF($F$350=0,0,H350/$F$350),5)</f>
        <v>0</v>
      </c>
      <c r="I821" s="1082">
        <f>ROUND(IF($F$350=0,0,I350/$F$350),5)</f>
        <v>0</v>
      </c>
      <c r="J821" s="1082">
        <f>ROUND(IF($F$350=0,0,J350/$F$350),5)</f>
        <v>0</v>
      </c>
      <c r="K821" s="1082">
        <f t="shared" ref="K821:K828" si="203">SUM(G821:J821)</f>
        <v>0</v>
      </c>
      <c r="L821" s="1082">
        <f t="shared" ref="L821:L828" si="204">F821-K821</f>
        <v>0</v>
      </c>
      <c r="M821" s="196"/>
      <c r="N821" s="196"/>
      <c r="P821" s="755">
        <f>K821</f>
        <v>0</v>
      </c>
      <c r="Q821" s="196"/>
    </row>
    <row r="822" spans="1:17">
      <c r="A822" s="344">
        <v>8</v>
      </c>
      <c r="B822" s="196"/>
      <c r="C822" s="587" t="s">
        <v>264</v>
      </c>
      <c r="D822" s="725" t="s">
        <v>1013</v>
      </c>
      <c r="E822" s="714" t="str">
        <f>'FR-16(7)(v)-1 Functional'!$E$822</f>
        <v>P459</v>
      </c>
      <c r="F822" s="1083">
        <v>0</v>
      </c>
      <c r="G822" s="1082">
        <f t="shared" si="202"/>
        <v>0</v>
      </c>
      <c r="H822" s="1082">
        <f>ROUND(IF($F$360=0,0,H360/$F$360),5)</f>
        <v>0</v>
      </c>
      <c r="I822" s="1082">
        <f>ROUND(IF($F$360=0,0,I360/$F$360),5)</f>
        <v>0</v>
      </c>
      <c r="J822" s="1082">
        <f>ROUND(IF($F$360=0,0,J360/$F$360),5)</f>
        <v>0</v>
      </c>
      <c r="K822" s="1082">
        <f t="shared" si="203"/>
        <v>0</v>
      </c>
      <c r="L822" s="1082">
        <f t="shared" si="204"/>
        <v>0</v>
      </c>
      <c r="M822" s="196"/>
      <c r="N822" s="196"/>
      <c r="P822" s="755">
        <f>K822</f>
        <v>0</v>
      </c>
      <c r="Q822" s="196"/>
    </row>
    <row r="823" spans="1:17">
      <c r="A823" s="344">
        <v>9</v>
      </c>
      <c r="B823" s="196"/>
      <c r="C823" s="587" t="s">
        <v>250</v>
      </c>
      <c r="D823" s="725" t="s">
        <v>1013</v>
      </c>
      <c r="E823" s="714" t="str">
        <f>'FR-16(7)(v)-1 Functional'!$E$823</f>
        <v>D349</v>
      </c>
      <c r="F823" s="648">
        <v>1</v>
      </c>
      <c r="G823" s="356">
        <f t="shared" si="202"/>
        <v>0.61038999999999999</v>
      </c>
      <c r="H823" s="356">
        <f>ROUND(IF($F$378=0,0,H378/$F$378),5)</f>
        <v>0.27577000000000002</v>
      </c>
      <c r="I823" s="356">
        <f>ROUND(IF($F$378=0,0,I378/$F$378),5)</f>
        <v>9.1380000000000003E-2</v>
      </c>
      <c r="J823" s="356">
        <f>ROUND(IF($F$378=0,0,J378/$F$378),5)</f>
        <v>2.2460000000000001E-2</v>
      </c>
      <c r="K823" s="356">
        <f t="shared" si="203"/>
        <v>1</v>
      </c>
      <c r="L823" s="350">
        <f t="shared" si="204"/>
        <v>0</v>
      </c>
      <c r="M823" s="196"/>
      <c r="N823" s="196"/>
      <c r="P823" s="755">
        <f>K823</f>
        <v>1</v>
      </c>
      <c r="Q823" s="196"/>
    </row>
    <row r="824" spans="1:17">
      <c r="A824" s="344">
        <v>10</v>
      </c>
      <c r="B824" s="196"/>
      <c r="C824" s="587" t="s">
        <v>251</v>
      </c>
      <c r="D824" s="725" t="s">
        <v>1013</v>
      </c>
      <c r="E824" s="714" t="str">
        <f>'FR-16(7)(v)-1 Functional'!$E$824</f>
        <v>CA19</v>
      </c>
      <c r="F824" s="648">
        <v>1</v>
      </c>
      <c r="G824" s="356">
        <f t="shared" si="202"/>
        <v>1</v>
      </c>
      <c r="H824" s="356">
        <f>ROUND(IF($F$389=0,0,H389/$F$389),5)</f>
        <v>0</v>
      </c>
      <c r="I824" s="356">
        <f>ROUND(IF($F$389=0,0,I389/$F$389),5)</f>
        <v>0</v>
      </c>
      <c r="J824" s="356">
        <f>ROUND(IF($F$389=0,0,J389/$F$389),5)</f>
        <v>0</v>
      </c>
      <c r="K824" s="356">
        <f t="shared" si="203"/>
        <v>1</v>
      </c>
      <c r="L824" s="350">
        <f t="shared" si="204"/>
        <v>0</v>
      </c>
      <c r="M824" s="196"/>
      <c r="N824" s="196"/>
      <c r="P824" s="755">
        <f>K824</f>
        <v>1</v>
      </c>
      <c r="Q824" s="196"/>
    </row>
    <row r="825" spans="1:17">
      <c r="A825" s="344">
        <v>11</v>
      </c>
      <c r="B825" s="196"/>
      <c r="C825" s="587" t="s">
        <v>1019</v>
      </c>
      <c r="D825" s="725" t="s">
        <v>1013</v>
      </c>
      <c r="E825" s="714" t="str">
        <f>'FR-16(7)(v)-1 Functional'!$E$825</f>
        <v>CS19</v>
      </c>
      <c r="F825" s="648">
        <v>1</v>
      </c>
      <c r="G825" s="356">
        <f t="shared" si="202"/>
        <v>1</v>
      </c>
      <c r="H825" s="356">
        <f>ROUND(IF($F$403=0,0,H403/$F$403),5)</f>
        <v>0</v>
      </c>
      <c r="I825" s="356">
        <f>ROUND(IF($F$403=0,0,I403/$F$403),5)</f>
        <v>0</v>
      </c>
      <c r="J825" s="356">
        <f>ROUND(IF($F$403=0,0,J403/$F$403),5)</f>
        <v>0</v>
      </c>
      <c r="K825" s="356">
        <f t="shared" si="203"/>
        <v>1</v>
      </c>
      <c r="L825" s="350">
        <f t="shared" si="204"/>
        <v>0</v>
      </c>
      <c r="M825" s="196"/>
      <c r="N825" s="196"/>
      <c r="P825" s="755"/>
      <c r="Q825" s="196"/>
    </row>
    <row r="826" spans="1:17">
      <c r="A826" s="344">
        <v>12</v>
      </c>
      <c r="B826" s="196"/>
      <c r="C826" s="587" t="s">
        <v>252</v>
      </c>
      <c r="D826" s="725" t="s">
        <v>1013</v>
      </c>
      <c r="E826" s="714" t="str">
        <f>'FR-16(7)(v)-1 Functional'!$E$826</f>
        <v>SE19</v>
      </c>
      <c r="F826" s="648">
        <v>1</v>
      </c>
      <c r="G826" s="356">
        <f t="shared" si="202"/>
        <v>1</v>
      </c>
      <c r="H826" s="356">
        <f>ROUND(IF($F$407=0,0,H407/$F$407),5)</f>
        <v>0</v>
      </c>
      <c r="I826" s="356">
        <f>ROUND(IF($F$407=0,0,I407/$F$407),5)</f>
        <v>0</v>
      </c>
      <c r="J826" s="356">
        <f>ROUND(IF($F$407=0,0,J407/$F$407),5)</f>
        <v>0</v>
      </c>
      <c r="K826" s="356">
        <f t="shared" si="203"/>
        <v>1</v>
      </c>
      <c r="L826" s="350">
        <f t="shared" si="204"/>
        <v>0</v>
      </c>
      <c r="M826" s="196"/>
      <c r="N826" s="196"/>
      <c r="P826" s="755">
        <f>K826</f>
        <v>1</v>
      </c>
      <c r="Q826" s="196"/>
    </row>
    <row r="827" spans="1:17">
      <c r="A827" s="344">
        <v>13</v>
      </c>
      <c r="B827" s="196"/>
      <c r="C827" s="587" t="s">
        <v>253</v>
      </c>
      <c r="D827" s="725" t="s">
        <v>1013</v>
      </c>
      <c r="E827" s="714" t="str">
        <f>'FR-16(7)(v)-1 Functional'!$E$827</f>
        <v>AG39</v>
      </c>
      <c r="F827" s="648">
        <v>1</v>
      </c>
      <c r="G827" s="356">
        <f t="shared" si="202"/>
        <v>0.61038999999999999</v>
      </c>
      <c r="H827" s="356">
        <f>ROUND(IF($F$416=0,0,H416/$F$416),5)</f>
        <v>0.27577000000000002</v>
      </c>
      <c r="I827" s="356">
        <f>ROUND(IF($F$416=0,0,I416/$F$416),5)</f>
        <v>9.1380000000000003E-2</v>
      </c>
      <c r="J827" s="356">
        <f>ROUND(IF($F$416=0,0,J416/$F$416),5)</f>
        <v>2.2460000000000001E-2</v>
      </c>
      <c r="K827" s="356">
        <f t="shared" si="203"/>
        <v>1</v>
      </c>
      <c r="L827" s="350">
        <f t="shared" si="204"/>
        <v>0</v>
      </c>
      <c r="M827" s="196"/>
      <c r="N827" s="196"/>
      <c r="P827" s="755">
        <f>K827</f>
        <v>1</v>
      </c>
      <c r="Q827" s="196"/>
    </row>
    <row r="828" spans="1:17">
      <c r="A828" s="344">
        <v>14</v>
      </c>
      <c r="B828" s="196"/>
      <c r="C828" s="587" t="s">
        <v>254</v>
      </c>
      <c r="D828" s="725" t="s">
        <v>1013</v>
      </c>
      <c r="E828" s="714" t="str">
        <f>'FR-16(7)(v)-1 Functional'!$E$828</f>
        <v>OM39</v>
      </c>
      <c r="F828" s="648">
        <v>1</v>
      </c>
      <c r="G828" s="356">
        <f t="shared" si="202"/>
        <v>0.61038999999999999</v>
      </c>
      <c r="H828" s="356">
        <f>ROUND(IF($F$433=0,0,H433/$F$433),5)</f>
        <v>0.27577000000000002</v>
      </c>
      <c r="I828" s="356">
        <f>ROUND(IF($F$433=0,0,I433/$F$433),5)</f>
        <v>9.1380000000000003E-2</v>
      </c>
      <c r="J828" s="356">
        <f>ROUND(IF($F$433=0,0,J433/$F$433),5)</f>
        <v>2.2460000000000001E-2</v>
      </c>
      <c r="K828" s="356">
        <f t="shared" si="203"/>
        <v>1</v>
      </c>
      <c r="L828" s="350">
        <f t="shared" si="204"/>
        <v>0</v>
      </c>
      <c r="M828" s="196"/>
      <c r="N828" s="196"/>
      <c r="P828" s="755">
        <f>K828</f>
        <v>1</v>
      </c>
      <c r="Q828" s="196"/>
    </row>
    <row r="829" spans="1:17">
      <c r="A829" s="344">
        <v>15</v>
      </c>
      <c r="B829" s="196"/>
      <c r="C829" s="196"/>
      <c r="D829" s="344"/>
      <c r="E829" s="729"/>
      <c r="F829" s="648"/>
      <c r="G829" s="356"/>
      <c r="H829" s="356"/>
      <c r="I829" s="356"/>
      <c r="J829" s="356"/>
      <c r="K829" s="356"/>
      <c r="L829" s="350"/>
      <c r="M829" s="196"/>
      <c r="N829" s="196"/>
      <c r="P829" s="753"/>
      <c r="Q829" s="196"/>
    </row>
    <row r="830" spans="1:17">
      <c r="A830" s="344">
        <v>16</v>
      </c>
      <c r="B830" s="587" t="s">
        <v>97</v>
      </c>
      <c r="C830" s="196"/>
      <c r="D830" s="344"/>
      <c r="E830" s="729"/>
      <c r="F830" s="648"/>
      <c r="G830" s="356"/>
      <c r="H830" s="356"/>
      <c r="I830" s="356"/>
      <c r="J830" s="356"/>
      <c r="K830" s="356"/>
      <c r="L830" s="350"/>
      <c r="M830" s="196"/>
      <c r="N830" s="196"/>
      <c r="P830" s="753"/>
      <c r="Q830" s="196"/>
    </row>
    <row r="831" spans="1:17">
      <c r="A831" s="344">
        <v>17</v>
      </c>
      <c r="B831" s="196"/>
      <c r="C831" s="587" t="s">
        <v>255</v>
      </c>
      <c r="D831" s="725" t="s">
        <v>1013</v>
      </c>
      <c r="E831" s="714" t="str">
        <f>'FR-16(7)(v)-1 Functional'!$E$831</f>
        <v>P489</v>
      </c>
      <c r="F831" s="1083">
        <v>0</v>
      </c>
      <c r="G831" s="1082">
        <f>F831-SUM(H831:J831)</f>
        <v>0</v>
      </c>
      <c r="H831" s="1082">
        <f>ROUND(IF($F$447=0,0,H447/$F$447),5)</f>
        <v>0</v>
      </c>
      <c r="I831" s="1082">
        <f>ROUND(IF($F$447=0,0,I447/$F$447),5)</f>
        <v>0</v>
      </c>
      <c r="J831" s="1082">
        <f>ROUND(IF($F$447=0,0,J447/$F$447),5)</f>
        <v>0</v>
      </c>
      <c r="K831" s="1082">
        <f>SUM(G831:J831)</f>
        <v>0</v>
      </c>
      <c r="L831" s="1082">
        <f>F831-K831</f>
        <v>0</v>
      </c>
      <c r="M831" s="196"/>
      <c r="N831" s="196"/>
      <c r="P831" s="755">
        <f>K831</f>
        <v>0</v>
      </c>
      <c r="Q831" s="196"/>
    </row>
    <row r="832" spans="1:17">
      <c r="A832" s="344">
        <v>18</v>
      </c>
      <c r="B832" s="196"/>
      <c r="C832" s="587" t="s">
        <v>256</v>
      </c>
      <c r="D832" s="725" t="s">
        <v>1013</v>
      </c>
      <c r="E832" s="714" t="str">
        <f>'FR-16(7)(v)-1 Functional'!$E$832</f>
        <v>D489</v>
      </c>
      <c r="F832" s="648">
        <v>1</v>
      </c>
      <c r="G832" s="356">
        <f>F832-SUM(H832:J832)</f>
        <v>0.55878000000000005</v>
      </c>
      <c r="H832" s="356">
        <f>ROUND(IF($F$454=0,0,H454/$F$454),5)</f>
        <v>0.30248000000000003</v>
      </c>
      <c r="I832" s="356">
        <f>ROUND(IF($F$454=0,0,I454/$F$454),5)</f>
        <v>0.10804999999999999</v>
      </c>
      <c r="J832" s="356">
        <f>ROUND(IF($F$454=0,0,J454/$F$454),5)</f>
        <v>3.0689999999999999E-2</v>
      </c>
      <c r="K832" s="356">
        <f>SUM(G832:J832)</f>
        <v>1.0000000000000002</v>
      </c>
      <c r="L832" s="350">
        <f>F832-K832</f>
        <v>0</v>
      </c>
      <c r="M832" s="196"/>
      <c r="N832" s="196"/>
      <c r="P832" s="755">
        <f>K832</f>
        <v>1.0000000000000002</v>
      </c>
      <c r="Q832" s="196"/>
    </row>
    <row r="833" spans="1:17">
      <c r="A833" s="344">
        <v>19</v>
      </c>
      <c r="B833" s="196"/>
      <c r="C833" s="587" t="s">
        <v>257</v>
      </c>
      <c r="D833" s="725" t="s">
        <v>1013</v>
      </c>
      <c r="E833" s="714" t="str">
        <f>'FR-16(7)(v)-1 Functional'!$E$833</f>
        <v>G489</v>
      </c>
      <c r="F833" s="648">
        <v>1</v>
      </c>
      <c r="G833" s="356">
        <f>F833-SUM(H833:J833)</f>
        <v>0.61038999999999999</v>
      </c>
      <c r="H833" s="356">
        <f>ROUND(IF($F$458=0,0,H458/$F$458),5)</f>
        <v>0.27577000000000002</v>
      </c>
      <c r="I833" s="356">
        <f>ROUND(IF($F$458=0,0,I458/$F$458),5)</f>
        <v>9.1380000000000003E-2</v>
      </c>
      <c r="J833" s="356">
        <f>ROUND(IF($F$458=0,0,J458/$F$458),5)</f>
        <v>2.2460000000000001E-2</v>
      </c>
      <c r="K833" s="356">
        <f>SUM(G833:J833)</f>
        <v>1</v>
      </c>
      <c r="L833" s="350">
        <f>F833-K833</f>
        <v>0</v>
      </c>
      <c r="M833" s="196"/>
      <c r="N833" s="196"/>
      <c r="P833" s="755">
        <f>K833</f>
        <v>1</v>
      </c>
      <c r="Q833" s="196"/>
    </row>
    <row r="834" spans="1:17">
      <c r="A834" s="344">
        <v>20</v>
      </c>
      <c r="B834" s="196"/>
      <c r="C834" s="587" t="s">
        <v>258</v>
      </c>
      <c r="D834" s="725" t="s">
        <v>1013</v>
      </c>
      <c r="E834" s="714" t="str">
        <f>'FR-16(7)(v)-1 Functional'!$E$834</f>
        <v>C489</v>
      </c>
      <c r="F834" s="648">
        <v>1</v>
      </c>
      <c r="G834" s="356">
        <f>F834-SUM(H834:J834)</f>
        <v>0.61038999999999999</v>
      </c>
      <c r="H834" s="356">
        <f>ROUND(IF($F$462=0,0,H462/$F$462),5)</f>
        <v>0.27577000000000002</v>
      </c>
      <c r="I834" s="356">
        <f>ROUND(IF($F$462=0,0,I462/$F$462),5)</f>
        <v>9.1380000000000003E-2</v>
      </c>
      <c r="J834" s="356">
        <f>ROUND(IF($F$462=0,0,J462/$F$462),5)</f>
        <v>2.2460000000000001E-2</v>
      </c>
      <c r="K834" s="356">
        <f>SUM(G834:J834)</f>
        <v>1</v>
      </c>
      <c r="L834" s="350">
        <f>F834-K834</f>
        <v>0</v>
      </c>
      <c r="M834" s="196"/>
      <c r="N834" s="196"/>
      <c r="P834" s="755">
        <f>K834</f>
        <v>1</v>
      </c>
      <c r="Q834" s="196"/>
    </row>
    <row r="835" spans="1:17">
      <c r="A835" s="344">
        <v>21</v>
      </c>
      <c r="B835" s="196"/>
      <c r="C835" s="587" t="s">
        <v>259</v>
      </c>
      <c r="D835" s="725" t="s">
        <v>1013</v>
      </c>
      <c r="E835" s="714" t="str">
        <f>'FR-16(7)(v)-1 Functional'!$E$835</f>
        <v>DE49</v>
      </c>
      <c r="F835" s="648">
        <v>1</v>
      </c>
      <c r="G835" s="356">
        <f>F835-SUM(H835:J835)</f>
        <v>0.56450999999999996</v>
      </c>
      <c r="H835" s="356">
        <f>ROUND(IF($F$465=0,0,H465/$F$465),5)</f>
        <v>0.29951</v>
      </c>
      <c r="I835" s="356">
        <f>ROUND(IF($F$465=0,0,I465/$F$465),5)</f>
        <v>0.1062</v>
      </c>
      <c r="J835" s="356">
        <f>ROUND(IF($F$465=0,0,J465/$F$465),5)</f>
        <v>2.9780000000000001E-2</v>
      </c>
      <c r="K835" s="356">
        <f>SUM(G835:J835)</f>
        <v>1</v>
      </c>
      <c r="L835" s="350">
        <f>F835-K835</f>
        <v>0</v>
      </c>
      <c r="M835" s="196"/>
      <c r="N835" s="196"/>
      <c r="P835" s="755">
        <f>K835</f>
        <v>1</v>
      </c>
      <c r="Q835" s="196"/>
    </row>
    <row r="836" spans="1:17">
      <c r="A836" s="344">
        <v>22</v>
      </c>
      <c r="B836" s="196"/>
      <c r="C836" s="196"/>
      <c r="D836" s="344"/>
      <c r="E836" s="729"/>
      <c r="F836" s="652"/>
      <c r="G836" s="353"/>
      <c r="H836" s="353"/>
      <c r="J836" s="353"/>
      <c r="K836" s="353"/>
      <c r="M836" s="196"/>
      <c r="N836" s="196"/>
      <c r="P836" s="753"/>
      <c r="Q836" s="196"/>
    </row>
    <row r="837" spans="1:17">
      <c r="A837" s="344">
        <v>23</v>
      </c>
      <c r="B837" s="587" t="s">
        <v>62</v>
      </c>
      <c r="C837" s="196"/>
      <c r="D837" s="344"/>
      <c r="E837" s="729"/>
      <c r="F837" s="493"/>
      <c r="G837" s="353"/>
      <c r="H837" s="353"/>
      <c r="J837" s="353"/>
      <c r="K837" s="349"/>
      <c r="L837" s="347"/>
      <c r="M837" s="196"/>
      <c r="N837" s="196"/>
      <c r="P837" s="753"/>
      <c r="Q837" s="196"/>
    </row>
    <row r="838" spans="1:17">
      <c r="A838" s="344">
        <v>24</v>
      </c>
      <c r="B838" s="196"/>
      <c r="C838" s="587" t="s">
        <v>260</v>
      </c>
      <c r="D838" s="725" t="s">
        <v>1013</v>
      </c>
      <c r="E838" s="714" t="str">
        <f>'FR-16(7)(v)-1 Functional'!$E$838</f>
        <v>L529</v>
      </c>
      <c r="F838" s="648">
        <v>1</v>
      </c>
      <c r="G838" s="356">
        <f>F838-SUM(H838:J838)</f>
        <v>0.56024000000000007</v>
      </c>
      <c r="H838" s="356">
        <f>ROUND(IF($F$481=0,0,$H$481/$F$481),5)</f>
        <v>0.30171999999999999</v>
      </c>
      <c r="I838" s="356">
        <f>ROUND(IF($F$481=0,0,$I$481/$F$481),5)</f>
        <v>0.10758</v>
      </c>
      <c r="J838" s="356">
        <f>ROUND(IF($F$481=0,0,$J$481/$F$481),5)</f>
        <v>3.0460000000000001E-2</v>
      </c>
      <c r="K838" s="356">
        <f>SUM(G838:J838)</f>
        <v>1</v>
      </c>
      <c r="L838" s="350">
        <f>F838-K838</f>
        <v>0</v>
      </c>
      <c r="M838" s="196"/>
      <c r="N838" s="196"/>
      <c r="P838" s="755">
        <f>K838</f>
        <v>1</v>
      </c>
      <c r="Q838" s="196"/>
    </row>
    <row r="839" spans="1:17">
      <c r="A839" s="344">
        <v>25</v>
      </c>
      <c r="B839" s="196"/>
      <c r="C839" s="587" t="s">
        <v>261</v>
      </c>
      <c r="D839" s="725" t="s">
        <v>1013</v>
      </c>
      <c r="E839" s="714" t="str">
        <f>'FR-16(7)(v)-1 Functional'!$E$839</f>
        <v>L589</v>
      </c>
      <c r="F839" s="648">
        <v>1</v>
      </c>
      <c r="G839" s="356">
        <f>F839-SUM(H839:J839)</f>
        <v>0.61038999999999999</v>
      </c>
      <c r="H839" s="356">
        <f>ROUND(IF($F$488=0,0,$H$488/$F$488),5)</f>
        <v>0.27577000000000002</v>
      </c>
      <c r="I839" s="356">
        <f>ROUND(IF($F$488=0,0,$I$488/$F$488),5)</f>
        <v>9.1380000000000003E-2</v>
      </c>
      <c r="J839" s="356">
        <f>ROUND(IF($F$488=0,0,$J$488/$F$488),5)</f>
        <v>2.2460000000000001E-2</v>
      </c>
      <c r="K839" s="356">
        <f>SUM(G839:J839)</f>
        <v>1</v>
      </c>
      <c r="L839" s="350">
        <f>F839-K839</f>
        <v>0</v>
      </c>
      <c r="M839" s="196"/>
      <c r="N839" s="196"/>
      <c r="P839" s="755">
        <f>K839</f>
        <v>1</v>
      </c>
      <c r="Q839" s="196"/>
    </row>
    <row r="840" spans="1:17">
      <c r="A840" s="344">
        <v>26</v>
      </c>
      <c r="B840" s="196"/>
      <c r="C840" s="587" t="s">
        <v>262</v>
      </c>
      <c r="D840" s="725" t="s">
        <v>1013</v>
      </c>
      <c r="E840" s="714" t="str">
        <f>'FR-16(7)(v)-1 Functional'!$E$840</f>
        <v>L599</v>
      </c>
      <c r="F840" s="648">
        <v>1</v>
      </c>
      <c r="G840" s="356">
        <f>F840-SUM(H840:J840)</f>
        <v>0.5665</v>
      </c>
      <c r="H840" s="356">
        <f>ROUND(IF($F$500=0,0,$H$500/$F$500),5)</f>
        <v>0.29848000000000002</v>
      </c>
      <c r="I840" s="356">
        <f>ROUND(IF($F$500=0,0,$I$500/$F$500),5)</f>
        <v>0.10556</v>
      </c>
      <c r="J840" s="356">
        <f>ROUND(IF($F$500=0,0,$J$500/$F$500),5)</f>
        <v>2.946E-2</v>
      </c>
      <c r="K840" s="356">
        <f>SUM(G840:J840)</f>
        <v>1</v>
      </c>
      <c r="L840" s="350">
        <f>F840-K840</f>
        <v>0</v>
      </c>
      <c r="M840" s="196"/>
      <c r="N840" s="196"/>
      <c r="P840" s="755">
        <f>K840</f>
        <v>1</v>
      </c>
      <c r="Q840" s="196"/>
    </row>
    <row r="841" spans="1:17">
      <c r="A841" s="344">
        <v>27</v>
      </c>
      <c r="B841" s="196"/>
      <c r="C841" s="587" t="s">
        <v>263</v>
      </c>
      <c r="D841" s="725" t="s">
        <v>1013</v>
      </c>
      <c r="E841" s="714" t="str">
        <f>'FR-16(7)(v)-1 Functional'!$E$841</f>
        <v>OP69</v>
      </c>
      <c r="F841" s="648">
        <v>1</v>
      </c>
      <c r="G841" s="356">
        <f>F841-SUM(H841:J841)</f>
        <v>0.58818999999999999</v>
      </c>
      <c r="H841" s="356">
        <f>ROUND(IF($F$501=0,0,$H$501/$F$501),5)</f>
        <v>0.28726000000000002</v>
      </c>
      <c r="I841" s="356">
        <f>ROUND(IF($F$501=0,0,$I$501/$F$501),5)</f>
        <v>9.8549999999999999E-2</v>
      </c>
      <c r="J841" s="356">
        <f>ROUND(IF($F$501=0,0,$J$501/$F$501),5)</f>
        <v>2.5999999999999999E-2</v>
      </c>
      <c r="K841" s="356">
        <f>SUM(G841:J841)</f>
        <v>1</v>
      </c>
      <c r="L841" s="350">
        <f>F841-K841</f>
        <v>0</v>
      </c>
      <c r="M841" s="196"/>
      <c r="N841" s="196"/>
      <c r="P841" s="755">
        <f>K841</f>
        <v>1</v>
      </c>
      <c r="Q841" s="196"/>
    </row>
    <row r="842" spans="1:17">
      <c r="A842" s="344">
        <v>28</v>
      </c>
      <c r="B842" s="196"/>
      <c r="C842" s="196"/>
      <c r="D842" s="344"/>
      <c r="E842" s="729"/>
      <c r="F842" s="648"/>
      <c r="G842" s="356"/>
      <c r="H842" s="356"/>
      <c r="I842" s="356"/>
      <c r="J842" s="356"/>
      <c r="K842" s="356"/>
      <c r="L842" s="350"/>
      <c r="M842" s="196"/>
      <c r="N842" s="196"/>
      <c r="P842" s="753"/>
      <c r="Q842" s="196"/>
    </row>
    <row r="843" spans="1:17">
      <c r="A843" s="344">
        <v>29</v>
      </c>
      <c r="B843" s="587" t="s">
        <v>1176</v>
      </c>
      <c r="C843" s="196"/>
      <c r="D843" s="344"/>
      <c r="E843" s="729"/>
      <c r="F843" s="648"/>
      <c r="G843" s="356"/>
      <c r="H843" s="356"/>
      <c r="I843" s="356"/>
      <c r="J843" s="356"/>
      <c r="K843" s="356"/>
      <c r="L843" s="350"/>
      <c r="M843" s="196"/>
      <c r="N843" s="196"/>
      <c r="P843" s="753"/>
      <c r="Q843" s="196"/>
    </row>
    <row r="844" spans="1:17" ht="13.5" thickBot="1">
      <c r="A844" s="344">
        <v>30</v>
      </c>
      <c r="B844" s="196"/>
      <c r="C844" s="587" t="s">
        <v>1041</v>
      </c>
      <c r="D844" s="725" t="s">
        <v>1013</v>
      </c>
      <c r="E844" s="714" t="str">
        <f>'FR-16(7)(v)-1 Functional'!$E$844</f>
        <v>CS09</v>
      </c>
      <c r="F844" s="648">
        <v>1</v>
      </c>
      <c r="G844" s="356">
        <f>F844-SUM(H844:J844)</f>
        <v>0.57640000000000002</v>
      </c>
      <c r="H844" s="356">
        <f>ROUND(IF($F$647=0,0,H647/$F$647),5)</f>
        <v>0.29336000000000001</v>
      </c>
      <c r="I844" s="356">
        <f>ROUND(IF($F$647=0,0,I647/$F$647),5)</f>
        <v>0.10236000000000001</v>
      </c>
      <c r="J844" s="356">
        <f>ROUND(IF($F$647=0,0,J647/$F$647),5)</f>
        <v>2.7879999999999999E-2</v>
      </c>
      <c r="K844" s="356">
        <f>SUM(G844:J844)</f>
        <v>1</v>
      </c>
      <c r="L844" s="350">
        <f>F844-K844</f>
        <v>0</v>
      </c>
      <c r="M844" s="196"/>
      <c r="N844" s="196"/>
      <c r="P844" s="760">
        <f>K844</f>
        <v>1</v>
      </c>
      <c r="Q844" s="196"/>
    </row>
    <row r="845" spans="1:17">
      <c r="H845" s="353"/>
      <c r="J845" s="353"/>
      <c r="K845" s="353"/>
      <c r="N845" s="196"/>
    </row>
    <row r="846" spans="1:17">
      <c r="A846" s="196"/>
      <c r="B846" s="196"/>
      <c r="C846" s="196"/>
      <c r="D846" s="344"/>
      <c r="F846" s="642"/>
      <c r="G846" s="642"/>
      <c r="H846" s="643"/>
      <c r="I846" s="643"/>
      <c r="J846" s="643"/>
      <c r="K846" s="643"/>
      <c r="L846" s="642"/>
      <c r="M846" s="196"/>
      <c r="N846" s="196"/>
      <c r="O846" s="196"/>
      <c r="P846" s="196"/>
      <c r="Q846" s="196"/>
    </row>
    <row r="847" spans="1:17">
      <c r="H847" s="353"/>
      <c r="J847" s="353"/>
      <c r="K847" s="353"/>
    </row>
    <row r="848" spans="1:17">
      <c r="A848" s="344">
        <v>1</v>
      </c>
      <c r="B848" s="617" t="s">
        <v>91</v>
      </c>
      <c r="C848" s="618"/>
      <c r="D848" s="727"/>
      <c r="E848" s="720"/>
      <c r="F848" s="350"/>
      <c r="G848" s="347"/>
      <c r="H848" s="349"/>
      <c r="I848" s="349"/>
      <c r="J848" s="349"/>
      <c r="K848" s="356"/>
      <c r="L848" s="350"/>
    </row>
    <row r="849" spans="1:12">
      <c r="A849" s="344">
        <v>2</v>
      </c>
      <c r="B849" s="619"/>
      <c r="C849" s="620" t="s">
        <v>227</v>
      </c>
      <c r="D849" s="728"/>
      <c r="E849" s="714" t="str">
        <f>'FR-16(7)(v)-1 Functional'!$E$849</f>
        <v>K597</v>
      </c>
      <c r="F849" s="477">
        <f>ROUND(0.06889*0,0)</f>
        <v>0</v>
      </c>
      <c r="G849" s="615">
        <f t="shared" ref="G849:G854" si="205">F849-SUM(H849:J849)</f>
        <v>0</v>
      </c>
      <c r="H849" s="615">
        <f>ROUND($F$849*VLOOKUP($E$849,ALLOCTABLE_DISTR_DEMAND,$H$10,FALSE),0)</f>
        <v>0</v>
      </c>
      <c r="I849" s="615">
        <f t="shared" ref="I849:I854" si="206">ROUND(F849*VLOOKUP(E849,ALLOCTABLE_DISTR_DEMAND,$I$10,FALSE),0)</f>
        <v>0</v>
      </c>
      <c r="J849" s="615">
        <f>ROUND($F$849*VLOOKUP($E$849,ALLOCTABLE_DISTR_DEMAND,$J$10,FALSE),0)</f>
        <v>0</v>
      </c>
      <c r="K849" s="349">
        <f t="shared" ref="K849:K854" si="207">SUM(G849:J849)</f>
        <v>0</v>
      </c>
      <c r="L849" s="347">
        <f t="shared" ref="L849:L854" si="208">F849-K849</f>
        <v>0</v>
      </c>
    </row>
    <row r="850" spans="1:12">
      <c r="A850" s="344">
        <v>3</v>
      </c>
      <c r="B850" s="618"/>
      <c r="C850" s="293" t="s">
        <v>228</v>
      </c>
      <c r="D850" s="722"/>
      <c r="E850" s="714" t="str">
        <f>'FR-16(7)(v)-1 Functional'!$E$850</f>
        <v>AG39</v>
      </c>
      <c r="F850" s="494">
        <v>0</v>
      </c>
      <c r="G850" s="615">
        <f t="shared" si="205"/>
        <v>0</v>
      </c>
      <c r="H850" s="615">
        <f>ROUND($F$850*VLOOKUP($E$850,ALLOCTABLE_DISTR_DEMAND,$H$10,FALSE),0)</f>
        <v>0</v>
      </c>
      <c r="I850" s="615">
        <f t="shared" si="206"/>
        <v>0</v>
      </c>
      <c r="J850" s="615">
        <f>ROUND($F$850*VLOOKUP($E$850,ALLOCTABLE_DISTR_DEMAND,$J$10,FALSE),0)</f>
        <v>0</v>
      </c>
      <c r="K850" s="349">
        <f t="shared" si="207"/>
        <v>0</v>
      </c>
      <c r="L850" s="347">
        <f t="shared" si="208"/>
        <v>0</v>
      </c>
    </row>
    <row r="851" spans="1:12">
      <c r="A851" s="344">
        <v>4</v>
      </c>
      <c r="B851" s="618"/>
      <c r="C851" s="293" t="s">
        <v>428</v>
      </c>
      <c r="D851" s="722"/>
      <c r="E851" s="714" t="str">
        <f>'FR-16(7)(v)-1 Functional'!$E$851</f>
        <v>AG39</v>
      </c>
      <c r="F851" s="494">
        <v>0</v>
      </c>
      <c r="G851" s="615">
        <f t="shared" si="205"/>
        <v>0</v>
      </c>
      <c r="H851" s="615">
        <f>ROUND($F$851*VLOOKUP($E$851,ALLOCTABLE_DISTR_DEMAND,$H$10,FALSE),0)</f>
        <v>0</v>
      </c>
      <c r="I851" s="615">
        <f t="shared" si="206"/>
        <v>0</v>
      </c>
      <c r="J851" s="615">
        <f>ROUND($F$851*VLOOKUP($E$851,ALLOCTABLE_DISTR_DEMAND,$J$10,FALSE),0)</f>
        <v>0</v>
      </c>
      <c r="K851" s="349">
        <f t="shared" si="207"/>
        <v>0</v>
      </c>
      <c r="L851" s="347">
        <f t="shared" si="208"/>
        <v>0</v>
      </c>
    </row>
    <row r="852" spans="1:12">
      <c r="A852" s="344">
        <v>5</v>
      </c>
      <c r="B852" s="618"/>
      <c r="C852" s="293" t="s">
        <v>423</v>
      </c>
      <c r="D852" s="722" t="s">
        <v>343</v>
      </c>
      <c r="E852" s="714" t="str">
        <f>'FR-16(7)(v)-1 Functional'!$E$852</f>
        <v>K301</v>
      </c>
      <c r="F852" s="494">
        <v>0</v>
      </c>
      <c r="G852" s="615">
        <f t="shared" si="205"/>
        <v>0</v>
      </c>
      <c r="H852" s="615">
        <f>ROUND($F$852*VLOOKUP($E$852,ALLOCTABLE_DISTR_DEMAND,$H$10,FALSE),0)</f>
        <v>0</v>
      </c>
      <c r="I852" s="615">
        <f t="shared" si="206"/>
        <v>0</v>
      </c>
      <c r="J852" s="615">
        <f>ROUND($F$852*VLOOKUP($E$852,ALLOCTABLE_DISTR_DEMAND,$J$10,FALSE),0)</f>
        <v>0</v>
      </c>
      <c r="K852" s="349">
        <f t="shared" si="207"/>
        <v>0</v>
      </c>
      <c r="L852" s="347">
        <f t="shared" si="208"/>
        <v>0</v>
      </c>
    </row>
    <row r="853" spans="1:12">
      <c r="A853" s="344">
        <v>6</v>
      </c>
      <c r="B853" s="618"/>
      <c r="C853" s="293" t="s">
        <v>409</v>
      </c>
      <c r="D853" s="722"/>
      <c r="E853" s="714" t="str">
        <f>'FR-16(7)(v)-1 Functional'!$E$853</f>
        <v>K415</v>
      </c>
      <c r="F853" s="494">
        <v>0</v>
      </c>
      <c r="G853" s="615">
        <f t="shared" si="205"/>
        <v>0</v>
      </c>
      <c r="H853" s="615">
        <f>ROUND($F$853*VLOOKUP($E$853,ALLOCTABLE_DISTR_DEMAND,$H$10,FALSE),0)</f>
        <v>0</v>
      </c>
      <c r="I853" s="615">
        <f t="shared" si="206"/>
        <v>0</v>
      </c>
      <c r="J853" s="615">
        <f>ROUND($F$853*VLOOKUP($E$853,ALLOCTABLE_DISTR_DEMAND,$J$10,FALSE),0)</f>
        <v>0</v>
      </c>
      <c r="K853" s="349">
        <f t="shared" si="207"/>
        <v>0</v>
      </c>
      <c r="L853" s="347">
        <f t="shared" si="208"/>
        <v>0</v>
      </c>
    </row>
    <row r="854" spans="1:12">
      <c r="A854" s="344">
        <v>7</v>
      </c>
      <c r="B854" s="618"/>
      <c r="C854" s="293" t="s">
        <v>424</v>
      </c>
      <c r="D854" s="722" t="s">
        <v>343</v>
      </c>
      <c r="E854" s="714" t="str">
        <f>'FR-16(7)(v)-1 Functional'!$E$854</f>
        <v>NP29</v>
      </c>
      <c r="F854" s="494">
        <v>0</v>
      </c>
      <c r="G854" s="615">
        <f t="shared" si="205"/>
        <v>0</v>
      </c>
      <c r="H854" s="615">
        <f>ROUND($F$854*VLOOKUP($E$854,ALLOCTABLE_DISTR_DEMAND,$H$10,FALSE),0)</f>
        <v>0</v>
      </c>
      <c r="I854" s="615">
        <f t="shared" si="206"/>
        <v>0</v>
      </c>
      <c r="J854" s="615">
        <f>ROUND($F$854*VLOOKUP($E$854,ALLOCTABLE_DISTR_DEMAND,$J$10,FALSE),0)</f>
        <v>0</v>
      </c>
      <c r="K854" s="349">
        <f t="shared" si="207"/>
        <v>0</v>
      </c>
      <c r="L854" s="347">
        <f t="shared" si="208"/>
        <v>0</v>
      </c>
    </row>
    <row r="855" spans="1:12">
      <c r="A855" s="344">
        <v>8</v>
      </c>
      <c r="C855" s="488" t="s">
        <v>229</v>
      </c>
      <c r="D855" s="589" t="s">
        <v>285</v>
      </c>
      <c r="E855" s="333"/>
      <c r="F855" s="348">
        <f t="shared" ref="F855:L855" si="209">SUM(F848:F854)</f>
        <v>0</v>
      </c>
      <c r="G855" s="348">
        <f t="shared" si="209"/>
        <v>0</v>
      </c>
      <c r="H855" s="348">
        <f t="shared" si="209"/>
        <v>0</v>
      </c>
      <c r="I855" s="348">
        <f t="shared" si="209"/>
        <v>0</v>
      </c>
      <c r="J855" s="348">
        <f t="shared" si="209"/>
        <v>0</v>
      </c>
      <c r="K855" s="348">
        <f t="shared" si="209"/>
        <v>0</v>
      </c>
      <c r="L855" s="348">
        <f t="shared" si="209"/>
        <v>0</v>
      </c>
    </row>
    <row r="861" spans="1:12" ht="20.25">
      <c r="A861" s="1192" t="s">
        <v>1215</v>
      </c>
    </row>
    <row r="862" spans="1:12">
      <c r="F862" s="344" t="s">
        <v>229</v>
      </c>
    </row>
    <row r="863" spans="1:12">
      <c r="A863" s="344" t="s">
        <v>914</v>
      </c>
      <c r="B863" s="196"/>
      <c r="C863" s="196"/>
      <c r="D863" s="344"/>
      <c r="E863" s="196"/>
      <c r="F863" s="344" t="str">
        <f>$F$8</f>
        <v>DISTRIBUTION</v>
      </c>
      <c r="G863" s="344" t="s">
        <v>418</v>
      </c>
      <c r="H863" s="344" t="s">
        <v>864</v>
      </c>
      <c r="I863" s="344" t="s">
        <v>865</v>
      </c>
      <c r="J863" s="344" t="s">
        <v>549</v>
      </c>
      <c r="K863" s="344" t="s">
        <v>229</v>
      </c>
      <c r="L863" s="344" t="s">
        <v>342</v>
      </c>
    </row>
    <row r="864" spans="1:12">
      <c r="A864" s="346" t="s">
        <v>915</v>
      </c>
      <c r="B864" s="345" t="s">
        <v>99</v>
      </c>
      <c r="C864" s="345"/>
      <c r="D864" s="346" t="s">
        <v>337</v>
      </c>
      <c r="E864" s="345"/>
      <c r="F864" s="344" t="str">
        <f>$F$9</f>
        <v>DEMAND</v>
      </c>
      <c r="G864" s="346" t="s">
        <v>338</v>
      </c>
      <c r="H864" s="346" t="s">
        <v>405</v>
      </c>
      <c r="I864" s="346" t="s">
        <v>405</v>
      </c>
      <c r="J864" s="346" t="s">
        <v>550</v>
      </c>
      <c r="K864" s="346" t="s">
        <v>341</v>
      </c>
      <c r="L864" s="346" t="s">
        <v>340</v>
      </c>
    </row>
    <row r="865" spans="1:12">
      <c r="B865" s="196"/>
      <c r="C865" s="578" t="s">
        <v>4</v>
      </c>
      <c r="D865" s="344"/>
      <c r="E865" s="196"/>
      <c r="F865" s="761"/>
      <c r="G865" s="633">
        <f>$G$10</f>
        <v>3</v>
      </c>
      <c r="H865" s="633">
        <f>$H$10</f>
        <v>4</v>
      </c>
      <c r="I865" s="633">
        <f>$I$10</f>
        <v>5</v>
      </c>
      <c r="J865" s="633">
        <f>$J$10</f>
        <v>6</v>
      </c>
    </row>
    <row r="866" spans="1:12">
      <c r="A866" s="333">
        <v>1</v>
      </c>
      <c r="B866" s="332" t="s">
        <v>100</v>
      </c>
      <c r="D866" s="344"/>
      <c r="E866" s="196"/>
      <c r="I866" s="332"/>
    </row>
    <row r="867" spans="1:12">
      <c r="A867" s="333">
        <v>2</v>
      </c>
      <c r="C867" s="332" t="str">
        <f>'FR-16(7)(v)-1 Functional'!C867</f>
        <v>TOTAL GAS COST OF SERVICE</v>
      </c>
      <c r="D867" s="344"/>
      <c r="E867" s="196"/>
      <c r="F867" s="347">
        <f t="shared" ref="F867:L867" si="210">F647</f>
        <v>33271110</v>
      </c>
      <c r="G867" s="347">
        <f t="shared" si="210"/>
        <v>19177469</v>
      </c>
      <c r="H867" s="347">
        <f t="shared" si="210"/>
        <v>9760449</v>
      </c>
      <c r="I867" s="347">
        <f t="shared" si="210"/>
        <v>3405603</v>
      </c>
      <c r="J867" s="347">
        <f t="shared" si="210"/>
        <v>927591</v>
      </c>
      <c r="K867" s="347">
        <f t="shared" si="210"/>
        <v>33271112</v>
      </c>
      <c r="L867" s="347">
        <f t="shared" si="210"/>
        <v>2</v>
      </c>
    </row>
    <row r="868" spans="1:12">
      <c r="A868" s="333">
        <v>3</v>
      </c>
      <c r="C868" s="359" t="str">
        <f>'FR-16(7)(v)-1 Functional'!C868</f>
        <v>TOTAL OTHER OPERATING REVENUES</v>
      </c>
      <c r="D868" s="344"/>
      <c r="E868" s="196"/>
      <c r="F868" s="347">
        <f>F630</f>
        <v>17988</v>
      </c>
      <c r="G868" s="347">
        <f>$G$630</f>
        <v>10567</v>
      </c>
      <c r="H868" s="347">
        <f>$H$630</f>
        <v>5174</v>
      </c>
      <c r="I868" s="347">
        <f>$I$630</f>
        <v>1777</v>
      </c>
      <c r="J868" s="347">
        <f>$J$630</f>
        <v>470</v>
      </c>
      <c r="K868" s="347">
        <f>$K$630</f>
        <v>17988</v>
      </c>
      <c r="L868" s="347">
        <f>$L$630</f>
        <v>0</v>
      </c>
    </row>
    <row r="869" spans="1:12">
      <c r="A869" s="333">
        <v>4</v>
      </c>
      <c r="C869" s="332" t="str">
        <f>'FR-16(7)(v)-1 Functional'!C869</f>
        <v xml:space="preserve">  TOTAL GAS REVENUE</v>
      </c>
      <c r="D869" s="344"/>
      <c r="E869" s="196"/>
      <c r="F869" s="348">
        <f t="shared" ref="F869:L869" si="211">SUM(F866:F868)</f>
        <v>33289098</v>
      </c>
      <c r="G869" s="348">
        <f t="shared" si="211"/>
        <v>19188036</v>
      </c>
      <c r="H869" s="348">
        <f t="shared" si="211"/>
        <v>9765623</v>
      </c>
      <c r="I869" s="348">
        <f t="shared" si="211"/>
        <v>3407380</v>
      </c>
      <c r="J869" s="348">
        <f t="shared" si="211"/>
        <v>928061</v>
      </c>
      <c r="K869" s="348">
        <f t="shared" si="211"/>
        <v>33289100</v>
      </c>
      <c r="L869" s="348">
        <f t="shared" si="211"/>
        <v>2</v>
      </c>
    </row>
    <row r="870" spans="1:12">
      <c r="A870" s="333">
        <v>5</v>
      </c>
      <c r="C870" s="332" t="str">
        <f>'FR-16(7)(v)-1 Functional'!C870</f>
        <v>TOTAL OP EXP EX INC &amp; REV TAX</v>
      </c>
      <c r="D870" s="344"/>
      <c r="E870" s="196"/>
      <c r="F870" s="347">
        <f>-F501</f>
        <v>-19681079</v>
      </c>
      <c r="G870" s="347">
        <f>-$G$501</f>
        <v>-11576249</v>
      </c>
      <c r="H870" s="347">
        <f>-$H$501</f>
        <v>-5653523</v>
      </c>
      <c r="I870" s="347">
        <f>-$I$501</f>
        <v>-1939593</v>
      </c>
      <c r="J870" s="347">
        <f>-$J$501</f>
        <v>-511714</v>
      </c>
      <c r="K870" s="512">
        <f>-$K$501</f>
        <v>-19681079</v>
      </c>
      <c r="L870" s="347">
        <f>-$L$501</f>
        <v>0</v>
      </c>
    </row>
    <row r="871" spans="1:12">
      <c r="A871" s="333">
        <v>6</v>
      </c>
      <c r="C871" s="359" t="str">
        <f>'FR-16(7)(v)-1 Functional'!C871</f>
        <v>FIRM SERVICE REVENUE TAX</v>
      </c>
      <c r="D871" s="344"/>
      <c r="E871" s="196"/>
      <c r="F871" s="347">
        <f>-ROUND(F694*F867,0)</f>
        <v>0</v>
      </c>
      <c r="G871" s="347">
        <f>-ROUND(G694*G867,0)</f>
        <v>0</v>
      </c>
      <c r="H871" s="347">
        <f>-ROUND(H694*H867,0)</f>
        <v>0</v>
      </c>
      <c r="I871" s="347">
        <f>-ROUND(I694*I867,0)</f>
        <v>0</v>
      </c>
      <c r="J871" s="347">
        <f>-ROUND(J694*J867,0)</f>
        <v>0</v>
      </c>
      <c r="K871" s="510">
        <f>SUM(G871:J871)</f>
        <v>0</v>
      </c>
      <c r="L871" s="347">
        <f>-ROUND('FR-16(7)(v)-1 Functional'!K694*L867,0)</f>
        <v>0</v>
      </c>
    </row>
    <row r="872" spans="1:12">
      <c r="A872" s="333">
        <v>7</v>
      </c>
      <c r="C872" s="332" t="str">
        <f>'FR-16(7)(v)-1 Functional'!C872</f>
        <v xml:space="preserve">  NET INCOME</v>
      </c>
      <c r="D872" s="344"/>
      <c r="E872" s="196"/>
      <c r="F872" s="348">
        <f>SUM(F869:F871)</f>
        <v>13608019</v>
      </c>
      <c r="G872" s="348">
        <f>SUM(G869:G871)</f>
        <v>7611787</v>
      </c>
      <c r="H872" s="348">
        <f>SUM(H869:H871)</f>
        <v>4112100</v>
      </c>
      <c r="I872" s="348">
        <f>SUM(I869:I871)</f>
        <v>1467787</v>
      </c>
      <c r="J872" s="348">
        <f>SUM(J869:J871)</f>
        <v>416347</v>
      </c>
      <c r="K872" s="348">
        <f>SUM(G872:J872)</f>
        <v>13608021</v>
      </c>
      <c r="L872" s="348">
        <f>SUM(L869:L871)</f>
        <v>2</v>
      </c>
    </row>
    <row r="873" spans="1:12">
      <c r="A873" s="333">
        <v>8</v>
      </c>
      <c r="D873" s="344"/>
      <c r="E873" s="196"/>
      <c r="I873" s="332"/>
    </row>
    <row r="874" spans="1:12">
      <c r="A874" s="333">
        <v>9</v>
      </c>
      <c r="B874" s="332" t="s">
        <v>101</v>
      </c>
      <c r="D874" s="344"/>
      <c r="E874" s="196"/>
      <c r="I874" s="332"/>
    </row>
    <row r="875" spans="1:12">
      <c r="A875" s="333">
        <v>10</v>
      </c>
      <c r="C875" s="332" t="str">
        <f>'FR-16(7)(v)-1 Functional'!C875</f>
        <v>TOTAL INTEREST EXPENSE</v>
      </c>
      <c r="D875" s="344"/>
      <c r="E875" s="196"/>
      <c r="F875" s="347">
        <f>-F516</f>
        <v>-3667723</v>
      </c>
      <c r="G875" s="347">
        <f>-$G$516</f>
        <v>-2052604</v>
      </c>
      <c r="H875" s="347">
        <f>-$H$516</f>
        <v>-1107799</v>
      </c>
      <c r="I875" s="347">
        <f>-$I$516</f>
        <v>-395271</v>
      </c>
      <c r="J875" s="347">
        <f>-$J$516</f>
        <v>-112049</v>
      </c>
      <c r="K875" s="347">
        <f>-$K$516</f>
        <v>-3667723</v>
      </c>
      <c r="L875" s="347">
        <f>-$L$516</f>
        <v>0</v>
      </c>
    </row>
    <row r="876" spans="1:12">
      <c r="A876" s="333">
        <v>11</v>
      </c>
      <c r="C876" s="359" t="str">
        <f>'FR-16(7)(v)-1 Functional'!C876</f>
        <v>TOTAL OTHER DEDUCTIONS</v>
      </c>
      <c r="D876" s="344"/>
      <c r="E876" s="196"/>
      <c r="F876" s="347">
        <f>-F522</f>
        <v>-3407675</v>
      </c>
      <c r="G876" s="347">
        <f>-$G$522</f>
        <v>-1922023</v>
      </c>
      <c r="H876" s="347">
        <f>-$H$522</f>
        <v>-1021483</v>
      </c>
      <c r="I876" s="347">
        <f>-$I$522</f>
        <v>-362426</v>
      </c>
      <c r="J876" s="347">
        <f>-$J$522</f>
        <v>-101743</v>
      </c>
      <c r="K876" s="347">
        <f>-$K$522</f>
        <v>-3407675</v>
      </c>
      <c r="L876" s="347">
        <f>-$L$522</f>
        <v>0</v>
      </c>
    </row>
    <row r="877" spans="1:12">
      <c r="A877" s="333">
        <v>12</v>
      </c>
      <c r="C877" s="332" t="str">
        <f>'FR-16(7)(v)-1 Functional'!C877</f>
        <v xml:space="preserve">  PRELIMINARY TAXABLE INCOME</v>
      </c>
      <c r="D877" s="344"/>
      <c r="E877" s="196"/>
      <c r="F877" s="348">
        <f>SUM(F874:F876)+F872</f>
        <v>6532621</v>
      </c>
      <c r="G877" s="348">
        <f>SUM(G874:G876)+G872</f>
        <v>3637160</v>
      </c>
      <c r="H877" s="348">
        <f>SUM(H874:H876)+H872</f>
        <v>1982818</v>
      </c>
      <c r="I877" s="348">
        <f>SUM(I874:I876)+I872</f>
        <v>710090</v>
      </c>
      <c r="J877" s="348">
        <f>SUM(J874:J876)+J872</f>
        <v>202555</v>
      </c>
      <c r="K877" s="348">
        <f>SUM(G877:J877)</f>
        <v>6532623</v>
      </c>
      <c r="L877" s="348">
        <f>SUM(L874:L876)+L872</f>
        <v>2</v>
      </c>
    </row>
    <row r="878" spans="1:12">
      <c r="A878" s="333">
        <v>13</v>
      </c>
      <c r="D878" s="344"/>
      <c r="E878" s="196"/>
      <c r="I878" s="332"/>
    </row>
    <row r="879" spans="1:12">
      <c r="A879" s="333">
        <v>14</v>
      </c>
      <c r="B879" s="332" t="s">
        <v>99</v>
      </c>
      <c r="D879" s="344"/>
      <c r="E879" s="196"/>
      <c r="I879" s="332"/>
    </row>
    <row r="880" spans="1:12">
      <c r="A880" s="333">
        <v>15</v>
      </c>
      <c r="B880" s="332" t="s">
        <v>74</v>
      </c>
      <c r="D880" s="344"/>
      <c r="E880" s="196"/>
      <c r="I880" s="332"/>
    </row>
    <row r="881" spans="1:12">
      <c r="A881" s="333">
        <v>16</v>
      </c>
      <c r="C881" s="332" t="str">
        <f>'FR-16(7)(v)-1 Functional'!C881</f>
        <v>PRELIMINARY TAXABLE INCOME</v>
      </c>
      <c r="D881" s="344"/>
      <c r="E881" s="196"/>
      <c r="F881" s="347">
        <f t="shared" ref="F881:L881" si="212">F877</f>
        <v>6532621</v>
      </c>
      <c r="G881" s="347">
        <f t="shared" si="212"/>
        <v>3637160</v>
      </c>
      <c r="H881" s="347">
        <f t="shared" si="212"/>
        <v>1982818</v>
      </c>
      <c r="I881" s="347">
        <f t="shared" si="212"/>
        <v>710090</v>
      </c>
      <c r="J881" s="347">
        <f t="shared" si="212"/>
        <v>202555</v>
      </c>
      <c r="K881" s="347">
        <f t="shared" si="212"/>
        <v>6532623</v>
      </c>
      <c r="L881" s="347">
        <f t="shared" si="212"/>
        <v>2</v>
      </c>
    </row>
    <row r="882" spans="1:12">
      <c r="A882" s="333">
        <v>17</v>
      </c>
      <c r="C882" s="332" t="str">
        <f>'FR-16(7)(v)-1 Functional'!C882</f>
        <v xml:space="preserve">  NET FEDERAL TAXABLE INCOME</v>
      </c>
      <c r="D882" s="344"/>
      <c r="E882" s="196"/>
      <c r="F882" s="347">
        <f t="shared" ref="F882:L882" si="213">SUM(F881:F881)</f>
        <v>6532621</v>
      </c>
      <c r="G882" s="347">
        <f t="shared" si="213"/>
        <v>3637160</v>
      </c>
      <c r="H882" s="347">
        <f t="shared" si="213"/>
        <v>1982818</v>
      </c>
      <c r="I882" s="347">
        <f t="shared" si="213"/>
        <v>710090</v>
      </c>
      <c r="J882" s="347">
        <f t="shared" si="213"/>
        <v>202555</v>
      </c>
      <c r="K882" s="347">
        <f t="shared" si="213"/>
        <v>6532623</v>
      </c>
      <c r="L882" s="347">
        <f t="shared" si="213"/>
        <v>2</v>
      </c>
    </row>
    <row r="883" spans="1:12">
      <c r="A883" s="333">
        <v>18</v>
      </c>
      <c r="C883" s="332" t="str">
        <f>'FR-16(7)(v)-1 Functional'!C883</f>
        <v xml:space="preserve">  FEDERAL INCOME TAX RATE</v>
      </c>
      <c r="D883" s="344"/>
      <c r="E883" s="196"/>
      <c r="F883" s="350">
        <f>F692</f>
        <v>0.21</v>
      </c>
      <c r="G883" s="350">
        <f>G692</f>
        <v>0.21</v>
      </c>
      <c r="H883" s="350">
        <f>H692</f>
        <v>0.21</v>
      </c>
      <c r="I883" s="350">
        <f>I692</f>
        <v>0.21</v>
      </c>
      <c r="J883" s="350">
        <f>J692</f>
        <v>0.21</v>
      </c>
      <c r="K883" s="350"/>
      <c r="L883" s="350">
        <f>'FR-16(7)(v)-1 Functional'!K692</f>
        <v>0.21</v>
      </c>
    </row>
    <row r="884" spans="1:12">
      <c r="A884" s="333">
        <v>19</v>
      </c>
      <c r="C884" s="332" t="str">
        <f>'FR-16(7)(v)-1 Functional'!C884</f>
        <v>PRELIMINARY FIT = FI01 * K190</v>
      </c>
      <c r="D884" s="344"/>
      <c r="E884" s="196"/>
      <c r="F884" s="347">
        <f>ROUND(F883*F882,0)</f>
        <v>1371850</v>
      </c>
      <c r="G884" s="347">
        <f>ROUND(G883*G882,0)</f>
        <v>763804</v>
      </c>
      <c r="H884" s="347">
        <f>ROUND(H883*H882,0)</f>
        <v>416392</v>
      </c>
      <c r="I884" s="347">
        <f>ROUND(I883*I882,0)</f>
        <v>149119</v>
      </c>
      <c r="J884" s="347">
        <f>ROUND(J883*J882,0)</f>
        <v>42537</v>
      </c>
      <c r="K884" s="347">
        <f>SUM(G884:J884)</f>
        <v>1371852</v>
      </c>
      <c r="L884" s="347">
        <f>ROUND(L883*L882,0)</f>
        <v>0</v>
      </c>
    </row>
    <row r="885" spans="1:12">
      <c r="A885" s="333">
        <v>20</v>
      </c>
      <c r="C885" s="332" t="str">
        <f>'FR-16(7)(v)-1 Functional'!C885</f>
        <v>TOTAL FED DEF IT (410 &amp; 411)</v>
      </c>
      <c r="D885" s="344"/>
      <c r="E885" s="196"/>
      <c r="F885" s="347">
        <f>F532</f>
        <v>2163</v>
      </c>
      <c r="G885" s="347">
        <f>$G$532</f>
        <v>1320</v>
      </c>
      <c r="H885" s="347">
        <f>$H$532</f>
        <v>596</v>
      </c>
      <c r="I885" s="347">
        <f>$I$532</f>
        <v>198</v>
      </c>
      <c r="J885" s="347">
        <f>$J$532</f>
        <v>49</v>
      </c>
      <c r="K885" s="347">
        <f>$K$532</f>
        <v>2163</v>
      </c>
      <c r="L885" s="347">
        <f>$L$532</f>
        <v>0</v>
      </c>
    </row>
    <row r="886" spans="1:12">
      <c r="A886" s="333">
        <v>21</v>
      </c>
      <c r="C886" s="359" t="str">
        <f>'FR-16(7)(v)-1 Functional'!C886</f>
        <v>TOTAL AMORTIZED ITC</v>
      </c>
      <c r="D886" s="344"/>
      <c r="E886" s="196"/>
      <c r="F886" s="347">
        <f>-F536</f>
        <v>-35866</v>
      </c>
      <c r="G886" s="347">
        <f>-$G$536</f>
        <v>-20094</v>
      </c>
      <c r="H886" s="347">
        <f>-$H$536</f>
        <v>-10821</v>
      </c>
      <c r="I886" s="347">
        <f>-$I$536</f>
        <v>-3858</v>
      </c>
      <c r="J886" s="347">
        <f>-$J$536</f>
        <v>-1092</v>
      </c>
      <c r="K886" s="347">
        <f>-$K$536</f>
        <v>-35865</v>
      </c>
      <c r="L886" s="347">
        <f>-$L$536</f>
        <v>-1</v>
      </c>
    </row>
    <row r="887" spans="1:12">
      <c r="A887" s="333">
        <v>22</v>
      </c>
      <c r="C887" s="332" t="str">
        <f>'FR-16(7)(v)-1 Functional'!C887</f>
        <v xml:space="preserve">  NET FED INC TAX ALLOWABLE</v>
      </c>
      <c r="D887" s="344"/>
      <c r="E887" s="196"/>
      <c r="F887" s="348">
        <f t="shared" ref="F887:L887" si="214">SUM(F884:F886)</f>
        <v>1338147</v>
      </c>
      <c r="G887" s="348">
        <f t="shared" si="214"/>
        <v>745030</v>
      </c>
      <c r="H887" s="348">
        <f t="shared" si="214"/>
        <v>406167</v>
      </c>
      <c r="I887" s="348">
        <f t="shared" si="214"/>
        <v>145459</v>
      </c>
      <c r="J887" s="348">
        <f t="shared" si="214"/>
        <v>41494</v>
      </c>
      <c r="K887" s="348">
        <f t="shared" si="214"/>
        <v>1338150</v>
      </c>
      <c r="L887" s="348">
        <f t="shared" si="214"/>
        <v>-1</v>
      </c>
    </row>
    <row r="888" spans="1:12">
      <c r="A888" s="333">
        <v>23</v>
      </c>
      <c r="D888" s="344"/>
      <c r="E888" s="196"/>
      <c r="I888" s="332"/>
    </row>
    <row r="889" spans="1:12">
      <c r="A889" s="333">
        <v>24</v>
      </c>
      <c r="B889" s="332" t="s">
        <v>75</v>
      </c>
      <c r="D889" s="344"/>
      <c r="E889" s="196"/>
      <c r="I889" s="332"/>
    </row>
    <row r="890" spans="1:12">
      <c r="A890" s="333">
        <v>25</v>
      </c>
      <c r="C890" s="332" t="str">
        <f>'FR-16(7)(v)-1 Functional'!C890</f>
        <v>PRELIM FIT</v>
      </c>
      <c r="D890" s="344"/>
      <c r="E890" s="196"/>
      <c r="F890" s="347">
        <f t="shared" ref="F890:L890" si="215">F884</f>
        <v>1371850</v>
      </c>
      <c r="G890" s="347">
        <f t="shared" si="215"/>
        <v>763804</v>
      </c>
      <c r="H890" s="347">
        <f t="shared" si="215"/>
        <v>416392</v>
      </c>
      <c r="I890" s="347">
        <f t="shared" si="215"/>
        <v>149119</v>
      </c>
      <c r="J890" s="347">
        <f t="shared" si="215"/>
        <v>42537</v>
      </c>
      <c r="K890" s="347">
        <f t="shared" si="215"/>
        <v>1371852</v>
      </c>
      <c r="L890" s="347">
        <f t="shared" si="215"/>
        <v>0</v>
      </c>
    </row>
    <row r="891" spans="1:12">
      <c r="A891" s="333">
        <v>26</v>
      </c>
      <c r="C891" s="359" t="str">
        <f>'FR-16(7)(v)-1 Functional'!C891</f>
        <v>TEST YEAR INV TAX CREDIT</v>
      </c>
      <c r="D891" s="344"/>
      <c r="E891" s="196"/>
      <c r="F891" s="347">
        <f>-F540</f>
        <v>0</v>
      </c>
      <c r="G891" s="626">
        <f>-$G$540</f>
        <v>0</v>
      </c>
      <c r="H891" s="626">
        <f>-$H$540</f>
        <v>0</v>
      </c>
      <c r="I891" s="347">
        <f>-$I$540</f>
        <v>0</v>
      </c>
      <c r="J891" s="347">
        <f>-$J$540</f>
        <v>0</v>
      </c>
      <c r="K891" s="347">
        <f>-$K$540</f>
        <v>0</v>
      </c>
      <c r="L891" s="347">
        <f>-$L$540</f>
        <v>0</v>
      </c>
    </row>
    <row r="892" spans="1:12">
      <c r="A892" s="333">
        <v>27</v>
      </c>
      <c r="C892" s="332" t="str">
        <f>'FR-16(7)(v)-1 Functional'!C892</f>
        <v xml:space="preserve">  FED INC TAX PAYABLE</v>
      </c>
      <c r="D892" s="344"/>
      <c r="E892" s="196"/>
      <c r="F892" s="348">
        <f t="shared" ref="F892:L892" si="216">SUM(F889:F891)</f>
        <v>1371850</v>
      </c>
      <c r="G892" s="348">
        <f t="shared" si="216"/>
        <v>763804</v>
      </c>
      <c r="H892" s="348">
        <f t="shared" si="216"/>
        <v>416392</v>
      </c>
      <c r="I892" s="348">
        <f t="shared" si="216"/>
        <v>149119</v>
      </c>
      <c r="J892" s="348">
        <f t="shared" si="216"/>
        <v>42537</v>
      </c>
      <c r="K892" s="348">
        <f t="shared" si="216"/>
        <v>1371852</v>
      </c>
      <c r="L892" s="348">
        <f t="shared" si="216"/>
        <v>0</v>
      </c>
    </row>
    <row r="893" spans="1:12">
      <c r="A893" s="333">
        <v>28</v>
      </c>
      <c r="D893" s="344"/>
      <c r="E893" s="196"/>
      <c r="I893" s="332"/>
    </row>
    <row r="894" spans="1:12">
      <c r="A894" s="333">
        <v>29</v>
      </c>
      <c r="B894" s="332" t="s">
        <v>40</v>
      </c>
      <c r="D894" s="344"/>
      <c r="E894" s="196"/>
      <c r="I894" s="332"/>
    </row>
    <row r="895" spans="1:12">
      <c r="A895" s="333">
        <v>30</v>
      </c>
      <c r="C895" s="332" t="str">
        <f>'FR-16(7)(v)-1 Functional'!C895</f>
        <v>NET INCOME</v>
      </c>
      <c r="D895" s="344"/>
      <c r="E895" s="196"/>
      <c r="F895" s="347">
        <f t="shared" ref="F895:L895" si="217">F872</f>
        <v>13608019</v>
      </c>
      <c r="G895" s="347">
        <f t="shared" si="217"/>
        <v>7611787</v>
      </c>
      <c r="H895" s="347">
        <f t="shared" si="217"/>
        <v>4112100</v>
      </c>
      <c r="I895" s="347">
        <f t="shared" si="217"/>
        <v>1467787</v>
      </c>
      <c r="J895" s="347">
        <f t="shared" si="217"/>
        <v>416347</v>
      </c>
      <c r="K895" s="347">
        <f t="shared" si="217"/>
        <v>13608021</v>
      </c>
      <c r="L895" s="347">
        <f t="shared" si="217"/>
        <v>2</v>
      </c>
    </row>
    <row r="896" spans="1:12">
      <c r="A896" s="333">
        <v>31</v>
      </c>
      <c r="C896" s="359" t="str">
        <f>'FR-16(7)(v)-1 Functional'!C896</f>
        <v>NET FED INC TAX ALLOWABLE</v>
      </c>
      <c r="D896" s="344"/>
      <c r="E896" s="196"/>
      <c r="F896" s="347">
        <f t="shared" ref="F896:L896" si="218">-F887</f>
        <v>-1338147</v>
      </c>
      <c r="G896" s="347">
        <f t="shared" si="218"/>
        <v>-745030</v>
      </c>
      <c r="H896" s="347">
        <f t="shared" si="218"/>
        <v>-406167</v>
      </c>
      <c r="I896" s="347">
        <f t="shared" si="218"/>
        <v>-145459</v>
      </c>
      <c r="J896" s="347">
        <f t="shared" si="218"/>
        <v>-41494</v>
      </c>
      <c r="K896" s="347">
        <f t="shared" si="218"/>
        <v>-1338150</v>
      </c>
      <c r="L896" s="347">
        <f t="shared" si="218"/>
        <v>1</v>
      </c>
    </row>
    <row r="897" spans="1:14">
      <c r="A897" s="333">
        <v>32</v>
      </c>
      <c r="C897" s="332" t="str">
        <f>'FR-16(7)(v)-1 Functional'!C897</f>
        <v xml:space="preserve">  OVERALL RETURN EARNED</v>
      </c>
      <c r="D897" s="344"/>
      <c r="E897" s="196"/>
      <c r="F897" s="348">
        <f t="shared" ref="F897:L897" si="219">SUM(F894:F896)</f>
        <v>12269872</v>
      </c>
      <c r="G897" s="348">
        <f t="shared" si="219"/>
        <v>6866757</v>
      </c>
      <c r="H897" s="348">
        <f t="shared" si="219"/>
        <v>3705933</v>
      </c>
      <c r="I897" s="348">
        <f t="shared" si="219"/>
        <v>1322328</v>
      </c>
      <c r="J897" s="348">
        <f t="shared" si="219"/>
        <v>374853</v>
      </c>
      <c r="K897" s="348">
        <f t="shared" si="219"/>
        <v>12269871</v>
      </c>
      <c r="L897" s="348">
        <f t="shared" si="219"/>
        <v>3</v>
      </c>
    </row>
    <row r="898" spans="1:14">
      <c r="A898" s="333">
        <v>33</v>
      </c>
      <c r="D898" s="344"/>
      <c r="E898" s="196"/>
      <c r="I898" s="332"/>
    </row>
    <row r="899" spans="1:14">
      <c r="A899" s="333">
        <v>34</v>
      </c>
      <c r="C899" s="332" t="str">
        <f>'FR-16(7)(v)-1 Functional'!C899</f>
        <v xml:space="preserve">  RATE OF RETURN EARNED</v>
      </c>
      <c r="D899" s="344"/>
      <c r="E899" s="196"/>
      <c r="F899" s="350">
        <f t="shared" ref="F899:L899" si="220">IF(F331=0,0,ROUND(F897/F331,5))</f>
        <v>7.2109999999999994E-2</v>
      </c>
      <c r="G899" s="350">
        <f t="shared" si="220"/>
        <v>7.2109999999999994E-2</v>
      </c>
      <c r="H899" s="350">
        <f t="shared" si="220"/>
        <v>7.2109999999999994E-2</v>
      </c>
      <c r="I899" s="350">
        <f t="shared" si="220"/>
        <v>7.2109999999999994E-2</v>
      </c>
      <c r="J899" s="350">
        <f t="shared" si="220"/>
        <v>7.2109999999999994E-2</v>
      </c>
      <c r="K899" s="350">
        <f t="shared" si="220"/>
        <v>7.2109999999999994E-2</v>
      </c>
      <c r="L899" s="350">
        <f t="shared" si="220"/>
        <v>0</v>
      </c>
    </row>
    <row r="900" spans="1:14">
      <c r="N900" s="196"/>
    </row>
  </sheetData>
  <conditionalFormatting sqref="P708:P742 P744:P762 P766:P778 P780:P844">
    <cfRule type="cellIs" dxfId="2" priority="1" operator="notEqual">
      <formula>1</formula>
    </cfRule>
  </conditionalFormatting>
  <pageMargins left="1" right="1" top="1" bottom="1" header="1" footer="0.5"/>
  <pageSetup scale="64" orientation="landscape" blackAndWhite="1" r:id="rId1"/>
  <headerFooter alignWithMargins="0"/>
  <rowBreaks count="16" manualBreakCount="16">
    <brk id="44" max="11" man="1"/>
    <brk id="101" max="11" man="1"/>
    <brk id="151" max="11" man="1"/>
    <brk id="191" max="11" man="1"/>
    <brk id="238" max="11" man="1"/>
    <brk id="283" max="11" man="1"/>
    <brk id="334" max="11" man="1"/>
    <brk id="389" max="11" man="1"/>
    <brk id="433" max="11" man="1"/>
    <brk id="465" max="11" man="1"/>
    <brk id="501" max="11" man="1"/>
    <brk id="565" max="11" man="1"/>
    <brk id="655" max="11" man="1"/>
    <brk id="694" max="11" man="1"/>
    <brk id="746" max="11" man="1"/>
    <brk id="803" max="11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6AAC2DF297EF4AAAB18C12C14394A6" ma:contentTypeVersion="3" ma:contentTypeDescription="Create a new document." ma:contentTypeScope="" ma:versionID="7fc2e36abf7e4763f7a3830366bb39e6">
  <xsd:schema xmlns:xsd="http://www.w3.org/2001/XMLSchema" xmlns:xs="http://www.w3.org/2001/XMLSchema" xmlns:p="http://schemas.microsoft.com/office/2006/metadata/properties" xmlns:ns2="b9d8ba39-ee9f-49d4-886c-5a19d7852603" xmlns:ns3="e8140ab9-1a87-4657-a6c4-99cca0129bf1" targetNamespace="http://schemas.microsoft.com/office/2006/metadata/properties" ma:root="true" ma:fieldsID="d278129e1cff69c7909c0d1b013fbb82" ns2:_="" ns3:_="">
    <xsd:import namespace="b9d8ba39-ee9f-49d4-886c-5a19d7852603"/>
    <xsd:import namespace="e8140ab9-1a87-4657-a6c4-99cca0129bf1"/>
    <xsd:element name="properties">
      <xsd:complexType>
        <xsd:sequence>
          <xsd:element name="documentManagement">
            <xsd:complexType>
              <xsd:all>
                <xsd:element ref="ns2:Witness" minOccurs="0"/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d8ba39-ee9f-49d4-886c-5a19d7852603" elementFormDefault="qualified">
    <xsd:import namespace="http://schemas.microsoft.com/office/2006/documentManagement/types"/>
    <xsd:import namespace="http://schemas.microsoft.com/office/infopath/2007/PartnerControls"/>
    <xsd:element name="Witness" ma:index="9" nillable="true" ma:displayName="Witness" ma:internalName="Witness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8140ab9-1a87-4657-a6c4-99cca0129bf1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 ma:index="8" ma:displayName="Subject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Witness xmlns="b9d8ba39-ee9f-49d4-886c-5a19d7852603" xsi:nil="true"/>
  </documentManagement>
</p:properties>
</file>

<file path=customXml/itemProps1.xml><?xml version="1.0" encoding="utf-8"?>
<ds:datastoreItem xmlns:ds="http://schemas.openxmlformats.org/officeDocument/2006/customXml" ds:itemID="{F6500863-204E-4ABE-813E-954349D11F89}"/>
</file>

<file path=customXml/itemProps2.xml><?xml version="1.0" encoding="utf-8"?>
<ds:datastoreItem xmlns:ds="http://schemas.openxmlformats.org/officeDocument/2006/customXml" ds:itemID="{A3C61ECF-F642-4AE8-8F70-B813AB6F84CF}"/>
</file>

<file path=customXml/itemProps3.xml><?xml version="1.0" encoding="utf-8"?>
<ds:datastoreItem xmlns:ds="http://schemas.openxmlformats.org/officeDocument/2006/customXml" ds:itemID="{7DAD3FBA-2429-431C-9C70-3F9C03AE05D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34</vt:i4>
      </vt:variant>
      <vt:variant>
        <vt:lpstr>Named Ranges</vt:lpstr>
      </vt:variant>
      <vt:variant>
        <vt:i4>302</vt:i4>
      </vt:variant>
    </vt:vector>
  </HeadingPairs>
  <TitlesOfParts>
    <vt:vector size="336" baseType="lpstr">
      <vt:lpstr>WP Data Req Summary</vt:lpstr>
      <vt:lpstr>Print &amp; Input</vt:lpstr>
      <vt:lpstr>Rev req link</vt:lpstr>
      <vt:lpstr>Customer Charge</vt:lpstr>
      <vt:lpstr>FR-16(7)(v)-1 Functional</vt:lpstr>
      <vt:lpstr>FR-16(7)(v)-2 PROD Classified</vt:lpstr>
      <vt:lpstr>FR-16(7)(v)-3 PROD Comm Alloc</vt:lpstr>
      <vt:lpstr>FR-16(7)(v)-4 DISTR Classified</vt:lpstr>
      <vt:lpstr>FR-16(7)(v)-5 DISTR Dem Alloc</vt:lpstr>
      <vt:lpstr>FR-16(7)(v)-6 DISTR Cust Alloc</vt:lpstr>
      <vt:lpstr>FR-16(7)(v)-7 STOR Classified</vt:lpstr>
      <vt:lpstr>FR-16(7)(v)-8 TOT CLASS Alloc</vt:lpstr>
      <vt:lpstr>FR-16(7)(v)-9 RES Classified</vt:lpstr>
      <vt:lpstr>FR-16(7)(v)-10 GS Classified</vt:lpstr>
      <vt:lpstr>FR-16(7)(v)-11 FTL Classified</vt:lpstr>
      <vt:lpstr>FR-16(7)(v)-12 IT Classified</vt:lpstr>
      <vt:lpstr>Alloc Factors Summary</vt:lpstr>
      <vt:lpstr>WP FR-16(7)(v)-Peak &amp; Avg</vt:lpstr>
      <vt:lpstr>WP FR-16(7)(v)-Daily Dem</vt:lpstr>
      <vt:lpstr>WP FR-16(7)(v)-Daily Gas Stats</vt:lpstr>
      <vt:lpstr>WP FR-16(7)(v)-IndustrialM&amp;R</vt:lpstr>
      <vt:lpstr>WP FR-16(7)(v)-Mains (Plastic)</vt:lpstr>
      <vt:lpstr>WP FR-16(7)(v)-Plastic Summary</vt:lpstr>
      <vt:lpstr>WP FR-16(7)(v)-Mains backup</vt:lpstr>
      <vt:lpstr>WP FR-16(7)(v)-Services</vt:lpstr>
      <vt:lpstr>WP FR-16(7)(v)-House Reg DEK</vt:lpstr>
      <vt:lpstr>WP FR-16(7)(v)-METERS 2018</vt:lpstr>
      <vt:lpstr>WP FR-16(7)(v)-CustAcctg</vt:lpstr>
      <vt:lpstr>WP FR-16(7)(v)-A&amp;G WP</vt:lpstr>
      <vt:lpstr>WP FR-16(7)(v) Pres NOI</vt:lpstr>
      <vt:lpstr>WP FR-16(7)(v)Rate Incr (15.0%)</vt:lpstr>
      <vt:lpstr>WP FR-16(7)(v)RateIncr (42.36%)</vt:lpstr>
      <vt:lpstr>WP FR-16(7)(v)Rate Incr (75%)</vt:lpstr>
      <vt:lpstr>WP FR-16(7)(v)Rate Incr (100%)</vt:lpstr>
      <vt:lpstr>alloc_factors</vt:lpstr>
      <vt:lpstr>Alloctable_Classified_Distribution</vt:lpstr>
      <vt:lpstr>AllocTable_Classified_Production</vt:lpstr>
      <vt:lpstr>AllocTable_Classified_Storage</vt:lpstr>
      <vt:lpstr>'FR-16(7)(v)-6 DISTR Cust Alloc'!ALLOCTABLE_DISTR_CUSTOMER</vt:lpstr>
      <vt:lpstr>'FR-16(7)(v)-5 DISTR Dem Alloc'!ALLOCTABLE_DISTR_DEMAND</vt:lpstr>
      <vt:lpstr>'FR-16(7)(v)-6 DISTR Cust Alloc'!ALLOCTABLE_DISTR_DEMAND</vt:lpstr>
      <vt:lpstr>AllocTable_Functional</vt:lpstr>
      <vt:lpstr>ALLOCTABLE_Prod_Commodity</vt:lpstr>
      <vt:lpstr>case_name</vt:lpstr>
      <vt:lpstr>co_name</vt:lpstr>
      <vt:lpstr>Composite_Tax_Rate</vt:lpstr>
      <vt:lpstr>coss_type</vt:lpstr>
      <vt:lpstr>custaccttable</vt:lpstr>
      <vt:lpstr>data_filing</vt:lpstr>
      <vt:lpstr>FIT</vt:lpstr>
      <vt:lpstr>Mains</vt:lpstr>
      <vt:lpstr>Pages</vt:lpstr>
      <vt:lpstr>Pages2</vt:lpstr>
      <vt:lpstr>'Alloc Factors Summary'!Print_Area</vt:lpstr>
      <vt:lpstr>'FR-16(7)(v)-1 Functional'!Print_Area</vt:lpstr>
      <vt:lpstr>'FR-16(7)(v)-10 GS Classified'!Print_Area</vt:lpstr>
      <vt:lpstr>'FR-16(7)(v)-11 FTL Classified'!Print_Area</vt:lpstr>
      <vt:lpstr>'FR-16(7)(v)-12 IT Classified'!Print_Area</vt:lpstr>
      <vt:lpstr>'FR-16(7)(v)-2 PROD Classified'!Print_Area</vt:lpstr>
      <vt:lpstr>'FR-16(7)(v)-3 PROD Comm Alloc'!Print_Area</vt:lpstr>
      <vt:lpstr>'FR-16(7)(v)-4 DISTR Classified'!Print_Area</vt:lpstr>
      <vt:lpstr>'FR-16(7)(v)-5 DISTR Dem Alloc'!Print_Area</vt:lpstr>
      <vt:lpstr>'FR-16(7)(v)-6 DISTR Cust Alloc'!Print_Area</vt:lpstr>
      <vt:lpstr>'FR-16(7)(v)-8 TOT CLASS Alloc'!Print_Area</vt:lpstr>
      <vt:lpstr>'FR-16(7)(v)-9 RES Classified'!Print_Area</vt:lpstr>
      <vt:lpstr>'WP FR-16(7)(v) Pres NOI'!Print_Area</vt:lpstr>
      <vt:lpstr>'WP FR-16(7)(v)-A&amp;G WP'!Print_Area</vt:lpstr>
      <vt:lpstr>'WP FR-16(7)(v)-CustAcctg'!Print_Area</vt:lpstr>
      <vt:lpstr>'WP FR-16(7)(v)-Daily Dem'!Print_Area</vt:lpstr>
      <vt:lpstr>'WP FR-16(7)(v)-Daily Gas Stats'!Print_Area</vt:lpstr>
      <vt:lpstr>'WP FR-16(7)(v)-House Reg DEK'!Print_Area</vt:lpstr>
      <vt:lpstr>'WP FR-16(7)(v)-IndustrialM&amp;R'!Print_Area</vt:lpstr>
      <vt:lpstr>'WP FR-16(7)(v)-Mains (Plastic)'!Print_Area</vt:lpstr>
      <vt:lpstr>'WP FR-16(7)(v)-Mains backup'!Print_Area</vt:lpstr>
      <vt:lpstr>'WP FR-16(7)(v)-METERS 2018'!Print_Area</vt:lpstr>
      <vt:lpstr>'WP FR-16(7)(v)-Peak &amp; Avg'!Print_Area</vt:lpstr>
      <vt:lpstr>'WP FR-16(7)(v)-Plastic Summary'!Print_Area</vt:lpstr>
      <vt:lpstr>'WP FR-16(7)(v)Rate Incr (100%)'!Print_Area</vt:lpstr>
      <vt:lpstr>'WP FR-16(7)(v)Rate Incr (15.0%)'!Print_Area</vt:lpstr>
      <vt:lpstr>'WP FR-16(7)(v)Rate Incr (75%)'!Print_Area</vt:lpstr>
      <vt:lpstr>'WP FR-16(7)(v)RateIncr (42.36%)'!Print_Area</vt:lpstr>
      <vt:lpstr>'WP FR-16(7)(v)-Services'!Print_Area</vt:lpstr>
      <vt:lpstr>Print_Commands</vt:lpstr>
      <vt:lpstr>RegressionConstant</vt:lpstr>
      <vt:lpstr>RegressionXcoefficient</vt:lpstr>
      <vt:lpstr>'WP FR-16(7)(v)-House Reg DEK'!RegulatorCost</vt:lpstr>
      <vt:lpstr>'WP FR-16(7)(v)-House Reg DEK'!RegulatorSize</vt:lpstr>
      <vt:lpstr>'WP FR-16(7)(v)-House Reg DEK'!RegulatorUnits</vt:lpstr>
      <vt:lpstr>RevTax</vt:lpstr>
      <vt:lpstr>RofR</vt:lpstr>
      <vt:lpstr>Sch_E3.1</vt:lpstr>
      <vt:lpstr>SCH_E3.2</vt:lpstr>
      <vt:lpstr>Sch_E3.2_Alloc_12</vt:lpstr>
      <vt:lpstr>Sch_E3.2_Alloc_12.1</vt:lpstr>
      <vt:lpstr>Sch_E3.2_Alloc_12.2</vt:lpstr>
      <vt:lpstr>Sch_E3.2_COS_Compute_10</vt:lpstr>
      <vt:lpstr>Sch_E3.2_Depreciation_Expense_7</vt:lpstr>
      <vt:lpstr>Sch_E3.2_Depreciation_Reserve_3</vt:lpstr>
      <vt:lpstr>Sch_E3.2_FIT_Return_9</vt:lpstr>
      <vt:lpstr>Sch_E3.2_FIT_Revenue_13</vt:lpstr>
      <vt:lpstr>Sch_E3.2_Gross_Plant_2</vt:lpstr>
      <vt:lpstr>Sch_E3.2_Net_Plant_4</vt:lpstr>
      <vt:lpstr>Sch_E3.2_OMEXP_6</vt:lpstr>
      <vt:lpstr>Sch_E3.2_OMEXP_6.1</vt:lpstr>
      <vt:lpstr>Sch_E3.2_RB_Additive_Adj_5.1</vt:lpstr>
      <vt:lpstr>Sch_E3.2_RB_Subtractive_Adj_5</vt:lpstr>
      <vt:lpstr>Sch_E3.2_RB_Total_5.2</vt:lpstr>
      <vt:lpstr>Sch_E3.2_RofR_11</vt:lpstr>
      <vt:lpstr>Sch_E3.2_SIT_Return_9.1</vt:lpstr>
      <vt:lpstr>Sch_E3.2_Summary_1</vt:lpstr>
      <vt:lpstr>Sch_E3.2_Taxes_Other_Than_Income_8</vt:lpstr>
      <vt:lpstr>SCH_E3.2a</vt:lpstr>
      <vt:lpstr>Sch_E3.2a_Alloc_12</vt:lpstr>
      <vt:lpstr>Sch_E3.2a_Alloc_12.1</vt:lpstr>
      <vt:lpstr>Sch_E3.2a_Alloc_12.2</vt:lpstr>
      <vt:lpstr>Sch_E3.2a_COS_Compute_10</vt:lpstr>
      <vt:lpstr>Sch_E3.2a_Depreciation_Expense_7</vt:lpstr>
      <vt:lpstr>Sch_E3.2a_Depreciation_Reserve_3</vt:lpstr>
      <vt:lpstr>Sch_E3.2a_FIT_Return_9</vt:lpstr>
      <vt:lpstr>Sch_E3.2a_FIT_Revenue_13</vt:lpstr>
      <vt:lpstr>Sch_E3.2a_Gross_Plant_2</vt:lpstr>
      <vt:lpstr>Sch_E3.2a_Net_Plant_4</vt:lpstr>
      <vt:lpstr>Sch_E3.2a_OMEXP_6</vt:lpstr>
      <vt:lpstr>Sch_E3.2a_OMEXP_6.1</vt:lpstr>
      <vt:lpstr>Sch_E3.2a_RB_Additive_Adj_5.1</vt:lpstr>
      <vt:lpstr>Sch_E3.2a_RB_Subtractive_Adj_5</vt:lpstr>
      <vt:lpstr>Sch_E3.2a_RB_Total_5.2</vt:lpstr>
      <vt:lpstr>Sch_E3.2a_RofR_11</vt:lpstr>
      <vt:lpstr>Sch_E3.2a_SIT_Return_9.1</vt:lpstr>
      <vt:lpstr>Sch_E3.2a_Summary_1</vt:lpstr>
      <vt:lpstr>Sch_E3.2a_Taxes_Other_Than_Income_8</vt:lpstr>
      <vt:lpstr>SCH_E3.2b</vt:lpstr>
      <vt:lpstr>Sch_E3.2b_Alloc_12</vt:lpstr>
      <vt:lpstr>Sch_E3.2b_Alloc_12.1</vt:lpstr>
      <vt:lpstr>Sch_E3.2b_Alloc_12.2</vt:lpstr>
      <vt:lpstr>Sch_E3.2b_COS_Compute_10</vt:lpstr>
      <vt:lpstr>Sch_E3.2b_Depreciation_Expense_7</vt:lpstr>
      <vt:lpstr>Sch_E3.2b_Depreciation_Reserve_3</vt:lpstr>
      <vt:lpstr>Sch_E3.2b_FIT_Return_9</vt:lpstr>
      <vt:lpstr>Sch_E3.2b_FIT_Revenue_13</vt:lpstr>
      <vt:lpstr>Sch_E3.2b_Gross_Plant_2</vt:lpstr>
      <vt:lpstr>Sch_E3.2b_Net_Plant_4</vt:lpstr>
      <vt:lpstr>Sch_E3.2b_OMEXP_6</vt:lpstr>
      <vt:lpstr>Sch_E3.2b_OMEXP_6.1</vt:lpstr>
      <vt:lpstr>Sch_E3.2b_RB_Additive_Adj_5.1</vt:lpstr>
      <vt:lpstr>Sch_E3.2b_RB_Subtractive_Adj_5</vt:lpstr>
      <vt:lpstr>Sch_E3.2b_RB_Total_5.2</vt:lpstr>
      <vt:lpstr>Sch_E3.2b_RofR_11</vt:lpstr>
      <vt:lpstr>Sch_E3.2b_SIT_Return_9.1</vt:lpstr>
      <vt:lpstr>Sch_E3.2b_Summary_1</vt:lpstr>
      <vt:lpstr>Sch_E3.2b_Taxes_Other_Than_Income_8</vt:lpstr>
      <vt:lpstr>SCH_E3.2c</vt:lpstr>
      <vt:lpstr>Sch_E3.2c_Alloc_12</vt:lpstr>
      <vt:lpstr>Sch_E3.2c_Alloc_12.1</vt:lpstr>
      <vt:lpstr>Sch_E3.2c_Alloc_12.2</vt:lpstr>
      <vt:lpstr>Sch_E3.2c_COS_Compute_10</vt:lpstr>
      <vt:lpstr>Sch_E3.2c_Depreciation_Expense_7</vt:lpstr>
      <vt:lpstr>Sch_E3.2c_Depreciation_Reserve_3</vt:lpstr>
      <vt:lpstr>Sch_E3.2c_FIT_Return_9</vt:lpstr>
      <vt:lpstr>Sch_E3.2c_FIT_Revenues_13</vt:lpstr>
      <vt:lpstr>Sch_E3.2c_Gross_Plant_2</vt:lpstr>
      <vt:lpstr>Sch_E3.2c_Net_Plant_4</vt:lpstr>
      <vt:lpstr>Sch_E3.2c_OMEXP_6</vt:lpstr>
      <vt:lpstr>SCH_E3.2c_OMEXP_6.1</vt:lpstr>
      <vt:lpstr>Sch_E3.2c_RB_Additive_Adj_5.1</vt:lpstr>
      <vt:lpstr>Sch_E3.2c_RB_Subtractive_Adj_5</vt:lpstr>
      <vt:lpstr>Sch_E3.2c_RB_Total_5.2</vt:lpstr>
      <vt:lpstr>Sch_E3.2c_RofR_11</vt:lpstr>
      <vt:lpstr>Sch_E3.2c_SIT_Return_9.1</vt:lpstr>
      <vt:lpstr>Sch_E3.2c_Summary_1</vt:lpstr>
      <vt:lpstr>Sch_E3.2c_Taxes_Other_Than_Income_8</vt:lpstr>
      <vt:lpstr>SCH_E3.2d</vt:lpstr>
      <vt:lpstr>Sch_E3.2d_Alloc_12</vt:lpstr>
      <vt:lpstr>Sch_E3.2d_Alloc_12.1</vt:lpstr>
      <vt:lpstr>Sch_E3.2d_Alloc_12.2</vt:lpstr>
      <vt:lpstr>Sch_E3.2d_COS_Compute_10</vt:lpstr>
      <vt:lpstr>Sch_E3.2d_Depreciation_Expense_7</vt:lpstr>
      <vt:lpstr>Sch_E3.2d_Depreciation_Reserve_3</vt:lpstr>
      <vt:lpstr>Sch_E3.2d_FIT_Return_9</vt:lpstr>
      <vt:lpstr>Sch_E3.2d_FIT_Revenue_13</vt:lpstr>
      <vt:lpstr>Sch_E3.2d_Gross_Plant_2</vt:lpstr>
      <vt:lpstr>Sch_E3.2d_Net_Plant_4</vt:lpstr>
      <vt:lpstr>Sch_E3.2d_OMEXP_6</vt:lpstr>
      <vt:lpstr>Sch_E3.2d_OMEXP_6.1</vt:lpstr>
      <vt:lpstr>Sch_E3.2d_RB_Additive_Adj_5.1</vt:lpstr>
      <vt:lpstr>Sch_E3.2d_RB_Subtractive_Adj_5</vt:lpstr>
      <vt:lpstr>Sch_E3.2d_RB_Total_5.2</vt:lpstr>
      <vt:lpstr>Sch_E3.2d_RofR_11</vt:lpstr>
      <vt:lpstr>Sch_E3.2d_SIT_Return_9.1</vt:lpstr>
      <vt:lpstr>Sch_E3.2d_Summary_1</vt:lpstr>
      <vt:lpstr>Sch_E3.2d_Taxes_Other_Than_Income_8</vt:lpstr>
      <vt:lpstr>SCH_E3.2e</vt:lpstr>
      <vt:lpstr>Sch_E3.2e_Alloc_12</vt:lpstr>
      <vt:lpstr>Sch_E3.2e_Alloc_12.1</vt:lpstr>
      <vt:lpstr>Sch_E3.2e_Alloc_12.2</vt:lpstr>
      <vt:lpstr>Sch_E3.2e_COS_Compute_10</vt:lpstr>
      <vt:lpstr>Sch_E3.2e_Depreciation_Expense_7</vt:lpstr>
      <vt:lpstr>Sch_E3.2e_Depreciation_Reserve_3</vt:lpstr>
      <vt:lpstr>Sch_E3.2e_FIT_Return_9</vt:lpstr>
      <vt:lpstr>Sch_E3.2e_FIT_Revenue_13</vt:lpstr>
      <vt:lpstr>Sch_E3.2e_Gross_Plant_2</vt:lpstr>
      <vt:lpstr>Sch_E3.2e_Net_Plant_4</vt:lpstr>
      <vt:lpstr>Sch_E3.2e_OMEXP_6</vt:lpstr>
      <vt:lpstr>Sch_E3.2e_OMEXP_6.1</vt:lpstr>
      <vt:lpstr>Sch_E3.2e_RB_Additive_Adj_5.1</vt:lpstr>
      <vt:lpstr>Sch_E3.2e_RB_Subtractive_Adj_5</vt:lpstr>
      <vt:lpstr>Sch_E3.2e_RB_Total_5.2</vt:lpstr>
      <vt:lpstr>Sch_E3.2e_RofR_11</vt:lpstr>
      <vt:lpstr>Sch_E3.2e_SIT_Return_9.1</vt:lpstr>
      <vt:lpstr>Sch_E3.2e_Summary_1</vt:lpstr>
      <vt:lpstr>Sch_E3.2e_Taxes_Other_Than_Income_8</vt:lpstr>
      <vt:lpstr>SCH_E3.2f</vt:lpstr>
      <vt:lpstr>Sch_E3.2f_COS_Compute_10</vt:lpstr>
      <vt:lpstr>Sch_E3.2f_Depreciation_Expense_7</vt:lpstr>
      <vt:lpstr>Sch_E3.2f_Depreciation_Reserve_3</vt:lpstr>
      <vt:lpstr>Sch_E3.2f_FIT_Return_9</vt:lpstr>
      <vt:lpstr>Sch_E3.2f_FIT_Revenue_13</vt:lpstr>
      <vt:lpstr>Sch_E3.2f_Gross_Plant_2</vt:lpstr>
      <vt:lpstr>Sch_E3.2f_Net_Plant_4</vt:lpstr>
      <vt:lpstr>Sch_E3.2f_OMEXP_6</vt:lpstr>
      <vt:lpstr>Sch_E3.2f_OMEXP_6.1</vt:lpstr>
      <vt:lpstr>Sch_E3.2f_RB_Additive_Adj_5.1</vt:lpstr>
      <vt:lpstr>Sch_E3.2f_RB_Subtractive_Adj_5</vt:lpstr>
      <vt:lpstr>Sch_E3.2f_RB_Total_5.2</vt:lpstr>
      <vt:lpstr>Sch_E3.2f_RofR_11</vt:lpstr>
      <vt:lpstr>Sch_E3.2f_SIT_Return_9.1</vt:lpstr>
      <vt:lpstr>Sch_E3.2f_Summary_1</vt:lpstr>
      <vt:lpstr>Sch_E3.2f_Taxes_Other_Than_Income_8</vt:lpstr>
      <vt:lpstr>SCH_E3.2g</vt:lpstr>
      <vt:lpstr>Sch_E3.2g_COS_Compute_10</vt:lpstr>
      <vt:lpstr>Sch_E3.2g_Depreciation_Expense_7</vt:lpstr>
      <vt:lpstr>Sch_E3.2g_Depreciation_Reserve_3</vt:lpstr>
      <vt:lpstr>Sch_E3.2g_FIT_Return_9</vt:lpstr>
      <vt:lpstr>Sch_E3.2g_FIT_Revenue_13</vt:lpstr>
      <vt:lpstr>Sch_E3.2g_Gross_Plant_2</vt:lpstr>
      <vt:lpstr>Sch_E3.2g_Net_Plant_4</vt:lpstr>
      <vt:lpstr>Sch_E3.2g_OMEXP_6</vt:lpstr>
      <vt:lpstr>Sch_E3.2g_OMEXP_6.1</vt:lpstr>
      <vt:lpstr>SCH_E3.2g_RB_ADDITIVE_ADJ_5.1</vt:lpstr>
      <vt:lpstr>Sch_E3.2g_RB_Subtractive_Adj_5</vt:lpstr>
      <vt:lpstr>Sch_E3.2g_RB_Total_5.2</vt:lpstr>
      <vt:lpstr>Sch_E3.2g_RofR_11</vt:lpstr>
      <vt:lpstr>Sch_E3.2g_SIT_Return_9.1</vt:lpstr>
      <vt:lpstr>Sch_E3.2g_Summary_1</vt:lpstr>
      <vt:lpstr>Sch_E3.2g_Taxes_Other_Than_Income_8</vt:lpstr>
      <vt:lpstr>SCH_E3.2h</vt:lpstr>
      <vt:lpstr>Sch_E3.2h_COS_Compute_10</vt:lpstr>
      <vt:lpstr>Sch_E3.2h_Depreciation_Expense_7</vt:lpstr>
      <vt:lpstr>Sch_E3.2h_Depreciation_Reserve_3</vt:lpstr>
      <vt:lpstr>Sch_E3.2h_FIT_Return_9</vt:lpstr>
      <vt:lpstr>Sch_E3.2h_FIT_Revenue_13</vt:lpstr>
      <vt:lpstr>Sch_E3.2h_Gross_Plant_2</vt:lpstr>
      <vt:lpstr>Sch_E3.2h_Net_Plant_4</vt:lpstr>
      <vt:lpstr>Sch_E3.2h_OMEXP_6</vt:lpstr>
      <vt:lpstr>Sch_E3.2h_OMEXP_6.1</vt:lpstr>
      <vt:lpstr>Sch_E3.2h_RB_Additive_Adj_5.1</vt:lpstr>
      <vt:lpstr>Sch_E3.2h_RB_Subtractive_Adj_5</vt:lpstr>
      <vt:lpstr>Sch_E3.2h_RB_Total_5.2</vt:lpstr>
      <vt:lpstr>Sch_E3.2h_RofR_11</vt:lpstr>
      <vt:lpstr>Sch_E3.2h_SIT_Return_9.1</vt:lpstr>
      <vt:lpstr>Sch_E3.2h_Summary_1</vt:lpstr>
      <vt:lpstr>Sch_E3.2h_Taxes_Other_Than_Income_8</vt:lpstr>
      <vt:lpstr>SCH_E3.2i</vt:lpstr>
      <vt:lpstr>Sch_E3.2i_COS_Compute_10</vt:lpstr>
      <vt:lpstr>Sch_E3.2i_Depreciation_Expense_7</vt:lpstr>
      <vt:lpstr>Sch_E3.2i_Depreciation_Reserve_3</vt:lpstr>
      <vt:lpstr>Sch_E3.2i_FIT_Return_9</vt:lpstr>
      <vt:lpstr>Sch_E3.2i_FIT_Revenue_13</vt:lpstr>
      <vt:lpstr>Sch_E3.2i_Gross_Plant_2</vt:lpstr>
      <vt:lpstr>Sch_E3.2i_Net_Plant_4</vt:lpstr>
      <vt:lpstr>Sch_E3.2i_OMEXP_6</vt:lpstr>
      <vt:lpstr>Sch_E3.2i_OMEXP_6.1</vt:lpstr>
      <vt:lpstr>Sch_E3.2i_RB_Additive_Adj_5.1</vt:lpstr>
      <vt:lpstr>Sch_E3.2i_RB_Subtractive_Adj_5</vt:lpstr>
      <vt:lpstr>Sch_E3.2i_RB_Total_5.2</vt:lpstr>
      <vt:lpstr>Sch_E3.2i_RofR_11</vt:lpstr>
      <vt:lpstr>Sch_E3.2i_SIT_Return_9.1</vt:lpstr>
      <vt:lpstr>Sch_E3.2i_Summary_1</vt:lpstr>
      <vt:lpstr>Sch_E3.2i_Taxes_Other_Than_Income_8</vt:lpstr>
      <vt:lpstr>SCH_E3.2j</vt:lpstr>
      <vt:lpstr>Sch_E3.2j_COS_Compute_10</vt:lpstr>
      <vt:lpstr>Sch_E3.2j_Depreciation_Expense_7</vt:lpstr>
      <vt:lpstr>Sch_E3.2j_Depreciation_Reserve_3</vt:lpstr>
      <vt:lpstr>Sch_E3.2j_FIT_Return_9</vt:lpstr>
      <vt:lpstr>Sch_E3.2j_FIT_Revenue_13</vt:lpstr>
      <vt:lpstr>Sch_E3.2j_Gross_Plant_2</vt:lpstr>
      <vt:lpstr>Sch_E3.2j_Net_Plant_4</vt:lpstr>
      <vt:lpstr>Sch_E3.2j_OMEXP_6</vt:lpstr>
      <vt:lpstr>Sch_E3.2j_OMEXP_6.1</vt:lpstr>
      <vt:lpstr>Sch_E3.2j_RB_Additive_Adj_5.1</vt:lpstr>
      <vt:lpstr>Sch_E3.2j_RB_Subtractive_Adj_5</vt:lpstr>
      <vt:lpstr>Sch_E3.2j_RB_Total_5.2</vt:lpstr>
      <vt:lpstr>Sch_E3.2j_RofR_11</vt:lpstr>
      <vt:lpstr>Sch_E3.2j_SIT_Return_9.1</vt:lpstr>
      <vt:lpstr>Sch_E3.2j_Summary_1</vt:lpstr>
      <vt:lpstr>Sch_E3.2j_Taxes_Other_Than_Income_8</vt:lpstr>
      <vt:lpstr>Services_Cost</vt:lpstr>
      <vt:lpstr>Services_Kind</vt:lpstr>
      <vt:lpstr>Services_Quantity</vt:lpstr>
      <vt:lpstr>Services_Size</vt:lpstr>
      <vt:lpstr>Services_Type</vt:lpstr>
      <vt:lpstr>SIT</vt:lpstr>
      <vt:lpstr>test_period</vt:lpstr>
      <vt:lpstr>time_period</vt:lpstr>
      <vt:lpstr>type</vt:lpstr>
      <vt:lpstr>Witness</vt:lpstr>
      <vt:lpstr>Witness1</vt:lpstr>
      <vt:lpstr>WorkingCap</vt:lpstr>
      <vt:lpstr>WPE_3.2a_P1</vt:lpstr>
      <vt:lpstr>WPE_3.2a_P2</vt:lpstr>
      <vt:lpstr>WPE_3.2a_P3</vt:lpstr>
      <vt:lpstr>WPE_3.2b_P1</vt:lpstr>
      <vt:lpstr>WPE_3.2c_P1</vt:lpstr>
      <vt:lpstr>WPE_3.2c_P2</vt:lpstr>
      <vt:lpstr>WPE_3.2c_P3</vt:lpstr>
      <vt:lpstr>WPE_3.2c_P4</vt:lpstr>
      <vt:lpstr>WPE_3.2c_P5</vt:lpstr>
      <vt:lpstr>WPE_3.2c_P6</vt:lpstr>
      <vt:lpstr>WPE_3.2c_P7</vt:lpstr>
      <vt:lpstr>WPE_3.2d_P1</vt:lpstr>
      <vt:lpstr>WPE_3.2e_P1</vt:lpstr>
      <vt:lpstr>WPE_3.2e_P2</vt:lpstr>
      <vt:lpstr>WPE_3.2e_P3</vt:lpstr>
      <vt:lpstr>WPE_3.2f_P1</vt:lpstr>
      <vt:lpstr>WPE_3.2f_P2</vt:lpstr>
      <vt:lpstr>WPE_3.2f_P3</vt:lpstr>
      <vt:lpstr>WPE_3.2f_P4</vt:lpstr>
      <vt:lpstr>'WP FR-16(7)(v)-House Reg DEK'!WPE_3.2g_P1</vt:lpstr>
      <vt:lpstr>'WP FR-16(7)(v)-House Reg DEK'!WPE_3.2g_P2</vt:lpstr>
      <vt:lpstr>WPE_3.2i_P1</vt:lpstr>
      <vt:lpstr>WPE_3.2j_P1</vt:lpstr>
      <vt:lpstr>WPE_3.2k_P1</vt:lpstr>
      <vt:lpstr>WPE_3.2l_P1</vt:lpstr>
      <vt:lpstr>WPE_3.2l_P2</vt:lpstr>
      <vt:lpstr>WPE_3.2l_P3</vt:lpstr>
      <vt:lpstr>WPE_3.2l_P4</vt:lpstr>
    </vt:vector>
  </TitlesOfParts>
  <Company>Cinergy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T61190</dc:creator>
  <cp:lastModifiedBy>Ziolkowski, Jim</cp:lastModifiedBy>
  <cp:lastPrinted>2018-08-08T20:39:05Z</cp:lastPrinted>
  <dcterms:created xsi:type="dcterms:W3CDTF">2000-11-09T16:52:02Z</dcterms:created>
  <dcterms:modified xsi:type="dcterms:W3CDTF">2018-09-04T17:52:22Z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ContentTypeId">
    <vt:lpwstr>0x010100B46AAC2DF297EF4AAAB18C12C14394A6</vt:lpwstr>
  </property>
</Properties>
</file>